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345" yWindow="720" windowWidth="19440" windowHeight="11760" tabRatio="952" firstSheet="1" activeTab="1"/>
  </bookViews>
  <sheets>
    <sheet name="Summary" sheetId="11" state="hidden" r:id="rId1"/>
    <sheet name="Program Model" sheetId="24" r:id="rId2"/>
    <sheet name="Prg. Expenses" sheetId="25" r:id="rId3"/>
    <sheet name="Prg. HR" sheetId="26" r:id="rId4"/>
    <sheet name="Prg. Actuals" sheetId="27" state="hidden" r:id="rId5"/>
    <sheet name="Prg. Costs" sheetId="28" state="hidden" r:id="rId6"/>
    <sheet name="Prg. Mkt. Assumptions" sheetId="29" state="hidden" r:id="rId7"/>
    <sheet name="Prg. Marketing" sheetId="30" r:id="rId8"/>
    <sheet name="Prg. Dashboard" sheetId="31" state="hidden" r:id="rId9"/>
    <sheet name="Marketing Dashboard" sheetId="32" r:id="rId10"/>
    <sheet name="Contractor Model" sheetId="17" r:id="rId11"/>
    <sheet name="HR" sheetId="3" r:id="rId12"/>
    <sheet name="Expenses" sheetId="4" r:id="rId13"/>
    <sheet name="Pro Forma" sheetId="1" r:id="rId14"/>
    <sheet name="Dashboard" sheetId="19" r:id="rId15"/>
  </sheets>
  <externalReferences>
    <externalReference r:id="rId16"/>
    <externalReference r:id="rId17"/>
  </externalReferences>
  <definedNames>
    <definedName name="____old1" localSheetId="14">#REF!</definedName>
    <definedName name="____old1" localSheetId="2">#REF!</definedName>
    <definedName name="____old1" localSheetId="3">#REF!</definedName>
    <definedName name="____old1">#REF!</definedName>
    <definedName name="___old1" localSheetId="14">#REF!</definedName>
    <definedName name="___old1" localSheetId="2">#REF!</definedName>
    <definedName name="___old1" localSheetId="3">#REF!</definedName>
    <definedName name="___old1">#REF!</definedName>
    <definedName name="__old1" localSheetId="14">#REF!</definedName>
    <definedName name="__old1" localSheetId="2">#REF!</definedName>
    <definedName name="__old1" localSheetId="3">#REF!</definedName>
    <definedName name="__old1">#REF!</definedName>
    <definedName name="_old1" localSheetId="2">#REF!</definedName>
    <definedName name="_old1" localSheetId="3">#REF!</definedName>
    <definedName name="_old1">#REF!</definedName>
    <definedName name="AnnualGrowth">'[1]Plan 99'!$Y$3</definedName>
    <definedName name="areax1" localSheetId="14">#REF!</definedName>
    <definedName name="areax1" localSheetId="2">#REF!</definedName>
    <definedName name="areax1" localSheetId="3">#REF!</definedName>
    <definedName name="areax1">#REF!</definedName>
    <definedName name="areax2" localSheetId="14">#REF!</definedName>
    <definedName name="areax2" localSheetId="2">#REF!</definedName>
    <definedName name="areax2" localSheetId="3">#REF!</definedName>
    <definedName name="areax2">#REF!</definedName>
    <definedName name="areax3" localSheetId="14">#REF!</definedName>
    <definedName name="areax3" localSheetId="2">#REF!</definedName>
    <definedName name="areax3" localSheetId="3">#REF!</definedName>
    <definedName name="areax3">#REF!</definedName>
    <definedName name="b" localSheetId="2">#REF!</definedName>
    <definedName name="b" localSheetId="3">#REF!</definedName>
    <definedName name="b">#REF!</definedName>
    <definedName name="bareax1" localSheetId="2">#REF!</definedName>
    <definedName name="bareax1" localSheetId="3">#REF!</definedName>
    <definedName name="bareax1">#REF!</definedName>
    <definedName name="bareax2" localSheetId="2">#REF!</definedName>
    <definedName name="bareax2" localSheetId="3">#REF!</definedName>
    <definedName name="bareax2">#REF!</definedName>
    <definedName name="bareax3" localSheetId="2">#REF!</definedName>
    <definedName name="bareax3" localSheetId="3">#REF!</definedName>
    <definedName name="bareax3">#REF!</definedName>
    <definedName name="bcash" localSheetId="2">#REF!</definedName>
    <definedName name="bcash" localSheetId="3">#REF!</definedName>
    <definedName name="bcash">#REF!</definedName>
    <definedName name="benterprise" localSheetId="2">#REF!</definedName>
    <definedName name="benterprise" localSheetId="3">#REF!</definedName>
    <definedName name="benterprise">#REF!</definedName>
    <definedName name="bheadcount" localSheetId="2">#REF!</definedName>
    <definedName name="bheadcount" localSheetId="3">#REF!</definedName>
    <definedName name="bheadcount">#REF!</definedName>
    <definedName name="bindirectdiscount" localSheetId="2">#REF!</definedName>
    <definedName name="bindirectdiscount" localSheetId="3">#REF!</definedName>
    <definedName name="bindirectdiscount">#REF!</definedName>
    <definedName name="bnewcash" localSheetId="2">#REF!</definedName>
    <definedName name="bnewcash" localSheetId="3">#REF!</definedName>
    <definedName name="bnewcash">#REF!</definedName>
    <definedName name="bnewheadcount" localSheetId="2">#REF!</definedName>
    <definedName name="bnewheadcount" localSheetId="3">#REF!</definedName>
    <definedName name="bnewheadcount">#REF!</definedName>
    <definedName name="bnewrevenue" localSheetId="2">#REF!</definedName>
    <definedName name="bnewrevenue" localSheetId="3">#REF!</definedName>
    <definedName name="bnewrevenue">#REF!</definedName>
    <definedName name="bnext" localSheetId="2">#REF!</definedName>
    <definedName name="bnext" localSheetId="3">#REF!</definedName>
    <definedName name="bnext">#REF!</definedName>
    <definedName name="bold" localSheetId="2">#REF!</definedName>
    <definedName name="bold" localSheetId="3">#REF!</definedName>
    <definedName name="bold">#REF!</definedName>
    <definedName name="bold1" localSheetId="2">#REF!</definedName>
    <definedName name="bold1" localSheetId="3">#REF!</definedName>
    <definedName name="bold1">#REF!</definedName>
    <definedName name="bpilot" localSheetId="2">#REF!</definedName>
    <definedName name="bpilot" localSheetId="3">#REF!</definedName>
    <definedName name="bpilot">#REF!</definedName>
    <definedName name="bproforma" localSheetId="2">#REF!</definedName>
    <definedName name="bproforma" localSheetId="3">#REF!</definedName>
    <definedName name="bproforma">#REF!</definedName>
    <definedName name="brevenue" localSheetId="2">#REF!</definedName>
    <definedName name="brevenue" localSheetId="3">#REF!</definedName>
    <definedName name="brevenue">#REF!</definedName>
    <definedName name="bupgradepct" localSheetId="2">#REF!</definedName>
    <definedName name="bupgradepct" localSheetId="3">#REF!</definedName>
    <definedName name="bupgradepct">#REF!</definedName>
    <definedName name="bworkgroup" localSheetId="2">#REF!</definedName>
    <definedName name="bworkgroup" localSheetId="3">#REF!</definedName>
    <definedName name="bworkgroup">#REF!</definedName>
    <definedName name="cash" localSheetId="2">#REF!</definedName>
    <definedName name="cash" localSheetId="3">#REF!</definedName>
    <definedName name="cash">#REF!</definedName>
    <definedName name="Dept_Names">'[2]Lookup Tables'!$J$8:$K$18</definedName>
    <definedName name="Enterprise" localSheetId="14">#REF!</definedName>
    <definedName name="Enterprise" localSheetId="2">#REF!</definedName>
    <definedName name="Enterprise" localSheetId="3">#REF!</definedName>
    <definedName name="Enterprise">#REF!</definedName>
    <definedName name="headcount" localSheetId="14">#REF!</definedName>
    <definedName name="headcount" localSheetId="2">#REF!</definedName>
    <definedName name="headcount" localSheetId="3">#REF!</definedName>
    <definedName name="headcount">#REF!</definedName>
    <definedName name="IndirectDiscount" localSheetId="14">#REF!</definedName>
    <definedName name="IndirectDiscount" localSheetId="2">#REF!</definedName>
    <definedName name="IndirectDiscount" localSheetId="3">#REF!</definedName>
    <definedName name="IndirectDiscount">#REF!</definedName>
    <definedName name="new">'[1]Plan 99'!$Y$3</definedName>
    <definedName name="newcash" localSheetId="14">#REF!</definedName>
    <definedName name="newcash" localSheetId="2">#REF!</definedName>
    <definedName name="newcash" localSheetId="3">#REF!</definedName>
    <definedName name="newcash">#REF!</definedName>
    <definedName name="newheadcount" localSheetId="14">#REF!</definedName>
    <definedName name="newheadcount" localSheetId="2">#REF!</definedName>
    <definedName name="newheadcount" localSheetId="3">#REF!</definedName>
    <definedName name="newheadcount">#REF!</definedName>
    <definedName name="newrevenue" localSheetId="14">#REF!</definedName>
    <definedName name="newrevenue" localSheetId="2">#REF!</definedName>
    <definedName name="newrevenue" localSheetId="3">#REF!</definedName>
    <definedName name="newrevenue">#REF!</definedName>
    <definedName name="next" localSheetId="2">#REF!</definedName>
    <definedName name="next" localSheetId="3">#REF!</definedName>
    <definedName name="next">#REF!</definedName>
    <definedName name="old" localSheetId="2">#REF!</definedName>
    <definedName name="old" localSheetId="3">#REF!</definedName>
    <definedName name="old">#REF!</definedName>
    <definedName name="Pilot" localSheetId="2">#REF!</definedName>
    <definedName name="Pilot" localSheetId="3">#REF!</definedName>
    <definedName name="Pilot">#REF!</definedName>
    <definedName name="_xlnm.Print_Titles" localSheetId="13">'Pro Forma'!$A:$B,'Pro Forma'!$1:$2</definedName>
    <definedName name="proforma" localSheetId="14">#REF!</definedName>
    <definedName name="proforma" localSheetId="2">#REF!</definedName>
    <definedName name="proforma" localSheetId="3">#REF!</definedName>
    <definedName name="proforma">#REF!</definedName>
    <definedName name="Revenue" localSheetId="14">#REF!</definedName>
    <definedName name="Revenue" localSheetId="2">#REF!</definedName>
    <definedName name="Revenue" localSheetId="3">#REF!</definedName>
    <definedName name="Revenue">#REF!</definedName>
    <definedName name="temp" localSheetId="14">#REF!</definedName>
    <definedName name="temp" localSheetId="2">#REF!</definedName>
    <definedName name="temp" localSheetId="3">#REF!</definedName>
    <definedName name="temp">#REF!</definedName>
    <definedName name="temp2" localSheetId="2">#REF!</definedName>
    <definedName name="temp2" localSheetId="3">#REF!</definedName>
    <definedName name="temp2">#REF!</definedName>
    <definedName name="UpgradePct" localSheetId="2">#REF!</definedName>
    <definedName name="UpgradePct" localSheetId="3">#REF!</definedName>
    <definedName name="UpgradePct">#REF!</definedName>
    <definedName name="Workgroup" localSheetId="2">#REF!</definedName>
    <definedName name="Workgroup" localSheetId="3">#REF!</definedName>
    <definedName name="Workgroup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7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C6"/>
  <c r="D8"/>
  <c r="D6"/>
  <c r="E8"/>
  <c r="E6"/>
  <c r="F8"/>
  <c r="F6"/>
  <c r="G8"/>
  <c r="G6"/>
  <c r="H8"/>
  <c r="H6"/>
  <c r="I8"/>
  <c r="I6"/>
  <c r="J8"/>
  <c r="J6"/>
  <c r="K8"/>
  <c r="K6"/>
  <c r="L8"/>
  <c r="L6"/>
  <c r="M8"/>
  <c r="M6"/>
  <c r="N8"/>
  <c r="N6"/>
  <c r="O8"/>
  <c r="O6"/>
  <c r="P8"/>
  <c r="P6"/>
  <c r="Q8"/>
  <c r="Q6"/>
  <c r="R8"/>
  <c r="R6"/>
  <c r="S8"/>
  <c r="S6"/>
  <c r="T8"/>
  <c r="T6"/>
  <c r="U8"/>
  <c r="U6"/>
  <c r="V8"/>
  <c r="V6"/>
  <c r="W8"/>
  <c r="W6"/>
  <c r="X8"/>
  <c r="X6"/>
  <c r="Y8"/>
  <c r="Y6"/>
  <c r="Z8"/>
  <c r="Z6"/>
  <c r="AA8"/>
  <c r="AA6"/>
  <c r="AB8"/>
  <c r="AB6"/>
  <c r="AC8"/>
  <c r="AC6"/>
  <c r="AD8"/>
  <c r="AD6"/>
  <c r="AE8"/>
  <c r="AE6"/>
  <c r="AF8"/>
  <c r="AF6"/>
  <c r="AG8"/>
  <c r="AG6"/>
  <c r="AH8"/>
  <c r="AH6"/>
  <c r="AI8"/>
  <c r="AI6"/>
  <c r="AJ8"/>
  <c r="AJ6"/>
  <c r="AK8"/>
  <c r="AK6"/>
  <c r="AL8"/>
  <c r="AL6"/>
  <c r="AM8"/>
  <c r="AM6"/>
  <c r="AN8"/>
  <c r="AN6"/>
  <c r="AO8"/>
  <c r="AO6"/>
  <c r="AP8"/>
  <c r="AP6"/>
  <c r="AQ8"/>
  <c r="AQ6"/>
  <c r="AR8"/>
  <c r="AR6"/>
  <c r="AS8"/>
  <c r="AS6"/>
  <c r="AT8"/>
  <c r="AT6"/>
  <c r="AU8"/>
  <c r="AU6"/>
  <c r="AV8"/>
  <c r="AV6"/>
  <c r="AW8"/>
  <c r="AW6"/>
  <c r="AX8"/>
  <c r="AX6"/>
  <c r="AX7"/>
  <c r="AX24"/>
  <c r="BE85" i="4"/>
  <c r="I43" i="25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E89" i="4"/>
  <c r="BE86"/>
  <c r="I42" i="25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E41"/>
  <c r="BE87" i="4"/>
  <c r="BE88"/>
  <c r="BE91"/>
  <c r="AX11" i="17"/>
  <c r="BE78" i="4"/>
  <c r="BE72"/>
  <c r="BE73"/>
  <c r="BE74"/>
  <c r="BE75"/>
  <c r="BE76"/>
  <c r="BE77"/>
  <c r="BE80"/>
  <c r="BE93"/>
  <c r="BA24" i="1"/>
  <c r="D30" i="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Y32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C47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Y50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C65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Y68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C83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Y86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C101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Y104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C119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Y122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C137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Y140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C155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Y158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Y176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Y194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C209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Y212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C227"/>
  <c r="AB228"/>
  <c r="AC228"/>
  <c r="AD228"/>
  <c r="AE228"/>
  <c r="AF228"/>
  <c r="AG228"/>
  <c r="AH228"/>
  <c r="AI228"/>
  <c r="AJ228"/>
  <c r="AK228"/>
  <c r="AL228"/>
  <c r="AM228"/>
  <c r="AO227"/>
  <c r="AN228"/>
  <c r="AO228"/>
  <c r="AP228"/>
  <c r="AQ228"/>
  <c r="AR228"/>
  <c r="AS228"/>
  <c r="AT228"/>
  <c r="AU228"/>
  <c r="AV228"/>
  <c r="AW228"/>
  <c r="AX228"/>
  <c r="AY228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Y230"/>
  <c r="AY12"/>
  <c r="AY10"/>
  <c r="AY11"/>
  <c r="AX25" i="17"/>
  <c r="AX26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X13"/>
  <c r="AZ31" i="3"/>
  <c r="C33" i="30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Y34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Y52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Y70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Y88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Y106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Y124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Y142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Y160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Y178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Y196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Y214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Y232"/>
  <c r="AY14"/>
  <c r="AY13"/>
  <c r="AX27" i="17"/>
  <c r="AX29"/>
  <c r="BE53" i="4"/>
  <c r="C30" i="3"/>
  <c r="AZ30"/>
  <c r="BA20" i="1"/>
  <c r="BE56" i="4"/>
  <c r="BE57"/>
  <c r="AX32" i="30"/>
  <c r="AX50"/>
  <c r="AX68"/>
  <c r="AX86"/>
  <c r="AX104"/>
  <c r="AX122"/>
  <c r="AX140"/>
  <c r="AX158"/>
  <c r="AX176"/>
  <c r="AX194"/>
  <c r="AX212"/>
  <c r="AX230"/>
  <c r="AX12"/>
  <c r="AX10"/>
  <c r="AX11"/>
  <c r="AW25" i="17"/>
  <c r="AW7"/>
  <c r="AW24"/>
  <c r="AW26"/>
  <c r="AW11"/>
  <c r="AW13"/>
  <c r="AY31" i="3"/>
  <c r="BD56" i="4"/>
  <c r="BE58"/>
  <c r="BE59"/>
  <c r="BE60"/>
  <c r="BE61"/>
  <c r="BE62"/>
  <c r="BA21" i="1"/>
  <c r="BE51" i="4"/>
  <c r="BE64"/>
  <c r="BE67"/>
  <c r="BE68"/>
  <c r="G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E70"/>
  <c r="BA22" i="1"/>
  <c r="BA25"/>
  <c r="BA4"/>
  <c r="AX32" i="17"/>
  <c r="BA5" i="1"/>
  <c r="BA6"/>
  <c r="BA9"/>
  <c r="C14" i="17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X16"/>
  <c r="AX53"/>
  <c r="AZ26" i="3"/>
  <c r="AZ19"/>
  <c r="C18"/>
  <c r="AZ18"/>
  <c r="AZ22"/>
  <c r="C21"/>
  <c r="AZ21"/>
  <c r="AZ25"/>
  <c r="C24"/>
  <c r="AZ24"/>
  <c r="AZ28"/>
  <c r="BA15" i="1"/>
  <c r="AZ2" i="3"/>
  <c r="BE38" i="4"/>
  <c r="BE32"/>
  <c r="AX34" i="30"/>
  <c r="AX52"/>
  <c r="AX70"/>
  <c r="AX88"/>
  <c r="AX106"/>
  <c r="AX124"/>
  <c r="AX142"/>
  <c r="AX160"/>
  <c r="AX178"/>
  <c r="AX196"/>
  <c r="AX214"/>
  <c r="AX232"/>
  <c r="AX14"/>
  <c r="AX13"/>
  <c r="AW27" i="17"/>
  <c r="AW29"/>
  <c r="AZ4" i="1"/>
  <c r="AW32" i="17"/>
  <c r="AZ5" i="1"/>
  <c r="AZ6"/>
  <c r="AZ9"/>
  <c r="AW16" i="17"/>
  <c r="AW53"/>
  <c r="AY26" i="3"/>
  <c r="AY2"/>
  <c r="BD38" i="4"/>
  <c r="BE33"/>
  <c r="BE34"/>
  <c r="BE35"/>
  <c r="BE36"/>
  <c r="BE37"/>
  <c r="BA16" i="1"/>
  <c r="AL32" i="30"/>
  <c r="AL34"/>
  <c r="AL50"/>
  <c r="AL52"/>
  <c r="AL68"/>
  <c r="AL70"/>
  <c r="AL86"/>
  <c r="AL88"/>
  <c r="AL104"/>
  <c r="AL106"/>
  <c r="AL122"/>
  <c r="AL124"/>
  <c r="AL140"/>
  <c r="AL142"/>
  <c r="AL158"/>
  <c r="AL160"/>
  <c r="AL176"/>
  <c r="AL178"/>
  <c r="AL194"/>
  <c r="AL196"/>
  <c r="AL212"/>
  <c r="AL214"/>
  <c r="AL230"/>
  <c r="AL232"/>
  <c r="AL14"/>
  <c r="AL12"/>
  <c r="AL13"/>
  <c r="AK27" i="17"/>
  <c r="AL10" i="30"/>
  <c r="AL11"/>
  <c r="AK25" i="17"/>
  <c r="AK7"/>
  <c r="AK24"/>
  <c r="AK26"/>
  <c r="AK29"/>
  <c r="AN4" i="1"/>
  <c r="AK32" i="17"/>
  <c r="AN5" i="1"/>
  <c r="AN6"/>
  <c r="AN9"/>
  <c r="AK11" i="17"/>
  <c r="AK13"/>
  <c r="AK16"/>
  <c r="AK53"/>
  <c r="AM26" i="3"/>
  <c r="AM22"/>
  <c r="AM21"/>
  <c r="AM25"/>
  <c r="AM24"/>
  <c r="AM2"/>
  <c r="BE27" i="4"/>
  <c r="BE42"/>
  <c r="AM15" i="3"/>
  <c r="AK32" i="30"/>
  <c r="AK34"/>
  <c r="AK50"/>
  <c r="AK52"/>
  <c r="AK68"/>
  <c r="AK70"/>
  <c r="AK86"/>
  <c r="AK88"/>
  <c r="AK104"/>
  <c r="AK106"/>
  <c r="AK122"/>
  <c r="AK124"/>
  <c r="AK140"/>
  <c r="AK142"/>
  <c r="AK158"/>
  <c r="AK160"/>
  <c r="AK176"/>
  <c r="AK178"/>
  <c r="AK194"/>
  <c r="AK196"/>
  <c r="AK212"/>
  <c r="AK214"/>
  <c r="AK230"/>
  <c r="AK232"/>
  <c r="AK14"/>
  <c r="AK12"/>
  <c r="AK13"/>
  <c r="AJ27" i="17"/>
  <c r="AK10" i="30"/>
  <c r="AK11"/>
  <c r="AJ25" i="17"/>
  <c r="AJ7"/>
  <c r="AJ24"/>
  <c r="AJ26"/>
  <c r="AJ29"/>
  <c r="AM4" i="1"/>
  <c r="AJ32" i="17"/>
  <c r="AM5" i="1"/>
  <c r="AM6"/>
  <c r="AM9"/>
  <c r="AJ11" i="17"/>
  <c r="AJ13"/>
  <c r="AJ16"/>
  <c r="AJ53"/>
  <c r="AL26" i="3"/>
  <c r="AL15"/>
  <c r="BE45" i="4"/>
  <c r="BE46"/>
  <c r="BE47"/>
  <c r="BE48"/>
  <c r="BE44"/>
  <c r="BE49"/>
  <c r="BA17" i="1"/>
  <c r="BA18"/>
  <c r="AX28" i="17"/>
  <c r="C35" i="3"/>
  <c r="AZ35"/>
  <c r="AX34" i="17"/>
  <c r="AX19"/>
  <c r="AX21"/>
  <c r="AX37"/>
  <c r="C36" i="3"/>
  <c r="AZ36"/>
  <c r="AZ37"/>
  <c r="AZ3"/>
  <c r="AZ5"/>
  <c r="AZ42"/>
  <c r="AZ38"/>
  <c r="AZ39"/>
  <c r="AZ43"/>
  <c r="AZ15"/>
  <c r="AZ12"/>
  <c r="AZ45"/>
  <c r="C40"/>
  <c r="AZ40"/>
  <c r="C14" i="30"/>
  <c r="C12"/>
  <c r="C13"/>
  <c r="B27" i="17"/>
  <c r="C10" i="30"/>
  <c r="C11"/>
  <c r="B25" i="17"/>
  <c r="B7"/>
  <c r="B24"/>
  <c r="B26"/>
  <c r="B29"/>
  <c r="E4" i="1"/>
  <c r="B32" i="17"/>
  <c r="E5" i="1"/>
  <c r="E6"/>
  <c r="E9"/>
  <c r="B11" i="17"/>
  <c r="B13"/>
  <c r="B16"/>
  <c r="B53"/>
  <c r="D26" i="3"/>
  <c r="D2"/>
  <c r="D19"/>
  <c r="D22"/>
  <c r="D25"/>
  <c r="D3"/>
  <c r="D31"/>
  <c r="D5"/>
  <c r="D42"/>
  <c r="C41"/>
  <c r="D41"/>
  <c r="D32" i="30"/>
  <c r="D34"/>
  <c r="D50"/>
  <c r="D52"/>
  <c r="D68"/>
  <c r="D70"/>
  <c r="D86"/>
  <c r="D88"/>
  <c r="D104"/>
  <c r="D106"/>
  <c r="D122"/>
  <c r="D124"/>
  <c r="D140"/>
  <c r="D142"/>
  <c r="D158"/>
  <c r="D160"/>
  <c r="D176"/>
  <c r="D178"/>
  <c r="D194"/>
  <c r="D196"/>
  <c r="D212"/>
  <c r="D214"/>
  <c r="D230"/>
  <c r="D232"/>
  <c r="D14"/>
  <c r="D12"/>
  <c r="D13"/>
  <c r="C27" i="17"/>
  <c r="D10" i="30"/>
  <c r="D11"/>
  <c r="C25" i="17"/>
  <c r="C7"/>
  <c r="C24"/>
  <c r="C26"/>
  <c r="C29"/>
  <c r="F4" i="1"/>
  <c r="C32" i="17"/>
  <c r="F5" i="1"/>
  <c r="F6"/>
  <c r="F9"/>
  <c r="C11" i="17"/>
  <c r="C13"/>
  <c r="C16"/>
  <c r="C53"/>
  <c r="E26" i="3"/>
  <c r="E2"/>
  <c r="E19"/>
  <c r="E22"/>
  <c r="E25"/>
  <c r="E3"/>
  <c r="E31"/>
  <c r="E5"/>
  <c r="E42"/>
  <c r="E41"/>
  <c r="E32" i="30"/>
  <c r="E34"/>
  <c r="E50"/>
  <c r="E52"/>
  <c r="E68"/>
  <c r="E70"/>
  <c r="E86"/>
  <c r="E88"/>
  <c r="E104"/>
  <c r="E106"/>
  <c r="E122"/>
  <c r="E124"/>
  <c r="E140"/>
  <c r="E142"/>
  <c r="E158"/>
  <c r="E160"/>
  <c r="E176"/>
  <c r="E178"/>
  <c r="E194"/>
  <c r="E196"/>
  <c r="E212"/>
  <c r="E214"/>
  <c r="E230"/>
  <c r="E232"/>
  <c r="E14"/>
  <c r="E12"/>
  <c r="E13"/>
  <c r="D27" i="17"/>
  <c r="E10" i="30"/>
  <c r="E11"/>
  <c r="D25" i="17"/>
  <c r="D7"/>
  <c r="D24"/>
  <c r="D26"/>
  <c r="D29"/>
  <c r="G4" i="1"/>
  <c r="D32" i="17"/>
  <c r="G5" i="1"/>
  <c r="G6"/>
  <c r="G9"/>
  <c r="D11" i="17"/>
  <c r="D13"/>
  <c r="D16"/>
  <c r="D53"/>
  <c r="F26" i="3"/>
  <c r="F2"/>
  <c r="F19"/>
  <c r="F22"/>
  <c r="F25"/>
  <c r="F3"/>
  <c r="F31"/>
  <c r="F5"/>
  <c r="F42"/>
  <c r="F41"/>
  <c r="F32" i="30"/>
  <c r="F34"/>
  <c r="F50"/>
  <c r="F52"/>
  <c r="F68"/>
  <c r="F70"/>
  <c r="F86"/>
  <c r="F88"/>
  <c r="F104"/>
  <c r="F106"/>
  <c r="F122"/>
  <c r="F124"/>
  <c r="F140"/>
  <c r="F142"/>
  <c r="F158"/>
  <c r="F160"/>
  <c r="F176"/>
  <c r="F178"/>
  <c r="F194"/>
  <c r="F196"/>
  <c r="F212"/>
  <c r="F214"/>
  <c r="F230"/>
  <c r="F232"/>
  <c r="F14"/>
  <c r="F12"/>
  <c r="F13"/>
  <c r="E27" i="17"/>
  <c r="F10" i="30"/>
  <c r="F11"/>
  <c r="E25" i="17"/>
  <c r="E7"/>
  <c r="E24"/>
  <c r="E26"/>
  <c r="E29"/>
  <c r="H4" i="1"/>
  <c r="E32" i="17"/>
  <c r="H5" i="1"/>
  <c r="H6"/>
  <c r="H9"/>
  <c r="E11" i="17"/>
  <c r="E13"/>
  <c r="E16"/>
  <c r="E53"/>
  <c r="G26" i="3"/>
  <c r="G2"/>
  <c r="G19"/>
  <c r="G22"/>
  <c r="G25"/>
  <c r="G3"/>
  <c r="G31"/>
  <c r="G5"/>
  <c r="G42"/>
  <c r="G41"/>
  <c r="G32" i="30"/>
  <c r="G34"/>
  <c r="G50"/>
  <c r="G52"/>
  <c r="G68"/>
  <c r="G70"/>
  <c r="G86"/>
  <c r="G88"/>
  <c r="G104"/>
  <c r="G106"/>
  <c r="G122"/>
  <c r="G124"/>
  <c r="G140"/>
  <c r="G142"/>
  <c r="G158"/>
  <c r="G160"/>
  <c r="G176"/>
  <c r="G178"/>
  <c r="G194"/>
  <c r="G196"/>
  <c r="G212"/>
  <c r="G214"/>
  <c r="G230"/>
  <c r="G232"/>
  <c r="G14"/>
  <c r="G12"/>
  <c r="G13"/>
  <c r="F27" i="17"/>
  <c r="G10" i="30"/>
  <c r="G11"/>
  <c r="F25" i="17"/>
  <c r="F7"/>
  <c r="F24"/>
  <c r="F26"/>
  <c r="F29"/>
  <c r="I4" i="1"/>
  <c r="F32" i="17"/>
  <c r="I5" i="1"/>
  <c r="I6"/>
  <c r="I9"/>
  <c r="F11" i="17"/>
  <c r="F13"/>
  <c r="F16"/>
  <c r="F53"/>
  <c r="H26" i="3"/>
  <c r="H2"/>
  <c r="H19"/>
  <c r="H22"/>
  <c r="H25"/>
  <c r="H3"/>
  <c r="H31"/>
  <c r="H5"/>
  <c r="H42"/>
  <c r="H41"/>
  <c r="H32" i="30"/>
  <c r="H34"/>
  <c r="H50"/>
  <c r="H52"/>
  <c r="H68"/>
  <c r="H70"/>
  <c r="H86"/>
  <c r="H88"/>
  <c r="H104"/>
  <c r="H106"/>
  <c r="H122"/>
  <c r="H124"/>
  <c r="H140"/>
  <c r="H142"/>
  <c r="H158"/>
  <c r="H160"/>
  <c r="H176"/>
  <c r="H178"/>
  <c r="H194"/>
  <c r="H196"/>
  <c r="H212"/>
  <c r="H214"/>
  <c r="H230"/>
  <c r="H232"/>
  <c r="H14"/>
  <c r="H12"/>
  <c r="H13"/>
  <c r="G27" i="17"/>
  <c r="H10" i="30"/>
  <c r="H11"/>
  <c r="G25" i="17"/>
  <c r="G7"/>
  <c r="G24"/>
  <c r="G26"/>
  <c r="G29"/>
  <c r="J4" i="1"/>
  <c r="G32" i="17"/>
  <c r="J5" i="1"/>
  <c r="J6"/>
  <c r="J9"/>
  <c r="G11" i="17"/>
  <c r="G13"/>
  <c r="G16"/>
  <c r="G53"/>
  <c r="I26" i="3"/>
  <c r="I2"/>
  <c r="I19"/>
  <c r="I22"/>
  <c r="I25"/>
  <c r="I3"/>
  <c r="I31"/>
  <c r="I5"/>
  <c r="I42"/>
  <c r="I41"/>
  <c r="I32" i="30"/>
  <c r="I34"/>
  <c r="I50"/>
  <c r="I52"/>
  <c r="I68"/>
  <c r="I70"/>
  <c r="I86"/>
  <c r="I88"/>
  <c r="I104"/>
  <c r="I106"/>
  <c r="I122"/>
  <c r="I124"/>
  <c r="I140"/>
  <c r="I142"/>
  <c r="I158"/>
  <c r="I160"/>
  <c r="I176"/>
  <c r="I178"/>
  <c r="I194"/>
  <c r="I196"/>
  <c r="I212"/>
  <c r="I214"/>
  <c r="I230"/>
  <c r="I232"/>
  <c r="I14"/>
  <c r="I12"/>
  <c r="I13"/>
  <c r="H27" i="17"/>
  <c r="I10" i="30"/>
  <c r="I11"/>
  <c r="H25" i="17"/>
  <c r="H7"/>
  <c r="H24"/>
  <c r="H26"/>
  <c r="H29"/>
  <c r="K4" i="1"/>
  <c r="H32" i="17"/>
  <c r="K5" i="1"/>
  <c r="K6"/>
  <c r="K9"/>
  <c r="H11" i="17"/>
  <c r="H13"/>
  <c r="H16"/>
  <c r="H53"/>
  <c r="J26" i="3"/>
  <c r="J2"/>
  <c r="J19"/>
  <c r="J22"/>
  <c r="J25"/>
  <c r="J3"/>
  <c r="J31"/>
  <c r="J5"/>
  <c r="J42"/>
  <c r="J41"/>
  <c r="J32" i="30"/>
  <c r="J34"/>
  <c r="J50"/>
  <c r="J52"/>
  <c r="J68"/>
  <c r="J70"/>
  <c r="J86"/>
  <c r="J88"/>
  <c r="J104"/>
  <c r="J106"/>
  <c r="J122"/>
  <c r="J124"/>
  <c r="J140"/>
  <c r="J142"/>
  <c r="J158"/>
  <c r="J160"/>
  <c r="J176"/>
  <c r="J178"/>
  <c r="J194"/>
  <c r="J196"/>
  <c r="J212"/>
  <c r="J214"/>
  <c r="J230"/>
  <c r="J232"/>
  <c r="J14"/>
  <c r="J12"/>
  <c r="J13"/>
  <c r="I27" i="17"/>
  <c r="J10" i="30"/>
  <c r="J11"/>
  <c r="I25" i="17"/>
  <c r="I7"/>
  <c r="I24"/>
  <c r="I26"/>
  <c r="I29"/>
  <c r="L4" i="1"/>
  <c r="I32" i="17"/>
  <c r="L5" i="1"/>
  <c r="L6"/>
  <c r="L9"/>
  <c r="I11" i="17"/>
  <c r="I13"/>
  <c r="I16"/>
  <c r="I53"/>
  <c r="K26" i="3"/>
  <c r="K2"/>
  <c r="K19"/>
  <c r="K22"/>
  <c r="K25"/>
  <c r="K3"/>
  <c r="K31"/>
  <c r="K5"/>
  <c r="K42"/>
  <c r="K41"/>
  <c r="K32" i="30"/>
  <c r="K34"/>
  <c r="K50"/>
  <c r="K52"/>
  <c r="K68"/>
  <c r="K70"/>
  <c r="K86"/>
  <c r="K88"/>
  <c r="K104"/>
  <c r="K106"/>
  <c r="K122"/>
  <c r="K124"/>
  <c r="K140"/>
  <c r="K142"/>
  <c r="K158"/>
  <c r="K160"/>
  <c r="K176"/>
  <c r="K178"/>
  <c r="K194"/>
  <c r="K196"/>
  <c r="K212"/>
  <c r="K214"/>
  <c r="K230"/>
  <c r="K232"/>
  <c r="K14"/>
  <c r="K12"/>
  <c r="K13"/>
  <c r="J27" i="17"/>
  <c r="K10" i="30"/>
  <c r="K11"/>
  <c r="J25" i="17"/>
  <c r="J7"/>
  <c r="J24"/>
  <c r="J26"/>
  <c r="J29"/>
  <c r="M4" i="1"/>
  <c r="J32" i="17"/>
  <c r="M5" i="1"/>
  <c r="M6"/>
  <c r="M9"/>
  <c r="J11" i="17"/>
  <c r="J13"/>
  <c r="J16"/>
  <c r="J53"/>
  <c r="L26" i="3"/>
  <c r="L2"/>
  <c r="L19"/>
  <c r="L22"/>
  <c r="L25"/>
  <c r="L3"/>
  <c r="L31"/>
  <c r="L5"/>
  <c r="L42"/>
  <c r="L41"/>
  <c r="L32" i="30"/>
  <c r="L34"/>
  <c r="L50"/>
  <c r="L52"/>
  <c r="L68"/>
  <c r="L70"/>
  <c r="L86"/>
  <c r="L88"/>
  <c r="L104"/>
  <c r="L106"/>
  <c r="L122"/>
  <c r="L124"/>
  <c r="L140"/>
  <c r="L142"/>
  <c r="L158"/>
  <c r="L160"/>
  <c r="L176"/>
  <c r="L178"/>
  <c r="L194"/>
  <c r="L196"/>
  <c r="L212"/>
  <c r="L214"/>
  <c r="L230"/>
  <c r="L232"/>
  <c r="L14"/>
  <c r="L12"/>
  <c r="L13"/>
  <c r="K27" i="17"/>
  <c r="L10" i="30"/>
  <c r="L11"/>
  <c r="K25" i="17"/>
  <c r="K7"/>
  <c r="K24"/>
  <c r="K26"/>
  <c r="K29"/>
  <c r="N4" i="1"/>
  <c r="K32" i="17"/>
  <c r="N5" i="1"/>
  <c r="N6"/>
  <c r="N9"/>
  <c r="K11" i="17"/>
  <c r="K13"/>
  <c r="K16"/>
  <c r="K53"/>
  <c r="M26" i="3"/>
  <c r="M2"/>
  <c r="M19"/>
  <c r="M22"/>
  <c r="M25"/>
  <c r="M3"/>
  <c r="M31"/>
  <c r="M5"/>
  <c r="M42"/>
  <c r="M41"/>
  <c r="M32" i="30"/>
  <c r="M34"/>
  <c r="M50"/>
  <c r="M52"/>
  <c r="M68"/>
  <c r="M70"/>
  <c r="M86"/>
  <c r="M88"/>
  <c r="M104"/>
  <c r="M106"/>
  <c r="M122"/>
  <c r="M124"/>
  <c r="M140"/>
  <c r="M142"/>
  <c r="M158"/>
  <c r="M160"/>
  <c r="M176"/>
  <c r="M178"/>
  <c r="M194"/>
  <c r="M196"/>
  <c r="M212"/>
  <c r="M214"/>
  <c r="M230"/>
  <c r="M232"/>
  <c r="M14"/>
  <c r="M12"/>
  <c r="M13"/>
  <c r="L27" i="17"/>
  <c r="M10" i="30"/>
  <c r="M11"/>
  <c r="L25" i="17"/>
  <c r="L7"/>
  <c r="L24"/>
  <c r="L26"/>
  <c r="L29"/>
  <c r="O4" i="1"/>
  <c r="L32" i="17"/>
  <c r="O5" i="1"/>
  <c r="O6"/>
  <c r="O9"/>
  <c r="L11" i="17"/>
  <c r="L13"/>
  <c r="L16"/>
  <c r="L53"/>
  <c r="N26" i="3"/>
  <c r="N2"/>
  <c r="N19"/>
  <c r="N22"/>
  <c r="N25"/>
  <c r="N3"/>
  <c r="N31"/>
  <c r="N5"/>
  <c r="N42"/>
  <c r="N41"/>
  <c r="N32" i="30"/>
  <c r="N34"/>
  <c r="N50"/>
  <c r="N52"/>
  <c r="N68"/>
  <c r="N70"/>
  <c r="N86"/>
  <c r="N88"/>
  <c r="N104"/>
  <c r="N106"/>
  <c r="N122"/>
  <c r="N124"/>
  <c r="N140"/>
  <c r="N142"/>
  <c r="N158"/>
  <c r="N160"/>
  <c r="N176"/>
  <c r="N178"/>
  <c r="N194"/>
  <c r="N196"/>
  <c r="N212"/>
  <c r="N214"/>
  <c r="N230"/>
  <c r="N232"/>
  <c r="N14"/>
  <c r="N12"/>
  <c r="N13"/>
  <c r="M27" i="17"/>
  <c r="N10" i="30"/>
  <c r="N11"/>
  <c r="M25" i="17"/>
  <c r="M7"/>
  <c r="M24"/>
  <c r="M26"/>
  <c r="M29"/>
  <c r="P4" i="1"/>
  <c r="M32" i="17"/>
  <c r="P5" i="1"/>
  <c r="P6"/>
  <c r="P9"/>
  <c r="M11" i="17"/>
  <c r="M13"/>
  <c r="M16"/>
  <c r="M53"/>
  <c r="O26" i="3"/>
  <c r="O2"/>
  <c r="O19"/>
  <c r="O22"/>
  <c r="O25"/>
  <c r="O3"/>
  <c r="O31"/>
  <c r="O5"/>
  <c r="O42"/>
  <c r="O41"/>
  <c r="BN42"/>
  <c r="BN41"/>
  <c r="BO42"/>
  <c r="BO41"/>
  <c r="BP42"/>
  <c r="BP41"/>
  <c r="BQ42"/>
  <c r="BQ41"/>
  <c r="BR42"/>
  <c r="BR41"/>
  <c r="BS42"/>
  <c r="BS41"/>
  <c r="BT42"/>
  <c r="BT41"/>
  <c r="BU42"/>
  <c r="BU41"/>
  <c r="BV42"/>
  <c r="BV41"/>
  <c r="BW42"/>
  <c r="BW41"/>
  <c r="BX42"/>
  <c r="BX41"/>
  <c r="BY42"/>
  <c r="BY41"/>
  <c r="BZ42"/>
  <c r="BZ41"/>
  <c r="O32" i="30"/>
  <c r="O34"/>
  <c r="O50"/>
  <c r="O52"/>
  <c r="O68"/>
  <c r="O70"/>
  <c r="O86"/>
  <c r="O88"/>
  <c r="O104"/>
  <c r="O106"/>
  <c r="O122"/>
  <c r="O124"/>
  <c r="O140"/>
  <c r="O142"/>
  <c r="O158"/>
  <c r="O160"/>
  <c r="O176"/>
  <c r="O178"/>
  <c r="O194"/>
  <c r="O196"/>
  <c r="O212"/>
  <c r="O214"/>
  <c r="O230"/>
  <c r="O232"/>
  <c r="O14"/>
  <c r="O12"/>
  <c r="O13"/>
  <c r="N27" i="17"/>
  <c r="O10" i="30"/>
  <c r="O11"/>
  <c r="N25" i="17"/>
  <c r="N7"/>
  <c r="N24"/>
  <c r="N26"/>
  <c r="N29"/>
  <c r="Q4" i="1"/>
  <c r="N32" i="17"/>
  <c r="Q5" i="1"/>
  <c r="Q6"/>
  <c r="Q9"/>
  <c r="N11" i="17"/>
  <c r="N13"/>
  <c r="N16"/>
  <c r="N53"/>
  <c r="P26" i="3"/>
  <c r="P2"/>
  <c r="P19"/>
  <c r="P22"/>
  <c r="P25"/>
  <c r="P3"/>
  <c r="P31"/>
  <c r="P5"/>
  <c r="P42"/>
  <c r="P41"/>
  <c r="P32" i="30"/>
  <c r="P34"/>
  <c r="P50"/>
  <c r="P52"/>
  <c r="P68"/>
  <c r="P70"/>
  <c r="P86"/>
  <c r="P88"/>
  <c r="P104"/>
  <c r="P106"/>
  <c r="P122"/>
  <c r="P124"/>
  <c r="P140"/>
  <c r="P142"/>
  <c r="P158"/>
  <c r="P160"/>
  <c r="P176"/>
  <c r="P178"/>
  <c r="P194"/>
  <c r="P196"/>
  <c r="P212"/>
  <c r="P214"/>
  <c r="P230"/>
  <c r="P232"/>
  <c r="P14"/>
  <c r="P12"/>
  <c r="P13"/>
  <c r="O27" i="17"/>
  <c r="P10" i="30"/>
  <c r="P11"/>
  <c r="O25" i="17"/>
  <c r="O7"/>
  <c r="O24"/>
  <c r="O26"/>
  <c r="O29"/>
  <c r="R4" i="1"/>
  <c r="O32" i="17"/>
  <c r="R5" i="1"/>
  <c r="R6"/>
  <c r="R9"/>
  <c r="O11" i="17"/>
  <c r="O13"/>
  <c r="O16"/>
  <c r="O53"/>
  <c r="Q26" i="3"/>
  <c r="Q2"/>
  <c r="Q19"/>
  <c r="Q22"/>
  <c r="Q25"/>
  <c r="Q3"/>
  <c r="Q31"/>
  <c r="Q5"/>
  <c r="Q42"/>
  <c r="Q41"/>
  <c r="Q32" i="30"/>
  <c r="Q34"/>
  <c r="Q50"/>
  <c r="Q52"/>
  <c r="Q68"/>
  <c r="Q70"/>
  <c r="Q86"/>
  <c r="Q88"/>
  <c r="Q104"/>
  <c r="Q106"/>
  <c r="Q122"/>
  <c r="Q124"/>
  <c r="Q140"/>
  <c r="Q142"/>
  <c r="Q158"/>
  <c r="Q160"/>
  <c r="Q176"/>
  <c r="Q178"/>
  <c r="Q194"/>
  <c r="Q196"/>
  <c r="Q212"/>
  <c r="Q214"/>
  <c r="Q230"/>
  <c r="Q232"/>
  <c r="Q14"/>
  <c r="Q12"/>
  <c r="Q13"/>
  <c r="P27" i="17"/>
  <c r="Q10" i="30"/>
  <c r="Q11"/>
  <c r="P25" i="17"/>
  <c r="P7"/>
  <c r="P24"/>
  <c r="P26"/>
  <c r="P29"/>
  <c r="S4" i="1"/>
  <c r="P32" i="17"/>
  <c r="S5" i="1"/>
  <c r="S6"/>
  <c r="S9"/>
  <c r="P11" i="17"/>
  <c r="P13"/>
  <c r="P16"/>
  <c r="P53"/>
  <c r="R26" i="3"/>
  <c r="R2"/>
  <c r="R19"/>
  <c r="R22"/>
  <c r="R25"/>
  <c r="R3"/>
  <c r="R31"/>
  <c r="R5"/>
  <c r="R42"/>
  <c r="R41"/>
  <c r="R32" i="30"/>
  <c r="R34"/>
  <c r="R50"/>
  <c r="R52"/>
  <c r="R68"/>
  <c r="R70"/>
  <c r="R86"/>
  <c r="R88"/>
  <c r="R104"/>
  <c r="R106"/>
  <c r="R122"/>
  <c r="R124"/>
  <c r="R140"/>
  <c r="R142"/>
  <c r="R158"/>
  <c r="R160"/>
  <c r="R176"/>
  <c r="R178"/>
  <c r="R194"/>
  <c r="R196"/>
  <c r="R212"/>
  <c r="R214"/>
  <c r="R230"/>
  <c r="R232"/>
  <c r="R14"/>
  <c r="R12"/>
  <c r="R13"/>
  <c r="Q27" i="17"/>
  <c r="R10" i="30"/>
  <c r="R11"/>
  <c r="Q25" i="17"/>
  <c r="Q7"/>
  <c r="Q24"/>
  <c r="Q26"/>
  <c r="Q29"/>
  <c r="T4" i="1"/>
  <c r="Q32" i="17"/>
  <c r="T5" i="1"/>
  <c r="T6"/>
  <c r="T9"/>
  <c r="Q11" i="17"/>
  <c r="Q13"/>
  <c r="Q16"/>
  <c r="Q53"/>
  <c r="S26" i="3"/>
  <c r="S2"/>
  <c r="S19"/>
  <c r="S22"/>
  <c r="S25"/>
  <c r="S3"/>
  <c r="S31"/>
  <c r="S5"/>
  <c r="S42"/>
  <c r="S41"/>
  <c r="S32" i="30"/>
  <c r="S34"/>
  <c r="S50"/>
  <c r="S52"/>
  <c r="S68"/>
  <c r="S70"/>
  <c r="S86"/>
  <c r="S88"/>
  <c r="S104"/>
  <c r="S106"/>
  <c r="S122"/>
  <c r="S124"/>
  <c r="S140"/>
  <c r="S142"/>
  <c r="S158"/>
  <c r="S160"/>
  <c r="S176"/>
  <c r="S178"/>
  <c r="S194"/>
  <c r="S196"/>
  <c r="S212"/>
  <c r="S214"/>
  <c r="S230"/>
  <c r="S232"/>
  <c r="S14"/>
  <c r="S12"/>
  <c r="S13"/>
  <c r="R27" i="17"/>
  <c r="S10" i="30"/>
  <c r="S11"/>
  <c r="R25" i="17"/>
  <c r="R7"/>
  <c r="R24"/>
  <c r="R26"/>
  <c r="R29"/>
  <c r="U4" i="1"/>
  <c r="R32" i="17"/>
  <c r="U5" i="1"/>
  <c r="U6"/>
  <c r="U9"/>
  <c r="R11" i="17"/>
  <c r="R13"/>
  <c r="R16"/>
  <c r="R53"/>
  <c r="T26" i="3"/>
  <c r="T2"/>
  <c r="T19"/>
  <c r="T22"/>
  <c r="T25"/>
  <c r="T3"/>
  <c r="T31"/>
  <c r="T5"/>
  <c r="T42"/>
  <c r="T41"/>
  <c r="T32" i="30"/>
  <c r="T34"/>
  <c r="T50"/>
  <c r="T52"/>
  <c r="T68"/>
  <c r="T70"/>
  <c r="T86"/>
  <c r="T88"/>
  <c r="T104"/>
  <c r="T106"/>
  <c r="T122"/>
  <c r="T124"/>
  <c r="T140"/>
  <c r="T142"/>
  <c r="T158"/>
  <c r="T160"/>
  <c r="T176"/>
  <c r="T178"/>
  <c r="T194"/>
  <c r="T196"/>
  <c r="T212"/>
  <c r="T214"/>
  <c r="T230"/>
  <c r="T232"/>
  <c r="T14"/>
  <c r="T12"/>
  <c r="T13"/>
  <c r="S27" i="17"/>
  <c r="T10" i="30"/>
  <c r="T11"/>
  <c r="S25" i="17"/>
  <c r="S7"/>
  <c r="S24"/>
  <c r="S26"/>
  <c r="S29"/>
  <c r="V4" i="1"/>
  <c r="S32" i="17"/>
  <c r="V5" i="1"/>
  <c r="V6"/>
  <c r="V9"/>
  <c r="S11" i="17"/>
  <c r="S13"/>
  <c r="S16"/>
  <c r="S53"/>
  <c r="U26" i="3"/>
  <c r="U2"/>
  <c r="U19"/>
  <c r="U22"/>
  <c r="U25"/>
  <c r="U3"/>
  <c r="U31"/>
  <c r="U5"/>
  <c r="U42"/>
  <c r="U41"/>
  <c r="U32" i="30"/>
  <c r="U34"/>
  <c r="U50"/>
  <c r="U52"/>
  <c r="U68"/>
  <c r="U70"/>
  <c r="U86"/>
  <c r="U88"/>
  <c r="U104"/>
  <c r="U106"/>
  <c r="U122"/>
  <c r="U124"/>
  <c r="U140"/>
  <c r="U142"/>
  <c r="U158"/>
  <c r="U160"/>
  <c r="U176"/>
  <c r="U178"/>
  <c r="U194"/>
  <c r="U196"/>
  <c r="U212"/>
  <c r="U214"/>
  <c r="U230"/>
  <c r="U232"/>
  <c r="U14"/>
  <c r="U12"/>
  <c r="U13"/>
  <c r="T27" i="17"/>
  <c r="U10" i="30"/>
  <c r="U11"/>
  <c r="T25" i="17"/>
  <c r="T7"/>
  <c r="T24"/>
  <c r="T26"/>
  <c r="T29"/>
  <c r="W4" i="1"/>
  <c r="T32" i="17"/>
  <c r="W5" i="1"/>
  <c r="W6"/>
  <c r="W9"/>
  <c r="T11" i="17"/>
  <c r="T13"/>
  <c r="T16"/>
  <c r="T53"/>
  <c r="V26" i="3"/>
  <c r="V2"/>
  <c r="V19"/>
  <c r="V22"/>
  <c r="V25"/>
  <c r="V3"/>
  <c r="V31"/>
  <c r="V5"/>
  <c r="V42"/>
  <c r="V41"/>
  <c r="V32" i="30"/>
  <c r="V34"/>
  <c r="V50"/>
  <c r="V52"/>
  <c r="V68"/>
  <c r="V70"/>
  <c r="V86"/>
  <c r="V88"/>
  <c r="V104"/>
  <c r="V106"/>
  <c r="V122"/>
  <c r="V124"/>
  <c r="V140"/>
  <c r="V142"/>
  <c r="V158"/>
  <c r="V160"/>
  <c r="V176"/>
  <c r="V178"/>
  <c r="V194"/>
  <c r="V196"/>
  <c r="V212"/>
  <c r="V214"/>
  <c r="V230"/>
  <c r="V232"/>
  <c r="V14"/>
  <c r="V12"/>
  <c r="V13"/>
  <c r="U27" i="17"/>
  <c r="V10" i="30"/>
  <c r="V11"/>
  <c r="U25" i="17"/>
  <c r="U7"/>
  <c r="U24"/>
  <c r="U26"/>
  <c r="U29"/>
  <c r="X4" i="1"/>
  <c r="U32" i="17"/>
  <c r="X5" i="1"/>
  <c r="X6"/>
  <c r="X9"/>
  <c r="U11" i="17"/>
  <c r="U13"/>
  <c r="U16"/>
  <c r="U53"/>
  <c r="W26" i="3"/>
  <c r="W2"/>
  <c r="W19"/>
  <c r="W22"/>
  <c r="W25"/>
  <c r="W3"/>
  <c r="W31"/>
  <c r="W5"/>
  <c r="W42"/>
  <c r="W41"/>
  <c r="W32" i="30"/>
  <c r="W34"/>
  <c r="W50"/>
  <c r="W52"/>
  <c r="W68"/>
  <c r="W70"/>
  <c r="W86"/>
  <c r="W88"/>
  <c r="W104"/>
  <c r="W106"/>
  <c r="W122"/>
  <c r="W124"/>
  <c r="W140"/>
  <c r="W142"/>
  <c r="W158"/>
  <c r="W160"/>
  <c r="W176"/>
  <c r="W178"/>
  <c r="W194"/>
  <c r="W196"/>
  <c r="W212"/>
  <c r="W214"/>
  <c r="W230"/>
  <c r="W232"/>
  <c r="W14"/>
  <c r="W12"/>
  <c r="W13"/>
  <c r="V27" i="17"/>
  <c r="W10" i="30"/>
  <c r="W11"/>
  <c r="V25" i="17"/>
  <c r="V7"/>
  <c r="V24"/>
  <c r="V26"/>
  <c r="V29"/>
  <c r="Y4" i="1"/>
  <c r="V32" i="17"/>
  <c r="Y5" i="1"/>
  <c r="Y6"/>
  <c r="Y9"/>
  <c r="V11" i="17"/>
  <c r="V13"/>
  <c r="V16"/>
  <c r="V53"/>
  <c r="X26" i="3"/>
  <c r="X2"/>
  <c r="X19"/>
  <c r="X22"/>
  <c r="X25"/>
  <c r="X3"/>
  <c r="X31"/>
  <c r="X5"/>
  <c r="X42"/>
  <c r="X41"/>
  <c r="X32" i="30"/>
  <c r="X34"/>
  <c r="X50"/>
  <c r="X52"/>
  <c r="X68"/>
  <c r="X70"/>
  <c r="X86"/>
  <c r="X88"/>
  <c r="X104"/>
  <c r="X106"/>
  <c r="X122"/>
  <c r="X124"/>
  <c r="X140"/>
  <c r="X142"/>
  <c r="X158"/>
  <c r="X160"/>
  <c r="X176"/>
  <c r="X178"/>
  <c r="X194"/>
  <c r="X196"/>
  <c r="X212"/>
  <c r="X214"/>
  <c r="X230"/>
  <c r="X232"/>
  <c r="X14"/>
  <c r="X12"/>
  <c r="X13"/>
  <c r="W27" i="17"/>
  <c r="X10" i="30"/>
  <c r="X11"/>
  <c r="W25" i="17"/>
  <c r="W7"/>
  <c r="W24"/>
  <c r="W26"/>
  <c r="W29"/>
  <c r="Z4" i="1"/>
  <c r="W32" i="17"/>
  <c r="Z5" i="1"/>
  <c r="Z6"/>
  <c r="Z9"/>
  <c r="W11" i="17"/>
  <c r="W13"/>
  <c r="W16"/>
  <c r="W53"/>
  <c r="Y26" i="3"/>
  <c r="Y2"/>
  <c r="Y19"/>
  <c r="Y22"/>
  <c r="Y25"/>
  <c r="Y3"/>
  <c r="Y31"/>
  <c r="Y5"/>
  <c r="Y42"/>
  <c r="Y41"/>
  <c r="Y32" i="30"/>
  <c r="Y34"/>
  <c r="Y50"/>
  <c r="Y52"/>
  <c r="Y68"/>
  <c r="Y70"/>
  <c r="Y86"/>
  <c r="Y88"/>
  <c r="Y104"/>
  <c r="Y106"/>
  <c r="Y122"/>
  <c r="Y124"/>
  <c r="Y140"/>
  <c r="Y142"/>
  <c r="Y158"/>
  <c r="Y160"/>
  <c r="Y176"/>
  <c r="Y178"/>
  <c r="Y194"/>
  <c r="Y196"/>
  <c r="Y212"/>
  <c r="Y214"/>
  <c r="Y230"/>
  <c r="Y232"/>
  <c r="Y14"/>
  <c r="Y12"/>
  <c r="Y13"/>
  <c r="X27" i="17"/>
  <c r="Y10" i="30"/>
  <c r="Y11"/>
  <c r="X25" i="17"/>
  <c r="X7"/>
  <c r="X24"/>
  <c r="X26"/>
  <c r="X29"/>
  <c r="AA4" i="1"/>
  <c r="X32" i="17"/>
  <c r="AA5" i="1"/>
  <c r="AA6"/>
  <c r="AA9"/>
  <c r="X11" i="17"/>
  <c r="X13"/>
  <c r="X16"/>
  <c r="X53"/>
  <c r="Z26" i="3"/>
  <c r="Z2"/>
  <c r="Z19"/>
  <c r="Z22"/>
  <c r="Z25"/>
  <c r="Z3"/>
  <c r="Z31"/>
  <c r="Z5"/>
  <c r="Z42"/>
  <c r="Z41"/>
  <c r="Z32" i="30"/>
  <c r="Z34"/>
  <c r="Z50"/>
  <c r="Z52"/>
  <c r="Z68"/>
  <c r="Z70"/>
  <c r="Z86"/>
  <c r="Z88"/>
  <c r="Z104"/>
  <c r="Z106"/>
  <c r="Z122"/>
  <c r="Z124"/>
  <c r="Z140"/>
  <c r="Z142"/>
  <c r="Z158"/>
  <c r="Z160"/>
  <c r="Z176"/>
  <c r="Z178"/>
  <c r="Z194"/>
  <c r="Z196"/>
  <c r="Z212"/>
  <c r="Z214"/>
  <c r="Z230"/>
  <c r="Z232"/>
  <c r="Z14"/>
  <c r="Z12"/>
  <c r="Z13"/>
  <c r="Y27" i="17"/>
  <c r="Z10" i="30"/>
  <c r="Z11"/>
  <c r="Y25" i="17"/>
  <c r="Y7"/>
  <c r="Y24"/>
  <c r="Y26"/>
  <c r="Y29"/>
  <c r="AB4" i="1"/>
  <c r="Y32" i="17"/>
  <c r="AB5" i="1"/>
  <c r="AB6"/>
  <c r="AB9"/>
  <c r="Y11" i="17"/>
  <c r="Y13"/>
  <c r="Y16"/>
  <c r="Y53"/>
  <c r="AA26" i="3"/>
  <c r="AA2"/>
  <c r="AA19"/>
  <c r="AA22"/>
  <c r="AA25"/>
  <c r="AA3"/>
  <c r="AA31"/>
  <c r="AA5"/>
  <c r="AA42"/>
  <c r="AA41"/>
  <c r="AA32" i="30"/>
  <c r="AA34"/>
  <c r="AA50"/>
  <c r="AA52"/>
  <c r="AA68"/>
  <c r="AA70"/>
  <c r="AA86"/>
  <c r="AA88"/>
  <c r="AA104"/>
  <c r="AA106"/>
  <c r="AA122"/>
  <c r="AA124"/>
  <c r="AA140"/>
  <c r="AA142"/>
  <c r="AA158"/>
  <c r="AA160"/>
  <c r="AA176"/>
  <c r="AA178"/>
  <c r="AA194"/>
  <c r="AA196"/>
  <c r="AA212"/>
  <c r="AA214"/>
  <c r="AA230"/>
  <c r="AA232"/>
  <c r="AA14"/>
  <c r="AA12"/>
  <c r="AA13"/>
  <c r="Z27" i="17"/>
  <c r="AA10" i="30"/>
  <c r="AA11"/>
  <c r="Z25" i="17"/>
  <c r="Z7"/>
  <c r="Z24"/>
  <c r="Z26"/>
  <c r="Z29"/>
  <c r="AC4" i="1"/>
  <c r="Z32" i="17"/>
  <c r="AC5" i="1"/>
  <c r="AC6"/>
  <c r="AC9"/>
  <c r="Z11" i="17"/>
  <c r="Z13"/>
  <c r="Z16"/>
  <c r="Z53"/>
  <c r="AB26" i="3"/>
  <c r="AB2"/>
  <c r="AB19"/>
  <c r="AB22"/>
  <c r="AB25"/>
  <c r="AB3"/>
  <c r="AB31"/>
  <c r="AB5"/>
  <c r="AB42"/>
  <c r="AB41"/>
  <c r="AB32" i="30"/>
  <c r="AB34"/>
  <c r="AB50"/>
  <c r="AB52"/>
  <c r="AB68"/>
  <c r="AB70"/>
  <c r="AB86"/>
  <c r="AB88"/>
  <c r="AB104"/>
  <c r="AB106"/>
  <c r="AB122"/>
  <c r="AB124"/>
  <c r="AB140"/>
  <c r="AB142"/>
  <c r="AB158"/>
  <c r="AB160"/>
  <c r="AB176"/>
  <c r="AB178"/>
  <c r="AB194"/>
  <c r="AB196"/>
  <c r="AB212"/>
  <c r="AB214"/>
  <c r="AB230"/>
  <c r="AB232"/>
  <c r="AB14"/>
  <c r="AB12"/>
  <c r="AB13"/>
  <c r="AA27" i="17"/>
  <c r="AB10" i="30"/>
  <c r="AB11"/>
  <c r="AA25" i="17"/>
  <c r="AA7"/>
  <c r="AA24"/>
  <c r="AA26"/>
  <c r="AA29"/>
  <c r="AD4" i="1"/>
  <c r="AA32" i="17"/>
  <c r="AD5" i="1"/>
  <c r="AD6"/>
  <c r="AD9"/>
  <c r="AA11" i="17"/>
  <c r="AA13"/>
  <c r="AA16"/>
  <c r="AA53"/>
  <c r="AC26" i="3"/>
  <c r="AC2"/>
  <c r="AC19"/>
  <c r="AC22"/>
  <c r="AC25"/>
  <c r="AC3"/>
  <c r="AC31"/>
  <c r="AC5"/>
  <c r="AC42"/>
  <c r="AC41"/>
  <c r="AC32" i="30"/>
  <c r="AC34"/>
  <c r="AC50"/>
  <c r="AC52"/>
  <c r="AC68"/>
  <c r="AC70"/>
  <c r="AC86"/>
  <c r="AC88"/>
  <c r="AC104"/>
  <c r="AC106"/>
  <c r="AC122"/>
  <c r="AC124"/>
  <c r="AC140"/>
  <c r="AC142"/>
  <c r="AC158"/>
  <c r="AC160"/>
  <c r="AC176"/>
  <c r="AC178"/>
  <c r="AC194"/>
  <c r="AC196"/>
  <c r="AC212"/>
  <c r="AC214"/>
  <c r="AC230"/>
  <c r="AC232"/>
  <c r="AC14"/>
  <c r="AC12"/>
  <c r="AC13"/>
  <c r="AB27" i="17"/>
  <c r="AC10" i="30"/>
  <c r="AC11"/>
  <c r="AB25" i="17"/>
  <c r="AB7"/>
  <c r="AB24"/>
  <c r="AB26"/>
  <c r="AB29"/>
  <c r="AE4" i="1"/>
  <c r="AB32" i="17"/>
  <c r="AE5" i="1"/>
  <c r="AE6"/>
  <c r="AE9"/>
  <c r="AB11" i="17"/>
  <c r="AB13"/>
  <c r="AB16"/>
  <c r="AB53"/>
  <c r="AD26" i="3"/>
  <c r="AD2"/>
  <c r="AD19"/>
  <c r="AD22"/>
  <c r="AD25"/>
  <c r="AD3"/>
  <c r="AD31"/>
  <c r="AD5"/>
  <c r="AD42"/>
  <c r="AD41"/>
  <c r="AD32" i="30"/>
  <c r="AD34"/>
  <c r="AD50"/>
  <c r="AD52"/>
  <c r="AD68"/>
  <c r="AD70"/>
  <c r="AD86"/>
  <c r="AD88"/>
  <c r="AD104"/>
  <c r="AD106"/>
  <c r="AD122"/>
  <c r="AD124"/>
  <c r="AD140"/>
  <c r="AD142"/>
  <c r="AD158"/>
  <c r="AD160"/>
  <c r="AD176"/>
  <c r="AD178"/>
  <c r="AD194"/>
  <c r="AD196"/>
  <c r="AD212"/>
  <c r="AD214"/>
  <c r="AD230"/>
  <c r="AD232"/>
  <c r="AD14"/>
  <c r="AD12"/>
  <c r="AD13"/>
  <c r="AC27" i="17"/>
  <c r="AD10" i="30"/>
  <c r="AD11"/>
  <c r="AC25" i="17"/>
  <c r="AC7"/>
  <c r="AC24"/>
  <c r="AC26"/>
  <c r="AC29"/>
  <c r="AF4" i="1"/>
  <c r="AC32" i="17"/>
  <c r="AF5" i="1"/>
  <c r="AF6"/>
  <c r="AF9"/>
  <c r="AC11" i="17"/>
  <c r="AC13"/>
  <c r="AC16"/>
  <c r="AC53"/>
  <c r="AE26" i="3"/>
  <c r="AE2"/>
  <c r="AE19"/>
  <c r="AE22"/>
  <c r="AE25"/>
  <c r="AE3"/>
  <c r="AE31"/>
  <c r="AE5"/>
  <c r="AE42"/>
  <c r="AE41"/>
  <c r="AE32" i="30"/>
  <c r="AE34"/>
  <c r="AE50"/>
  <c r="AE52"/>
  <c r="AE68"/>
  <c r="AE70"/>
  <c r="AE86"/>
  <c r="AE88"/>
  <c r="AE104"/>
  <c r="AE106"/>
  <c r="AE122"/>
  <c r="AE124"/>
  <c r="AE140"/>
  <c r="AE142"/>
  <c r="AE158"/>
  <c r="AE160"/>
  <c r="AE176"/>
  <c r="AE178"/>
  <c r="AE194"/>
  <c r="AE196"/>
  <c r="AE212"/>
  <c r="AE214"/>
  <c r="AE230"/>
  <c r="AE232"/>
  <c r="AE14"/>
  <c r="AE12"/>
  <c r="AE13"/>
  <c r="AD27" i="17"/>
  <c r="AE10" i="30"/>
  <c r="AE11"/>
  <c r="AD25" i="17"/>
  <c r="AD7"/>
  <c r="AD24"/>
  <c r="AD26"/>
  <c r="AD29"/>
  <c r="AG4" i="1"/>
  <c r="AD32" i="17"/>
  <c r="AG5" i="1"/>
  <c r="AG6"/>
  <c r="AG9"/>
  <c r="AD11" i="17"/>
  <c r="AD13"/>
  <c r="AD16"/>
  <c r="AD53"/>
  <c r="AF26" i="3"/>
  <c r="AF2"/>
  <c r="AF19"/>
  <c r="AF22"/>
  <c r="AF25"/>
  <c r="AF3"/>
  <c r="AF31"/>
  <c r="AF5"/>
  <c r="AF42"/>
  <c r="AF41"/>
  <c r="AF32" i="30"/>
  <c r="AF34"/>
  <c r="AF50"/>
  <c r="AF52"/>
  <c r="AF68"/>
  <c r="AF70"/>
  <c r="AF86"/>
  <c r="AF88"/>
  <c r="AF104"/>
  <c r="AF106"/>
  <c r="AF122"/>
  <c r="AF124"/>
  <c r="AF140"/>
  <c r="AF142"/>
  <c r="AF158"/>
  <c r="AF160"/>
  <c r="AF176"/>
  <c r="AF178"/>
  <c r="AF194"/>
  <c r="AF196"/>
  <c r="AF212"/>
  <c r="AF214"/>
  <c r="AF230"/>
  <c r="AF232"/>
  <c r="AF14"/>
  <c r="AF12"/>
  <c r="AF13"/>
  <c r="AE27" i="17"/>
  <c r="AF10" i="30"/>
  <c r="AF11"/>
  <c r="AE25" i="17"/>
  <c r="AE7"/>
  <c r="AE24"/>
  <c r="AE26"/>
  <c r="AE29"/>
  <c r="AH4" i="1"/>
  <c r="AE32" i="17"/>
  <c r="AH5" i="1"/>
  <c r="AH6"/>
  <c r="AH9"/>
  <c r="AE11" i="17"/>
  <c r="AE13"/>
  <c r="AE16"/>
  <c r="AE53"/>
  <c r="AG26" i="3"/>
  <c r="AG2"/>
  <c r="AG19"/>
  <c r="AG22"/>
  <c r="AG25"/>
  <c r="AG3"/>
  <c r="AG31"/>
  <c r="AG5"/>
  <c r="AG42"/>
  <c r="AG41"/>
  <c r="AG32" i="30"/>
  <c r="AG34"/>
  <c r="AG50"/>
  <c r="AG52"/>
  <c r="AG68"/>
  <c r="AG70"/>
  <c r="AG86"/>
  <c r="AG88"/>
  <c r="AG104"/>
  <c r="AG106"/>
  <c r="AG122"/>
  <c r="AG124"/>
  <c r="AG140"/>
  <c r="AG142"/>
  <c r="AG158"/>
  <c r="AG160"/>
  <c r="AG176"/>
  <c r="AG178"/>
  <c r="AG194"/>
  <c r="AG196"/>
  <c r="AG212"/>
  <c r="AG214"/>
  <c r="AG230"/>
  <c r="AG232"/>
  <c r="AG14"/>
  <c r="AG12"/>
  <c r="AG13"/>
  <c r="AF27" i="17"/>
  <c r="AG10" i="30"/>
  <c r="AG11"/>
  <c r="AF25" i="17"/>
  <c r="AF7"/>
  <c r="AF24"/>
  <c r="AF26"/>
  <c r="AF29"/>
  <c r="AI4" i="1"/>
  <c r="AF32" i="17"/>
  <c r="AI5" i="1"/>
  <c r="AI6"/>
  <c r="AI9"/>
  <c r="AF11" i="17"/>
  <c r="AF13"/>
  <c r="AF16"/>
  <c r="AF53"/>
  <c r="AH26" i="3"/>
  <c r="AH2"/>
  <c r="AH19"/>
  <c r="AH22"/>
  <c r="AH25"/>
  <c r="AH3"/>
  <c r="AH31"/>
  <c r="AH5"/>
  <c r="AH42"/>
  <c r="AH41"/>
  <c r="AH32" i="30"/>
  <c r="AH34"/>
  <c r="AH50"/>
  <c r="AH52"/>
  <c r="AH68"/>
  <c r="AH70"/>
  <c r="AH86"/>
  <c r="AH88"/>
  <c r="AH104"/>
  <c r="AH106"/>
  <c r="AH122"/>
  <c r="AH124"/>
  <c r="AH140"/>
  <c r="AH142"/>
  <c r="AH158"/>
  <c r="AH160"/>
  <c r="AH176"/>
  <c r="AH178"/>
  <c r="AH194"/>
  <c r="AH196"/>
  <c r="AH212"/>
  <c r="AH214"/>
  <c r="AH230"/>
  <c r="AH232"/>
  <c r="AH14"/>
  <c r="AH12"/>
  <c r="AH13"/>
  <c r="AG27" i="17"/>
  <c r="AH10" i="30"/>
  <c r="AH11"/>
  <c r="AG25" i="17"/>
  <c r="AG7"/>
  <c r="AG24"/>
  <c r="AG26"/>
  <c r="AG29"/>
  <c r="AJ4" i="1"/>
  <c r="AG32" i="17"/>
  <c r="AJ5" i="1"/>
  <c r="AJ6"/>
  <c r="AJ9"/>
  <c r="AG11" i="17"/>
  <c r="AG13"/>
  <c r="AG16"/>
  <c r="AG53"/>
  <c r="AI26" i="3"/>
  <c r="AI2"/>
  <c r="AI19"/>
  <c r="AI22"/>
  <c r="AI25"/>
  <c r="AI3"/>
  <c r="AI31"/>
  <c r="AI5"/>
  <c r="AI42"/>
  <c r="AI41"/>
  <c r="AI32" i="30"/>
  <c r="AI34"/>
  <c r="AI50"/>
  <c r="AI52"/>
  <c r="AI68"/>
  <c r="AI70"/>
  <c r="AI86"/>
  <c r="AI88"/>
  <c r="AI104"/>
  <c r="AI106"/>
  <c r="AI122"/>
  <c r="AI124"/>
  <c r="AI140"/>
  <c r="AI142"/>
  <c r="AI158"/>
  <c r="AI160"/>
  <c r="AI176"/>
  <c r="AI178"/>
  <c r="AI194"/>
  <c r="AI196"/>
  <c r="AI212"/>
  <c r="AI214"/>
  <c r="AI230"/>
  <c r="AI232"/>
  <c r="AI14"/>
  <c r="AI12"/>
  <c r="AI13"/>
  <c r="AH27" i="17"/>
  <c r="AI10" i="30"/>
  <c r="AI11"/>
  <c r="AH25" i="17"/>
  <c r="AH7"/>
  <c r="AH24"/>
  <c r="AH26"/>
  <c r="AH29"/>
  <c r="AK4" i="1"/>
  <c r="AH32" i="17"/>
  <c r="AK5" i="1"/>
  <c r="AK6"/>
  <c r="AK9"/>
  <c r="AH11" i="17"/>
  <c r="AH13"/>
  <c r="AH16"/>
  <c r="AH53"/>
  <c r="AJ26" i="3"/>
  <c r="AJ2"/>
  <c r="AJ19"/>
  <c r="AJ22"/>
  <c r="AJ25"/>
  <c r="AJ3"/>
  <c r="AJ31"/>
  <c r="AJ5"/>
  <c r="AJ42"/>
  <c r="AJ41"/>
  <c r="AJ32" i="30"/>
  <c r="AJ34"/>
  <c r="AJ50"/>
  <c r="AJ52"/>
  <c r="AJ68"/>
  <c r="AJ70"/>
  <c r="AJ86"/>
  <c r="AJ88"/>
  <c r="AJ104"/>
  <c r="AJ106"/>
  <c r="AJ122"/>
  <c r="AJ124"/>
  <c r="AJ140"/>
  <c r="AJ142"/>
  <c r="AJ158"/>
  <c r="AJ160"/>
  <c r="AJ176"/>
  <c r="AJ178"/>
  <c r="AJ194"/>
  <c r="AJ196"/>
  <c r="AJ212"/>
  <c r="AJ214"/>
  <c r="AJ230"/>
  <c r="AJ232"/>
  <c r="AJ14"/>
  <c r="AJ12"/>
  <c r="AJ13"/>
  <c r="AI27" i="17"/>
  <c r="AJ10" i="30"/>
  <c r="AJ11"/>
  <c r="AI25" i="17"/>
  <c r="AI7"/>
  <c r="AI24"/>
  <c r="AI26"/>
  <c r="AI29"/>
  <c r="AL4" i="1"/>
  <c r="AI32" i="17"/>
  <c r="AL5" i="1"/>
  <c r="AL6"/>
  <c r="AL9"/>
  <c r="AI11" i="17"/>
  <c r="AI13"/>
  <c r="AI16"/>
  <c r="AI53"/>
  <c r="AK26" i="3"/>
  <c r="AK2"/>
  <c r="AK19"/>
  <c r="AK22"/>
  <c r="AK25"/>
  <c r="AK3"/>
  <c r="AK31"/>
  <c r="AK5"/>
  <c r="AK42"/>
  <c r="AK41"/>
  <c r="AL2"/>
  <c r="AL19"/>
  <c r="AL22"/>
  <c r="AL25"/>
  <c r="AL3"/>
  <c r="AL31"/>
  <c r="AL5"/>
  <c r="AL42"/>
  <c r="AL41"/>
  <c r="AM19"/>
  <c r="AM3"/>
  <c r="AM31"/>
  <c r="AM5"/>
  <c r="AM42"/>
  <c r="AM41"/>
  <c r="AM32" i="30"/>
  <c r="AM34"/>
  <c r="AM50"/>
  <c r="AM52"/>
  <c r="AM68"/>
  <c r="AM70"/>
  <c r="AM86"/>
  <c r="AM88"/>
  <c r="AM104"/>
  <c r="AM106"/>
  <c r="AM122"/>
  <c r="AM124"/>
  <c r="AM140"/>
  <c r="AM142"/>
  <c r="AM158"/>
  <c r="AM160"/>
  <c r="AM176"/>
  <c r="AM178"/>
  <c r="AM194"/>
  <c r="AM196"/>
  <c r="AM212"/>
  <c r="AM214"/>
  <c r="AM230"/>
  <c r="AM232"/>
  <c r="AM14"/>
  <c r="AM12"/>
  <c r="AM13"/>
  <c r="AL27" i="17"/>
  <c r="AM10" i="30"/>
  <c r="AM11"/>
  <c r="AL25" i="17"/>
  <c r="AL7"/>
  <c r="AL24"/>
  <c r="AL26"/>
  <c r="AL29"/>
  <c r="AO4" i="1"/>
  <c r="AL32" i="17"/>
  <c r="AO5" i="1"/>
  <c r="AO6"/>
  <c r="AO9"/>
  <c r="AL11" i="17"/>
  <c r="AL13"/>
  <c r="AL16"/>
  <c r="AL53"/>
  <c r="AN26" i="3"/>
  <c r="AN2"/>
  <c r="AN19"/>
  <c r="AN22"/>
  <c r="AN25"/>
  <c r="AN3"/>
  <c r="AN31"/>
  <c r="AN5"/>
  <c r="AN42"/>
  <c r="AN41"/>
  <c r="AN32" i="30"/>
  <c r="AN34"/>
  <c r="AN50"/>
  <c r="AN52"/>
  <c r="AN68"/>
  <c r="AN70"/>
  <c r="AN86"/>
  <c r="AN88"/>
  <c r="AN104"/>
  <c r="AN106"/>
  <c r="AN122"/>
  <c r="AN124"/>
  <c r="AN140"/>
  <c r="AN142"/>
  <c r="AN158"/>
  <c r="AN160"/>
  <c r="AN176"/>
  <c r="AN178"/>
  <c r="AN194"/>
  <c r="AN196"/>
  <c r="AN212"/>
  <c r="AN214"/>
  <c r="AN230"/>
  <c r="AN232"/>
  <c r="AN14"/>
  <c r="AN12"/>
  <c r="AN13"/>
  <c r="AM27" i="17"/>
  <c r="AN10" i="30"/>
  <c r="AN11"/>
  <c r="AM25" i="17"/>
  <c r="AM7"/>
  <c r="AM24"/>
  <c r="AM26"/>
  <c r="AM29"/>
  <c r="AP4" i="1"/>
  <c r="AM32" i="17"/>
  <c r="AP5" i="1"/>
  <c r="AP6"/>
  <c r="AP9"/>
  <c r="AM11" i="17"/>
  <c r="AM13"/>
  <c r="AM16"/>
  <c r="AM53"/>
  <c r="AO26" i="3"/>
  <c r="AO2"/>
  <c r="AO19"/>
  <c r="AO22"/>
  <c r="AO25"/>
  <c r="AO3"/>
  <c r="AO31"/>
  <c r="AO5"/>
  <c r="AO42"/>
  <c r="AO41"/>
  <c r="AO32" i="30"/>
  <c r="AO34"/>
  <c r="AO50"/>
  <c r="AO52"/>
  <c r="AO68"/>
  <c r="AO70"/>
  <c r="AO86"/>
  <c r="AO88"/>
  <c r="AO104"/>
  <c r="AO106"/>
  <c r="AO122"/>
  <c r="AO124"/>
  <c r="AO140"/>
  <c r="AO142"/>
  <c r="AO158"/>
  <c r="AO160"/>
  <c r="AO176"/>
  <c r="AO178"/>
  <c r="AO194"/>
  <c r="AO196"/>
  <c r="AO212"/>
  <c r="AO214"/>
  <c r="AO230"/>
  <c r="AO232"/>
  <c r="AO14"/>
  <c r="AO12"/>
  <c r="AO13"/>
  <c r="AN27" i="17"/>
  <c r="AO10" i="30"/>
  <c r="AO11"/>
  <c r="AN25" i="17"/>
  <c r="AN7"/>
  <c r="AN24"/>
  <c r="AN26"/>
  <c r="AN29"/>
  <c r="AQ4" i="1"/>
  <c r="AN32" i="17"/>
  <c r="AQ5" i="1"/>
  <c r="AQ6"/>
  <c r="AQ9"/>
  <c r="AN11" i="17"/>
  <c r="AN13"/>
  <c r="AN16"/>
  <c r="AN53"/>
  <c r="AP26" i="3"/>
  <c r="AP2"/>
  <c r="AP19"/>
  <c r="AP22"/>
  <c r="AP25"/>
  <c r="AP3"/>
  <c r="AP31"/>
  <c r="AP5"/>
  <c r="AP42"/>
  <c r="AP41"/>
  <c r="AP32" i="30"/>
  <c r="AP34"/>
  <c r="AP50"/>
  <c r="AP52"/>
  <c r="AP68"/>
  <c r="AP70"/>
  <c r="AP86"/>
  <c r="AP88"/>
  <c r="AP104"/>
  <c r="AP106"/>
  <c r="AP122"/>
  <c r="AP124"/>
  <c r="AP140"/>
  <c r="AP142"/>
  <c r="AP158"/>
  <c r="AP160"/>
  <c r="AP176"/>
  <c r="AP178"/>
  <c r="AP194"/>
  <c r="AP196"/>
  <c r="AP212"/>
  <c r="AP214"/>
  <c r="AP230"/>
  <c r="AP232"/>
  <c r="AP14"/>
  <c r="AP12"/>
  <c r="AP13"/>
  <c r="AO27" i="17"/>
  <c r="AP10" i="30"/>
  <c r="AP11"/>
  <c r="AO25" i="17"/>
  <c r="AO7"/>
  <c r="AO24"/>
  <c r="AO26"/>
  <c r="AO29"/>
  <c r="AR4" i="1"/>
  <c r="AO32" i="17"/>
  <c r="AR5" i="1"/>
  <c r="AR6"/>
  <c r="AR9"/>
  <c r="AO11" i="17"/>
  <c r="AO13"/>
  <c r="AO16"/>
  <c r="AO53"/>
  <c r="AQ26" i="3"/>
  <c r="AQ2"/>
  <c r="AQ19"/>
  <c r="AQ22"/>
  <c r="AQ25"/>
  <c r="AQ3"/>
  <c r="AQ31"/>
  <c r="AQ5"/>
  <c r="AQ42"/>
  <c r="AQ41"/>
  <c r="AQ32" i="30"/>
  <c r="AQ34"/>
  <c r="AQ50"/>
  <c r="AQ52"/>
  <c r="AQ68"/>
  <c r="AQ70"/>
  <c r="AQ86"/>
  <c r="AQ88"/>
  <c r="AQ104"/>
  <c r="AQ106"/>
  <c r="AQ122"/>
  <c r="AQ124"/>
  <c r="AQ140"/>
  <c r="AQ142"/>
  <c r="AQ158"/>
  <c r="AQ160"/>
  <c r="AQ176"/>
  <c r="AQ178"/>
  <c r="AQ194"/>
  <c r="AQ196"/>
  <c r="AQ212"/>
  <c r="AQ214"/>
  <c r="AQ230"/>
  <c r="AQ232"/>
  <c r="AQ14"/>
  <c r="AQ12"/>
  <c r="AQ13"/>
  <c r="AP27" i="17"/>
  <c r="AQ10" i="30"/>
  <c r="AQ11"/>
  <c r="AP25" i="17"/>
  <c r="AP7"/>
  <c r="AP24"/>
  <c r="AP26"/>
  <c r="AP29"/>
  <c r="AS4" i="1"/>
  <c r="AP32" i="17"/>
  <c r="AS5" i="1"/>
  <c r="AS6"/>
  <c r="AS9"/>
  <c r="AP11" i="17"/>
  <c r="AP13"/>
  <c r="AP16"/>
  <c r="AP53"/>
  <c r="AR26" i="3"/>
  <c r="AR2"/>
  <c r="AR19"/>
  <c r="AR22"/>
  <c r="AR25"/>
  <c r="AR3"/>
  <c r="AR31"/>
  <c r="AR5"/>
  <c r="AR42"/>
  <c r="AR41"/>
  <c r="AR32" i="30"/>
  <c r="AR34"/>
  <c r="AR50"/>
  <c r="AR52"/>
  <c r="AR68"/>
  <c r="AR70"/>
  <c r="AR86"/>
  <c r="AR88"/>
  <c r="AR104"/>
  <c r="AR106"/>
  <c r="AR122"/>
  <c r="AR124"/>
  <c r="AR140"/>
  <c r="AR142"/>
  <c r="AR158"/>
  <c r="AR160"/>
  <c r="AR176"/>
  <c r="AR178"/>
  <c r="AR194"/>
  <c r="AR196"/>
  <c r="AR212"/>
  <c r="AR214"/>
  <c r="AR230"/>
  <c r="AR232"/>
  <c r="AR14"/>
  <c r="AR12"/>
  <c r="AR13"/>
  <c r="AQ27" i="17"/>
  <c r="AR10" i="30"/>
  <c r="AR11"/>
  <c r="AQ25" i="17"/>
  <c r="AQ7"/>
  <c r="AQ24"/>
  <c r="AQ26"/>
  <c r="AQ29"/>
  <c r="AT4" i="1"/>
  <c r="AQ32" i="17"/>
  <c r="AT5" i="1"/>
  <c r="AT6"/>
  <c r="AT9"/>
  <c r="AQ11" i="17"/>
  <c r="AQ13"/>
  <c r="AQ16"/>
  <c r="AQ53"/>
  <c r="AS26" i="3"/>
  <c r="AS2"/>
  <c r="AS19"/>
  <c r="AS22"/>
  <c r="AS25"/>
  <c r="AS3"/>
  <c r="AS31"/>
  <c r="AS5"/>
  <c r="AS42"/>
  <c r="AS41"/>
  <c r="AS32" i="30"/>
  <c r="AS34"/>
  <c r="AS50"/>
  <c r="AS52"/>
  <c r="AS68"/>
  <c r="AS70"/>
  <c r="AS86"/>
  <c r="AS88"/>
  <c r="AS104"/>
  <c r="AS106"/>
  <c r="AS122"/>
  <c r="AS124"/>
  <c r="AS140"/>
  <c r="AS142"/>
  <c r="AS158"/>
  <c r="AS160"/>
  <c r="AS176"/>
  <c r="AS178"/>
  <c r="AS194"/>
  <c r="AS196"/>
  <c r="AS212"/>
  <c r="AS214"/>
  <c r="AS230"/>
  <c r="AS232"/>
  <c r="AS14"/>
  <c r="AS12"/>
  <c r="AS13"/>
  <c r="AR27" i="17"/>
  <c r="AS10" i="30"/>
  <c r="AS11"/>
  <c r="AR25" i="17"/>
  <c r="AR7"/>
  <c r="AR24"/>
  <c r="AR26"/>
  <c r="AR29"/>
  <c r="AU4" i="1"/>
  <c r="AR32" i="17"/>
  <c r="AU5" i="1"/>
  <c r="AU6"/>
  <c r="AU9"/>
  <c r="AR11" i="17"/>
  <c r="AR13"/>
  <c r="AR16"/>
  <c r="AR53"/>
  <c r="AT26" i="3"/>
  <c r="AT2"/>
  <c r="AT19"/>
  <c r="AT22"/>
  <c r="AT25"/>
  <c r="AT3"/>
  <c r="AT31"/>
  <c r="AT5"/>
  <c r="AT42"/>
  <c r="AT41"/>
  <c r="AT32" i="30"/>
  <c r="AT34"/>
  <c r="AT50"/>
  <c r="AT52"/>
  <c r="AT68"/>
  <c r="AT70"/>
  <c r="AT86"/>
  <c r="AT88"/>
  <c r="AT104"/>
  <c r="AT106"/>
  <c r="AT122"/>
  <c r="AT124"/>
  <c r="AT140"/>
  <c r="AT142"/>
  <c r="AT158"/>
  <c r="AT160"/>
  <c r="AT176"/>
  <c r="AT178"/>
  <c r="AT194"/>
  <c r="AT196"/>
  <c r="AT212"/>
  <c r="AT214"/>
  <c r="AT230"/>
  <c r="AT232"/>
  <c r="AT14"/>
  <c r="AT12"/>
  <c r="AT13"/>
  <c r="AS27" i="17"/>
  <c r="AT10" i="30"/>
  <c r="AT11"/>
  <c r="AS25" i="17"/>
  <c r="AS7"/>
  <c r="AS24"/>
  <c r="AS26"/>
  <c r="AS29"/>
  <c r="AV4" i="1"/>
  <c r="AS32" i="17"/>
  <c r="AV5" i="1"/>
  <c r="AV6"/>
  <c r="AV9"/>
  <c r="AS11" i="17"/>
  <c r="AS13"/>
  <c r="AS16"/>
  <c r="AS53"/>
  <c r="AU26" i="3"/>
  <c r="AU2"/>
  <c r="AU19"/>
  <c r="AU22"/>
  <c r="AU25"/>
  <c r="AU3"/>
  <c r="AU31"/>
  <c r="AU5"/>
  <c r="AU42"/>
  <c r="AU41"/>
  <c r="AU32" i="30"/>
  <c r="AU34"/>
  <c r="AU50"/>
  <c r="AU52"/>
  <c r="AU68"/>
  <c r="AU70"/>
  <c r="AU86"/>
  <c r="AU88"/>
  <c r="AU104"/>
  <c r="AU106"/>
  <c r="AU122"/>
  <c r="AU124"/>
  <c r="AU140"/>
  <c r="AU142"/>
  <c r="AU158"/>
  <c r="AU160"/>
  <c r="AU176"/>
  <c r="AU178"/>
  <c r="AU194"/>
  <c r="AU196"/>
  <c r="AU212"/>
  <c r="AU214"/>
  <c r="AU230"/>
  <c r="AU232"/>
  <c r="AU14"/>
  <c r="AU12"/>
  <c r="AU13"/>
  <c r="AT27" i="17"/>
  <c r="AU10" i="30"/>
  <c r="AU11"/>
  <c r="AT25" i="17"/>
  <c r="AT7"/>
  <c r="AT24"/>
  <c r="AT26"/>
  <c r="AT29"/>
  <c r="AW4" i="1"/>
  <c r="AT32" i="17"/>
  <c r="AW5" i="1"/>
  <c r="AW6"/>
  <c r="AW9"/>
  <c r="AT11" i="17"/>
  <c r="AT13"/>
  <c r="AT16"/>
  <c r="AT53"/>
  <c r="AV26" i="3"/>
  <c r="AV2"/>
  <c r="AV19"/>
  <c r="AV22"/>
  <c r="AV25"/>
  <c r="AV3"/>
  <c r="AV31"/>
  <c r="AV5"/>
  <c r="AV42"/>
  <c r="AV41"/>
  <c r="AV32" i="30"/>
  <c r="AV34"/>
  <c r="AV50"/>
  <c r="AV52"/>
  <c r="AV68"/>
  <c r="AV70"/>
  <c r="AV86"/>
  <c r="AV88"/>
  <c r="AV104"/>
  <c r="AV106"/>
  <c r="AV122"/>
  <c r="AV124"/>
  <c r="AV140"/>
  <c r="AV142"/>
  <c r="AV158"/>
  <c r="AV160"/>
  <c r="AV176"/>
  <c r="AV178"/>
  <c r="AV194"/>
  <c r="AV196"/>
  <c r="AV212"/>
  <c r="AV214"/>
  <c r="AV230"/>
  <c r="AV232"/>
  <c r="AV14"/>
  <c r="AV12"/>
  <c r="AV13"/>
  <c r="AU27" i="17"/>
  <c r="AV10" i="30"/>
  <c r="AV11"/>
  <c r="AU25" i="17"/>
  <c r="AU7"/>
  <c r="AU24"/>
  <c r="AU26"/>
  <c r="AU29"/>
  <c r="AX4" i="1"/>
  <c r="AU32" i="17"/>
  <c r="AX5" i="1"/>
  <c r="AX6"/>
  <c r="AX9"/>
  <c r="AU11" i="17"/>
  <c r="AU13"/>
  <c r="AU16"/>
  <c r="AU53"/>
  <c r="AW26" i="3"/>
  <c r="AW2"/>
  <c r="AW19"/>
  <c r="AW22"/>
  <c r="AW25"/>
  <c r="AW3"/>
  <c r="AW31"/>
  <c r="AW5"/>
  <c r="AW42"/>
  <c r="AW41"/>
  <c r="AW32" i="30"/>
  <c r="AW34"/>
  <c r="AW50"/>
  <c r="AW52"/>
  <c r="AW68"/>
  <c r="AW70"/>
  <c r="AW86"/>
  <c r="AW88"/>
  <c r="AW104"/>
  <c r="AW106"/>
  <c r="AW122"/>
  <c r="AW124"/>
  <c r="AW140"/>
  <c r="AW142"/>
  <c r="AW158"/>
  <c r="AW160"/>
  <c r="AW176"/>
  <c r="AW178"/>
  <c r="AW194"/>
  <c r="AW196"/>
  <c r="AW212"/>
  <c r="AW214"/>
  <c r="AW230"/>
  <c r="AW232"/>
  <c r="AW14"/>
  <c r="AW12"/>
  <c r="AW13"/>
  <c r="AV27" i="17"/>
  <c r="AW10" i="30"/>
  <c r="AW11"/>
  <c r="AV25" i="17"/>
  <c r="AV7"/>
  <c r="AV24"/>
  <c r="AV26"/>
  <c r="AV29"/>
  <c r="AY4" i="1"/>
  <c r="AV32" i="17"/>
  <c r="AY5" i="1"/>
  <c r="AY6"/>
  <c r="AY9"/>
  <c r="AV11" i="17"/>
  <c r="AV13"/>
  <c r="AV16"/>
  <c r="AV53"/>
  <c r="AX26" i="3"/>
  <c r="AX2"/>
  <c r="AX19"/>
  <c r="AX22"/>
  <c r="AX25"/>
  <c r="AX3"/>
  <c r="AX31"/>
  <c r="AX5"/>
  <c r="AX42"/>
  <c r="AX41"/>
  <c r="AY19"/>
  <c r="AY22"/>
  <c r="AY25"/>
  <c r="AY3"/>
  <c r="AY5"/>
  <c r="AY42"/>
  <c r="AY41"/>
  <c r="AZ41"/>
  <c r="AZ44"/>
  <c r="BA27" i="1"/>
  <c r="BE96" i="4"/>
  <c r="BA28" i="1"/>
  <c r="G100" i="4"/>
  <c r="BA30" i="1"/>
  <c r="BE102" i="4"/>
  <c r="BA31" i="1"/>
  <c r="BE103" i="4"/>
  <c r="BA32" i="1"/>
  <c r="BE105" i="4"/>
  <c r="BE104"/>
  <c r="BA33" i="1"/>
  <c r="AK28" i="17"/>
  <c r="AM35" i="3"/>
  <c r="AK34" i="17"/>
  <c r="AK19"/>
  <c r="AK21"/>
  <c r="AK37"/>
  <c r="AM36" i="3"/>
  <c r="AM37"/>
  <c r="AM38"/>
  <c r="AM39"/>
  <c r="AM43"/>
  <c r="AM12"/>
  <c r="AM45"/>
  <c r="AM40"/>
  <c r="BE82" i="4"/>
  <c r="BE98"/>
  <c r="BE101"/>
  <c r="BA34" i="1"/>
  <c r="BA35"/>
  <c r="BA36"/>
  <c r="C11" i="3"/>
  <c r="AZ11"/>
  <c r="C14"/>
  <c r="AZ14"/>
  <c r="AZ16"/>
  <c r="AZ33"/>
  <c r="BA8" i="1"/>
  <c r="BA10"/>
  <c r="BA11"/>
  <c r="BA12"/>
  <c r="BA37"/>
  <c r="AX40" i="17"/>
  <c r="M227" i="30"/>
  <c r="D238"/>
  <c r="E238"/>
  <c r="F238"/>
  <c r="G238"/>
  <c r="H238"/>
  <c r="I238"/>
  <c r="J238"/>
  <c r="K238"/>
  <c r="L238"/>
  <c r="M238"/>
  <c r="N238"/>
  <c r="O238"/>
  <c r="Y227"/>
  <c r="AA238"/>
  <c r="AK227"/>
  <c r="AM238"/>
  <c r="AW227"/>
  <c r="AY238"/>
  <c r="BI227"/>
  <c r="BJ238"/>
  <c r="C33" i="26"/>
  <c r="B69" i="17"/>
  <c r="B536" i="24"/>
  <c r="B45"/>
  <c r="B7"/>
  <c r="D34" i="26"/>
  <c r="D33"/>
  <c r="C69" i="17"/>
  <c r="C536" i="24"/>
  <c r="C45"/>
  <c r="C53"/>
  <c r="C7"/>
  <c r="E34" i="26"/>
  <c r="E33"/>
  <c r="D69" i="17"/>
  <c r="D536" i="24"/>
  <c r="D45"/>
  <c r="D53"/>
  <c r="D61"/>
  <c r="D7"/>
  <c r="F34" i="26"/>
  <c r="F33"/>
  <c r="E69" i="17"/>
  <c r="E536" i="24"/>
  <c r="E45"/>
  <c r="E53"/>
  <c r="E61"/>
  <c r="E69"/>
  <c r="E7"/>
  <c r="G34" i="26"/>
  <c r="G33"/>
  <c r="F69" i="17"/>
  <c r="F536" i="24"/>
  <c r="F45"/>
  <c r="F53"/>
  <c r="F61"/>
  <c r="F69"/>
  <c r="F77"/>
  <c r="F7"/>
  <c r="H34" i="26"/>
  <c r="H33"/>
  <c r="G69" i="17"/>
  <c r="G536" i="24"/>
  <c r="G45"/>
  <c r="G53"/>
  <c r="G61"/>
  <c r="G69"/>
  <c r="G77"/>
  <c r="G84"/>
  <c r="G7"/>
  <c r="I34" i="26"/>
  <c r="I33"/>
  <c r="H69" i="17"/>
  <c r="H536" i="24"/>
  <c r="H45"/>
  <c r="H53"/>
  <c r="H61"/>
  <c r="H69"/>
  <c r="H77"/>
  <c r="H84"/>
  <c r="H91"/>
  <c r="H7"/>
  <c r="J34" i="26"/>
  <c r="J33"/>
  <c r="I69" i="17"/>
  <c r="I536" i="24"/>
  <c r="I45"/>
  <c r="I53"/>
  <c r="I61"/>
  <c r="I69"/>
  <c r="I77"/>
  <c r="I84"/>
  <c r="I91"/>
  <c r="I99"/>
  <c r="I7"/>
  <c r="K34" i="26"/>
  <c r="K33"/>
  <c r="J69" i="17"/>
  <c r="J536" i="24"/>
  <c r="J45"/>
  <c r="J53"/>
  <c r="J61"/>
  <c r="J69"/>
  <c r="J77"/>
  <c r="J84"/>
  <c r="J91"/>
  <c r="J99"/>
  <c r="J107"/>
  <c r="J7"/>
  <c r="L34" i="26"/>
  <c r="L33"/>
  <c r="K69" i="17"/>
  <c r="K536" i="24"/>
  <c r="K45"/>
  <c r="K53"/>
  <c r="K61"/>
  <c r="K69"/>
  <c r="K77"/>
  <c r="K84"/>
  <c r="K91"/>
  <c r="K99"/>
  <c r="K107"/>
  <c r="K115"/>
  <c r="K7"/>
  <c r="M34" i="26"/>
  <c r="M33"/>
  <c r="L69" i="17"/>
  <c r="L536" i="24"/>
  <c r="L45"/>
  <c r="L53"/>
  <c r="L61"/>
  <c r="L69"/>
  <c r="L77"/>
  <c r="L84"/>
  <c r="L91"/>
  <c r="L99"/>
  <c r="L107"/>
  <c r="L115"/>
  <c r="L123"/>
  <c r="L7"/>
  <c r="N34" i="26"/>
  <c r="N33"/>
  <c r="M69" i="17"/>
  <c r="M536" i="24"/>
  <c r="M45"/>
  <c r="M53"/>
  <c r="M61"/>
  <c r="M69"/>
  <c r="M77"/>
  <c r="M84"/>
  <c r="M91"/>
  <c r="M99"/>
  <c r="M107"/>
  <c r="M115"/>
  <c r="M123"/>
  <c r="M131"/>
  <c r="M7"/>
  <c r="O34" i="26"/>
  <c r="O33"/>
  <c r="BM34"/>
  <c r="BM33"/>
  <c r="BN34"/>
  <c r="BN33"/>
  <c r="BO34"/>
  <c r="BO33"/>
  <c r="BP34"/>
  <c r="BP33"/>
  <c r="BQ34"/>
  <c r="BQ33"/>
  <c r="BR34"/>
  <c r="BR33"/>
  <c r="BS34"/>
  <c r="BS33"/>
  <c r="BT34"/>
  <c r="BT33"/>
  <c r="BU34"/>
  <c r="BU33"/>
  <c r="BV34"/>
  <c r="BV33"/>
  <c r="BW34"/>
  <c r="BW33"/>
  <c r="BX34"/>
  <c r="BX33"/>
  <c r="BY34"/>
  <c r="BY33"/>
  <c r="N69" i="17"/>
  <c r="N536" i="24"/>
  <c r="N45"/>
  <c r="N53"/>
  <c r="N61"/>
  <c r="N69"/>
  <c r="N77"/>
  <c r="N84"/>
  <c r="N91"/>
  <c r="N99"/>
  <c r="N107"/>
  <c r="N115"/>
  <c r="N123"/>
  <c r="N131"/>
  <c r="N139"/>
  <c r="N7"/>
  <c r="P34" i="26"/>
  <c r="P33"/>
  <c r="O69" i="17"/>
  <c r="O536" i="24"/>
  <c r="O45"/>
  <c r="O53"/>
  <c r="O61"/>
  <c r="O69"/>
  <c r="O77"/>
  <c r="O84"/>
  <c r="O91"/>
  <c r="O99"/>
  <c r="O107"/>
  <c r="O115"/>
  <c r="O123"/>
  <c r="O131"/>
  <c r="O139"/>
  <c r="O147"/>
  <c r="O7"/>
  <c r="Q34" i="26"/>
  <c r="Q33"/>
  <c r="P69" i="17"/>
  <c r="P536" i="24"/>
  <c r="P45"/>
  <c r="P53"/>
  <c r="P61"/>
  <c r="P69"/>
  <c r="P77"/>
  <c r="P84"/>
  <c r="P91"/>
  <c r="P99"/>
  <c r="P107"/>
  <c r="P115"/>
  <c r="P123"/>
  <c r="P131"/>
  <c r="P139"/>
  <c r="P147"/>
  <c r="P155"/>
  <c r="P7"/>
  <c r="R34" i="26"/>
  <c r="R33"/>
  <c r="Q69" i="17"/>
  <c r="Q536" i="24"/>
  <c r="Q45"/>
  <c r="Q53"/>
  <c r="Q61"/>
  <c r="Q69"/>
  <c r="Q77"/>
  <c r="Q84"/>
  <c r="Q91"/>
  <c r="Q99"/>
  <c r="Q107"/>
  <c r="Q115"/>
  <c r="Q123"/>
  <c r="Q131"/>
  <c r="Q139"/>
  <c r="Q147"/>
  <c r="Q155"/>
  <c r="Q163"/>
  <c r="Q7"/>
  <c r="S34" i="26"/>
  <c r="S33"/>
  <c r="R69" i="17"/>
  <c r="R536" i="24"/>
  <c r="R45"/>
  <c r="R53"/>
  <c r="R61"/>
  <c r="R69"/>
  <c r="R77"/>
  <c r="R84"/>
  <c r="R91"/>
  <c r="R99"/>
  <c r="R107"/>
  <c r="R115"/>
  <c r="R123"/>
  <c r="R131"/>
  <c r="R139"/>
  <c r="R147"/>
  <c r="R155"/>
  <c r="R163"/>
  <c r="R171"/>
  <c r="R7"/>
  <c r="T34" i="26"/>
  <c r="T33"/>
  <c r="S69" i="17"/>
  <c r="S536" i="24"/>
  <c r="S45"/>
  <c r="S53"/>
  <c r="S61"/>
  <c r="S69"/>
  <c r="S77"/>
  <c r="S84"/>
  <c r="S91"/>
  <c r="S99"/>
  <c r="S107"/>
  <c r="S115"/>
  <c r="S123"/>
  <c r="S131"/>
  <c r="S139"/>
  <c r="S147"/>
  <c r="S155"/>
  <c r="S163"/>
  <c r="S171"/>
  <c r="S179"/>
  <c r="S7"/>
  <c r="U34" i="26"/>
  <c r="U33"/>
  <c r="T69" i="17"/>
  <c r="T536" i="24"/>
  <c r="T45"/>
  <c r="T53"/>
  <c r="T61"/>
  <c r="T69"/>
  <c r="T77"/>
  <c r="T84"/>
  <c r="T91"/>
  <c r="T99"/>
  <c r="T107"/>
  <c r="T115"/>
  <c r="T123"/>
  <c r="T131"/>
  <c r="T139"/>
  <c r="T147"/>
  <c r="T155"/>
  <c r="T163"/>
  <c r="T171"/>
  <c r="T179"/>
  <c r="T187"/>
  <c r="T7"/>
  <c r="V34" i="26"/>
  <c r="V33"/>
  <c r="U69" i="17"/>
  <c r="U536" i="24"/>
  <c r="U45"/>
  <c r="U53"/>
  <c r="U61"/>
  <c r="U69"/>
  <c r="U77"/>
  <c r="U84"/>
  <c r="U91"/>
  <c r="U99"/>
  <c r="U107"/>
  <c r="U115"/>
  <c r="U123"/>
  <c r="U131"/>
  <c r="U139"/>
  <c r="U147"/>
  <c r="U155"/>
  <c r="U163"/>
  <c r="U171"/>
  <c r="U179"/>
  <c r="U187"/>
  <c r="U195"/>
  <c r="U7"/>
  <c r="W34" i="26"/>
  <c r="W33"/>
  <c r="V69" i="17"/>
  <c r="V536" i="24"/>
  <c r="V45"/>
  <c r="V53"/>
  <c r="V61"/>
  <c r="V69"/>
  <c r="V77"/>
  <c r="V84"/>
  <c r="V91"/>
  <c r="V99"/>
  <c r="V107"/>
  <c r="V115"/>
  <c r="V123"/>
  <c r="V131"/>
  <c r="V139"/>
  <c r="V147"/>
  <c r="V155"/>
  <c r="V163"/>
  <c r="V171"/>
  <c r="V179"/>
  <c r="V187"/>
  <c r="V195"/>
  <c r="V203"/>
  <c r="V7"/>
  <c r="X34" i="26"/>
  <c r="X33"/>
  <c r="W69" i="17"/>
  <c r="W536" i="24"/>
  <c r="W45"/>
  <c r="W53"/>
  <c r="W61"/>
  <c r="W69"/>
  <c r="W77"/>
  <c r="W84"/>
  <c r="W91"/>
  <c r="W99"/>
  <c r="W107"/>
  <c r="W115"/>
  <c r="W123"/>
  <c r="W131"/>
  <c r="W139"/>
  <c r="W147"/>
  <c r="W155"/>
  <c r="W163"/>
  <c r="W171"/>
  <c r="W179"/>
  <c r="W187"/>
  <c r="W195"/>
  <c r="W203"/>
  <c r="W211"/>
  <c r="W7"/>
  <c r="Y34" i="26"/>
  <c r="Y33"/>
  <c r="X69" i="17"/>
  <c r="X536" i="24"/>
  <c r="X45"/>
  <c r="X53"/>
  <c r="X61"/>
  <c r="X69"/>
  <c r="X77"/>
  <c r="X84"/>
  <c r="X91"/>
  <c r="X99"/>
  <c r="X107"/>
  <c r="X115"/>
  <c r="X123"/>
  <c r="X131"/>
  <c r="X139"/>
  <c r="X147"/>
  <c r="X155"/>
  <c r="X163"/>
  <c r="X171"/>
  <c r="X179"/>
  <c r="X187"/>
  <c r="X195"/>
  <c r="X203"/>
  <c r="X211"/>
  <c r="X219"/>
  <c r="X7"/>
  <c r="Z34" i="26"/>
  <c r="Z33"/>
  <c r="Y69" i="17"/>
  <c r="Y536" i="24"/>
  <c r="Y45"/>
  <c r="Y53"/>
  <c r="Y61"/>
  <c r="Y69"/>
  <c r="Y77"/>
  <c r="Y84"/>
  <c r="Y91"/>
  <c r="Y99"/>
  <c r="Y107"/>
  <c r="Y115"/>
  <c r="Y123"/>
  <c r="Y131"/>
  <c r="Y139"/>
  <c r="Y147"/>
  <c r="Y155"/>
  <c r="Y163"/>
  <c r="Y171"/>
  <c r="Y179"/>
  <c r="Y187"/>
  <c r="Y195"/>
  <c r="Y203"/>
  <c r="Y211"/>
  <c r="Y219"/>
  <c r="Y227"/>
  <c r="Y7"/>
  <c r="AA34" i="26"/>
  <c r="AA33"/>
  <c r="Z69" i="17"/>
  <c r="Z536" i="24"/>
  <c r="Z45"/>
  <c r="Z53"/>
  <c r="Z61"/>
  <c r="Z69"/>
  <c r="Z77"/>
  <c r="Z84"/>
  <c r="Z91"/>
  <c r="Z99"/>
  <c r="Z107"/>
  <c r="Z115"/>
  <c r="Z123"/>
  <c r="Z131"/>
  <c r="Z139"/>
  <c r="Z147"/>
  <c r="Z155"/>
  <c r="Z163"/>
  <c r="Z171"/>
  <c r="Z179"/>
  <c r="Z187"/>
  <c r="Z195"/>
  <c r="Z203"/>
  <c r="Z211"/>
  <c r="Z219"/>
  <c r="Z227"/>
  <c r="Z235"/>
  <c r="Z7"/>
  <c r="AB34" i="26"/>
  <c r="AB33"/>
  <c r="AA69" i="17"/>
  <c r="AA536" i="24"/>
  <c r="AA45"/>
  <c r="AA53"/>
  <c r="AA61"/>
  <c r="AA69"/>
  <c r="AA77"/>
  <c r="AA84"/>
  <c r="AA91"/>
  <c r="AA99"/>
  <c r="AA107"/>
  <c r="AA115"/>
  <c r="AA123"/>
  <c r="AA131"/>
  <c r="AA139"/>
  <c r="AA147"/>
  <c r="AA155"/>
  <c r="AA163"/>
  <c r="AA171"/>
  <c r="AA179"/>
  <c r="AA187"/>
  <c r="AA195"/>
  <c r="AA203"/>
  <c r="AA211"/>
  <c r="AA219"/>
  <c r="AA227"/>
  <c r="AA235"/>
  <c r="AA243"/>
  <c r="AA7"/>
  <c r="AC34" i="26"/>
  <c r="AC33"/>
  <c r="AB69" i="17"/>
  <c r="AB536" i="24"/>
  <c r="AB45"/>
  <c r="AB53"/>
  <c r="AB61"/>
  <c r="AB69"/>
  <c r="AB77"/>
  <c r="AB84"/>
  <c r="AB91"/>
  <c r="AB99"/>
  <c r="AB107"/>
  <c r="AB115"/>
  <c r="AB123"/>
  <c r="AB131"/>
  <c r="AB139"/>
  <c r="AB147"/>
  <c r="AB155"/>
  <c r="AB163"/>
  <c r="AB171"/>
  <c r="AB179"/>
  <c r="AB187"/>
  <c r="AB195"/>
  <c r="AB203"/>
  <c r="AB211"/>
  <c r="AB219"/>
  <c r="AB227"/>
  <c r="AB235"/>
  <c r="AB243"/>
  <c r="AB251"/>
  <c r="AB7"/>
  <c r="AD34" i="26"/>
  <c r="AD33"/>
  <c r="AC69" i="17"/>
  <c r="AC536" i="24"/>
  <c r="AC45"/>
  <c r="AC53"/>
  <c r="AC61"/>
  <c r="AC69"/>
  <c r="AC77"/>
  <c r="AC84"/>
  <c r="AC91"/>
  <c r="AC99"/>
  <c r="AC107"/>
  <c r="AC115"/>
  <c r="AC123"/>
  <c r="AC131"/>
  <c r="AC139"/>
  <c r="AC147"/>
  <c r="AC155"/>
  <c r="AC163"/>
  <c r="AC171"/>
  <c r="AC179"/>
  <c r="AC187"/>
  <c r="AC195"/>
  <c r="AC203"/>
  <c r="AC211"/>
  <c r="AC219"/>
  <c r="AC227"/>
  <c r="AC235"/>
  <c r="AC243"/>
  <c r="AC251"/>
  <c r="AC259"/>
  <c r="AC7"/>
  <c r="AE34" i="26"/>
  <c r="AE33"/>
  <c r="AD69" i="17"/>
  <c r="AD536" i="24"/>
  <c r="AD45"/>
  <c r="AD53"/>
  <c r="AD61"/>
  <c r="AD69"/>
  <c r="AD77"/>
  <c r="AD84"/>
  <c r="AD91"/>
  <c r="AD99"/>
  <c r="AD107"/>
  <c r="AD115"/>
  <c r="AD123"/>
  <c r="AD131"/>
  <c r="AD139"/>
  <c r="AD147"/>
  <c r="AD155"/>
  <c r="AD163"/>
  <c r="AD171"/>
  <c r="AD179"/>
  <c r="AD187"/>
  <c r="AD195"/>
  <c r="AD203"/>
  <c r="AD211"/>
  <c r="AD219"/>
  <c r="AD227"/>
  <c r="AD235"/>
  <c r="AD243"/>
  <c r="AD251"/>
  <c r="AD259"/>
  <c r="AD267"/>
  <c r="AD7"/>
  <c r="AF34" i="26"/>
  <c r="AF33"/>
  <c r="AE69" i="17"/>
  <c r="AE536" i="24"/>
  <c r="AE45"/>
  <c r="AE53"/>
  <c r="AE61"/>
  <c r="AE69"/>
  <c r="AE77"/>
  <c r="AE84"/>
  <c r="AE91"/>
  <c r="AE99"/>
  <c r="AE107"/>
  <c r="AE115"/>
  <c r="AE123"/>
  <c r="AE131"/>
  <c r="AE139"/>
  <c r="AE147"/>
  <c r="AE155"/>
  <c r="AE163"/>
  <c r="AE171"/>
  <c r="AE179"/>
  <c r="AE187"/>
  <c r="AE195"/>
  <c r="AE203"/>
  <c r="AE211"/>
  <c r="AE219"/>
  <c r="AE227"/>
  <c r="AE235"/>
  <c r="AE243"/>
  <c r="AE251"/>
  <c r="AE259"/>
  <c r="AE267"/>
  <c r="AE275"/>
  <c r="AE7"/>
  <c r="AG34" i="26"/>
  <c r="AG33"/>
  <c r="AF69" i="17"/>
  <c r="AF536" i="24"/>
  <c r="AF45"/>
  <c r="AF53"/>
  <c r="AF61"/>
  <c r="AF69"/>
  <c r="AF77"/>
  <c r="AF84"/>
  <c r="AF91"/>
  <c r="AF99"/>
  <c r="AF107"/>
  <c r="AF115"/>
  <c r="AF123"/>
  <c r="AF131"/>
  <c r="AF139"/>
  <c r="AF147"/>
  <c r="AF155"/>
  <c r="AF163"/>
  <c r="AF171"/>
  <c r="AF179"/>
  <c r="AF187"/>
  <c r="AF195"/>
  <c r="AF203"/>
  <c r="AF211"/>
  <c r="AF219"/>
  <c r="AF227"/>
  <c r="AF235"/>
  <c r="AF243"/>
  <c r="AF251"/>
  <c r="AF259"/>
  <c r="AF267"/>
  <c r="AF275"/>
  <c r="AF283"/>
  <c r="AF7"/>
  <c r="AH34" i="26"/>
  <c r="AH33"/>
  <c r="AG69" i="17"/>
  <c r="AG536" i="24"/>
  <c r="AG45"/>
  <c r="AG53"/>
  <c r="AG61"/>
  <c r="AG69"/>
  <c r="AG77"/>
  <c r="AG84"/>
  <c r="AG91"/>
  <c r="AG99"/>
  <c r="AG107"/>
  <c r="AG115"/>
  <c r="AG123"/>
  <c r="AG131"/>
  <c r="AG139"/>
  <c r="AG147"/>
  <c r="AG155"/>
  <c r="AG163"/>
  <c r="AG171"/>
  <c r="AG179"/>
  <c r="AG187"/>
  <c r="AG195"/>
  <c r="AG203"/>
  <c r="AG211"/>
  <c r="AG219"/>
  <c r="AG227"/>
  <c r="AG235"/>
  <c r="AG243"/>
  <c r="AG251"/>
  <c r="AG259"/>
  <c r="AG267"/>
  <c r="AG275"/>
  <c r="AG283"/>
  <c r="AG291"/>
  <c r="AG7"/>
  <c r="AI34" i="26"/>
  <c r="AI33"/>
  <c r="AH69" i="17"/>
  <c r="AH536" i="24"/>
  <c r="AH45"/>
  <c r="AH53"/>
  <c r="AH61"/>
  <c r="AH69"/>
  <c r="AH77"/>
  <c r="AH84"/>
  <c r="AH91"/>
  <c r="AH99"/>
  <c r="AH107"/>
  <c r="AH115"/>
  <c r="AH123"/>
  <c r="AH131"/>
  <c r="AH139"/>
  <c r="AH147"/>
  <c r="AH155"/>
  <c r="AH163"/>
  <c r="AH171"/>
  <c r="AH179"/>
  <c r="AH187"/>
  <c r="AH195"/>
  <c r="AH203"/>
  <c r="AH211"/>
  <c r="AH219"/>
  <c r="AH227"/>
  <c r="AH235"/>
  <c r="AH243"/>
  <c r="AH251"/>
  <c r="AH259"/>
  <c r="AH267"/>
  <c r="AH275"/>
  <c r="AH283"/>
  <c r="AH291"/>
  <c r="AH299"/>
  <c r="AH7"/>
  <c r="AJ34" i="26"/>
  <c r="AJ33"/>
  <c r="AI69" i="17"/>
  <c r="AI536" i="24"/>
  <c r="AI45"/>
  <c r="AI53"/>
  <c r="AI61"/>
  <c r="AI69"/>
  <c r="AI77"/>
  <c r="AI84"/>
  <c r="AI91"/>
  <c r="AI99"/>
  <c r="AI107"/>
  <c r="AI115"/>
  <c r="AI123"/>
  <c r="AI131"/>
  <c r="AI139"/>
  <c r="AI147"/>
  <c r="AI155"/>
  <c r="AI163"/>
  <c r="AI171"/>
  <c r="AI179"/>
  <c r="AI187"/>
  <c r="AI195"/>
  <c r="AI203"/>
  <c r="AI211"/>
  <c r="AI219"/>
  <c r="AI227"/>
  <c r="AI235"/>
  <c r="AI243"/>
  <c r="AI251"/>
  <c r="AI259"/>
  <c r="AI267"/>
  <c r="AI275"/>
  <c r="AI283"/>
  <c r="AI291"/>
  <c r="AI299"/>
  <c r="AI307"/>
  <c r="AI7"/>
  <c r="AK34" i="26"/>
  <c r="AK33"/>
  <c r="AJ69" i="17"/>
  <c r="AJ536" i="24"/>
  <c r="AJ45"/>
  <c r="AJ53"/>
  <c r="AJ61"/>
  <c r="AJ69"/>
  <c r="AJ77"/>
  <c r="AJ84"/>
  <c r="AJ91"/>
  <c r="AJ99"/>
  <c r="AJ107"/>
  <c r="AJ115"/>
  <c r="AJ123"/>
  <c r="AJ131"/>
  <c r="AJ139"/>
  <c r="AJ147"/>
  <c r="AJ155"/>
  <c r="AJ163"/>
  <c r="AJ171"/>
  <c r="AJ179"/>
  <c r="AJ187"/>
  <c r="AJ195"/>
  <c r="AJ203"/>
  <c r="AJ211"/>
  <c r="AJ219"/>
  <c r="AJ227"/>
  <c r="AJ235"/>
  <c r="AJ243"/>
  <c r="AJ251"/>
  <c r="AJ259"/>
  <c r="AJ267"/>
  <c r="AJ275"/>
  <c r="AJ283"/>
  <c r="AJ291"/>
  <c r="AJ299"/>
  <c r="AJ307"/>
  <c r="AJ315"/>
  <c r="AJ7"/>
  <c r="AL34" i="26"/>
  <c r="AL33"/>
  <c r="AK69" i="17"/>
  <c r="AK536" i="24"/>
  <c r="AK45"/>
  <c r="AK53"/>
  <c r="AK61"/>
  <c r="AK69"/>
  <c r="AK77"/>
  <c r="AK84"/>
  <c r="AK91"/>
  <c r="AK99"/>
  <c r="AK107"/>
  <c r="AK115"/>
  <c r="AK123"/>
  <c r="AK131"/>
  <c r="AK139"/>
  <c r="AK147"/>
  <c r="AK155"/>
  <c r="AK163"/>
  <c r="AK171"/>
  <c r="AK179"/>
  <c r="AK187"/>
  <c r="AK195"/>
  <c r="AK203"/>
  <c r="AK211"/>
  <c r="AK219"/>
  <c r="AK227"/>
  <c r="AK235"/>
  <c r="AK243"/>
  <c r="AK251"/>
  <c r="AK259"/>
  <c r="AK267"/>
  <c r="AK275"/>
  <c r="AK283"/>
  <c r="AK291"/>
  <c r="AK299"/>
  <c r="AK307"/>
  <c r="AK315"/>
  <c r="AK323"/>
  <c r="AK7"/>
  <c r="AM34" i="26"/>
  <c r="AM33"/>
  <c r="AL69" i="17"/>
  <c r="AL536" i="24"/>
  <c r="AL45"/>
  <c r="AL53"/>
  <c r="AL61"/>
  <c r="AL69"/>
  <c r="AL77"/>
  <c r="AL84"/>
  <c r="AL91"/>
  <c r="AL99"/>
  <c r="AL107"/>
  <c r="AL115"/>
  <c r="AL123"/>
  <c r="AL131"/>
  <c r="AL139"/>
  <c r="AL147"/>
  <c r="AL155"/>
  <c r="AL163"/>
  <c r="AL171"/>
  <c r="AL179"/>
  <c r="AL187"/>
  <c r="AL195"/>
  <c r="AL203"/>
  <c r="AL211"/>
  <c r="AL219"/>
  <c r="AL227"/>
  <c r="AL235"/>
  <c r="AL243"/>
  <c r="AL251"/>
  <c r="AL259"/>
  <c r="AL267"/>
  <c r="AL275"/>
  <c r="AL283"/>
  <c r="AL291"/>
  <c r="AL299"/>
  <c r="AL307"/>
  <c r="AL315"/>
  <c r="AL323"/>
  <c r="AL331"/>
  <c r="AL7"/>
  <c r="AN34" i="26"/>
  <c r="AN33"/>
  <c r="AM69" i="17"/>
  <c r="AM536" i="24"/>
  <c r="AM45"/>
  <c r="AM53"/>
  <c r="AM61"/>
  <c r="AM69"/>
  <c r="AM77"/>
  <c r="AM84"/>
  <c r="AM91"/>
  <c r="AM99"/>
  <c r="AM107"/>
  <c r="AM115"/>
  <c r="AM123"/>
  <c r="AM131"/>
  <c r="AM139"/>
  <c r="AM147"/>
  <c r="AM155"/>
  <c r="AM163"/>
  <c r="AM171"/>
  <c r="AM179"/>
  <c r="AM187"/>
  <c r="AM195"/>
  <c r="AM203"/>
  <c r="AM211"/>
  <c r="AM219"/>
  <c r="AM227"/>
  <c r="AM235"/>
  <c r="AM243"/>
  <c r="AM251"/>
  <c r="AM259"/>
  <c r="AM267"/>
  <c r="AM275"/>
  <c r="AM283"/>
  <c r="AM291"/>
  <c r="AM299"/>
  <c r="AM307"/>
  <c r="AM315"/>
  <c r="AM323"/>
  <c r="AM331"/>
  <c r="AM339"/>
  <c r="AM7"/>
  <c r="AO34" i="26"/>
  <c r="AO33"/>
  <c r="AN69" i="17"/>
  <c r="AN536" i="24"/>
  <c r="AN45"/>
  <c r="AN53"/>
  <c r="AN61"/>
  <c r="AN69"/>
  <c r="AN77"/>
  <c r="AN84"/>
  <c r="AN91"/>
  <c r="AN99"/>
  <c r="AN107"/>
  <c r="AN115"/>
  <c r="AN123"/>
  <c r="AN131"/>
  <c r="AN139"/>
  <c r="AN147"/>
  <c r="AN155"/>
  <c r="AN163"/>
  <c r="AN171"/>
  <c r="AN179"/>
  <c r="AN187"/>
  <c r="AN195"/>
  <c r="AN203"/>
  <c r="AN211"/>
  <c r="AN219"/>
  <c r="AN227"/>
  <c r="AN235"/>
  <c r="AN243"/>
  <c r="AN251"/>
  <c r="AN259"/>
  <c r="AN267"/>
  <c r="AN275"/>
  <c r="AN283"/>
  <c r="AN291"/>
  <c r="AN299"/>
  <c r="AN307"/>
  <c r="AN315"/>
  <c r="AN323"/>
  <c r="AN331"/>
  <c r="AN339"/>
  <c r="AN347"/>
  <c r="AN7"/>
  <c r="AP34" i="26"/>
  <c r="AP33"/>
  <c r="AO69" i="17"/>
  <c r="AO536" i="24"/>
  <c r="AO45"/>
  <c r="AO53"/>
  <c r="AO61"/>
  <c r="AO69"/>
  <c r="AO77"/>
  <c r="AO84"/>
  <c r="AO91"/>
  <c r="AO99"/>
  <c r="AO107"/>
  <c r="AO115"/>
  <c r="AO123"/>
  <c r="AO131"/>
  <c r="AO139"/>
  <c r="AO147"/>
  <c r="AO155"/>
  <c r="AO163"/>
  <c r="AO171"/>
  <c r="AO179"/>
  <c r="AO187"/>
  <c r="AO195"/>
  <c r="AO203"/>
  <c r="AO211"/>
  <c r="AO219"/>
  <c r="AO227"/>
  <c r="AO235"/>
  <c r="AO243"/>
  <c r="AO251"/>
  <c r="AO259"/>
  <c r="AO267"/>
  <c r="AO275"/>
  <c r="AO283"/>
  <c r="AO291"/>
  <c r="AO299"/>
  <c r="AO307"/>
  <c r="AO315"/>
  <c r="AO323"/>
  <c r="AO331"/>
  <c r="AO339"/>
  <c r="AO347"/>
  <c r="AO355"/>
  <c r="AO7"/>
  <c r="AQ34" i="26"/>
  <c r="AQ33"/>
  <c r="AP69" i="17"/>
  <c r="AP536" i="24"/>
  <c r="AP45"/>
  <c r="AP53"/>
  <c r="AP61"/>
  <c r="AP69"/>
  <c r="AP77"/>
  <c r="AP84"/>
  <c r="AP91"/>
  <c r="AP99"/>
  <c r="AP107"/>
  <c r="AP115"/>
  <c r="AP123"/>
  <c r="AP131"/>
  <c r="AP139"/>
  <c r="AP147"/>
  <c r="AP155"/>
  <c r="AP163"/>
  <c r="AP171"/>
  <c r="AP179"/>
  <c r="AP187"/>
  <c r="AP195"/>
  <c r="AP203"/>
  <c r="AP211"/>
  <c r="AP219"/>
  <c r="AP227"/>
  <c r="AP235"/>
  <c r="AP243"/>
  <c r="AP251"/>
  <c r="AP259"/>
  <c r="AP267"/>
  <c r="AP275"/>
  <c r="AP283"/>
  <c r="AP291"/>
  <c r="AP299"/>
  <c r="AP307"/>
  <c r="AP315"/>
  <c r="AP323"/>
  <c r="AP331"/>
  <c r="AP339"/>
  <c r="AP347"/>
  <c r="AP355"/>
  <c r="AP363"/>
  <c r="AP7"/>
  <c r="AR34" i="26"/>
  <c r="AR33"/>
  <c r="AQ69" i="17"/>
  <c r="AQ536" i="24"/>
  <c r="AQ45"/>
  <c r="AQ53"/>
  <c r="AQ61"/>
  <c r="AQ69"/>
  <c r="AQ77"/>
  <c r="AQ84"/>
  <c r="AQ91"/>
  <c r="AQ99"/>
  <c r="AQ107"/>
  <c r="AQ115"/>
  <c r="AQ123"/>
  <c r="AQ131"/>
  <c r="AQ139"/>
  <c r="AQ147"/>
  <c r="AQ155"/>
  <c r="AQ163"/>
  <c r="AQ171"/>
  <c r="AQ179"/>
  <c r="AQ187"/>
  <c r="AQ195"/>
  <c r="AQ203"/>
  <c r="AQ211"/>
  <c r="AQ219"/>
  <c r="AQ227"/>
  <c r="AQ235"/>
  <c r="AQ243"/>
  <c r="AQ251"/>
  <c r="AQ259"/>
  <c r="AQ267"/>
  <c r="AQ275"/>
  <c r="AQ283"/>
  <c r="AQ291"/>
  <c r="AQ299"/>
  <c r="AQ307"/>
  <c r="AQ315"/>
  <c r="AQ323"/>
  <c r="AQ331"/>
  <c r="AQ339"/>
  <c r="AQ347"/>
  <c r="AQ355"/>
  <c r="AQ363"/>
  <c r="AQ371"/>
  <c r="AQ7"/>
  <c r="AS34" i="26"/>
  <c r="AS33"/>
  <c r="AR69" i="17"/>
  <c r="AR536" i="24"/>
  <c r="AR45"/>
  <c r="AR53"/>
  <c r="AR61"/>
  <c r="AR69"/>
  <c r="AR77"/>
  <c r="AR84"/>
  <c r="AR91"/>
  <c r="AR99"/>
  <c r="AR107"/>
  <c r="AR115"/>
  <c r="AR123"/>
  <c r="AR131"/>
  <c r="AR139"/>
  <c r="AR147"/>
  <c r="AR155"/>
  <c r="AR163"/>
  <c r="AR171"/>
  <c r="AR179"/>
  <c r="AR187"/>
  <c r="AR195"/>
  <c r="AR203"/>
  <c r="AR211"/>
  <c r="AR219"/>
  <c r="AR227"/>
  <c r="AR235"/>
  <c r="AR243"/>
  <c r="AR251"/>
  <c r="AR259"/>
  <c r="AR267"/>
  <c r="AR275"/>
  <c r="AR283"/>
  <c r="AR291"/>
  <c r="AR299"/>
  <c r="AR307"/>
  <c r="AR315"/>
  <c r="AR323"/>
  <c r="AR331"/>
  <c r="AR339"/>
  <c r="AR347"/>
  <c r="AR355"/>
  <c r="AR363"/>
  <c r="AR371"/>
  <c r="AR379"/>
  <c r="AR7"/>
  <c r="AT34" i="26"/>
  <c r="AT33"/>
  <c r="AS69" i="17"/>
  <c r="AS536" i="24"/>
  <c r="AS45"/>
  <c r="AS53"/>
  <c r="AS61"/>
  <c r="AS69"/>
  <c r="AS77"/>
  <c r="AS84"/>
  <c r="AS91"/>
  <c r="AS99"/>
  <c r="AS107"/>
  <c r="AS115"/>
  <c r="AS123"/>
  <c r="AS131"/>
  <c r="AS139"/>
  <c r="AS147"/>
  <c r="AS155"/>
  <c r="AS163"/>
  <c r="AS171"/>
  <c r="AS179"/>
  <c r="AS187"/>
  <c r="AS195"/>
  <c r="AS203"/>
  <c r="AS211"/>
  <c r="AS219"/>
  <c r="AS227"/>
  <c r="AS235"/>
  <c r="AS243"/>
  <c r="AS251"/>
  <c r="AS259"/>
  <c r="AS267"/>
  <c r="AS275"/>
  <c r="AS283"/>
  <c r="AS291"/>
  <c r="AS299"/>
  <c r="AS307"/>
  <c r="AS315"/>
  <c r="AS323"/>
  <c r="AS331"/>
  <c r="AS339"/>
  <c r="AS347"/>
  <c r="AS355"/>
  <c r="AS363"/>
  <c r="AS371"/>
  <c r="AS379"/>
  <c r="AS387"/>
  <c r="AS7"/>
  <c r="AU34" i="26"/>
  <c r="AU33"/>
  <c r="AT69" i="17"/>
  <c r="AT536" i="24"/>
  <c r="AT45"/>
  <c r="AT53"/>
  <c r="AT61"/>
  <c r="AT69"/>
  <c r="AT77"/>
  <c r="AT84"/>
  <c r="AT91"/>
  <c r="AT99"/>
  <c r="AT107"/>
  <c r="AT115"/>
  <c r="AT123"/>
  <c r="AT131"/>
  <c r="AT139"/>
  <c r="AT147"/>
  <c r="AT155"/>
  <c r="AT163"/>
  <c r="AT171"/>
  <c r="AT179"/>
  <c r="AT187"/>
  <c r="AT195"/>
  <c r="AT203"/>
  <c r="AT211"/>
  <c r="AT219"/>
  <c r="AT227"/>
  <c r="AT235"/>
  <c r="AT243"/>
  <c r="AT251"/>
  <c r="AT259"/>
  <c r="AT267"/>
  <c r="AT275"/>
  <c r="AT283"/>
  <c r="AT291"/>
  <c r="AT299"/>
  <c r="AT307"/>
  <c r="AT315"/>
  <c r="AT323"/>
  <c r="AT331"/>
  <c r="AT339"/>
  <c r="AT347"/>
  <c r="AT355"/>
  <c r="AT363"/>
  <c r="AT371"/>
  <c r="AT379"/>
  <c r="AT387"/>
  <c r="AT395"/>
  <c r="AT7"/>
  <c r="AV34" i="26"/>
  <c r="AV33"/>
  <c r="AU69" i="17"/>
  <c r="AU536" i="24"/>
  <c r="AU45"/>
  <c r="AU53"/>
  <c r="AU61"/>
  <c r="AU69"/>
  <c r="AU77"/>
  <c r="AU84"/>
  <c r="AU91"/>
  <c r="AU99"/>
  <c r="AU107"/>
  <c r="AU115"/>
  <c r="AU123"/>
  <c r="AU131"/>
  <c r="AU139"/>
  <c r="AU147"/>
  <c r="AU155"/>
  <c r="AU163"/>
  <c r="AU171"/>
  <c r="AU179"/>
  <c r="AU187"/>
  <c r="AU195"/>
  <c r="AU203"/>
  <c r="AU211"/>
  <c r="AU219"/>
  <c r="AU227"/>
  <c r="AU235"/>
  <c r="AU243"/>
  <c r="AU251"/>
  <c r="AU259"/>
  <c r="AU267"/>
  <c r="AU275"/>
  <c r="AU283"/>
  <c r="AU291"/>
  <c r="AU299"/>
  <c r="AU307"/>
  <c r="AU315"/>
  <c r="AU323"/>
  <c r="AU331"/>
  <c r="AU339"/>
  <c r="AU347"/>
  <c r="AU355"/>
  <c r="AU363"/>
  <c r="AU371"/>
  <c r="AU379"/>
  <c r="AU387"/>
  <c r="AU395"/>
  <c r="AU403"/>
  <c r="AU7"/>
  <c r="AW34" i="26"/>
  <c r="AW33"/>
  <c r="AV69" i="17"/>
  <c r="AV536" i="24"/>
  <c r="AV45"/>
  <c r="AV53"/>
  <c r="AV61"/>
  <c r="AV69"/>
  <c r="AV77"/>
  <c r="AV84"/>
  <c r="AV91"/>
  <c r="AV99"/>
  <c r="AV107"/>
  <c r="AV115"/>
  <c r="AV123"/>
  <c r="AV131"/>
  <c r="AV139"/>
  <c r="AV147"/>
  <c r="AV155"/>
  <c r="AV163"/>
  <c r="AV171"/>
  <c r="AV179"/>
  <c r="AV187"/>
  <c r="AV195"/>
  <c r="AV203"/>
  <c r="AV211"/>
  <c r="AV219"/>
  <c r="AV227"/>
  <c r="AV235"/>
  <c r="AV243"/>
  <c r="AV251"/>
  <c r="AV259"/>
  <c r="AV267"/>
  <c r="AV275"/>
  <c r="AV283"/>
  <c r="AV291"/>
  <c r="AV299"/>
  <c r="AV307"/>
  <c r="AV315"/>
  <c r="AV323"/>
  <c r="AV331"/>
  <c r="AV339"/>
  <c r="AV347"/>
  <c r="AV355"/>
  <c r="AV363"/>
  <c r="AV371"/>
  <c r="AV379"/>
  <c r="AV387"/>
  <c r="AV395"/>
  <c r="AV403"/>
  <c r="AV411"/>
  <c r="AV7"/>
  <c r="AX34" i="26"/>
  <c r="AX33"/>
  <c r="AW69" i="17"/>
  <c r="AW536" i="24"/>
  <c r="AW45"/>
  <c r="AW53"/>
  <c r="AW61"/>
  <c r="AW69"/>
  <c r="AW77"/>
  <c r="AW84"/>
  <c r="AW91"/>
  <c r="AW99"/>
  <c r="AW107"/>
  <c r="AW115"/>
  <c r="AW123"/>
  <c r="AW131"/>
  <c r="AW139"/>
  <c r="AW147"/>
  <c r="AW155"/>
  <c r="AW163"/>
  <c r="AW171"/>
  <c r="AW179"/>
  <c r="AW187"/>
  <c r="AW195"/>
  <c r="AW203"/>
  <c r="AW211"/>
  <c r="AW219"/>
  <c r="AW227"/>
  <c r="AW235"/>
  <c r="AW243"/>
  <c r="AW251"/>
  <c r="AW259"/>
  <c r="AW267"/>
  <c r="AW275"/>
  <c r="AW283"/>
  <c r="AW291"/>
  <c r="AW299"/>
  <c r="AW307"/>
  <c r="AW315"/>
  <c r="AW323"/>
  <c r="AW331"/>
  <c r="AW339"/>
  <c r="AW347"/>
  <c r="AW355"/>
  <c r="AW363"/>
  <c r="AW371"/>
  <c r="AW379"/>
  <c r="AW387"/>
  <c r="AW395"/>
  <c r="AW403"/>
  <c r="AW411"/>
  <c r="AW419"/>
  <c r="AW7"/>
  <c r="AY34" i="26"/>
  <c r="AY33"/>
  <c r="AX69" i="17"/>
  <c r="AX536" i="24"/>
  <c r="AX45"/>
  <c r="AX53"/>
  <c r="AX61"/>
  <c r="AX69"/>
  <c r="AX77"/>
  <c r="AX84"/>
  <c r="AX91"/>
  <c r="AX99"/>
  <c r="AX107"/>
  <c r="AX115"/>
  <c r="AX123"/>
  <c r="AX131"/>
  <c r="AX139"/>
  <c r="AX147"/>
  <c r="AX155"/>
  <c r="AX163"/>
  <c r="AX171"/>
  <c r="AX179"/>
  <c r="AX187"/>
  <c r="AX195"/>
  <c r="AX203"/>
  <c r="AX211"/>
  <c r="AX219"/>
  <c r="AX227"/>
  <c r="AX235"/>
  <c r="AX243"/>
  <c r="AX251"/>
  <c r="AX259"/>
  <c r="AX267"/>
  <c r="AX275"/>
  <c r="AX283"/>
  <c r="AX291"/>
  <c r="AX299"/>
  <c r="AX307"/>
  <c r="AX315"/>
  <c r="AX323"/>
  <c r="AX331"/>
  <c r="AX339"/>
  <c r="AX347"/>
  <c r="AX355"/>
  <c r="AX363"/>
  <c r="AX371"/>
  <c r="AX379"/>
  <c r="AX387"/>
  <c r="AX395"/>
  <c r="AX403"/>
  <c r="AX411"/>
  <c r="AX419"/>
  <c r="AX427"/>
  <c r="AX7"/>
  <c r="AZ34" i="26"/>
  <c r="AZ33"/>
  <c r="AY5" i="17"/>
  <c r="AY8"/>
  <c r="AY6"/>
  <c r="AY7"/>
  <c r="AY24"/>
  <c r="AY11"/>
  <c r="AY69"/>
  <c r="AY536" i="24"/>
  <c r="AY45"/>
  <c r="AY53"/>
  <c r="AY61"/>
  <c r="AY69"/>
  <c r="AY77"/>
  <c r="AY84"/>
  <c r="AY91"/>
  <c r="AY99"/>
  <c r="AY107"/>
  <c r="AY115"/>
  <c r="AY123"/>
  <c r="AY131"/>
  <c r="AY139"/>
  <c r="AY147"/>
  <c r="AY155"/>
  <c r="AY163"/>
  <c r="AY171"/>
  <c r="AY179"/>
  <c r="AY187"/>
  <c r="AY195"/>
  <c r="AY203"/>
  <c r="AY211"/>
  <c r="AY219"/>
  <c r="AY227"/>
  <c r="AY235"/>
  <c r="AY243"/>
  <c r="AY251"/>
  <c r="AY259"/>
  <c r="AY267"/>
  <c r="AY275"/>
  <c r="AY283"/>
  <c r="AY291"/>
  <c r="AY299"/>
  <c r="AY307"/>
  <c r="AY315"/>
  <c r="AY323"/>
  <c r="AY331"/>
  <c r="AY339"/>
  <c r="AY347"/>
  <c r="AY355"/>
  <c r="AY363"/>
  <c r="AY371"/>
  <c r="AY379"/>
  <c r="AY387"/>
  <c r="AY395"/>
  <c r="AY403"/>
  <c r="AY411"/>
  <c r="AY419"/>
  <c r="AY427"/>
  <c r="AY435"/>
  <c r="AY7"/>
  <c r="BA34" i="26"/>
  <c r="BA33"/>
  <c r="AZ5" i="17"/>
  <c r="AZ8"/>
  <c r="AZ6"/>
  <c r="AZ7"/>
  <c r="AZ24"/>
  <c r="AZ11"/>
  <c r="AZ69"/>
  <c r="AZ536" i="24"/>
  <c r="AZ45"/>
  <c r="AZ53"/>
  <c r="AZ61"/>
  <c r="AZ69"/>
  <c r="AZ77"/>
  <c r="AZ84"/>
  <c r="AZ91"/>
  <c r="AZ99"/>
  <c r="AZ107"/>
  <c r="AZ115"/>
  <c r="AZ123"/>
  <c r="AZ131"/>
  <c r="AZ139"/>
  <c r="AZ147"/>
  <c r="AZ155"/>
  <c r="AZ163"/>
  <c r="AZ171"/>
  <c r="AZ179"/>
  <c r="AZ187"/>
  <c r="AZ195"/>
  <c r="AZ203"/>
  <c r="AZ211"/>
  <c r="AZ219"/>
  <c r="AZ227"/>
  <c r="AZ235"/>
  <c r="AZ243"/>
  <c r="AZ251"/>
  <c r="AZ259"/>
  <c r="AZ267"/>
  <c r="AZ275"/>
  <c r="AZ283"/>
  <c r="AZ291"/>
  <c r="AZ299"/>
  <c r="AZ307"/>
  <c r="AZ315"/>
  <c r="AZ323"/>
  <c r="AZ331"/>
  <c r="AZ339"/>
  <c r="AZ347"/>
  <c r="AZ355"/>
  <c r="AZ363"/>
  <c r="AZ371"/>
  <c r="AZ379"/>
  <c r="AZ387"/>
  <c r="AZ395"/>
  <c r="AZ403"/>
  <c r="AZ411"/>
  <c r="AZ419"/>
  <c r="AZ427"/>
  <c r="AZ435"/>
  <c r="AZ443"/>
  <c r="AZ7"/>
  <c r="BB34" i="26"/>
  <c r="BB33"/>
  <c r="BA5" i="17"/>
  <c r="BA8"/>
  <c r="BA6"/>
  <c r="BA7"/>
  <c r="BA24"/>
  <c r="BA11"/>
  <c r="BA69"/>
  <c r="BA536" i="24"/>
  <c r="BA45"/>
  <c r="BA53"/>
  <c r="BA61"/>
  <c r="BA69"/>
  <c r="BA77"/>
  <c r="BA84"/>
  <c r="BA91"/>
  <c r="BA99"/>
  <c r="BA107"/>
  <c r="BA115"/>
  <c r="BA123"/>
  <c r="BA131"/>
  <c r="BA139"/>
  <c r="BA147"/>
  <c r="BA155"/>
  <c r="BA163"/>
  <c r="BA171"/>
  <c r="BA179"/>
  <c r="BA187"/>
  <c r="BA195"/>
  <c r="BA203"/>
  <c r="BA211"/>
  <c r="BA219"/>
  <c r="BA227"/>
  <c r="BA235"/>
  <c r="BA243"/>
  <c r="BA251"/>
  <c r="BA259"/>
  <c r="BA267"/>
  <c r="BA275"/>
  <c r="BA283"/>
  <c r="BA291"/>
  <c r="BA299"/>
  <c r="BA307"/>
  <c r="BA315"/>
  <c r="BA323"/>
  <c r="BA331"/>
  <c r="BA339"/>
  <c r="BA347"/>
  <c r="BA355"/>
  <c r="BA363"/>
  <c r="BA371"/>
  <c r="BA379"/>
  <c r="BA387"/>
  <c r="BA395"/>
  <c r="BA403"/>
  <c r="BA411"/>
  <c r="BA419"/>
  <c r="BA427"/>
  <c r="BA435"/>
  <c r="BA443"/>
  <c r="BA451"/>
  <c r="BA7"/>
  <c r="BC34" i="26"/>
  <c r="BC33"/>
  <c r="BB5" i="17"/>
  <c r="BB8"/>
  <c r="BB6"/>
  <c r="BB7"/>
  <c r="BB24"/>
  <c r="BB11"/>
  <c r="BB69"/>
  <c r="BB536" i="24"/>
  <c r="BB45"/>
  <c r="BB53"/>
  <c r="BB61"/>
  <c r="BB69"/>
  <c r="BB77"/>
  <c r="BB84"/>
  <c r="BB91"/>
  <c r="BB99"/>
  <c r="BB107"/>
  <c r="BB115"/>
  <c r="BB123"/>
  <c r="BB131"/>
  <c r="BB139"/>
  <c r="BB147"/>
  <c r="BB155"/>
  <c r="BB163"/>
  <c r="BB171"/>
  <c r="BB179"/>
  <c r="BB187"/>
  <c r="BB195"/>
  <c r="BB203"/>
  <c r="BB211"/>
  <c r="BB219"/>
  <c r="BB227"/>
  <c r="BB235"/>
  <c r="BB243"/>
  <c r="BB251"/>
  <c r="BB259"/>
  <c r="BB267"/>
  <c r="BB275"/>
  <c r="BB283"/>
  <c r="BB291"/>
  <c r="BB299"/>
  <c r="BB307"/>
  <c r="BB315"/>
  <c r="BB323"/>
  <c r="BB331"/>
  <c r="BB339"/>
  <c r="BB347"/>
  <c r="BB355"/>
  <c r="BB363"/>
  <c r="BB371"/>
  <c r="BB379"/>
  <c r="BB387"/>
  <c r="BB395"/>
  <c r="BB403"/>
  <c r="BB411"/>
  <c r="BB419"/>
  <c r="BB427"/>
  <c r="BB435"/>
  <c r="BB443"/>
  <c r="BB451"/>
  <c r="BB459"/>
  <c r="BB7"/>
  <c r="BD34" i="26"/>
  <c r="BD33"/>
  <c r="BC5" i="17"/>
  <c r="BC8"/>
  <c r="BC6"/>
  <c r="BC7"/>
  <c r="BC24"/>
  <c r="BC11"/>
  <c r="BC69"/>
  <c r="BC536" i="24"/>
  <c r="BC45"/>
  <c r="BC53"/>
  <c r="BC61"/>
  <c r="BC69"/>
  <c r="BC77"/>
  <c r="BC84"/>
  <c r="BC91"/>
  <c r="BC99"/>
  <c r="BC107"/>
  <c r="BC115"/>
  <c r="BC123"/>
  <c r="BC131"/>
  <c r="BC139"/>
  <c r="BC147"/>
  <c r="BC155"/>
  <c r="BC163"/>
  <c r="BC171"/>
  <c r="BC179"/>
  <c r="BC187"/>
  <c r="BC195"/>
  <c r="BC203"/>
  <c r="BC211"/>
  <c r="BC219"/>
  <c r="BC227"/>
  <c r="BC235"/>
  <c r="BC243"/>
  <c r="BC251"/>
  <c r="BC259"/>
  <c r="BC267"/>
  <c r="BC275"/>
  <c r="BC283"/>
  <c r="BC291"/>
  <c r="BC299"/>
  <c r="BC307"/>
  <c r="BC315"/>
  <c r="BC323"/>
  <c r="BC331"/>
  <c r="BC339"/>
  <c r="BC347"/>
  <c r="BC355"/>
  <c r="BC363"/>
  <c r="BC371"/>
  <c r="BC379"/>
  <c r="BC387"/>
  <c r="BC395"/>
  <c r="BC403"/>
  <c r="BC411"/>
  <c r="BC419"/>
  <c r="BC427"/>
  <c r="BC435"/>
  <c r="BC443"/>
  <c r="BC451"/>
  <c r="BC459"/>
  <c r="BC467"/>
  <c r="BC7"/>
  <c r="BE34" i="26"/>
  <c r="BE33"/>
  <c r="BD5" i="17"/>
  <c r="BD8"/>
  <c r="BD6"/>
  <c r="BD7"/>
  <c r="BD24"/>
  <c r="BD11"/>
  <c r="BD69"/>
  <c r="BD536" i="24"/>
  <c r="BD45"/>
  <c r="BD53"/>
  <c r="BD61"/>
  <c r="BD69"/>
  <c r="BD77"/>
  <c r="BD84"/>
  <c r="BD91"/>
  <c r="BD99"/>
  <c r="BD107"/>
  <c r="BD115"/>
  <c r="BD123"/>
  <c r="BD131"/>
  <c r="BD139"/>
  <c r="BD147"/>
  <c r="BD155"/>
  <c r="BD163"/>
  <c r="BD171"/>
  <c r="BD179"/>
  <c r="BD187"/>
  <c r="BD195"/>
  <c r="BD203"/>
  <c r="BD211"/>
  <c r="BD219"/>
  <c r="BD227"/>
  <c r="BD235"/>
  <c r="BD243"/>
  <c r="BD251"/>
  <c r="BD259"/>
  <c r="BD267"/>
  <c r="BD275"/>
  <c r="BD283"/>
  <c r="BD291"/>
  <c r="BD299"/>
  <c r="BD307"/>
  <c r="BD315"/>
  <c r="BD323"/>
  <c r="BD331"/>
  <c r="BD339"/>
  <c r="BD347"/>
  <c r="BD355"/>
  <c r="BD363"/>
  <c r="BD371"/>
  <c r="BD379"/>
  <c r="BD387"/>
  <c r="BD395"/>
  <c r="BD403"/>
  <c r="BD411"/>
  <c r="BD419"/>
  <c r="BD427"/>
  <c r="BD435"/>
  <c r="BD443"/>
  <c r="BD451"/>
  <c r="BD459"/>
  <c r="BD467"/>
  <c r="BD475"/>
  <c r="BD7"/>
  <c r="BF34" i="26"/>
  <c r="BF33"/>
  <c r="BE5" i="17"/>
  <c r="BE8"/>
  <c r="BE6"/>
  <c r="BE7"/>
  <c r="BE24"/>
  <c r="BE11"/>
  <c r="BE69"/>
  <c r="BE536" i="24"/>
  <c r="BE45"/>
  <c r="BE53"/>
  <c r="BE61"/>
  <c r="BE69"/>
  <c r="BE77"/>
  <c r="BE84"/>
  <c r="BE91"/>
  <c r="BE99"/>
  <c r="BE107"/>
  <c r="BE115"/>
  <c r="BE123"/>
  <c r="BE131"/>
  <c r="BE139"/>
  <c r="BE147"/>
  <c r="BE155"/>
  <c r="BE163"/>
  <c r="BE171"/>
  <c r="BE179"/>
  <c r="BE187"/>
  <c r="BE195"/>
  <c r="BE203"/>
  <c r="BE211"/>
  <c r="BE219"/>
  <c r="BE227"/>
  <c r="BE235"/>
  <c r="BE243"/>
  <c r="BE251"/>
  <c r="BE259"/>
  <c r="BE267"/>
  <c r="BE275"/>
  <c r="BE283"/>
  <c r="BE291"/>
  <c r="BE299"/>
  <c r="BE307"/>
  <c r="BE315"/>
  <c r="BE323"/>
  <c r="BE331"/>
  <c r="BE339"/>
  <c r="BE347"/>
  <c r="BE355"/>
  <c r="BE363"/>
  <c r="BE371"/>
  <c r="BE379"/>
  <c r="BE387"/>
  <c r="BE395"/>
  <c r="BE403"/>
  <c r="BE411"/>
  <c r="BE419"/>
  <c r="BE427"/>
  <c r="BE435"/>
  <c r="BE443"/>
  <c r="BE451"/>
  <c r="BE459"/>
  <c r="BE467"/>
  <c r="BE475"/>
  <c r="BE483"/>
  <c r="BE7"/>
  <c r="BG34" i="26"/>
  <c r="BG33"/>
  <c r="BF5" i="17"/>
  <c r="BF8"/>
  <c r="BF6"/>
  <c r="BF7"/>
  <c r="BF24"/>
  <c r="BF11"/>
  <c r="BF69"/>
  <c r="BF536" i="24"/>
  <c r="BF45"/>
  <c r="BF53"/>
  <c r="BF61"/>
  <c r="BF69"/>
  <c r="BF77"/>
  <c r="BF84"/>
  <c r="BF91"/>
  <c r="BF99"/>
  <c r="BF107"/>
  <c r="BF115"/>
  <c r="BF123"/>
  <c r="BF131"/>
  <c r="BF139"/>
  <c r="BF147"/>
  <c r="BF155"/>
  <c r="BF163"/>
  <c r="BF171"/>
  <c r="BF179"/>
  <c r="BF187"/>
  <c r="BF195"/>
  <c r="BF203"/>
  <c r="BF211"/>
  <c r="BF219"/>
  <c r="BF227"/>
  <c r="BF235"/>
  <c r="BF243"/>
  <c r="BF251"/>
  <c r="BF259"/>
  <c r="BF267"/>
  <c r="BF275"/>
  <c r="BF283"/>
  <c r="BF291"/>
  <c r="BF299"/>
  <c r="BF307"/>
  <c r="BF315"/>
  <c r="BF323"/>
  <c r="BF331"/>
  <c r="BF339"/>
  <c r="BF347"/>
  <c r="BF355"/>
  <c r="BF363"/>
  <c r="BF371"/>
  <c r="BF379"/>
  <c r="BF387"/>
  <c r="BF395"/>
  <c r="BF403"/>
  <c r="BF411"/>
  <c r="BF419"/>
  <c r="BF427"/>
  <c r="BF435"/>
  <c r="BF443"/>
  <c r="BF451"/>
  <c r="BF459"/>
  <c r="BF467"/>
  <c r="BF475"/>
  <c r="BF483"/>
  <c r="BF491"/>
  <c r="BF7"/>
  <c r="BH34" i="26"/>
  <c r="BH33"/>
  <c r="BG5" i="17"/>
  <c r="BG8"/>
  <c r="BG6"/>
  <c r="BG7"/>
  <c r="BG24"/>
  <c r="BG11"/>
  <c r="BG69"/>
  <c r="BG536" i="24"/>
  <c r="BG45"/>
  <c r="BG53"/>
  <c r="BG61"/>
  <c r="BG69"/>
  <c r="BG77"/>
  <c r="BG84"/>
  <c r="BG91"/>
  <c r="BG99"/>
  <c r="BG107"/>
  <c r="BG115"/>
  <c r="BG123"/>
  <c r="BG131"/>
  <c r="BG139"/>
  <c r="BG147"/>
  <c r="BG155"/>
  <c r="BG163"/>
  <c r="BG171"/>
  <c r="BG179"/>
  <c r="BG187"/>
  <c r="BG195"/>
  <c r="BG203"/>
  <c r="BG211"/>
  <c r="BG219"/>
  <c r="BG227"/>
  <c r="BG235"/>
  <c r="BG243"/>
  <c r="BG251"/>
  <c r="BG259"/>
  <c r="BG267"/>
  <c r="BG275"/>
  <c r="BG283"/>
  <c r="BG291"/>
  <c r="BG299"/>
  <c r="BG307"/>
  <c r="BG315"/>
  <c r="BG323"/>
  <c r="BG331"/>
  <c r="BG339"/>
  <c r="BG347"/>
  <c r="BG355"/>
  <c r="BG363"/>
  <c r="BG371"/>
  <c r="BG379"/>
  <c r="BG387"/>
  <c r="BG395"/>
  <c r="BG403"/>
  <c r="BG411"/>
  <c r="BG419"/>
  <c r="BG427"/>
  <c r="BG435"/>
  <c r="BG443"/>
  <c r="BG451"/>
  <c r="BG459"/>
  <c r="BG467"/>
  <c r="BG475"/>
  <c r="BG483"/>
  <c r="BG491"/>
  <c r="BG499"/>
  <c r="BG7"/>
  <c r="BI34" i="26"/>
  <c r="BI33"/>
  <c r="BH5" i="17"/>
  <c r="BH8"/>
  <c r="BH6"/>
  <c r="BH7"/>
  <c r="BH24"/>
  <c r="BH11"/>
  <c r="BH69"/>
  <c r="BH536" i="24"/>
  <c r="BH45"/>
  <c r="BH53"/>
  <c r="BH61"/>
  <c r="BH69"/>
  <c r="BH77"/>
  <c r="BH84"/>
  <c r="BH91"/>
  <c r="BH99"/>
  <c r="BH107"/>
  <c r="BH115"/>
  <c r="BH123"/>
  <c r="BH131"/>
  <c r="BH139"/>
  <c r="BH147"/>
  <c r="BH155"/>
  <c r="BH163"/>
  <c r="BH171"/>
  <c r="BH179"/>
  <c r="BH187"/>
  <c r="BH195"/>
  <c r="BH203"/>
  <c r="BH211"/>
  <c r="BH219"/>
  <c r="BH227"/>
  <c r="BH235"/>
  <c r="BH243"/>
  <c r="BH251"/>
  <c r="BH259"/>
  <c r="BH267"/>
  <c r="BH275"/>
  <c r="BH283"/>
  <c r="BH291"/>
  <c r="BH299"/>
  <c r="BH307"/>
  <c r="BH315"/>
  <c r="BH323"/>
  <c r="BH331"/>
  <c r="BH339"/>
  <c r="BH347"/>
  <c r="BH355"/>
  <c r="BH363"/>
  <c r="BH371"/>
  <c r="BH379"/>
  <c r="BH387"/>
  <c r="BH395"/>
  <c r="BH403"/>
  <c r="BH411"/>
  <c r="BH419"/>
  <c r="BH427"/>
  <c r="BH435"/>
  <c r="BH443"/>
  <c r="BH451"/>
  <c r="BH459"/>
  <c r="BH467"/>
  <c r="BH475"/>
  <c r="BH483"/>
  <c r="BH491"/>
  <c r="BH499"/>
  <c r="BH507"/>
  <c r="BH7"/>
  <c r="BJ34" i="26"/>
  <c r="BJ33"/>
  <c r="C22"/>
  <c r="BH68" i="17"/>
  <c r="BH535" i="24"/>
  <c r="BH44"/>
  <c r="BG68" i="17"/>
  <c r="BG535" i="24"/>
  <c r="BH52"/>
  <c r="BH60"/>
  <c r="BE68" i="17"/>
  <c r="BE535" i="24"/>
  <c r="BH68"/>
  <c r="BH76"/>
  <c r="BA68" i="17"/>
  <c r="BA535" i="24"/>
  <c r="BH98"/>
  <c r="BH106"/>
  <c r="AY68" i="17"/>
  <c r="AY535" i="24"/>
  <c r="BH114"/>
  <c r="BH122"/>
  <c r="AW68" i="17"/>
  <c r="AW535" i="24"/>
  <c r="BH130"/>
  <c r="BH138"/>
  <c r="AU68" i="17"/>
  <c r="AU535" i="24"/>
  <c r="BH146"/>
  <c r="BH154"/>
  <c r="BH162"/>
  <c r="AR68" i="17"/>
  <c r="AR535" i="24"/>
  <c r="BH170"/>
  <c r="BH178"/>
  <c r="BH186"/>
  <c r="AO68" i="17"/>
  <c r="AO535" i="24"/>
  <c r="BH194"/>
  <c r="BH202"/>
  <c r="AM68" i="17"/>
  <c r="AM535" i="24"/>
  <c r="BH210"/>
  <c r="BH218"/>
  <c r="AK68" i="17"/>
  <c r="AK535" i="24"/>
  <c r="BH226"/>
  <c r="BH234"/>
  <c r="AI68" i="17"/>
  <c r="AI535" i="24"/>
  <c r="BH242"/>
  <c r="AH68" i="17"/>
  <c r="AH535" i="24"/>
  <c r="BH250"/>
  <c r="AG68" i="17"/>
  <c r="AG535" i="24"/>
  <c r="BH258"/>
  <c r="AF68" i="17"/>
  <c r="AF535" i="24"/>
  <c r="BH266"/>
  <c r="AE68" i="17"/>
  <c r="AE535" i="24"/>
  <c r="BH274"/>
  <c r="AD68" i="17"/>
  <c r="AD535" i="24"/>
  <c r="BH282"/>
  <c r="BH290"/>
  <c r="AB68" i="17"/>
  <c r="AB535" i="24"/>
  <c r="BH298"/>
  <c r="BH306"/>
  <c r="Z68" i="17"/>
  <c r="Z535" i="24"/>
  <c r="BH314"/>
  <c r="BH322"/>
  <c r="X68" i="17"/>
  <c r="X535" i="24"/>
  <c r="BH330"/>
  <c r="W68" i="17"/>
  <c r="W535" i="24"/>
  <c r="BH338"/>
  <c r="BH346"/>
  <c r="U68" i="17"/>
  <c r="U535" i="24"/>
  <c r="BH354"/>
  <c r="BH362"/>
  <c r="S68" i="17"/>
  <c r="S535" i="24"/>
  <c r="BH370"/>
  <c r="R68" i="17"/>
  <c r="R535" i="24"/>
  <c r="BH378"/>
  <c r="BH386"/>
  <c r="P68" i="17"/>
  <c r="P535" i="24"/>
  <c r="BH394"/>
  <c r="O68" i="17"/>
  <c r="O535" i="24"/>
  <c r="BH402"/>
  <c r="BH410"/>
  <c r="M68" i="17"/>
  <c r="M535" i="24"/>
  <c r="BH418"/>
  <c r="L68" i="17"/>
  <c r="L535" i="24"/>
  <c r="BH426"/>
  <c r="BH434"/>
  <c r="J68" i="17"/>
  <c r="J535" i="24"/>
  <c r="BH442"/>
  <c r="I68" i="17"/>
  <c r="I535" i="24"/>
  <c r="BH450"/>
  <c r="BH458"/>
  <c r="BH466"/>
  <c r="F68" i="17"/>
  <c r="F535" i="24"/>
  <c r="BH474"/>
  <c r="BH482"/>
  <c r="BH490"/>
  <c r="C68" i="17"/>
  <c r="C535" i="24"/>
  <c r="BH498"/>
  <c r="BH506"/>
  <c r="BH27"/>
  <c r="E24" i="26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J23"/>
  <c r="BJ22"/>
  <c r="C18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J19"/>
  <c r="BJ18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C11"/>
  <c r="BJ11"/>
  <c r="BJ38"/>
  <c r="BJ239" i="30"/>
  <c r="D237"/>
  <c r="E237"/>
  <c r="F237"/>
  <c r="G237"/>
  <c r="H237"/>
  <c r="I237"/>
  <c r="J237"/>
  <c r="K237"/>
  <c r="L237"/>
  <c r="M237"/>
  <c r="N237"/>
  <c r="O237"/>
  <c r="U22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BE237"/>
  <c r="BF237"/>
  <c r="BG237"/>
  <c r="BH237"/>
  <c r="BI237"/>
  <c r="BJ237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BC234"/>
  <c r="BD234"/>
  <c r="BE234"/>
  <c r="BF234"/>
  <c r="BG234"/>
  <c r="BH234"/>
  <c r="BI234"/>
  <c r="BJ234"/>
  <c r="AZ228"/>
  <c r="BA228"/>
  <c r="BB228"/>
  <c r="BC228"/>
  <c r="BD228"/>
  <c r="BE228"/>
  <c r="BF228"/>
  <c r="BG228"/>
  <c r="BH228"/>
  <c r="BI228"/>
  <c r="BJ228"/>
  <c r="AZ229"/>
  <c r="BA229"/>
  <c r="BB229"/>
  <c r="BC229"/>
  <c r="BD229"/>
  <c r="BE229"/>
  <c r="BF229"/>
  <c r="BG229"/>
  <c r="BH229"/>
  <c r="BI229"/>
  <c r="BJ229"/>
  <c r="BJ230"/>
  <c r="AZ231"/>
  <c r="BA231"/>
  <c r="BB231"/>
  <c r="BC231"/>
  <c r="BD231"/>
  <c r="BE231"/>
  <c r="BF231"/>
  <c r="BG231"/>
  <c r="BH231"/>
  <c r="BI231"/>
  <c r="BJ231"/>
  <c r="BJ232"/>
  <c r="BJ235"/>
  <c r="BJ243"/>
  <c r="BK106" i="32"/>
  <c r="BI238" i="30"/>
  <c r="BG44" i="24"/>
  <c r="BF68" i="17"/>
  <c r="BF535" i="24"/>
  <c r="BG52"/>
  <c r="BG60"/>
  <c r="BD68" i="17"/>
  <c r="BD535" i="24"/>
  <c r="BG68"/>
  <c r="BG76"/>
  <c r="AZ68" i="17"/>
  <c r="AZ535" i="24"/>
  <c r="BG98"/>
  <c r="BG106"/>
  <c r="AX68" i="17"/>
  <c r="AX535" i="24"/>
  <c r="BG114"/>
  <c r="BG122"/>
  <c r="AV68" i="17"/>
  <c r="AV535" i="24"/>
  <c r="BG130"/>
  <c r="BG138"/>
  <c r="AT68" i="17"/>
  <c r="AT535" i="24"/>
  <c r="BG146"/>
  <c r="BG154"/>
  <c r="BG162"/>
  <c r="AQ68" i="17"/>
  <c r="AQ535" i="24"/>
  <c r="BG170"/>
  <c r="BG178"/>
  <c r="BG186"/>
  <c r="AN68" i="17"/>
  <c r="AN535" i="24"/>
  <c r="BG194"/>
  <c r="BG202"/>
  <c r="AL68" i="17"/>
  <c r="AL535" i="24"/>
  <c r="BG210"/>
  <c r="BG218"/>
  <c r="AJ68" i="17"/>
  <c r="AJ535" i="24"/>
  <c r="BG226"/>
  <c r="BG234"/>
  <c r="BG242"/>
  <c r="BG250"/>
  <c r="BG258"/>
  <c r="BG266"/>
  <c r="BG274"/>
  <c r="AC68" i="17"/>
  <c r="AC535" i="24"/>
  <c r="BG282"/>
  <c r="BG290"/>
  <c r="AA68" i="17"/>
  <c r="AA535" i="24"/>
  <c r="BG298"/>
  <c r="BG306"/>
  <c r="Y68" i="17"/>
  <c r="Y535" i="24"/>
  <c r="BG314"/>
  <c r="BG322"/>
  <c r="BG330"/>
  <c r="V68" i="17"/>
  <c r="V535" i="24"/>
  <c r="BG338"/>
  <c r="BG346"/>
  <c r="T68" i="17"/>
  <c r="T535" i="24"/>
  <c r="BG354"/>
  <c r="BG362"/>
  <c r="BG370"/>
  <c r="Q68" i="17"/>
  <c r="Q535" i="24"/>
  <c r="BG378"/>
  <c r="BG386"/>
  <c r="BG394"/>
  <c r="N68" i="17"/>
  <c r="N535" i="24"/>
  <c r="BG402"/>
  <c r="BG410"/>
  <c r="BG418"/>
  <c r="K68" i="17"/>
  <c r="K535" i="24"/>
  <c r="BG426"/>
  <c r="BG434"/>
  <c r="BG442"/>
  <c r="H68" i="17"/>
  <c r="H535" i="24"/>
  <c r="BG450"/>
  <c r="BG458"/>
  <c r="BG466"/>
  <c r="E68" i="17"/>
  <c r="E535" i="24"/>
  <c r="BG474"/>
  <c r="BG482"/>
  <c r="BG490"/>
  <c r="B68" i="17"/>
  <c r="B535" i="24"/>
  <c r="BG498"/>
  <c r="BG27"/>
  <c r="BI23" i="26"/>
  <c r="BI22"/>
  <c r="BI19"/>
  <c r="BI18"/>
  <c r="BI11"/>
  <c r="BI38"/>
  <c r="BI239" i="30"/>
  <c r="BI230"/>
  <c r="BI232"/>
  <c r="BI235"/>
  <c r="BI243"/>
  <c r="BJ106" i="32"/>
  <c r="BH238" i="30"/>
  <c r="BF44" i="24"/>
  <c r="BF52"/>
  <c r="BF60"/>
  <c r="BC68" i="17"/>
  <c r="BC535" i="24"/>
  <c r="BF68"/>
  <c r="BF76"/>
  <c r="BF98"/>
  <c r="BF106"/>
  <c r="BF114"/>
  <c r="BF122"/>
  <c r="BF130"/>
  <c r="BF138"/>
  <c r="AS68" i="17"/>
  <c r="AS535" i="24"/>
  <c r="BF146"/>
  <c r="BF154"/>
  <c r="BF162"/>
  <c r="AP68" i="17"/>
  <c r="AP535" i="24"/>
  <c r="BF170"/>
  <c r="BF178"/>
  <c r="BF186"/>
  <c r="BF194"/>
  <c r="BF202"/>
  <c r="BF210"/>
  <c r="BF218"/>
  <c r="BF226"/>
  <c r="BF234"/>
  <c r="BF242"/>
  <c r="BF250"/>
  <c r="BF258"/>
  <c r="BF266"/>
  <c r="BF274"/>
  <c r="BF282"/>
  <c r="BF290"/>
  <c r="BF298"/>
  <c r="BF306"/>
  <c r="BF314"/>
  <c r="BF322"/>
  <c r="BF330"/>
  <c r="BF338"/>
  <c r="BF346"/>
  <c r="BF354"/>
  <c r="BF362"/>
  <c r="BF370"/>
  <c r="BF378"/>
  <c r="BF386"/>
  <c r="BF394"/>
  <c r="BF402"/>
  <c r="BF410"/>
  <c r="BF418"/>
  <c r="BF426"/>
  <c r="BF434"/>
  <c r="BF442"/>
  <c r="G68" i="17"/>
  <c r="G535" i="24"/>
  <c r="BF450"/>
  <c r="BF458"/>
  <c r="BF466"/>
  <c r="D68" i="17"/>
  <c r="D535" i="24"/>
  <c r="BF474"/>
  <c r="BF482"/>
  <c r="BF490"/>
  <c r="BF27"/>
  <c r="BH23" i="26"/>
  <c r="BH22"/>
  <c r="BH19"/>
  <c r="BH18"/>
  <c r="BH11"/>
  <c r="BH38"/>
  <c r="BH239" i="30"/>
  <c r="BH230"/>
  <c r="BH232"/>
  <c r="BH235"/>
  <c r="BH243"/>
  <c r="BI106" i="32"/>
  <c r="BG238" i="30"/>
  <c r="BE44" i="24"/>
  <c r="BE52"/>
  <c r="BE60"/>
  <c r="BB68" i="17"/>
  <c r="BB535" i="24"/>
  <c r="BE68"/>
  <c r="BE76"/>
  <c r="BE98"/>
  <c r="BE106"/>
  <c r="BE114"/>
  <c r="BE122"/>
  <c r="BE130"/>
  <c r="BE138"/>
  <c r="BE146"/>
  <c r="BE154"/>
  <c r="BE162"/>
  <c r="BE170"/>
  <c r="BE178"/>
  <c r="BE186"/>
  <c r="BE194"/>
  <c r="BE202"/>
  <c r="BE210"/>
  <c r="BE218"/>
  <c r="BE226"/>
  <c r="BE234"/>
  <c r="BE242"/>
  <c r="BE250"/>
  <c r="BE258"/>
  <c r="BE266"/>
  <c r="BE274"/>
  <c r="BE282"/>
  <c r="BE290"/>
  <c r="BE298"/>
  <c r="BE306"/>
  <c r="BE314"/>
  <c r="BE322"/>
  <c r="BE330"/>
  <c r="BE338"/>
  <c r="BE346"/>
  <c r="BE354"/>
  <c r="BE362"/>
  <c r="BE370"/>
  <c r="BE378"/>
  <c r="BE386"/>
  <c r="BE394"/>
  <c r="BE402"/>
  <c r="BE410"/>
  <c r="BE418"/>
  <c r="BE426"/>
  <c r="BE434"/>
  <c r="BE442"/>
  <c r="BE450"/>
  <c r="BE458"/>
  <c r="BE466"/>
  <c r="BE474"/>
  <c r="BE482"/>
  <c r="BE27"/>
  <c r="BG23" i="26"/>
  <c r="BG22"/>
  <c r="BG19"/>
  <c r="BG18"/>
  <c r="BG11"/>
  <c r="BG38"/>
  <c r="BG239" i="30"/>
  <c r="BG230"/>
  <c r="BG232"/>
  <c r="BG235"/>
  <c r="BG243"/>
  <c r="BH106" i="32"/>
  <c r="BF238" i="30"/>
  <c r="BD44" i="24"/>
  <c r="BD52"/>
  <c r="BD60"/>
  <c r="BD68"/>
  <c r="BD76"/>
  <c r="BD98"/>
  <c r="BD106"/>
  <c r="BD114"/>
  <c r="BD122"/>
  <c r="BD130"/>
  <c r="BD138"/>
  <c r="BD146"/>
  <c r="BD154"/>
  <c r="BD162"/>
  <c r="BD170"/>
  <c r="BD178"/>
  <c r="BD186"/>
  <c r="BD194"/>
  <c r="BD202"/>
  <c r="BD210"/>
  <c r="BD218"/>
  <c r="BD226"/>
  <c r="BD234"/>
  <c r="BD242"/>
  <c r="BD250"/>
  <c r="BD258"/>
  <c r="BD266"/>
  <c r="BD274"/>
  <c r="BD282"/>
  <c r="BD290"/>
  <c r="BD298"/>
  <c r="BD306"/>
  <c r="BD314"/>
  <c r="BD322"/>
  <c r="BD330"/>
  <c r="BD338"/>
  <c r="BD346"/>
  <c r="BD354"/>
  <c r="BD362"/>
  <c r="BD370"/>
  <c r="BD378"/>
  <c r="BD386"/>
  <c r="BD394"/>
  <c r="BD402"/>
  <c r="BD410"/>
  <c r="BD418"/>
  <c r="BD426"/>
  <c r="BD434"/>
  <c r="BD442"/>
  <c r="BD450"/>
  <c r="BD458"/>
  <c r="BD466"/>
  <c r="BD474"/>
  <c r="BD27"/>
  <c r="BF23" i="26"/>
  <c r="BF22"/>
  <c r="BF19"/>
  <c r="BF18"/>
  <c r="BF11"/>
  <c r="BF38"/>
  <c r="BF239" i="30"/>
  <c r="BF230"/>
  <c r="BF232"/>
  <c r="BF235"/>
  <c r="BF243"/>
  <c r="BG106" i="32"/>
  <c r="BE238" i="30"/>
  <c r="BC44" i="24"/>
  <c r="BC52"/>
  <c r="BC60"/>
  <c r="BC68"/>
  <c r="BC76"/>
  <c r="BC98"/>
  <c r="BC106"/>
  <c r="BC114"/>
  <c r="BC122"/>
  <c r="BC130"/>
  <c r="BC138"/>
  <c r="BC146"/>
  <c r="BC154"/>
  <c r="BC162"/>
  <c r="BC170"/>
  <c r="BC178"/>
  <c r="BC186"/>
  <c r="BC194"/>
  <c r="BC202"/>
  <c r="BC210"/>
  <c r="BC218"/>
  <c r="BC226"/>
  <c r="BC234"/>
  <c r="BC242"/>
  <c r="BC250"/>
  <c r="BC258"/>
  <c r="BC266"/>
  <c r="BC274"/>
  <c r="BC282"/>
  <c r="BC290"/>
  <c r="BC298"/>
  <c r="BC306"/>
  <c r="BC314"/>
  <c r="BC322"/>
  <c r="BC330"/>
  <c r="BC338"/>
  <c r="BC346"/>
  <c r="BC354"/>
  <c r="BC362"/>
  <c r="BC370"/>
  <c r="BC378"/>
  <c r="BC386"/>
  <c r="BC394"/>
  <c r="BC402"/>
  <c r="BC410"/>
  <c r="BC418"/>
  <c r="BC426"/>
  <c r="BC434"/>
  <c r="BC442"/>
  <c r="BC450"/>
  <c r="BC458"/>
  <c r="BC466"/>
  <c r="BC27"/>
  <c r="BE23" i="26"/>
  <c r="BE22"/>
  <c r="BE19"/>
  <c r="BE18"/>
  <c r="BE11"/>
  <c r="BE38"/>
  <c r="BE239" i="30"/>
  <c r="BE230"/>
  <c r="BE232"/>
  <c r="BE235"/>
  <c r="BE243"/>
  <c r="BF106" i="32"/>
  <c r="BD238" i="30"/>
  <c r="BB44" i="24"/>
  <c r="BB52"/>
  <c r="BB60"/>
  <c r="BB68"/>
  <c r="BB76"/>
  <c r="BB98"/>
  <c r="BB106"/>
  <c r="BB114"/>
  <c r="BB122"/>
  <c r="BB130"/>
  <c r="BB138"/>
  <c r="BB146"/>
  <c r="BB154"/>
  <c r="BB162"/>
  <c r="BB170"/>
  <c r="BB178"/>
  <c r="BB186"/>
  <c r="BB194"/>
  <c r="BB202"/>
  <c r="BB210"/>
  <c r="BB218"/>
  <c r="BB226"/>
  <c r="BB234"/>
  <c r="BB242"/>
  <c r="BB250"/>
  <c r="BB258"/>
  <c r="BB266"/>
  <c r="BB274"/>
  <c r="BB282"/>
  <c r="BB290"/>
  <c r="BB298"/>
  <c r="BB306"/>
  <c r="BB314"/>
  <c r="BB322"/>
  <c r="BB330"/>
  <c r="BB338"/>
  <c r="BB346"/>
  <c r="BB354"/>
  <c r="BB362"/>
  <c r="BB370"/>
  <c r="BB378"/>
  <c r="BB386"/>
  <c r="BB394"/>
  <c r="BB402"/>
  <c r="BB410"/>
  <c r="BB418"/>
  <c r="BB426"/>
  <c r="BB434"/>
  <c r="BB442"/>
  <c r="BB450"/>
  <c r="BB458"/>
  <c r="BB27"/>
  <c r="BD23" i="26"/>
  <c r="BD22"/>
  <c r="BD19"/>
  <c r="BD18"/>
  <c r="BD11"/>
  <c r="BD38"/>
  <c r="BD239" i="30"/>
  <c r="BD230"/>
  <c r="BD232"/>
  <c r="BD235"/>
  <c r="BD243"/>
  <c r="BE106" i="32"/>
  <c r="BC238" i="30"/>
  <c r="BA44" i="24"/>
  <c r="BA52"/>
  <c r="BA60"/>
  <c r="BA68"/>
  <c r="BA76"/>
  <c r="BA98"/>
  <c r="BA106"/>
  <c r="BA114"/>
  <c r="BA122"/>
  <c r="BA130"/>
  <c r="BA138"/>
  <c r="BA146"/>
  <c r="BA154"/>
  <c r="BA162"/>
  <c r="BA170"/>
  <c r="BA178"/>
  <c r="BA186"/>
  <c r="BA194"/>
  <c r="BA202"/>
  <c r="BA210"/>
  <c r="BA218"/>
  <c r="BA226"/>
  <c r="BA234"/>
  <c r="BA242"/>
  <c r="BA250"/>
  <c r="BA258"/>
  <c r="BA266"/>
  <c r="BA274"/>
  <c r="BA282"/>
  <c r="BA290"/>
  <c r="BA298"/>
  <c r="BA306"/>
  <c r="BA314"/>
  <c r="BA322"/>
  <c r="BA330"/>
  <c r="BA338"/>
  <c r="BA346"/>
  <c r="BA354"/>
  <c r="BA362"/>
  <c r="BA370"/>
  <c r="BA378"/>
  <c r="BA386"/>
  <c r="BA394"/>
  <c r="BA402"/>
  <c r="BA410"/>
  <c r="BA418"/>
  <c r="BA426"/>
  <c r="BA434"/>
  <c r="BA442"/>
  <c r="BA450"/>
  <c r="BA27"/>
  <c r="BC23" i="26"/>
  <c r="BC22"/>
  <c r="BC19"/>
  <c r="BC18"/>
  <c r="BC11"/>
  <c r="BC38"/>
  <c r="BC239" i="30"/>
  <c r="BC230"/>
  <c r="BC232"/>
  <c r="BC235"/>
  <c r="BC243"/>
  <c r="BD106" i="32"/>
  <c r="BB238" i="30"/>
  <c r="AZ44" i="24"/>
  <c r="AZ52"/>
  <c r="AZ60"/>
  <c r="AZ68"/>
  <c r="AZ76"/>
  <c r="AZ98"/>
  <c r="AZ106"/>
  <c r="AZ114"/>
  <c r="AZ122"/>
  <c r="AZ130"/>
  <c r="AZ138"/>
  <c r="AZ146"/>
  <c r="AZ154"/>
  <c r="AZ162"/>
  <c r="AZ170"/>
  <c r="AZ178"/>
  <c r="AZ186"/>
  <c r="AZ194"/>
  <c r="AZ202"/>
  <c r="AZ210"/>
  <c r="AZ218"/>
  <c r="AZ226"/>
  <c r="AZ234"/>
  <c r="AZ242"/>
  <c r="AZ250"/>
  <c r="AZ258"/>
  <c r="AZ266"/>
  <c r="AZ274"/>
  <c r="AZ282"/>
  <c r="AZ290"/>
  <c r="AZ298"/>
  <c r="AZ306"/>
  <c r="AZ314"/>
  <c r="AZ322"/>
  <c r="AZ330"/>
  <c r="AZ338"/>
  <c r="AZ346"/>
  <c r="AZ354"/>
  <c r="AZ362"/>
  <c r="AZ370"/>
  <c r="AZ378"/>
  <c r="AZ386"/>
  <c r="AZ394"/>
  <c r="AZ402"/>
  <c r="AZ410"/>
  <c r="AZ418"/>
  <c r="AZ426"/>
  <c r="AZ434"/>
  <c r="AZ442"/>
  <c r="AZ27"/>
  <c r="BB23" i="26"/>
  <c r="BB22"/>
  <c r="BB19"/>
  <c r="BB18"/>
  <c r="BB11"/>
  <c r="BB38"/>
  <c r="BB239" i="30"/>
  <c r="BB230"/>
  <c r="BB232"/>
  <c r="BB235"/>
  <c r="BB243"/>
  <c r="BC106" i="32"/>
  <c r="BA238" i="30"/>
  <c r="AY44" i="24"/>
  <c r="AY52"/>
  <c r="AY60"/>
  <c r="AY68"/>
  <c r="AY76"/>
  <c r="AY98"/>
  <c r="AY106"/>
  <c r="AY114"/>
  <c r="AY122"/>
  <c r="AY130"/>
  <c r="AY138"/>
  <c r="AY146"/>
  <c r="AY154"/>
  <c r="AY162"/>
  <c r="AY170"/>
  <c r="AY178"/>
  <c r="AY186"/>
  <c r="AY194"/>
  <c r="AY202"/>
  <c r="AY210"/>
  <c r="AY218"/>
  <c r="AY226"/>
  <c r="AY234"/>
  <c r="AY242"/>
  <c r="AY250"/>
  <c r="AY258"/>
  <c r="AY266"/>
  <c r="AY274"/>
  <c r="AY282"/>
  <c r="AY290"/>
  <c r="AY298"/>
  <c r="AY306"/>
  <c r="AY314"/>
  <c r="AY322"/>
  <c r="AY330"/>
  <c r="AY338"/>
  <c r="AY346"/>
  <c r="AY354"/>
  <c r="AY362"/>
  <c r="AY370"/>
  <c r="AY378"/>
  <c r="AY386"/>
  <c r="AY394"/>
  <c r="AY402"/>
  <c r="AY410"/>
  <c r="AY418"/>
  <c r="AY426"/>
  <c r="AY434"/>
  <c r="AY27"/>
  <c r="BA23" i="26"/>
  <c r="BA22"/>
  <c r="BA19"/>
  <c r="BA18"/>
  <c r="BA11"/>
  <c r="BA38"/>
  <c r="BA239" i="30"/>
  <c r="BA230"/>
  <c r="BA232"/>
  <c r="BA235"/>
  <c r="BA243"/>
  <c r="BB106" i="32"/>
  <c r="AZ238" i="30"/>
  <c r="AX44" i="24"/>
  <c r="AX52"/>
  <c r="AX60"/>
  <c r="AX68"/>
  <c r="AX76"/>
  <c r="AX98"/>
  <c r="AX106"/>
  <c r="AX114"/>
  <c r="AX122"/>
  <c r="AX130"/>
  <c r="AX138"/>
  <c r="AX146"/>
  <c r="AX154"/>
  <c r="AX162"/>
  <c r="AX170"/>
  <c r="AX178"/>
  <c r="AX186"/>
  <c r="AX194"/>
  <c r="AX202"/>
  <c r="AX210"/>
  <c r="AX218"/>
  <c r="AX226"/>
  <c r="AX234"/>
  <c r="AX242"/>
  <c r="AX250"/>
  <c r="AX258"/>
  <c r="AX266"/>
  <c r="AX274"/>
  <c r="AX282"/>
  <c r="AX290"/>
  <c r="AX298"/>
  <c r="AX306"/>
  <c r="AX314"/>
  <c r="AX322"/>
  <c r="AX330"/>
  <c r="AX338"/>
  <c r="AX346"/>
  <c r="AX354"/>
  <c r="AX362"/>
  <c r="AX370"/>
  <c r="AX378"/>
  <c r="AX386"/>
  <c r="AX394"/>
  <c r="AX402"/>
  <c r="AX410"/>
  <c r="AX418"/>
  <c r="AX426"/>
  <c r="AX27"/>
  <c r="AZ23" i="26"/>
  <c r="AZ22"/>
  <c r="AZ19"/>
  <c r="AZ18"/>
  <c r="AZ11"/>
  <c r="AZ38"/>
  <c r="AZ239" i="30"/>
  <c r="AZ230"/>
  <c r="AZ232"/>
  <c r="AZ235"/>
  <c r="AZ243"/>
  <c r="BA106" i="32"/>
  <c r="AW44" i="24"/>
  <c r="AW52"/>
  <c r="AW60"/>
  <c r="AW68"/>
  <c r="AW76"/>
  <c r="AW98"/>
  <c r="AW106"/>
  <c r="AW114"/>
  <c r="AW122"/>
  <c r="AW130"/>
  <c r="AW138"/>
  <c r="AW146"/>
  <c r="AW154"/>
  <c r="AW162"/>
  <c r="AW170"/>
  <c r="AW178"/>
  <c r="AW186"/>
  <c r="AW194"/>
  <c r="AW202"/>
  <c r="AW210"/>
  <c r="AW218"/>
  <c r="AW226"/>
  <c r="AW234"/>
  <c r="AW242"/>
  <c r="AW250"/>
  <c r="AW258"/>
  <c r="AW266"/>
  <c r="AW274"/>
  <c r="AW282"/>
  <c r="AW290"/>
  <c r="AW298"/>
  <c r="AW306"/>
  <c r="AW314"/>
  <c r="AW322"/>
  <c r="AW330"/>
  <c r="AW338"/>
  <c r="AW346"/>
  <c r="AW354"/>
  <c r="AW362"/>
  <c r="AW370"/>
  <c r="AW378"/>
  <c r="AW386"/>
  <c r="AW394"/>
  <c r="AW402"/>
  <c r="AW410"/>
  <c r="AW418"/>
  <c r="AW27"/>
  <c r="AY23" i="26"/>
  <c r="AY22"/>
  <c r="AY19"/>
  <c r="AY18"/>
  <c r="AY11"/>
  <c r="AY38"/>
  <c r="AY239" i="30"/>
  <c r="AY235"/>
  <c r="AY243"/>
  <c r="AZ106" i="32"/>
  <c r="AX238" i="30"/>
  <c r="AV44" i="24"/>
  <c r="AV52"/>
  <c r="AV60"/>
  <c r="AV68"/>
  <c r="AV76"/>
  <c r="AV98"/>
  <c r="AV106"/>
  <c r="AV114"/>
  <c r="AV122"/>
  <c r="AV130"/>
  <c r="AV138"/>
  <c r="AV146"/>
  <c r="AV154"/>
  <c r="AV162"/>
  <c r="AV170"/>
  <c r="AV178"/>
  <c r="AV186"/>
  <c r="AV194"/>
  <c r="AV202"/>
  <c r="AV210"/>
  <c r="AV218"/>
  <c r="AV226"/>
  <c r="AV234"/>
  <c r="AV242"/>
  <c r="AV250"/>
  <c r="AV258"/>
  <c r="AV266"/>
  <c r="AV274"/>
  <c r="AV282"/>
  <c r="AV290"/>
  <c r="AV298"/>
  <c r="AV306"/>
  <c r="AV314"/>
  <c r="AV322"/>
  <c r="AV330"/>
  <c r="AV338"/>
  <c r="AV346"/>
  <c r="AV354"/>
  <c r="AV362"/>
  <c r="AV370"/>
  <c r="AV378"/>
  <c r="AV386"/>
  <c r="AV394"/>
  <c r="AV402"/>
  <c r="AV410"/>
  <c r="AV27"/>
  <c r="AX23" i="26"/>
  <c r="AX22"/>
  <c r="AX19"/>
  <c r="AX18"/>
  <c r="AX11"/>
  <c r="AX38"/>
  <c r="AX239" i="30"/>
  <c r="AX235"/>
  <c r="AX243"/>
  <c r="AY106" i="32"/>
  <c r="AW238" i="30"/>
  <c r="AU44" i="24"/>
  <c r="AU52"/>
  <c r="AU60"/>
  <c r="AU68"/>
  <c r="AU76"/>
  <c r="AU98"/>
  <c r="AU106"/>
  <c r="AU114"/>
  <c r="AU122"/>
  <c r="AU130"/>
  <c r="AU138"/>
  <c r="AU146"/>
  <c r="AU154"/>
  <c r="AU162"/>
  <c r="AU170"/>
  <c r="AU178"/>
  <c r="AU186"/>
  <c r="AU194"/>
  <c r="AU202"/>
  <c r="AU210"/>
  <c r="AU218"/>
  <c r="AU226"/>
  <c r="AU234"/>
  <c r="AU242"/>
  <c r="AU250"/>
  <c r="AU258"/>
  <c r="AU266"/>
  <c r="AU274"/>
  <c r="AU282"/>
  <c r="AU290"/>
  <c r="AU298"/>
  <c r="AU306"/>
  <c r="AU314"/>
  <c r="AU322"/>
  <c r="AU330"/>
  <c r="AU338"/>
  <c r="AU346"/>
  <c r="AU354"/>
  <c r="AU362"/>
  <c r="AU370"/>
  <c r="AU378"/>
  <c r="AU386"/>
  <c r="AU394"/>
  <c r="AU402"/>
  <c r="AU27"/>
  <c r="AW23" i="26"/>
  <c r="AW22"/>
  <c r="AW19"/>
  <c r="AW18"/>
  <c r="AW11"/>
  <c r="AW38"/>
  <c r="AW239" i="30"/>
  <c r="AW235"/>
  <c r="AW243"/>
  <c r="AX106" i="32"/>
  <c r="AV238" i="30"/>
  <c r="AT44" i="24"/>
  <c r="AT52"/>
  <c r="AT60"/>
  <c r="AT68"/>
  <c r="AT76"/>
  <c r="AT98"/>
  <c r="AT106"/>
  <c r="AT114"/>
  <c r="AT122"/>
  <c r="AT130"/>
  <c r="AT138"/>
  <c r="AT146"/>
  <c r="AT154"/>
  <c r="AT162"/>
  <c r="AT170"/>
  <c r="AT178"/>
  <c r="AT186"/>
  <c r="AT194"/>
  <c r="AT202"/>
  <c r="AT210"/>
  <c r="AT218"/>
  <c r="AT226"/>
  <c r="AT234"/>
  <c r="AT242"/>
  <c r="AT250"/>
  <c r="AT258"/>
  <c r="AT266"/>
  <c r="AT274"/>
  <c r="AT282"/>
  <c r="AT290"/>
  <c r="AT298"/>
  <c r="AT306"/>
  <c r="AT314"/>
  <c r="AT322"/>
  <c r="AT330"/>
  <c r="AT338"/>
  <c r="AT346"/>
  <c r="AT354"/>
  <c r="AT362"/>
  <c r="AT370"/>
  <c r="AT378"/>
  <c r="AT386"/>
  <c r="AT394"/>
  <c r="AT27"/>
  <c r="AV23" i="26"/>
  <c r="AV22"/>
  <c r="AV19"/>
  <c r="AV18"/>
  <c r="AV11"/>
  <c r="AV38"/>
  <c r="AV239" i="30"/>
  <c r="AV235"/>
  <c r="AV243"/>
  <c r="AW106" i="32"/>
  <c r="AU238" i="30"/>
  <c r="AS44" i="24"/>
  <c r="AS52"/>
  <c r="AS60"/>
  <c r="AS68"/>
  <c r="AS76"/>
  <c r="AS98"/>
  <c r="AS106"/>
  <c r="AS114"/>
  <c r="AS122"/>
  <c r="AS130"/>
  <c r="AS138"/>
  <c r="AS146"/>
  <c r="AS154"/>
  <c r="AS162"/>
  <c r="AS170"/>
  <c r="AS178"/>
  <c r="AS186"/>
  <c r="AS194"/>
  <c r="AS202"/>
  <c r="AS210"/>
  <c r="AS218"/>
  <c r="AS226"/>
  <c r="AS234"/>
  <c r="AS242"/>
  <c r="AS250"/>
  <c r="AS258"/>
  <c r="AS266"/>
  <c r="AS274"/>
  <c r="AS282"/>
  <c r="AS290"/>
  <c r="AS298"/>
  <c r="AS306"/>
  <c r="AS314"/>
  <c r="AS322"/>
  <c r="AS330"/>
  <c r="AS338"/>
  <c r="AS346"/>
  <c r="AS354"/>
  <c r="AS362"/>
  <c r="AS370"/>
  <c r="AS378"/>
  <c r="AS386"/>
  <c r="AS27"/>
  <c r="AU23" i="26"/>
  <c r="AU22"/>
  <c r="AU19"/>
  <c r="AU18"/>
  <c r="AU11"/>
  <c r="AU38"/>
  <c r="AU239" i="30"/>
  <c r="AU235"/>
  <c r="AU243"/>
  <c r="AV106" i="32"/>
  <c r="AT238" i="30"/>
  <c r="AR44" i="24"/>
  <c r="AR52"/>
  <c r="AR60"/>
  <c r="AR68"/>
  <c r="AR76"/>
  <c r="AR98"/>
  <c r="AR106"/>
  <c r="AR114"/>
  <c r="AR122"/>
  <c r="AR130"/>
  <c r="AR138"/>
  <c r="AR146"/>
  <c r="AR154"/>
  <c r="AR162"/>
  <c r="AR170"/>
  <c r="AR178"/>
  <c r="AR186"/>
  <c r="AR194"/>
  <c r="AR202"/>
  <c r="AR210"/>
  <c r="AR218"/>
  <c r="AR226"/>
  <c r="AR234"/>
  <c r="AR242"/>
  <c r="AR250"/>
  <c r="AR258"/>
  <c r="AR266"/>
  <c r="AR274"/>
  <c r="AR282"/>
  <c r="AR290"/>
  <c r="AR298"/>
  <c r="AR306"/>
  <c r="AR314"/>
  <c r="AR322"/>
  <c r="AR330"/>
  <c r="AR338"/>
  <c r="AR346"/>
  <c r="AR354"/>
  <c r="AR362"/>
  <c r="AR370"/>
  <c r="AR378"/>
  <c r="AR27"/>
  <c r="AT23" i="26"/>
  <c r="AT22"/>
  <c r="AT19"/>
  <c r="AT18"/>
  <c r="AT11"/>
  <c r="AT38"/>
  <c r="AT239" i="30"/>
  <c r="AT235"/>
  <c r="AT243"/>
  <c r="AU106" i="32"/>
  <c r="AS238" i="30"/>
  <c r="AQ44" i="24"/>
  <c r="AQ52"/>
  <c r="AQ60"/>
  <c r="AQ68"/>
  <c r="AQ76"/>
  <c r="AQ98"/>
  <c r="AQ106"/>
  <c r="AQ114"/>
  <c r="AQ122"/>
  <c r="AQ130"/>
  <c r="AQ138"/>
  <c r="AQ146"/>
  <c r="AQ154"/>
  <c r="AQ162"/>
  <c r="AQ170"/>
  <c r="AQ178"/>
  <c r="AQ186"/>
  <c r="AQ194"/>
  <c r="AQ202"/>
  <c r="AQ210"/>
  <c r="AQ218"/>
  <c r="AQ226"/>
  <c r="AQ234"/>
  <c r="AQ242"/>
  <c r="AQ250"/>
  <c r="AQ258"/>
  <c r="AQ266"/>
  <c r="AQ274"/>
  <c r="AQ282"/>
  <c r="AQ290"/>
  <c r="AQ298"/>
  <c r="AQ306"/>
  <c r="AQ314"/>
  <c r="AQ322"/>
  <c r="AQ330"/>
  <c r="AQ338"/>
  <c r="AQ346"/>
  <c r="AQ354"/>
  <c r="AQ362"/>
  <c r="AQ370"/>
  <c r="AQ27"/>
  <c r="AS23" i="26"/>
  <c r="AS22"/>
  <c r="AS19"/>
  <c r="AS18"/>
  <c r="AS11"/>
  <c r="AS38"/>
  <c r="AS239" i="30"/>
  <c r="AS235"/>
  <c r="AS243"/>
  <c r="AT106" i="32"/>
  <c r="AR238" i="30"/>
  <c r="AP44" i="24"/>
  <c r="AP52"/>
  <c r="AP60"/>
  <c r="AP68"/>
  <c r="AP76"/>
  <c r="AP98"/>
  <c r="AP106"/>
  <c r="AP114"/>
  <c r="AP122"/>
  <c r="AP130"/>
  <c r="AP138"/>
  <c r="AP146"/>
  <c r="AP154"/>
  <c r="AP162"/>
  <c r="AP170"/>
  <c r="AP178"/>
  <c r="AP186"/>
  <c r="AP194"/>
  <c r="AP202"/>
  <c r="AP210"/>
  <c r="AP218"/>
  <c r="AP226"/>
  <c r="AP234"/>
  <c r="AP242"/>
  <c r="AP250"/>
  <c r="AP258"/>
  <c r="AP266"/>
  <c r="AP274"/>
  <c r="AP282"/>
  <c r="AP290"/>
  <c r="AP298"/>
  <c r="AP306"/>
  <c r="AP314"/>
  <c r="AP322"/>
  <c r="AP330"/>
  <c r="AP338"/>
  <c r="AP346"/>
  <c r="AP354"/>
  <c r="AP362"/>
  <c r="AP27"/>
  <c r="AR23" i="26"/>
  <c r="AR22"/>
  <c r="AR19"/>
  <c r="AR18"/>
  <c r="AR11"/>
  <c r="AR38"/>
  <c r="AR239" i="30"/>
  <c r="AR235"/>
  <c r="AR243"/>
  <c r="AS106" i="32"/>
  <c r="AQ238" i="30"/>
  <c r="AO44" i="24"/>
  <c r="AO52"/>
  <c r="AO60"/>
  <c r="AO68"/>
  <c r="AO76"/>
  <c r="AO98"/>
  <c r="AO106"/>
  <c r="AO114"/>
  <c r="AO122"/>
  <c r="AO130"/>
  <c r="AO138"/>
  <c r="AO146"/>
  <c r="AO154"/>
  <c r="AO162"/>
  <c r="AO170"/>
  <c r="AO178"/>
  <c r="AO186"/>
  <c r="AO194"/>
  <c r="AO202"/>
  <c r="AO210"/>
  <c r="AO218"/>
  <c r="AO226"/>
  <c r="AO234"/>
  <c r="AO242"/>
  <c r="AO250"/>
  <c r="AO258"/>
  <c r="AO266"/>
  <c r="AO274"/>
  <c r="AO282"/>
  <c r="AO290"/>
  <c r="AO298"/>
  <c r="AO306"/>
  <c r="AO314"/>
  <c r="AO322"/>
  <c r="AO330"/>
  <c r="AO338"/>
  <c r="AO346"/>
  <c r="AO354"/>
  <c r="AO27"/>
  <c r="AQ23" i="26"/>
  <c r="AQ22"/>
  <c r="AQ19"/>
  <c r="AQ18"/>
  <c r="AQ11"/>
  <c r="AQ38"/>
  <c r="AQ239" i="30"/>
  <c r="AQ235"/>
  <c r="AQ243"/>
  <c r="AR106" i="32"/>
  <c r="AP238" i="30"/>
  <c r="AN44" i="24"/>
  <c r="AN52"/>
  <c r="AN60"/>
  <c r="AN68"/>
  <c r="AN76"/>
  <c r="AN98"/>
  <c r="AN106"/>
  <c r="AN114"/>
  <c r="AN122"/>
  <c r="AN130"/>
  <c r="AN138"/>
  <c r="AN146"/>
  <c r="AN154"/>
  <c r="AN162"/>
  <c r="AN170"/>
  <c r="AN178"/>
  <c r="AN186"/>
  <c r="AN194"/>
  <c r="AN202"/>
  <c r="AN210"/>
  <c r="AN218"/>
  <c r="AN226"/>
  <c r="AN234"/>
  <c r="AN242"/>
  <c r="AN250"/>
  <c r="AN258"/>
  <c r="AN266"/>
  <c r="AN274"/>
  <c r="AN282"/>
  <c r="AN290"/>
  <c r="AN298"/>
  <c r="AN306"/>
  <c r="AN314"/>
  <c r="AN322"/>
  <c r="AN330"/>
  <c r="AN338"/>
  <c r="AN346"/>
  <c r="AN27"/>
  <c r="AP23" i="26"/>
  <c r="AP22"/>
  <c r="AP19"/>
  <c r="AP18"/>
  <c r="AP11"/>
  <c r="AP38"/>
  <c r="AP239" i="30"/>
  <c r="AP235"/>
  <c r="AP243"/>
  <c r="AQ106" i="32"/>
  <c r="AO238" i="30"/>
  <c r="AM44" i="24"/>
  <c r="AM52"/>
  <c r="AM60"/>
  <c r="AM68"/>
  <c r="AM76"/>
  <c r="AM98"/>
  <c r="AM106"/>
  <c r="AM114"/>
  <c r="AM122"/>
  <c r="AM130"/>
  <c r="AM138"/>
  <c r="AM146"/>
  <c r="AM154"/>
  <c r="AM162"/>
  <c r="AM170"/>
  <c r="AM178"/>
  <c r="AM186"/>
  <c r="AM194"/>
  <c r="AM202"/>
  <c r="AM210"/>
  <c r="AM218"/>
  <c r="AM226"/>
  <c r="AM234"/>
  <c r="AM242"/>
  <c r="AM250"/>
  <c r="AM258"/>
  <c r="AM266"/>
  <c r="AM274"/>
  <c r="AM282"/>
  <c r="AM290"/>
  <c r="AM298"/>
  <c r="AM306"/>
  <c r="AM314"/>
  <c r="AM322"/>
  <c r="AM330"/>
  <c r="AM338"/>
  <c r="AM27"/>
  <c r="AO23" i="26"/>
  <c r="AO22"/>
  <c r="AO19"/>
  <c r="AO18"/>
  <c r="AO11"/>
  <c r="AO38"/>
  <c r="AO239" i="30"/>
  <c r="AO235"/>
  <c r="AO243"/>
  <c r="AP106" i="32"/>
  <c r="AN238" i="30"/>
  <c r="AL44" i="24"/>
  <c r="AL52"/>
  <c r="AL60"/>
  <c r="AL68"/>
  <c r="AL76"/>
  <c r="AL98"/>
  <c r="AL106"/>
  <c r="AL114"/>
  <c r="AL122"/>
  <c r="AL130"/>
  <c r="AL138"/>
  <c r="AL146"/>
  <c r="AL154"/>
  <c r="AL162"/>
  <c r="AL170"/>
  <c r="AL178"/>
  <c r="AL186"/>
  <c r="AL194"/>
  <c r="AL202"/>
  <c r="AL210"/>
  <c r="AL218"/>
  <c r="AL226"/>
  <c r="AL234"/>
  <c r="AL242"/>
  <c r="AL250"/>
  <c r="AL258"/>
  <c r="AL266"/>
  <c r="AL274"/>
  <c r="AL282"/>
  <c r="AL290"/>
  <c r="AL298"/>
  <c r="AL306"/>
  <c r="AL314"/>
  <c r="AL322"/>
  <c r="AL330"/>
  <c r="AL27"/>
  <c r="AN23" i="26"/>
  <c r="AN22"/>
  <c r="AN19"/>
  <c r="AN18"/>
  <c r="AN11"/>
  <c r="AN38"/>
  <c r="AN239" i="30"/>
  <c r="AN235"/>
  <c r="AN243"/>
  <c r="AO106" i="32"/>
  <c r="AK44" i="24"/>
  <c r="AK52"/>
  <c r="AK60"/>
  <c r="AK68"/>
  <c r="AK76"/>
  <c r="AK98"/>
  <c r="AK106"/>
  <c r="AK114"/>
  <c r="AK122"/>
  <c r="AK130"/>
  <c r="AK138"/>
  <c r="AK146"/>
  <c r="AK154"/>
  <c r="AK162"/>
  <c r="AK170"/>
  <c r="AK178"/>
  <c r="AK186"/>
  <c r="AK194"/>
  <c r="AK202"/>
  <c r="AK210"/>
  <c r="AK218"/>
  <c r="AK226"/>
  <c r="AK234"/>
  <c r="AK242"/>
  <c r="AK250"/>
  <c r="AK258"/>
  <c r="AK266"/>
  <c r="AK274"/>
  <c r="AK282"/>
  <c r="AK290"/>
  <c r="AK298"/>
  <c r="AK306"/>
  <c r="AK314"/>
  <c r="AK322"/>
  <c r="AK27"/>
  <c r="AM23" i="26"/>
  <c r="AM22"/>
  <c r="AM19"/>
  <c r="AM18"/>
  <c r="AM11"/>
  <c r="AM38"/>
  <c r="AM239" i="30"/>
  <c r="AM235"/>
  <c r="AM243"/>
  <c r="AN106" i="32"/>
  <c r="AL238" i="30"/>
  <c r="AJ44" i="24"/>
  <c r="AJ52"/>
  <c r="AJ60"/>
  <c r="AJ68"/>
  <c r="AJ76"/>
  <c r="AJ98"/>
  <c r="AJ106"/>
  <c r="AJ114"/>
  <c r="AJ122"/>
  <c r="AJ130"/>
  <c r="AJ138"/>
  <c r="AJ146"/>
  <c r="AJ154"/>
  <c r="AJ162"/>
  <c r="AJ170"/>
  <c r="AJ178"/>
  <c r="AJ186"/>
  <c r="AJ194"/>
  <c r="AJ202"/>
  <c r="AJ210"/>
  <c r="AJ218"/>
  <c r="AJ226"/>
  <c r="AJ234"/>
  <c r="AJ242"/>
  <c r="AJ250"/>
  <c r="AJ258"/>
  <c r="AJ266"/>
  <c r="AJ274"/>
  <c r="AJ282"/>
  <c r="AJ290"/>
  <c r="AJ298"/>
  <c r="AJ306"/>
  <c r="AJ314"/>
  <c r="AJ27"/>
  <c r="AL23" i="26"/>
  <c r="AL22"/>
  <c r="AL19"/>
  <c r="AL18"/>
  <c r="AL11"/>
  <c r="AL38"/>
  <c r="AL239" i="30"/>
  <c r="AL235"/>
  <c r="AL243"/>
  <c r="AM106" i="32"/>
  <c r="AK238" i="30"/>
  <c r="AI44" i="24"/>
  <c r="AI52"/>
  <c r="AI60"/>
  <c r="AI68"/>
  <c r="AI76"/>
  <c r="AI98"/>
  <c r="AI106"/>
  <c r="AI114"/>
  <c r="AI122"/>
  <c r="AI130"/>
  <c r="AI138"/>
  <c r="AI146"/>
  <c r="AI154"/>
  <c r="AI162"/>
  <c r="AI170"/>
  <c r="AI178"/>
  <c r="AI186"/>
  <c r="AI194"/>
  <c r="AI202"/>
  <c r="AI210"/>
  <c r="AI218"/>
  <c r="AI226"/>
  <c r="AI234"/>
  <c r="AI242"/>
  <c r="AI250"/>
  <c r="AI258"/>
  <c r="AI266"/>
  <c r="AI274"/>
  <c r="AI282"/>
  <c r="AI290"/>
  <c r="AI298"/>
  <c r="AI306"/>
  <c r="AI27"/>
  <c r="AK23" i="26"/>
  <c r="AK22"/>
  <c r="AK19"/>
  <c r="AK18"/>
  <c r="AK11"/>
  <c r="AK38"/>
  <c r="AK239" i="30"/>
  <c r="AK235"/>
  <c r="AK243"/>
  <c r="AL106" i="32"/>
  <c r="AJ238" i="30"/>
  <c r="AH44" i="24"/>
  <c r="AH52"/>
  <c r="AH60"/>
  <c r="AH68"/>
  <c r="AH76"/>
  <c r="AH98"/>
  <c r="AH106"/>
  <c r="AH114"/>
  <c r="AH122"/>
  <c r="AH130"/>
  <c r="AH138"/>
  <c r="AH146"/>
  <c r="AH154"/>
  <c r="AH162"/>
  <c r="AH170"/>
  <c r="AH178"/>
  <c r="AH186"/>
  <c r="AH194"/>
  <c r="AH202"/>
  <c r="AH210"/>
  <c r="AH218"/>
  <c r="AH226"/>
  <c r="AH234"/>
  <c r="AH242"/>
  <c r="AH250"/>
  <c r="AH258"/>
  <c r="AH266"/>
  <c r="AH274"/>
  <c r="AH282"/>
  <c r="AH290"/>
  <c r="AH298"/>
  <c r="AH27"/>
  <c r="AJ23" i="26"/>
  <c r="AJ22"/>
  <c r="AJ19"/>
  <c r="AJ18"/>
  <c r="AJ11"/>
  <c r="AJ38"/>
  <c r="AJ239" i="30"/>
  <c r="AJ235"/>
  <c r="AJ243"/>
  <c r="AK106" i="32"/>
  <c r="AI238" i="30"/>
  <c r="AG44" i="24"/>
  <c r="AG52"/>
  <c r="AG60"/>
  <c r="AG68"/>
  <c r="AG76"/>
  <c r="AG98"/>
  <c r="AG106"/>
  <c r="AG114"/>
  <c r="AG122"/>
  <c r="AG130"/>
  <c r="AG138"/>
  <c r="AG146"/>
  <c r="AG154"/>
  <c r="AG162"/>
  <c r="AG170"/>
  <c r="AG178"/>
  <c r="AG186"/>
  <c r="AG194"/>
  <c r="AG202"/>
  <c r="AG210"/>
  <c r="AG218"/>
  <c r="AG226"/>
  <c r="AG234"/>
  <c r="AG242"/>
  <c r="AG250"/>
  <c r="AG258"/>
  <c r="AG266"/>
  <c r="AG274"/>
  <c r="AG282"/>
  <c r="AG290"/>
  <c r="AG27"/>
  <c r="AI23" i="26"/>
  <c r="AI22"/>
  <c r="AI19"/>
  <c r="AI18"/>
  <c r="AI11"/>
  <c r="AI38"/>
  <c r="AI239" i="30"/>
  <c r="AI235"/>
  <c r="AI243"/>
  <c r="AJ106" i="32"/>
  <c r="AH238" i="30"/>
  <c r="AF44" i="24"/>
  <c r="AF52"/>
  <c r="AF60"/>
  <c r="AF68"/>
  <c r="AF76"/>
  <c r="AF98"/>
  <c r="AF106"/>
  <c r="AF114"/>
  <c r="AF122"/>
  <c r="AF130"/>
  <c r="AF138"/>
  <c r="AF146"/>
  <c r="AF154"/>
  <c r="AF162"/>
  <c r="AF170"/>
  <c r="AF178"/>
  <c r="AF186"/>
  <c r="AF194"/>
  <c r="AF202"/>
  <c r="AF210"/>
  <c r="AF218"/>
  <c r="AF226"/>
  <c r="AF234"/>
  <c r="AF242"/>
  <c r="AF250"/>
  <c r="AF258"/>
  <c r="AF266"/>
  <c r="AF274"/>
  <c r="AF282"/>
  <c r="AF27"/>
  <c r="AH23" i="26"/>
  <c r="AH22"/>
  <c r="AH19"/>
  <c r="AH18"/>
  <c r="AH11"/>
  <c r="AH38"/>
  <c r="AH239" i="30"/>
  <c r="AH235"/>
  <c r="AH243"/>
  <c r="AI106" i="32"/>
  <c r="AG238" i="30"/>
  <c r="AE44" i="24"/>
  <c r="AE52"/>
  <c r="AE60"/>
  <c r="AE68"/>
  <c r="AE76"/>
  <c r="AE98"/>
  <c r="AE106"/>
  <c r="AE114"/>
  <c r="AE122"/>
  <c r="AE130"/>
  <c r="AE138"/>
  <c r="AE146"/>
  <c r="AE154"/>
  <c r="AE162"/>
  <c r="AE170"/>
  <c r="AE178"/>
  <c r="AE186"/>
  <c r="AE194"/>
  <c r="AE202"/>
  <c r="AE210"/>
  <c r="AE218"/>
  <c r="AE226"/>
  <c r="AE234"/>
  <c r="AE242"/>
  <c r="AE250"/>
  <c r="AE258"/>
  <c r="AE266"/>
  <c r="AE274"/>
  <c r="AE27"/>
  <c r="AG23" i="26"/>
  <c r="AG22"/>
  <c r="AG19"/>
  <c r="AG18"/>
  <c r="AG11"/>
  <c r="AG38"/>
  <c r="AG239" i="30"/>
  <c r="AG235"/>
  <c r="AG243"/>
  <c r="AH106" i="32"/>
  <c r="AF238" i="30"/>
  <c r="AD44" i="24"/>
  <c r="AD52"/>
  <c r="AD60"/>
  <c r="AD68"/>
  <c r="AD76"/>
  <c r="AD98"/>
  <c r="AD106"/>
  <c r="AD114"/>
  <c r="AD122"/>
  <c r="AD130"/>
  <c r="AD138"/>
  <c r="AD146"/>
  <c r="AD154"/>
  <c r="AD162"/>
  <c r="AD170"/>
  <c r="AD178"/>
  <c r="AD186"/>
  <c r="AD194"/>
  <c r="AD202"/>
  <c r="AD210"/>
  <c r="AD218"/>
  <c r="AD226"/>
  <c r="AD234"/>
  <c r="AD242"/>
  <c r="AD250"/>
  <c r="AD258"/>
  <c r="AD266"/>
  <c r="AD27"/>
  <c r="AF23" i="26"/>
  <c r="AF22"/>
  <c r="AF19"/>
  <c r="AF18"/>
  <c r="AF11"/>
  <c r="AF38"/>
  <c r="AF239" i="30"/>
  <c r="AF235"/>
  <c r="AF243"/>
  <c r="AG106" i="32"/>
  <c r="AE238" i="30"/>
  <c r="AC44" i="24"/>
  <c r="AC52"/>
  <c r="AC60"/>
  <c r="AC68"/>
  <c r="AC76"/>
  <c r="AC98"/>
  <c r="AC106"/>
  <c r="AC114"/>
  <c r="AC122"/>
  <c r="AC130"/>
  <c r="AC138"/>
  <c r="AC146"/>
  <c r="AC154"/>
  <c r="AC162"/>
  <c r="AC170"/>
  <c r="AC178"/>
  <c r="AC186"/>
  <c r="AC194"/>
  <c r="AC202"/>
  <c r="AC210"/>
  <c r="AC218"/>
  <c r="AC226"/>
  <c r="AC234"/>
  <c r="AC242"/>
  <c r="AC250"/>
  <c r="AC258"/>
  <c r="AC27"/>
  <c r="AE23" i="26"/>
  <c r="AE22"/>
  <c r="AE19"/>
  <c r="AE18"/>
  <c r="AE11"/>
  <c r="AE38"/>
  <c r="AE239" i="30"/>
  <c r="AE235"/>
  <c r="AE243"/>
  <c r="AF106" i="32"/>
  <c r="AD238" i="30"/>
  <c r="AB44" i="24"/>
  <c r="AB52"/>
  <c r="AB60"/>
  <c r="AB68"/>
  <c r="AB76"/>
  <c r="AB98"/>
  <c r="AB106"/>
  <c r="AB114"/>
  <c r="AB122"/>
  <c r="AB130"/>
  <c r="AB138"/>
  <c r="AB146"/>
  <c r="AB154"/>
  <c r="AB162"/>
  <c r="AB170"/>
  <c r="AB178"/>
  <c r="AB186"/>
  <c r="AB194"/>
  <c r="AB202"/>
  <c r="AB210"/>
  <c r="AB218"/>
  <c r="AB226"/>
  <c r="AB234"/>
  <c r="AB242"/>
  <c r="AB250"/>
  <c r="AB27"/>
  <c r="AD23" i="26"/>
  <c r="AD22"/>
  <c r="AD19"/>
  <c r="AD18"/>
  <c r="AD11"/>
  <c r="AD38"/>
  <c r="AD239" i="30"/>
  <c r="AD235"/>
  <c r="AD243"/>
  <c r="AE106" i="32"/>
  <c r="AC238" i="30"/>
  <c r="AA44" i="24"/>
  <c r="AA52"/>
  <c r="AA60"/>
  <c r="AA68"/>
  <c r="AA76"/>
  <c r="AA98"/>
  <c r="AA106"/>
  <c r="AA114"/>
  <c r="AA122"/>
  <c r="AA130"/>
  <c r="AA138"/>
  <c r="AA146"/>
  <c r="AA154"/>
  <c r="AA162"/>
  <c r="AA170"/>
  <c r="AA178"/>
  <c r="AA186"/>
  <c r="AA194"/>
  <c r="AA202"/>
  <c r="AA210"/>
  <c r="AA218"/>
  <c r="AA226"/>
  <c r="AA234"/>
  <c r="AA242"/>
  <c r="AA27"/>
  <c r="AC23" i="26"/>
  <c r="AC22"/>
  <c r="AC19"/>
  <c r="AC18"/>
  <c r="AC11"/>
  <c r="AC38"/>
  <c r="AC239" i="30"/>
  <c r="AC235"/>
  <c r="AC243"/>
  <c r="AD106" i="32"/>
  <c r="AB238" i="30"/>
  <c r="Z44" i="24"/>
  <c r="Z52"/>
  <c r="Z60"/>
  <c r="Z68"/>
  <c r="Z76"/>
  <c r="Z98"/>
  <c r="Z106"/>
  <c r="Z114"/>
  <c r="Z122"/>
  <c r="Z130"/>
  <c r="Z138"/>
  <c r="Z146"/>
  <c r="Z154"/>
  <c r="Z162"/>
  <c r="Z170"/>
  <c r="Z178"/>
  <c r="Z186"/>
  <c r="Z194"/>
  <c r="Z202"/>
  <c r="Z210"/>
  <c r="Z218"/>
  <c r="Z226"/>
  <c r="Z234"/>
  <c r="Z27"/>
  <c r="AB23" i="26"/>
  <c r="AB22"/>
  <c r="AB19"/>
  <c r="AB18"/>
  <c r="AB11"/>
  <c r="AB38"/>
  <c r="AB239" i="30"/>
  <c r="AB235"/>
  <c r="AB243"/>
  <c r="AC106" i="32"/>
  <c r="Y44" i="24"/>
  <c r="Y52"/>
  <c r="Y60"/>
  <c r="Y68"/>
  <c r="Y76"/>
  <c r="Y98"/>
  <c r="Y106"/>
  <c r="Y114"/>
  <c r="Y122"/>
  <c r="Y130"/>
  <c r="Y138"/>
  <c r="Y146"/>
  <c r="Y154"/>
  <c r="Y162"/>
  <c r="Y170"/>
  <c r="Y178"/>
  <c r="Y186"/>
  <c r="Y194"/>
  <c r="Y202"/>
  <c r="Y210"/>
  <c r="Y218"/>
  <c r="Y226"/>
  <c r="Y27"/>
  <c r="AA23" i="26"/>
  <c r="AA22"/>
  <c r="AA19"/>
  <c r="AA18"/>
  <c r="AA11"/>
  <c r="AA38"/>
  <c r="AA239" i="30"/>
  <c r="AA235"/>
  <c r="AA243"/>
  <c r="AB106" i="32"/>
  <c r="Z238" i="30"/>
  <c r="X44" i="24"/>
  <c r="X52"/>
  <c r="X60"/>
  <c r="X68"/>
  <c r="X76"/>
  <c r="X98"/>
  <c r="X106"/>
  <c r="X114"/>
  <c r="X122"/>
  <c r="X130"/>
  <c r="X138"/>
  <c r="X146"/>
  <c r="X154"/>
  <c r="X162"/>
  <c r="X170"/>
  <c r="X178"/>
  <c r="X186"/>
  <c r="X194"/>
  <c r="X202"/>
  <c r="X210"/>
  <c r="X218"/>
  <c r="X27"/>
  <c r="Z23" i="26"/>
  <c r="Z22"/>
  <c r="Z19"/>
  <c r="Z18"/>
  <c r="Z11"/>
  <c r="Z38"/>
  <c r="Z239" i="30"/>
  <c r="Z235"/>
  <c r="Z243"/>
  <c r="AA106" i="32"/>
  <c r="Y238" i="30"/>
  <c r="W44" i="24"/>
  <c r="W52"/>
  <c r="W60"/>
  <c r="W68"/>
  <c r="W76"/>
  <c r="W98"/>
  <c r="W106"/>
  <c r="W114"/>
  <c r="W122"/>
  <c r="W130"/>
  <c r="W138"/>
  <c r="W146"/>
  <c r="W154"/>
  <c r="W162"/>
  <c r="W170"/>
  <c r="W178"/>
  <c r="W186"/>
  <c r="W194"/>
  <c r="W202"/>
  <c r="W210"/>
  <c r="W27"/>
  <c r="Y23" i="26"/>
  <c r="Y22"/>
  <c r="Y19"/>
  <c r="Y18"/>
  <c r="Y11"/>
  <c r="Y38"/>
  <c r="Y239" i="30"/>
  <c r="Y235"/>
  <c r="Y243"/>
  <c r="Z106" i="32"/>
  <c r="X238" i="30"/>
  <c r="V44" i="24"/>
  <c r="V52"/>
  <c r="V60"/>
  <c r="V68"/>
  <c r="V76"/>
  <c r="V98"/>
  <c r="V106"/>
  <c r="V114"/>
  <c r="V122"/>
  <c r="V130"/>
  <c r="V138"/>
  <c r="V146"/>
  <c r="V154"/>
  <c r="V162"/>
  <c r="V170"/>
  <c r="V178"/>
  <c r="V186"/>
  <c r="V194"/>
  <c r="V202"/>
  <c r="V27"/>
  <c r="X23" i="26"/>
  <c r="X22"/>
  <c r="X19"/>
  <c r="X18"/>
  <c r="X11"/>
  <c r="X38"/>
  <c r="X239" i="30"/>
  <c r="X235"/>
  <c r="X243"/>
  <c r="Y106" i="32"/>
  <c r="W238" i="30"/>
  <c r="U44" i="24"/>
  <c r="U52"/>
  <c r="U60"/>
  <c r="U68"/>
  <c r="U76"/>
  <c r="U98"/>
  <c r="U106"/>
  <c r="U114"/>
  <c r="U122"/>
  <c r="U130"/>
  <c r="U138"/>
  <c r="U146"/>
  <c r="U154"/>
  <c r="U162"/>
  <c r="U170"/>
  <c r="U178"/>
  <c r="U186"/>
  <c r="U194"/>
  <c r="U27"/>
  <c r="W23" i="26"/>
  <c r="W22"/>
  <c r="W19"/>
  <c r="W18"/>
  <c r="W11"/>
  <c r="W38"/>
  <c r="W239" i="30"/>
  <c r="W235"/>
  <c r="W243"/>
  <c r="X106" i="32"/>
  <c r="V238" i="30"/>
  <c r="T44" i="24"/>
  <c r="T52"/>
  <c r="T60"/>
  <c r="T68"/>
  <c r="T76"/>
  <c r="T98"/>
  <c r="T106"/>
  <c r="T114"/>
  <c r="T122"/>
  <c r="T130"/>
  <c r="T138"/>
  <c r="T146"/>
  <c r="T154"/>
  <c r="T162"/>
  <c r="T170"/>
  <c r="T178"/>
  <c r="T186"/>
  <c r="T27"/>
  <c r="V23" i="26"/>
  <c r="V22"/>
  <c r="V19"/>
  <c r="V18"/>
  <c r="V11"/>
  <c r="V38"/>
  <c r="V239" i="30"/>
  <c r="V235"/>
  <c r="V243"/>
  <c r="W106" i="32"/>
  <c r="U238" i="30"/>
  <c r="S44" i="24"/>
  <c r="S52"/>
  <c r="S60"/>
  <c r="S68"/>
  <c r="S76"/>
  <c r="S98"/>
  <c r="S106"/>
  <c r="S114"/>
  <c r="S122"/>
  <c r="S130"/>
  <c r="S138"/>
  <c r="S146"/>
  <c r="S154"/>
  <c r="S162"/>
  <c r="S170"/>
  <c r="S178"/>
  <c r="S27"/>
  <c r="U23" i="26"/>
  <c r="U22"/>
  <c r="U19"/>
  <c r="U18"/>
  <c r="U11"/>
  <c r="U38"/>
  <c r="U239" i="30"/>
  <c r="U235"/>
  <c r="U243"/>
  <c r="V106" i="32"/>
  <c r="T238" i="30"/>
  <c r="R44" i="24"/>
  <c r="R52"/>
  <c r="R60"/>
  <c r="R68"/>
  <c r="R76"/>
  <c r="R98"/>
  <c r="R106"/>
  <c r="R114"/>
  <c r="R122"/>
  <c r="R130"/>
  <c r="R138"/>
  <c r="R146"/>
  <c r="R154"/>
  <c r="R162"/>
  <c r="R170"/>
  <c r="R27"/>
  <c r="T23" i="26"/>
  <c r="T22"/>
  <c r="T19"/>
  <c r="T18"/>
  <c r="T11"/>
  <c r="T38"/>
  <c r="T239" i="30"/>
  <c r="T235"/>
  <c r="T243"/>
  <c r="U106" i="32"/>
  <c r="S238" i="30"/>
  <c r="Q44" i="24"/>
  <c r="Q52"/>
  <c r="Q60"/>
  <c r="Q68"/>
  <c r="Q76"/>
  <c r="Q98"/>
  <c r="Q106"/>
  <c r="Q114"/>
  <c r="Q122"/>
  <c r="Q130"/>
  <c r="Q138"/>
  <c r="Q146"/>
  <c r="Q154"/>
  <c r="Q162"/>
  <c r="Q27"/>
  <c r="S23" i="26"/>
  <c r="S22"/>
  <c r="S19"/>
  <c r="S18"/>
  <c r="S11"/>
  <c r="S38"/>
  <c r="S239" i="30"/>
  <c r="S235"/>
  <c r="S243"/>
  <c r="T106" i="32"/>
  <c r="R238" i="30"/>
  <c r="P44" i="24"/>
  <c r="P52"/>
  <c r="P60"/>
  <c r="P68"/>
  <c r="P76"/>
  <c r="P98"/>
  <c r="P106"/>
  <c r="P114"/>
  <c r="P122"/>
  <c r="P130"/>
  <c r="P138"/>
  <c r="P146"/>
  <c r="P154"/>
  <c r="P27"/>
  <c r="R23" i="26"/>
  <c r="R22"/>
  <c r="R19"/>
  <c r="R18"/>
  <c r="R11"/>
  <c r="R38"/>
  <c r="R239" i="30"/>
  <c r="R235"/>
  <c r="R243"/>
  <c r="S106" i="32"/>
  <c r="Q238" i="30"/>
  <c r="O44" i="24"/>
  <c r="O52"/>
  <c r="O60"/>
  <c r="O68"/>
  <c r="O76"/>
  <c r="O98"/>
  <c r="O106"/>
  <c r="O114"/>
  <c r="O122"/>
  <c r="O130"/>
  <c r="O138"/>
  <c r="O146"/>
  <c r="O27"/>
  <c r="Q23" i="26"/>
  <c r="Q22"/>
  <c r="Q19"/>
  <c r="Q18"/>
  <c r="Q11"/>
  <c r="Q38"/>
  <c r="Q239" i="30"/>
  <c r="Q235"/>
  <c r="Q243"/>
  <c r="R106" i="32"/>
  <c r="P238" i="30"/>
  <c r="N44" i="24"/>
  <c r="N52"/>
  <c r="N60"/>
  <c r="N68"/>
  <c r="N76"/>
  <c r="N98"/>
  <c r="N106"/>
  <c r="N114"/>
  <c r="N122"/>
  <c r="N130"/>
  <c r="N138"/>
  <c r="N27"/>
  <c r="P23" i="26"/>
  <c r="P22"/>
  <c r="P19"/>
  <c r="P18"/>
  <c r="P11"/>
  <c r="P38"/>
  <c r="P239" i="30"/>
  <c r="P235"/>
  <c r="P243"/>
  <c r="Q106" i="32"/>
  <c r="M44" i="24"/>
  <c r="M52"/>
  <c r="M60"/>
  <c r="M68"/>
  <c r="M76"/>
  <c r="M98"/>
  <c r="M106"/>
  <c r="M114"/>
  <c r="M122"/>
  <c r="M130"/>
  <c r="M27"/>
  <c r="O23" i="26"/>
  <c r="O22"/>
  <c r="O19"/>
  <c r="O18"/>
  <c r="O11"/>
  <c r="O38"/>
  <c r="O239" i="30"/>
  <c r="O235"/>
  <c r="O243"/>
  <c r="P106" i="32"/>
  <c r="L44" i="24"/>
  <c r="L52"/>
  <c r="L60"/>
  <c r="L68"/>
  <c r="L76"/>
  <c r="L98"/>
  <c r="L106"/>
  <c r="L114"/>
  <c r="L122"/>
  <c r="L27"/>
  <c r="N23" i="26"/>
  <c r="N22"/>
  <c r="N19"/>
  <c r="N18"/>
  <c r="N11"/>
  <c r="N38"/>
  <c r="N239" i="30"/>
  <c r="N235"/>
  <c r="N243"/>
  <c r="O106" i="32"/>
  <c r="K44" i="24"/>
  <c r="K52"/>
  <c r="K60"/>
  <c r="K68"/>
  <c r="K76"/>
  <c r="K98"/>
  <c r="K106"/>
  <c r="K114"/>
  <c r="K27"/>
  <c r="M23" i="26"/>
  <c r="M22"/>
  <c r="M19"/>
  <c r="M18"/>
  <c r="M11"/>
  <c r="M38"/>
  <c r="M239" i="30"/>
  <c r="M235"/>
  <c r="M243"/>
  <c r="N106" i="32"/>
  <c r="J44" i="24"/>
  <c r="J52"/>
  <c r="J60"/>
  <c r="J68"/>
  <c r="J76"/>
  <c r="J98"/>
  <c r="J106"/>
  <c r="J27"/>
  <c r="L23" i="26"/>
  <c r="L22"/>
  <c r="L19"/>
  <c r="L18"/>
  <c r="L11"/>
  <c r="L38"/>
  <c r="L239" i="30"/>
  <c r="L235"/>
  <c r="L243"/>
  <c r="M106" i="32"/>
  <c r="I44" i="24"/>
  <c r="I52"/>
  <c r="I60"/>
  <c r="I68"/>
  <c r="I76"/>
  <c r="I98"/>
  <c r="I27"/>
  <c r="K23" i="26"/>
  <c r="K22"/>
  <c r="K19"/>
  <c r="K18"/>
  <c r="K11"/>
  <c r="K38"/>
  <c r="K239" i="30"/>
  <c r="K235"/>
  <c r="K243"/>
  <c r="L106" i="32"/>
  <c r="H44" i="24"/>
  <c r="H52"/>
  <c r="H60"/>
  <c r="H68"/>
  <c r="H76"/>
  <c r="H27"/>
  <c r="J23" i="26"/>
  <c r="J22"/>
  <c r="J19"/>
  <c r="J18"/>
  <c r="J11"/>
  <c r="J38"/>
  <c r="J239" i="30"/>
  <c r="J235"/>
  <c r="J243"/>
  <c r="K106" i="32"/>
  <c r="G44" i="24"/>
  <c r="G52"/>
  <c r="G60"/>
  <c r="G68"/>
  <c r="G76"/>
  <c r="G27"/>
  <c r="I23" i="26"/>
  <c r="I22"/>
  <c r="I19"/>
  <c r="I18"/>
  <c r="I11"/>
  <c r="I38"/>
  <c r="I239" i="30"/>
  <c r="I235"/>
  <c r="I243"/>
  <c r="J106" i="32"/>
  <c r="F44" i="24"/>
  <c r="F52"/>
  <c r="F60"/>
  <c r="F68"/>
  <c r="F76"/>
  <c r="F27"/>
  <c r="H23" i="26"/>
  <c r="H22"/>
  <c r="H19"/>
  <c r="H18"/>
  <c r="H11"/>
  <c r="H38"/>
  <c r="H239" i="30"/>
  <c r="H235"/>
  <c r="H243"/>
  <c r="I106" i="32"/>
  <c r="E44" i="24"/>
  <c r="E52"/>
  <c r="E60"/>
  <c r="E68"/>
  <c r="E27"/>
  <c r="G23" i="26"/>
  <c r="G22"/>
  <c r="G19"/>
  <c r="G18"/>
  <c r="G11"/>
  <c r="G38"/>
  <c r="G239" i="30"/>
  <c r="G235"/>
  <c r="G243"/>
  <c r="H106" i="32"/>
  <c r="D44" i="24"/>
  <c r="D52"/>
  <c r="D60"/>
  <c r="D27"/>
  <c r="F23" i="26"/>
  <c r="F22"/>
  <c r="F19"/>
  <c r="F18"/>
  <c r="F11"/>
  <c r="F38"/>
  <c r="F239" i="30"/>
  <c r="F235"/>
  <c r="F243"/>
  <c r="G106" i="32"/>
  <c r="C44" i="24"/>
  <c r="C52"/>
  <c r="C27"/>
  <c r="E23" i="26"/>
  <c r="E22"/>
  <c r="E19"/>
  <c r="E18"/>
  <c r="E11"/>
  <c r="E38"/>
  <c r="E239" i="30"/>
  <c r="E235"/>
  <c r="E243"/>
  <c r="F106" i="32"/>
  <c r="B44" i="24"/>
  <c r="B27"/>
  <c r="D23" i="26"/>
  <c r="D22"/>
  <c r="D19"/>
  <c r="D18"/>
  <c r="D11"/>
  <c r="D38"/>
  <c r="D239" i="30"/>
  <c r="D235"/>
  <c r="D243"/>
  <c r="E106" i="32"/>
  <c r="C239" i="30"/>
  <c r="C235"/>
  <c r="C243"/>
  <c r="D106" i="32"/>
  <c r="C64"/>
  <c r="C78"/>
  <c r="C92"/>
  <c r="C106"/>
  <c r="M209" i="30"/>
  <c r="D220"/>
  <c r="E220"/>
  <c r="F220"/>
  <c r="G220"/>
  <c r="H220"/>
  <c r="I220"/>
  <c r="J220"/>
  <c r="K220"/>
  <c r="L220"/>
  <c r="M220"/>
  <c r="N220"/>
  <c r="O220"/>
  <c r="Y209"/>
  <c r="AA220"/>
  <c r="AK209"/>
  <c r="AM220"/>
  <c r="AW209"/>
  <c r="AY220"/>
  <c r="BI209"/>
  <c r="BJ220"/>
  <c r="BJ221"/>
  <c r="D219"/>
  <c r="E219"/>
  <c r="F219"/>
  <c r="G219"/>
  <c r="H219"/>
  <c r="I219"/>
  <c r="J219"/>
  <c r="K219"/>
  <c r="L219"/>
  <c r="M219"/>
  <c r="N219"/>
  <c r="O219"/>
  <c r="U20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BC216"/>
  <c r="BD216"/>
  <c r="BE216"/>
  <c r="BF216"/>
  <c r="BG216"/>
  <c r="BH216"/>
  <c r="BI216"/>
  <c r="BJ216"/>
  <c r="AZ210"/>
  <c r="BA210"/>
  <c r="BB210"/>
  <c r="BC210"/>
  <c r="BD210"/>
  <c r="BE210"/>
  <c r="BF210"/>
  <c r="BG210"/>
  <c r="BH210"/>
  <c r="BI210"/>
  <c r="BJ210"/>
  <c r="AZ211"/>
  <c r="BA211"/>
  <c r="BB211"/>
  <c r="BC211"/>
  <c r="BD211"/>
  <c r="BE211"/>
  <c r="BF211"/>
  <c r="BG211"/>
  <c r="BH211"/>
  <c r="BI211"/>
  <c r="BJ211"/>
  <c r="BJ212"/>
  <c r="AZ213"/>
  <c r="BA213"/>
  <c r="BB213"/>
  <c r="BC213"/>
  <c r="BD213"/>
  <c r="BE213"/>
  <c r="BF213"/>
  <c r="BG213"/>
  <c r="BH213"/>
  <c r="BI213"/>
  <c r="BJ213"/>
  <c r="BJ214"/>
  <c r="BJ217"/>
  <c r="BJ225"/>
  <c r="BK105" i="32"/>
  <c r="BI220" i="30"/>
  <c r="BI221"/>
  <c r="BI212"/>
  <c r="BI214"/>
  <c r="BI217"/>
  <c r="BI225"/>
  <c r="BJ105" i="32"/>
  <c r="BH220" i="30"/>
  <c r="BH221"/>
  <c r="BH212"/>
  <c r="BH214"/>
  <c r="BH217"/>
  <c r="BH225"/>
  <c r="BI105" i="32"/>
  <c r="BG220" i="30"/>
  <c r="BG221"/>
  <c r="BG212"/>
  <c r="BG214"/>
  <c r="BG217"/>
  <c r="BG225"/>
  <c r="BH105" i="32"/>
  <c r="BF220" i="30"/>
  <c r="BF221"/>
  <c r="BF212"/>
  <c r="BF214"/>
  <c r="BF217"/>
  <c r="BF225"/>
  <c r="BG105" i="32"/>
  <c r="BE220" i="30"/>
  <c r="BE221"/>
  <c r="BE212"/>
  <c r="BE214"/>
  <c r="BE217"/>
  <c r="BE225"/>
  <c r="BF105" i="32"/>
  <c r="BD220" i="30"/>
  <c r="BD221"/>
  <c r="BD212"/>
  <c r="BD214"/>
  <c r="BD217"/>
  <c r="BD225"/>
  <c r="BE105" i="32"/>
  <c r="BC220" i="30"/>
  <c r="BC221"/>
  <c r="BC212"/>
  <c r="BC214"/>
  <c r="BC217"/>
  <c r="BC225"/>
  <c r="BD105" i="32"/>
  <c r="BB220" i="30"/>
  <c r="BB221"/>
  <c r="BB212"/>
  <c r="BB214"/>
  <c r="BB217"/>
  <c r="BB225"/>
  <c r="BC105" i="32"/>
  <c r="BA220" i="30"/>
  <c r="BA221"/>
  <c r="BA212"/>
  <c r="BA214"/>
  <c r="BA217"/>
  <c r="BA225"/>
  <c r="BB105" i="32"/>
  <c r="AZ220" i="30"/>
  <c r="AZ221"/>
  <c r="AZ212"/>
  <c r="AZ214"/>
  <c r="AZ217"/>
  <c r="AZ225"/>
  <c r="BA105" i="32"/>
  <c r="AY221" i="30"/>
  <c r="AY217"/>
  <c r="AY225"/>
  <c r="AZ105" i="32"/>
  <c r="AX220" i="30"/>
  <c r="AX221"/>
  <c r="AX217"/>
  <c r="AX225"/>
  <c r="AY105" i="32"/>
  <c r="AW220" i="30"/>
  <c r="AW221"/>
  <c r="AW217"/>
  <c r="AW225"/>
  <c r="AX105" i="32"/>
  <c r="AV220" i="30"/>
  <c r="AV221"/>
  <c r="AV217"/>
  <c r="AV225"/>
  <c r="AW105" i="32"/>
  <c r="AU220" i="30"/>
  <c r="AU221"/>
  <c r="AU217"/>
  <c r="AU225"/>
  <c r="AV105" i="32"/>
  <c r="AT220" i="30"/>
  <c r="AT221"/>
  <c r="AT217"/>
  <c r="AT225"/>
  <c r="AU105" i="32"/>
  <c r="AS220" i="30"/>
  <c r="AS221"/>
  <c r="AS217"/>
  <c r="AS225"/>
  <c r="AT105" i="32"/>
  <c r="AR220" i="30"/>
  <c r="AR221"/>
  <c r="AR217"/>
  <c r="AR225"/>
  <c r="AS105" i="32"/>
  <c r="AQ220" i="30"/>
  <c r="AQ221"/>
  <c r="AQ217"/>
  <c r="AQ225"/>
  <c r="AR105" i="32"/>
  <c r="AP220" i="30"/>
  <c r="AP221"/>
  <c r="AP217"/>
  <c r="AP225"/>
  <c r="AQ105" i="32"/>
  <c r="AO220" i="30"/>
  <c r="AO221"/>
  <c r="AO217"/>
  <c r="AO225"/>
  <c r="AP105" i="32"/>
  <c r="AN220" i="30"/>
  <c r="AN221"/>
  <c r="AN217"/>
  <c r="AN225"/>
  <c r="AO105" i="32"/>
  <c r="AM221" i="30"/>
  <c r="AM217"/>
  <c r="AM225"/>
  <c r="AN105" i="32"/>
  <c r="AL220" i="30"/>
  <c r="AL221"/>
  <c r="AL217"/>
  <c r="AL225"/>
  <c r="AM105" i="32"/>
  <c r="AK220" i="30"/>
  <c r="AK221"/>
  <c r="AK217"/>
  <c r="AK225"/>
  <c r="AL105" i="32"/>
  <c r="AJ220" i="30"/>
  <c r="AJ221"/>
  <c r="AJ217"/>
  <c r="AJ225"/>
  <c r="AK105" i="32"/>
  <c r="AI220" i="30"/>
  <c r="AI221"/>
  <c r="AI217"/>
  <c r="AI225"/>
  <c r="AJ105" i="32"/>
  <c r="AH220" i="30"/>
  <c r="AH221"/>
  <c r="AH217"/>
  <c r="AH225"/>
  <c r="AI105" i="32"/>
  <c r="AG220" i="30"/>
  <c r="AG221"/>
  <c r="AG217"/>
  <c r="AG225"/>
  <c r="AH105" i="32"/>
  <c r="AF220" i="30"/>
  <c r="AF221"/>
  <c r="AF217"/>
  <c r="AF225"/>
  <c r="AG105" i="32"/>
  <c r="AE220" i="30"/>
  <c r="AE221"/>
  <c r="AE217"/>
  <c r="AE225"/>
  <c r="AF105" i="32"/>
  <c r="AD220" i="30"/>
  <c r="AD221"/>
  <c r="AD217"/>
  <c r="AD225"/>
  <c r="AE105" i="32"/>
  <c r="AC220" i="30"/>
  <c r="AC221"/>
  <c r="AC217"/>
  <c r="AC225"/>
  <c r="AD105" i="32"/>
  <c r="AB220" i="30"/>
  <c r="AB221"/>
  <c r="AB217"/>
  <c r="AB225"/>
  <c r="AC105" i="32"/>
  <c r="AA221" i="30"/>
  <c r="AA217"/>
  <c r="AA225"/>
  <c r="AB105" i="32"/>
  <c r="Z220" i="30"/>
  <c r="Z221"/>
  <c r="Z217"/>
  <c r="Z225"/>
  <c r="AA105" i="32"/>
  <c r="Y220" i="30"/>
  <c r="Y221"/>
  <c r="Y217"/>
  <c r="Y225"/>
  <c r="Z105" i="32"/>
  <c r="X220" i="30"/>
  <c r="X221"/>
  <c r="X217"/>
  <c r="X225"/>
  <c r="Y105" i="32"/>
  <c r="W220" i="30"/>
  <c r="W221"/>
  <c r="W217"/>
  <c r="W225"/>
  <c r="X105" i="32"/>
  <c r="V220" i="30"/>
  <c r="V221"/>
  <c r="V217"/>
  <c r="V225"/>
  <c r="W105" i="32"/>
  <c r="U220" i="30"/>
  <c r="U221"/>
  <c r="U217"/>
  <c r="U225"/>
  <c r="V105" i="32"/>
  <c r="T220" i="30"/>
  <c r="T221"/>
  <c r="T217"/>
  <c r="T225"/>
  <c r="U105" i="32"/>
  <c r="S220" i="30"/>
  <c r="S221"/>
  <c r="S217"/>
  <c r="S225"/>
  <c r="T105" i="32"/>
  <c r="R220" i="30"/>
  <c r="R221"/>
  <c r="R217"/>
  <c r="R225"/>
  <c r="S105" i="32"/>
  <c r="Q220" i="30"/>
  <c r="Q221"/>
  <c r="Q217"/>
  <c r="Q225"/>
  <c r="R105" i="32"/>
  <c r="P220" i="30"/>
  <c r="P221"/>
  <c r="P217"/>
  <c r="P225"/>
  <c r="Q105" i="32"/>
  <c r="O221" i="30"/>
  <c r="O217"/>
  <c r="O225"/>
  <c r="P105" i="32"/>
  <c r="N221" i="30"/>
  <c r="N217"/>
  <c r="N225"/>
  <c r="O105" i="32"/>
  <c r="M221" i="30"/>
  <c r="M217"/>
  <c r="M225"/>
  <c r="N105" i="32"/>
  <c r="L221" i="30"/>
  <c r="L217"/>
  <c r="L225"/>
  <c r="M105" i="32"/>
  <c r="K221" i="30"/>
  <c r="K217"/>
  <c r="K225"/>
  <c r="L105" i="32"/>
  <c r="J221" i="30"/>
  <c r="J217"/>
  <c r="J225"/>
  <c r="K105" i="32"/>
  <c r="I221" i="30"/>
  <c r="I217"/>
  <c r="I225"/>
  <c r="J105" i="32"/>
  <c r="H221" i="30"/>
  <c r="H217"/>
  <c r="H225"/>
  <c r="I105" i="32"/>
  <c r="G221" i="30"/>
  <c r="G217"/>
  <c r="G225"/>
  <c r="H105" i="32"/>
  <c r="F221" i="30"/>
  <c r="F217"/>
  <c r="F225"/>
  <c r="G105" i="32"/>
  <c r="E221" i="30"/>
  <c r="E217"/>
  <c r="E225"/>
  <c r="F105" i="32"/>
  <c r="D221" i="30"/>
  <c r="D217"/>
  <c r="D225"/>
  <c r="E105" i="32"/>
  <c r="C221" i="30"/>
  <c r="C217"/>
  <c r="C225"/>
  <c r="D105" i="32"/>
  <c r="C63"/>
  <c r="C77"/>
  <c r="C91"/>
  <c r="C105"/>
  <c r="M191" i="30"/>
  <c r="D202"/>
  <c r="E202"/>
  <c r="F202"/>
  <c r="G202"/>
  <c r="H202"/>
  <c r="I202"/>
  <c r="J202"/>
  <c r="K202"/>
  <c r="L202"/>
  <c r="M202"/>
  <c r="N202"/>
  <c r="O202"/>
  <c r="Y191"/>
  <c r="AA202"/>
  <c r="AK191"/>
  <c r="AM202"/>
  <c r="AW191"/>
  <c r="AY202"/>
  <c r="BI191"/>
  <c r="BJ202"/>
  <c r="BJ203"/>
  <c r="D201"/>
  <c r="E201"/>
  <c r="F201"/>
  <c r="G201"/>
  <c r="H201"/>
  <c r="I201"/>
  <c r="J201"/>
  <c r="K201"/>
  <c r="L201"/>
  <c r="M201"/>
  <c r="N201"/>
  <c r="O201"/>
  <c r="U19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AZ192"/>
  <c r="BA192"/>
  <c r="BB192"/>
  <c r="BC192"/>
  <c r="BD192"/>
  <c r="BE192"/>
  <c r="BF192"/>
  <c r="BG192"/>
  <c r="BH192"/>
  <c r="BI192"/>
  <c r="BJ192"/>
  <c r="AZ193"/>
  <c r="BA193"/>
  <c r="BB193"/>
  <c r="BC193"/>
  <c r="BD193"/>
  <c r="BE193"/>
  <c r="BF193"/>
  <c r="BG193"/>
  <c r="BH193"/>
  <c r="BI193"/>
  <c r="BJ193"/>
  <c r="BJ194"/>
  <c r="AZ195"/>
  <c r="BA195"/>
  <c r="BB195"/>
  <c r="BC195"/>
  <c r="BD195"/>
  <c r="BE195"/>
  <c r="BF195"/>
  <c r="BG195"/>
  <c r="BH195"/>
  <c r="BI195"/>
  <c r="BJ195"/>
  <c r="BJ196"/>
  <c r="BJ199"/>
  <c r="BJ207"/>
  <c r="BK104" i="32"/>
  <c r="BI202" i="30"/>
  <c r="BI203"/>
  <c r="BI194"/>
  <c r="BI196"/>
  <c r="BI199"/>
  <c r="BI207"/>
  <c r="BJ104" i="32"/>
  <c r="BH202" i="30"/>
  <c r="BH203"/>
  <c r="BH194"/>
  <c r="BH196"/>
  <c r="BH199"/>
  <c r="BH207"/>
  <c r="BI104" i="32"/>
  <c r="BG202" i="30"/>
  <c r="BG203"/>
  <c r="BG194"/>
  <c r="BG196"/>
  <c r="BG199"/>
  <c r="BG207"/>
  <c r="BH104" i="32"/>
  <c r="BF202" i="30"/>
  <c r="BF203"/>
  <c r="BF194"/>
  <c r="BF196"/>
  <c r="BF199"/>
  <c r="BF207"/>
  <c r="BG104" i="32"/>
  <c r="BE202" i="30"/>
  <c r="BE203"/>
  <c r="BE194"/>
  <c r="BE196"/>
  <c r="BE199"/>
  <c r="BE207"/>
  <c r="BF104" i="32"/>
  <c r="BD202" i="30"/>
  <c r="BD203"/>
  <c r="BD194"/>
  <c r="BD196"/>
  <c r="BD199"/>
  <c r="BD207"/>
  <c r="BE104" i="32"/>
  <c r="BC202" i="30"/>
  <c r="BC203"/>
  <c r="BC194"/>
  <c r="BC196"/>
  <c r="BC199"/>
  <c r="BC207"/>
  <c r="BD104" i="32"/>
  <c r="BB202" i="30"/>
  <c r="BB203"/>
  <c r="BB194"/>
  <c r="BB196"/>
  <c r="BB199"/>
  <c r="BB207"/>
  <c r="BC104" i="32"/>
  <c r="BA202" i="30"/>
  <c r="BA203"/>
  <c r="BA194"/>
  <c r="BA196"/>
  <c r="BA199"/>
  <c r="BA207"/>
  <c r="BB104" i="32"/>
  <c r="AZ202" i="30"/>
  <c r="AZ203"/>
  <c r="AZ194"/>
  <c r="AZ196"/>
  <c r="AZ199"/>
  <c r="AZ207"/>
  <c r="BA104" i="32"/>
  <c r="AY203" i="30"/>
  <c r="AY199"/>
  <c r="AY207"/>
  <c r="AZ104" i="32"/>
  <c r="AX202" i="30"/>
  <c r="AX203"/>
  <c r="AX199"/>
  <c r="AX207"/>
  <c r="AY104" i="32"/>
  <c r="AW202" i="30"/>
  <c r="AW203"/>
  <c r="AW199"/>
  <c r="AW207"/>
  <c r="AX104" i="32"/>
  <c r="AV202" i="30"/>
  <c r="AV203"/>
  <c r="AV199"/>
  <c r="AV207"/>
  <c r="AW104" i="32"/>
  <c r="AU202" i="30"/>
  <c r="AU203"/>
  <c r="AU199"/>
  <c r="AU207"/>
  <c r="AV104" i="32"/>
  <c r="AT202" i="30"/>
  <c r="AT203"/>
  <c r="AT199"/>
  <c r="AT207"/>
  <c r="AU104" i="32"/>
  <c r="AS202" i="30"/>
  <c r="AS203"/>
  <c r="AS199"/>
  <c r="AS207"/>
  <c r="AT104" i="32"/>
  <c r="AR202" i="30"/>
  <c r="AR203"/>
  <c r="AR199"/>
  <c r="AR207"/>
  <c r="AS104" i="32"/>
  <c r="AQ202" i="30"/>
  <c r="AQ203"/>
  <c r="AQ199"/>
  <c r="AQ207"/>
  <c r="AR104" i="32"/>
  <c r="AP202" i="30"/>
  <c r="AP203"/>
  <c r="AP199"/>
  <c r="AP207"/>
  <c r="AQ104" i="32"/>
  <c r="AO202" i="30"/>
  <c r="AO203"/>
  <c r="AO199"/>
  <c r="AO207"/>
  <c r="AP104" i="32"/>
  <c r="AN202" i="30"/>
  <c r="AN203"/>
  <c r="AN199"/>
  <c r="AN207"/>
  <c r="AO104" i="32"/>
  <c r="AM203" i="30"/>
  <c r="AM199"/>
  <c r="AM207"/>
  <c r="AN104" i="32"/>
  <c r="AL202" i="30"/>
  <c r="AL203"/>
  <c r="AL199"/>
  <c r="AL207"/>
  <c r="AM104" i="32"/>
  <c r="AK202" i="30"/>
  <c r="AK203"/>
  <c r="AK199"/>
  <c r="AK207"/>
  <c r="AL104" i="32"/>
  <c r="AJ202" i="30"/>
  <c r="AJ203"/>
  <c r="AJ199"/>
  <c r="AJ207"/>
  <c r="AK104" i="32"/>
  <c r="AI202" i="30"/>
  <c r="AI203"/>
  <c r="AI199"/>
  <c r="AI207"/>
  <c r="AJ104" i="32"/>
  <c r="AH202" i="30"/>
  <c r="AH203"/>
  <c r="AH199"/>
  <c r="AH207"/>
  <c r="AI104" i="32"/>
  <c r="AG202" i="30"/>
  <c r="AG203"/>
  <c r="AG199"/>
  <c r="AG207"/>
  <c r="AH104" i="32"/>
  <c r="AF202" i="30"/>
  <c r="AF203"/>
  <c r="AF199"/>
  <c r="AF207"/>
  <c r="AG104" i="32"/>
  <c r="AE202" i="30"/>
  <c r="AE203"/>
  <c r="AE199"/>
  <c r="AE207"/>
  <c r="AF104" i="32"/>
  <c r="AD202" i="30"/>
  <c r="AD203"/>
  <c r="AD199"/>
  <c r="AD207"/>
  <c r="AE104" i="32"/>
  <c r="AC202" i="30"/>
  <c r="AC203"/>
  <c r="AC199"/>
  <c r="AC207"/>
  <c r="AD104" i="32"/>
  <c r="AB202" i="30"/>
  <c r="AB203"/>
  <c r="AB199"/>
  <c r="AB207"/>
  <c r="AC104" i="32"/>
  <c r="AA203" i="30"/>
  <c r="AA199"/>
  <c r="AA207"/>
  <c r="AB104" i="32"/>
  <c r="Z202" i="30"/>
  <c r="Z203"/>
  <c r="Z199"/>
  <c r="Z207"/>
  <c r="AA104" i="32"/>
  <c r="Y202" i="30"/>
  <c r="Y203"/>
  <c r="Y199"/>
  <c r="Y207"/>
  <c r="Z104" i="32"/>
  <c r="X202" i="30"/>
  <c r="X203"/>
  <c r="X199"/>
  <c r="X207"/>
  <c r="Y104" i="32"/>
  <c r="W202" i="30"/>
  <c r="W203"/>
  <c r="W199"/>
  <c r="W207"/>
  <c r="X104" i="32"/>
  <c r="V202" i="30"/>
  <c r="V203"/>
  <c r="V199"/>
  <c r="V207"/>
  <c r="W104" i="32"/>
  <c r="U202" i="30"/>
  <c r="U203"/>
  <c r="U199"/>
  <c r="U207"/>
  <c r="V104" i="32"/>
  <c r="T202" i="30"/>
  <c r="T203"/>
  <c r="T199"/>
  <c r="T207"/>
  <c r="U104" i="32"/>
  <c r="S202" i="30"/>
  <c r="S203"/>
  <c r="S199"/>
  <c r="S207"/>
  <c r="T104" i="32"/>
  <c r="R202" i="30"/>
  <c r="R203"/>
  <c r="R199"/>
  <c r="R207"/>
  <c r="S104" i="32"/>
  <c r="Q202" i="30"/>
  <c r="Q203"/>
  <c r="Q199"/>
  <c r="Q207"/>
  <c r="R104" i="32"/>
  <c r="P202" i="30"/>
  <c r="P203"/>
  <c r="P199"/>
  <c r="P207"/>
  <c r="Q104" i="32"/>
  <c r="O203" i="30"/>
  <c r="O199"/>
  <c r="O207"/>
  <c r="P104" i="32"/>
  <c r="N203" i="30"/>
  <c r="N199"/>
  <c r="N207"/>
  <c r="O104" i="32"/>
  <c r="M203" i="30"/>
  <c r="M199"/>
  <c r="M207"/>
  <c r="N104" i="32"/>
  <c r="L203" i="30"/>
  <c r="L199"/>
  <c r="L207"/>
  <c r="M104" i="32"/>
  <c r="K203" i="30"/>
  <c r="K199"/>
  <c r="K207"/>
  <c r="L104" i="32"/>
  <c r="J203" i="30"/>
  <c r="J199"/>
  <c r="J207"/>
  <c r="K104" i="32"/>
  <c r="I203" i="30"/>
  <c r="I199"/>
  <c r="I207"/>
  <c r="J104" i="32"/>
  <c r="H203" i="30"/>
  <c r="H199"/>
  <c r="H207"/>
  <c r="I104" i="32"/>
  <c r="G203" i="30"/>
  <c r="G199"/>
  <c r="G207"/>
  <c r="H104" i="32"/>
  <c r="F203" i="30"/>
  <c r="F199"/>
  <c r="F207"/>
  <c r="G104" i="32"/>
  <c r="E203" i="30"/>
  <c r="E199"/>
  <c r="E207"/>
  <c r="F104" i="32"/>
  <c r="D203" i="30"/>
  <c r="D199"/>
  <c r="D207"/>
  <c r="E104" i="32"/>
  <c r="C203" i="30"/>
  <c r="C199"/>
  <c r="C207"/>
  <c r="D104" i="32"/>
  <c r="C62"/>
  <c r="C76"/>
  <c r="C90"/>
  <c r="C104"/>
  <c r="M173" i="30"/>
  <c r="D184"/>
  <c r="E184"/>
  <c r="F184"/>
  <c r="G184"/>
  <c r="H184"/>
  <c r="I184"/>
  <c r="J184"/>
  <c r="K184"/>
  <c r="L184"/>
  <c r="M184"/>
  <c r="N184"/>
  <c r="O184"/>
  <c r="Y173"/>
  <c r="AA184"/>
  <c r="AK173"/>
  <c r="AM184"/>
  <c r="AW173"/>
  <c r="AY184"/>
  <c r="BI173"/>
  <c r="BJ184"/>
  <c r="BJ185"/>
  <c r="D183"/>
  <c r="E183"/>
  <c r="F183"/>
  <c r="G183"/>
  <c r="H183"/>
  <c r="I183"/>
  <c r="J183"/>
  <c r="K183"/>
  <c r="L183"/>
  <c r="M183"/>
  <c r="N183"/>
  <c r="O183"/>
  <c r="U17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AZ174"/>
  <c r="BA174"/>
  <c r="BB174"/>
  <c r="BC174"/>
  <c r="BD174"/>
  <c r="BE174"/>
  <c r="BF174"/>
  <c r="BG174"/>
  <c r="BH174"/>
  <c r="BI174"/>
  <c r="BJ174"/>
  <c r="AZ175"/>
  <c r="BA175"/>
  <c r="BB175"/>
  <c r="BC175"/>
  <c r="BD175"/>
  <c r="BE175"/>
  <c r="BF175"/>
  <c r="BG175"/>
  <c r="BH175"/>
  <c r="BI175"/>
  <c r="BJ175"/>
  <c r="BJ176"/>
  <c r="AZ177"/>
  <c r="BA177"/>
  <c r="BB177"/>
  <c r="BC177"/>
  <c r="BD177"/>
  <c r="BE177"/>
  <c r="BF177"/>
  <c r="BG177"/>
  <c r="BH177"/>
  <c r="BI177"/>
  <c r="BJ177"/>
  <c r="BJ178"/>
  <c r="BJ181"/>
  <c r="BJ189"/>
  <c r="BK103" i="32"/>
  <c r="BI184" i="30"/>
  <c r="BI185"/>
  <c r="BI176"/>
  <c r="BI178"/>
  <c r="BI181"/>
  <c r="BI189"/>
  <c r="BJ103" i="32"/>
  <c r="BH184" i="30"/>
  <c r="BH185"/>
  <c r="BH176"/>
  <c r="BH178"/>
  <c r="BH181"/>
  <c r="BH189"/>
  <c r="BI103" i="32"/>
  <c r="BG184" i="30"/>
  <c r="BG185"/>
  <c r="BG176"/>
  <c r="BG178"/>
  <c r="BG181"/>
  <c r="BG189"/>
  <c r="BH103" i="32"/>
  <c r="BF184" i="30"/>
  <c r="BF185"/>
  <c r="BF176"/>
  <c r="BF178"/>
  <c r="BF181"/>
  <c r="BF189"/>
  <c r="BG103" i="32"/>
  <c r="BE184" i="30"/>
  <c r="BE185"/>
  <c r="BE176"/>
  <c r="BE178"/>
  <c r="BE181"/>
  <c r="BE189"/>
  <c r="BF103" i="32"/>
  <c r="BD184" i="30"/>
  <c r="BD185"/>
  <c r="BD176"/>
  <c r="BD178"/>
  <c r="BD181"/>
  <c r="BD189"/>
  <c r="BE103" i="32"/>
  <c r="BC184" i="30"/>
  <c r="BC185"/>
  <c r="BC176"/>
  <c r="BC178"/>
  <c r="BC181"/>
  <c r="BC189"/>
  <c r="BD103" i="32"/>
  <c r="BB184" i="30"/>
  <c r="BB185"/>
  <c r="BB176"/>
  <c r="BB178"/>
  <c r="BB181"/>
  <c r="BB189"/>
  <c r="BC103" i="32"/>
  <c r="BA184" i="30"/>
  <c r="BA185"/>
  <c r="BA176"/>
  <c r="BA178"/>
  <c r="BA181"/>
  <c r="BA189"/>
  <c r="BB103" i="32"/>
  <c r="AZ184" i="30"/>
  <c r="AZ185"/>
  <c r="AZ176"/>
  <c r="AZ178"/>
  <c r="AZ181"/>
  <c r="AZ189"/>
  <c r="BA103" i="32"/>
  <c r="AY185" i="30"/>
  <c r="AY181"/>
  <c r="AY189"/>
  <c r="AZ103" i="32"/>
  <c r="AX184" i="30"/>
  <c r="AX185"/>
  <c r="AX181"/>
  <c r="AX189"/>
  <c r="AY103" i="32"/>
  <c r="AW184" i="30"/>
  <c r="AW185"/>
  <c r="AW181"/>
  <c r="AW189"/>
  <c r="AX103" i="32"/>
  <c r="AV184" i="30"/>
  <c r="AV185"/>
  <c r="AV181"/>
  <c r="AV189"/>
  <c r="AW103" i="32"/>
  <c r="AU184" i="30"/>
  <c r="AU185"/>
  <c r="AU181"/>
  <c r="AU189"/>
  <c r="AV103" i="32"/>
  <c r="AT184" i="30"/>
  <c r="AT185"/>
  <c r="AT181"/>
  <c r="AT189"/>
  <c r="AU103" i="32"/>
  <c r="AS184" i="30"/>
  <c r="AS185"/>
  <c r="AS181"/>
  <c r="AS189"/>
  <c r="AT103" i="32"/>
  <c r="AR184" i="30"/>
  <c r="AR185"/>
  <c r="AR181"/>
  <c r="AR189"/>
  <c r="AS103" i="32"/>
  <c r="AQ184" i="30"/>
  <c r="AQ185"/>
  <c r="AQ181"/>
  <c r="AQ189"/>
  <c r="AR103" i="32"/>
  <c r="AP184" i="30"/>
  <c r="AP185"/>
  <c r="AP181"/>
  <c r="AP189"/>
  <c r="AQ103" i="32"/>
  <c r="AO184" i="30"/>
  <c r="AO185"/>
  <c r="AO181"/>
  <c r="AO189"/>
  <c r="AP103" i="32"/>
  <c r="AN184" i="30"/>
  <c r="AN185"/>
  <c r="AN181"/>
  <c r="AN189"/>
  <c r="AO103" i="32"/>
  <c r="AM185" i="30"/>
  <c r="AM181"/>
  <c r="AM189"/>
  <c r="AN103" i="32"/>
  <c r="AL184" i="30"/>
  <c r="AL185"/>
  <c r="AL181"/>
  <c r="AL189"/>
  <c r="AM103" i="32"/>
  <c r="AK184" i="30"/>
  <c r="AK185"/>
  <c r="AK181"/>
  <c r="AK189"/>
  <c r="AL103" i="32"/>
  <c r="AJ184" i="30"/>
  <c r="AJ185"/>
  <c r="AJ181"/>
  <c r="AJ189"/>
  <c r="AK103" i="32"/>
  <c r="AI184" i="30"/>
  <c r="AI185"/>
  <c r="AI181"/>
  <c r="AI189"/>
  <c r="AJ103" i="32"/>
  <c r="AH184" i="30"/>
  <c r="AH185"/>
  <c r="AH181"/>
  <c r="AH189"/>
  <c r="AI103" i="32"/>
  <c r="AG184" i="30"/>
  <c r="AG185"/>
  <c r="AG181"/>
  <c r="AG189"/>
  <c r="AH103" i="32"/>
  <c r="AF184" i="30"/>
  <c r="AF185"/>
  <c r="AF181"/>
  <c r="AF189"/>
  <c r="AG103" i="32"/>
  <c r="AE184" i="30"/>
  <c r="AE185"/>
  <c r="AE181"/>
  <c r="AE189"/>
  <c r="AF103" i="32"/>
  <c r="AD184" i="30"/>
  <c r="AD185"/>
  <c r="AD181"/>
  <c r="AD189"/>
  <c r="AE103" i="32"/>
  <c r="AC184" i="30"/>
  <c r="AC185"/>
  <c r="AC181"/>
  <c r="AC189"/>
  <c r="AD103" i="32"/>
  <c r="AB184" i="30"/>
  <c r="AB185"/>
  <c r="AB181"/>
  <c r="AB189"/>
  <c r="AC103" i="32"/>
  <c r="AA185" i="30"/>
  <c r="AA181"/>
  <c r="AA189"/>
  <c r="AB103" i="32"/>
  <c r="Z184" i="30"/>
  <c r="Z185"/>
  <c r="Z181"/>
  <c r="Z189"/>
  <c r="AA103" i="32"/>
  <c r="Y184" i="30"/>
  <c r="Y185"/>
  <c r="Y181"/>
  <c r="Y189"/>
  <c r="Z103" i="32"/>
  <c r="X184" i="30"/>
  <c r="X185"/>
  <c r="X181"/>
  <c r="X189"/>
  <c r="Y103" i="32"/>
  <c r="W184" i="30"/>
  <c r="W185"/>
  <c r="W181"/>
  <c r="W189"/>
  <c r="X103" i="32"/>
  <c r="V184" i="30"/>
  <c r="V185"/>
  <c r="V181"/>
  <c r="V189"/>
  <c r="W103" i="32"/>
  <c r="U184" i="30"/>
  <c r="U185"/>
  <c r="U181"/>
  <c r="U189"/>
  <c r="V103" i="32"/>
  <c r="T184" i="30"/>
  <c r="T185"/>
  <c r="T181"/>
  <c r="T189"/>
  <c r="U103" i="32"/>
  <c r="S184" i="30"/>
  <c r="S185"/>
  <c r="S181"/>
  <c r="S189"/>
  <c r="T103" i="32"/>
  <c r="R184" i="30"/>
  <c r="R185"/>
  <c r="R181"/>
  <c r="R189"/>
  <c r="S103" i="32"/>
  <c r="Q184" i="30"/>
  <c r="Q185"/>
  <c r="Q181"/>
  <c r="Q189"/>
  <c r="R103" i="32"/>
  <c r="P184" i="30"/>
  <c r="P185"/>
  <c r="P181"/>
  <c r="P189"/>
  <c r="Q103" i="32"/>
  <c r="O185" i="30"/>
  <c r="O181"/>
  <c r="O189"/>
  <c r="P103" i="32"/>
  <c r="N185" i="30"/>
  <c r="N181"/>
  <c r="N189"/>
  <c r="O103" i="32"/>
  <c r="M185" i="30"/>
  <c r="M181"/>
  <c r="M189"/>
  <c r="N103" i="32"/>
  <c r="L185" i="30"/>
  <c r="L181"/>
  <c r="L189"/>
  <c r="M103" i="32"/>
  <c r="K185" i="30"/>
  <c r="K181"/>
  <c r="K189"/>
  <c r="L103" i="32"/>
  <c r="J185" i="30"/>
  <c r="J181"/>
  <c r="J189"/>
  <c r="K103" i="32"/>
  <c r="I185" i="30"/>
  <c r="I181"/>
  <c r="I189"/>
  <c r="J103" i="32"/>
  <c r="H185" i="30"/>
  <c r="H181"/>
  <c r="H189"/>
  <c r="I103" i="32"/>
  <c r="G185" i="30"/>
  <c r="G181"/>
  <c r="G189"/>
  <c r="H103" i="32"/>
  <c r="F185" i="30"/>
  <c r="F181"/>
  <c r="F189"/>
  <c r="G103" i="32"/>
  <c r="E185" i="30"/>
  <c r="E181"/>
  <c r="E189"/>
  <c r="F103" i="32"/>
  <c r="D185" i="30"/>
  <c r="D181"/>
  <c r="D189"/>
  <c r="E103" i="32"/>
  <c r="C185" i="30"/>
  <c r="C181"/>
  <c r="C189"/>
  <c r="D103" i="32"/>
  <c r="C61"/>
  <c r="C75"/>
  <c r="C89"/>
  <c r="C103"/>
  <c r="D166" i="30"/>
  <c r="E166"/>
  <c r="F166"/>
  <c r="G166"/>
  <c r="H166"/>
  <c r="I166"/>
  <c r="J166"/>
  <c r="K166"/>
  <c r="L166"/>
  <c r="M166"/>
  <c r="N166"/>
  <c r="O166"/>
  <c r="Y155"/>
  <c r="AA166"/>
  <c r="AK155"/>
  <c r="AM166"/>
  <c r="AW155"/>
  <c r="AY166"/>
  <c r="BI155"/>
  <c r="BJ166"/>
  <c r="BJ167"/>
  <c r="D165"/>
  <c r="E165"/>
  <c r="F165"/>
  <c r="G165"/>
  <c r="H165"/>
  <c r="I165"/>
  <c r="J165"/>
  <c r="K165"/>
  <c r="L165"/>
  <c r="M165"/>
  <c r="N165"/>
  <c r="O165"/>
  <c r="U15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AZ156"/>
  <c r="BA156"/>
  <c r="BB156"/>
  <c r="BC156"/>
  <c r="BD156"/>
  <c r="BE156"/>
  <c r="BF156"/>
  <c r="BG156"/>
  <c r="BH156"/>
  <c r="BI156"/>
  <c r="BJ156"/>
  <c r="AZ157"/>
  <c r="BA157"/>
  <c r="BB157"/>
  <c r="BC157"/>
  <c r="BD157"/>
  <c r="BE157"/>
  <c r="BF157"/>
  <c r="BG157"/>
  <c r="BH157"/>
  <c r="BI157"/>
  <c r="BJ157"/>
  <c r="BJ158"/>
  <c r="AZ159"/>
  <c r="BA159"/>
  <c r="BB159"/>
  <c r="BC159"/>
  <c r="BD159"/>
  <c r="BE159"/>
  <c r="BF159"/>
  <c r="BG159"/>
  <c r="BH159"/>
  <c r="BI159"/>
  <c r="BJ159"/>
  <c r="BJ160"/>
  <c r="BJ163"/>
  <c r="BJ171"/>
  <c r="BK102" i="32"/>
  <c r="BI166" i="30"/>
  <c r="BI167"/>
  <c r="BI158"/>
  <c r="BI160"/>
  <c r="BI163"/>
  <c r="BI171"/>
  <c r="BJ102" i="32"/>
  <c r="BH166" i="30"/>
  <c r="BH167"/>
  <c r="BH158"/>
  <c r="BH160"/>
  <c r="BH163"/>
  <c r="BH171"/>
  <c r="BI102" i="32"/>
  <c r="BG166" i="30"/>
  <c r="BG167"/>
  <c r="BG158"/>
  <c r="BG160"/>
  <c r="BG163"/>
  <c r="BG171"/>
  <c r="BH102" i="32"/>
  <c r="BF166" i="30"/>
  <c r="BF167"/>
  <c r="BF158"/>
  <c r="BF160"/>
  <c r="BF163"/>
  <c r="BF171"/>
  <c r="BG102" i="32"/>
  <c r="BE166" i="30"/>
  <c r="BE167"/>
  <c r="BE158"/>
  <c r="BE160"/>
  <c r="BE163"/>
  <c r="BE171"/>
  <c r="BF102" i="32"/>
  <c r="BD166" i="30"/>
  <c r="BD167"/>
  <c r="BD158"/>
  <c r="BD160"/>
  <c r="BD163"/>
  <c r="BD171"/>
  <c r="BE102" i="32"/>
  <c r="BC166" i="30"/>
  <c r="BC167"/>
  <c r="BC158"/>
  <c r="BC160"/>
  <c r="BC163"/>
  <c r="BC171"/>
  <c r="BD102" i="32"/>
  <c r="BB166" i="30"/>
  <c r="BB167"/>
  <c r="BB158"/>
  <c r="BB160"/>
  <c r="BB163"/>
  <c r="BB171"/>
  <c r="BC102" i="32"/>
  <c r="BA166" i="30"/>
  <c r="BA167"/>
  <c r="BA158"/>
  <c r="BA160"/>
  <c r="BA163"/>
  <c r="BA171"/>
  <c r="BB102" i="32"/>
  <c r="AZ166" i="30"/>
  <c r="AZ167"/>
  <c r="AZ158"/>
  <c r="AZ160"/>
  <c r="AZ163"/>
  <c r="AZ171"/>
  <c r="BA102" i="32"/>
  <c r="AY167" i="30"/>
  <c r="AY163"/>
  <c r="AY171"/>
  <c r="AZ102" i="32"/>
  <c r="AX166" i="30"/>
  <c r="AX167"/>
  <c r="AX163"/>
  <c r="AX171"/>
  <c r="AY102" i="32"/>
  <c r="AW166" i="30"/>
  <c r="AW167"/>
  <c r="AW163"/>
  <c r="AW171"/>
  <c r="AX102" i="32"/>
  <c r="AV166" i="30"/>
  <c r="AV167"/>
  <c r="AV163"/>
  <c r="AV171"/>
  <c r="AW102" i="32"/>
  <c r="AU166" i="30"/>
  <c r="AU167"/>
  <c r="AU163"/>
  <c r="AU171"/>
  <c r="AV102" i="32"/>
  <c r="AT166" i="30"/>
  <c r="AT167"/>
  <c r="AT163"/>
  <c r="AT171"/>
  <c r="AU102" i="32"/>
  <c r="AS166" i="30"/>
  <c r="AS167"/>
  <c r="AS163"/>
  <c r="AS171"/>
  <c r="AT102" i="32"/>
  <c r="AR166" i="30"/>
  <c r="AR167"/>
  <c r="AR163"/>
  <c r="AR171"/>
  <c r="AS102" i="32"/>
  <c r="AQ166" i="30"/>
  <c r="AQ167"/>
  <c r="AQ163"/>
  <c r="AQ171"/>
  <c r="AR102" i="32"/>
  <c r="AP166" i="30"/>
  <c r="AP167"/>
  <c r="AP163"/>
  <c r="AP171"/>
  <c r="AQ102" i="32"/>
  <c r="AO166" i="30"/>
  <c r="AO167"/>
  <c r="AO163"/>
  <c r="AO171"/>
  <c r="AP102" i="32"/>
  <c r="AN166" i="30"/>
  <c r="AN167"/>
  <c r="AN163"/>
  <c r="AN171"/>
  <c r="AO102" i="32"/>
  <c r="AM167" i="30"/>
  <c r="AM163"/>
  <c r="AM171"/>
  <c r="AN102" i="32"/>
  <c r="AL166" i="30"/>
  <c r="AL167"/>
  <c r="AL163"/>
  <c r="AL171"/>
  <c r="AM102" i="32"/>
  <c r="AK166" i="30"/>
  <c r="AK167"/>
  <c r="AK163"/>
  <c r="AK171"/>
  <c r="AL102" i="32"/>
  <c r="AJ166" i="30"/>
  <c r="AJ167"/>
  <c r="AJ163"/>
  <c r="AJ171"/>
  <c r="AK102" i="32"/>
  <c r="AI166" i="30"/>
  <c r="AI167"/>
  <c r="AI163"/>
  <c r="AI171"/>
  <c r="AJ102" i="32"/>
  <c r="AH166" i="30"/>
  <c r="AH167"/>
  <c r="AH163"/>
  <c r="AH171"/>
  <c r="AI102" i="32"/>
  <c r="AG166" i="30"/>
  <c r="AG167"/>
  <c r="AG163"/>
  <c r="AG171"/>
  <c r="AH102" i="32"/>
  <c r="AF166" i="30"/>
  <c r="AF167"/>
  <c r="AF163"/>
  <c r="AF171"/>
  <c r="AG102" i="32"/>
  <c r="AE166" i="30"/>
  <c r="AE167"/>
  <c r="AE163"/>
  <c r="AE171"/>
  <c r="AF102" i="32"/>
  <c r="AD166" i="30"/>
  <c r="AD167"/>
  <c r="AD163"/>
  <c r="AD171"/>
  <c r="AE102" i="32"/>
  <c r="AC166" i="30"/>
  <c r="AC167"/>
  <c r="AC163"/>
  <c r="AC171"/>
  <c r="AD102" i="32"/>
  <c r="AB166" i="30"/>
  <c r="AB167"/>
  <c r="AB163"/>
  <c r="AB171"/>
  <c r="AC102" i="32"/>
  <c r="AA167" i="30"/>
  <c r="AA163"/>
  <c r="AA171"/>
  <c r="AB102" i="32"/>
  <c r="Z166" i="30"/>
  <c r="Z167"/>
  <c r="Z163"/>
  <c r="Z171"/>
  <c r="AA102" i="32"/>
  <c r="Y166" i="30"/>
  <c r="Y167"/>
  <c r="Y163"/>
  <c r="Y171"/>
  <c r="Z102" i="32"/>
  <c r="X166" i="30"/>
  <c r="X167"/>
  <c r="X163"/>
  <c r="X171"/>
  <c r="Y102" i="32"/>
  <c r="W166" i="30"/>
  <c r="W167"/>
  <c r="W163"/>
  <c r="W171"/>
  <c r="X102" i="32"/>
  <c r="V166" i="30"/>
  <c r="V167"/>
  <c r="V163"/>
  <c r="V171"/>
  <c r="W102" i="32"/>
  <c r="U166" i="30"/>
  <c r="U167"/>
  <c r="U163"/>
  <c r="U171"/>
  <c r="V102" i="32"/>
  <c r="T166" i="30"/>
  <c r="T167"/>
  <c r="T163"/>
  <c r="T171"/>
  <c r="U102" i="32"/>
  <c r="S166" i="30"/>
  <c r="S167"/>
  <c r="S163"/>
  <c r="S171"/>
  <c r="T102" i="32"/>
  <c r="R166" i="30"/>
  <c r="R167"/>
  <c r="R163"/>
  <c r="R171"/>
  <c r="S102" i="32"/>
  <c r="Q166" i="30"/>
  <c r="Q167"/>
  <c r="Q163"/>
  <c r="Q171"/>
  <c r="R102" i="32"/>
  <c r="P166" i="30"/>
  <c r="P167"/>
  <c r="P163"/>
  <c r="P171"/>
  <c r="Q102" i="32"/>
  <c r="O167" i="30"/>
  <c r="O163"/>
  <c r="O171"/>
  <c r="P102" i="32"/>
  <c r="N167" i="30"/>
  <c r="N163"/>
  <c r="N171"/>
  <c r="O102" i="32"/>
  <c r="M167" i="30"/>
  <c r="M163"/>
  <c r="M171"/>
  <c r="N102" i="32"/>
  <c r="L167" i="30"/>
  <c r="L163"/>
  <c r="L171"/>
  <c r="M102" i="32"/>
  <c r="K167" i="30"/>
  <c r="K163"/>
  <c r="K171"/>
  <c r="L102" i="32"/>
  <c r="J167" i="30"/>
  <c r="J163"/>
  <c r="J171"/>
  <c r="K102" i="32"/>
  <c r="I167" i="30"/>
  <c r="I163"/>
  <c r="I171"/>
  <c r="J102" i="32"/>
  <c r="H167" i="30"/>
  <c r="H163"/>
  <c r="H171"/>
  <c r="I102" i="32"/>
  <c r="G167" i="30"/>
  <c r="G163"/>
  <c r="G171"/>
  <c r="H102" i="32"/>
  <c r="F167" i="30"/>
  <c r="F163"/>
  <c r="F171"/>
  <c r="G102" i="32"/>
  <c r="E167" i="30"/>
  <c r="E163"/>
  <c r="E171"/>
  <c r="F102" i="32"/>
  <c r="D167" i="30"/>
  <c r="D163"/>
  <c r="D171"/>
  <c r="E102" i="32"/>
  <c r="C167" i="30"/>
  <c r="C163"/>
  <c r="C171"/>
  <c r="D102" i="32"/>
  <c r="C60"/>
  <c r="C74"/>
  <c r="C88"/>
  <c r="C102"/>
  <c r="M137" i="30"/>
  <c r="D148"/>
  <c r="E148"/>
  <c r="F148"/>
  <c r="G148"/>
  <c r="H148"/>
  <c r="I148"/>
  <c r="J148"/>
  <c r="K148"/>
  <c r="L148"/>
  <c r="M148"/>
  <c r="N148"/>
  <c r="O148"/>
  <c r="Y137"/>
  <c r="AA148"/>
  <c r="AK137"/>
  <c r="AM148"/>
  <c r="AW137"/>
  <c r="AY148"/>
  <c r="BI137"/>
  <c r="BJ148"/>
  <c r="BJ149"/>
  <c r="D147"/>
  <c r="E147"/>
  <c r="F147"/>
  <c r="G147"/>
  <c r="H147"/>
  <c r="I147"/>
  <c r="J147"/>
  <c r="K147"/>
  <c r="L147"/>
  <c r="M147"/>
  <c r="N147"/>
  <c r="O147"/>
  <c r="U13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AZ138"/>
  <c r="BA138"/>
  <c r="BB138"/>
  <c r="BC138"/>
  <c r="BD138"/>
  <c r="BE138"/>
  <c r="BF138"/>
  <c r="BG138"/>
  <c r="BH138"/>
  <c r="BI138"/>
  <c r="BJ138"/>
  <c r="AZ139"/>
  <c r="BA139"/>
  <c r="BB139"/>
  <c r="BC139"/>
  <c r="BD139"/>
  <c r="BE139"/>
  <c r="BF139"/>
  <c r="BG139"/>
  <c r="BH139"/>
  <c r="BI139"/>
  <c r="BJ139"/>
  <c r="BJ140"/>
  <c r="AZ141"/>
  <c r="BA141"/>
  <c r="BB141"/>
  <c r="BC141"/>
  <c r="BD141"/>
  <c r="BE141"/>
  <c r="BF141"/>
  <c r="BG141"/>
  <c r="BH141"/>
  <c r="BI141"/>
  <c r="BJ141"/>
  <c r="BJ142"/>
  <c r="BJ145"/>
  <c r="BJ153"/>
  <c r="BK101" i="32"/>
  <c r="BI148" i="30"/>
  <c r="BI149"/>
  <c r="BI140"/>
  <c r="BI142"/>
  <c r="BI145"/>
  <c r="BI153"/>
  <c r="BJ101" i="32"/>
  <c r="BH148" i="30"/>
  <c r="BH149"/>
  <c r="BH140"/>
  <c r="BH142"/>
  <c r="BH145"/>
  <c r="BH153"/>
  <c r="BI101" i="32"/>
  <c r="BG148" i="30"/>
  <c r="BG149"/>
  <c r="BG140"/>
  <c r="BG142"/>
  <c r="BG145"/>
  <c r="BG153"/>
  <c r="BH101" i="32"/>
  <c r="BF148" i="30"/>
  <c r="BF149"/>
  <c r="BF140"/>
  <c r="BF142"/>
  <c r="BF145"/>
  <c r="BF153"/>
  <c r="BG101" i="32"/>
  <c r="BE148" i="30"/>
  <c r="BE149"/>
  <c r="BE140"/>
  <c r="BE142"/>
  <c r="BE145"/>
  <c r="BE153"/>
  <c r="BF101" i="32"/>
  <c r="BD148" i="30"/>
  <c r="BD149"/>
  <c r="BD140"/>
  <c r="BD142"/>
  <c r="BD145"/>
  <c r="BD153"/>
  <c r="BE101" i="32"/>
  <c r="BC148" i="30"/>
  <c r="BC149"/>
  <c r="BC140"/>
  <c r="BC142"/>
  <c r="BC145"/>
  <c r="BC153"/>
  <c r="BD101" i="32"/>
  <c r="BB148" i="30"/>
  <c r="BB149"/>
  <c r="BB140"/>
  <c r="BB142"/>
  <c r="BB145"/>
  <c r="BB153"/>
  <c r="BC101" i="32"/>
  <c r="BA148" i="30"/>
  <c r="BA149"/>
  <c r="BA140"/>
  <c r="BA142"/>
  <c r="BA145"/>
  <c r="BA153"/>
  <c r="BB101" i="32"/>
  <c r="AZ148" i="30"/>
  <c r="AZ149"/>
  <c r="AZ140"/>
  <c r="AZ142"/>
  <c r="AZ145"/>
  <c r="AZ153"/>
  <c r="BA101" i="32"/>
  <c r="AY149" i="30"/>
  <c r="AY145"/>
  <c r="AY153"/>
  <c r="AZ101" i="32"/>
  <c r="AX148" i="30"/>
  <c r="AX149"/>
  <c r="AX145"/>
  <c r="AX153"/>
  <c r="AY101" i="32"/>
  <c r="AW148" i="30"/>
  <c r="AW149"/>
  <c r="AW145"/>
  <c r="AW153"/>
  <c r="AX101" i="32"/>
  <c r="AV148" i="30"/>
  <c r="AV149"/>
  <c r="AV145"/>
  <c r="AV153"/>
  <c r="AW101" i="32"/>
  <c r="AU148" i="30"/>
  <c r="AU149"/>
  <c r="AU145"/>
  <c r="AU153"/>
  <c r="AV101" i="32"/>
  <c r="AT148" i="30"/>
  <c r="AT149"/>
  <c r="AT145"/>
  <c r="AT153"/>
  <c r="AU101" i="32"/>
  <c r="AS148" i="30"/>
  <c r="AS149"/>
  <c r="AS145"/>
  <c r="AS153"/>
  <c r="AT101" i="32"/>
  <c r="AR148" i="30"/>
  <c r="AR149"/>
  <c r="AR145"/>
  <c r="AR153"/>
  <c r="AS101" i="32"/>
  <c r="AQ148" i="30"/>
  <c r="AQ149"/>
  <c r="AQ145"/>
  <c r="AQ153"/>
  <c r="AR101" i="32"/>
  <c r="AP148" i="30"/>
  <c r="AP149"/>
  <c r="AP145"/>
  <c r="AP153"/>
  <c r="AQ101" i="32"/>
  <c r="AO148" i="30"/>
  <c r="AO149"/>
  <c r="AO145"/>
  <c r="AO153"/>
  <c r="AP101" i="32"/>
  <c r="AN148" i="30"/>
  <c r="AN149"/>
  <c r="AN145"/>
  <c r="AN153"/>
  <c r="AO101" i="32"/>
  <c r="AM149" i="30"/>
  <c r="AM145"/>
  <c r="AM153"/>
  <c r="AN101" i="32"/>
  <c r="AL148" i="30"/>
  <c r="AL149"/>
  <c r="AL145"/>
  <c r="AL153"/>
  <c r="AM101" i="32"/>
  <c r="AK148" i="30"/>
  <c r="AK149"/>
  <c r="AK145"/>
  <c r="AK153"/>
  <c r="AL101" i="32"/>
  <c r="AJ148" i="30"/>
  <c r="AJ149"/>
  <c r="AJ145"/>
  <c r="AJ153"/>
  <c r="AK101" i="32"/>
  <c r="AI148" i="30"/>
  <c r="AI149"/>
  <c r="AI145"/>
  <c r="AI153"/>
  <c r="AJ101" i="32"/>
  <c r="AH148" i="30"/>
  <c r="AH149"/>
  <c r="AH145"/>
  <c r="AH153"/>
  <c r="AI101" i="32"/>
  <c r="AG148" i="30"/>
  <c r="AG149"/>
  <c r="AG145"/>
  <c r="AG153"/>
  <c r="AH101" i="32"/>
  <c r="AF148" i="30"/>
  <c r="AF149"/>
  <c r="AF145"/>
  <c r="AF153"/>
  <c r="AG101" i="32"/>
  <c r="AE148" i="30"/>
  <c r="AE149"/>
  <c r="AE145"/>
  <c r="AE153"/>
  <c r="AF101" i="32"/>
  <c r="AD148" i="30"/>
  <c r="AD149"/>
  <c r="AD145"/>
  <c r="AD153"/>
  <c r="AE101" i="32"/>
  <c r="AC148" i="30"/>
  <c r="AC149"/>
  <c r="AC145"/>
  <c r="AC153"/>
  <c r="AD101" i="32"/>
  <c r="AB148" i="30"/>
  <c r="AB149"/>
  <c r="AB145"/>
  <c r="AB153"/>
  <c r="AC101" i="32"/>
  <c r="AA149" i="30"/>
  <c r="AA145"/>
  <c r="AA153"/>
  <c r="AB101" i="32"/>
  <c r="Z148" i="30"/>
  <c r="Z149"/>
  <c r="Z145"/>
  <c r="Z153"/>
  <c r="AA101" i="32"/>
  <c r="Y148" i="30"/>
  <c r="Y149"/>
  <c r="Y145"/>
  <c r="Y153"/>
  <c r="Z101" i="32"/>
  <c r="X148" i="30"/>
  <c r="X149"/>
  <c r="X145"/>
  <c r="X153"/>
  <c r="Y101" i="32"/>
  <c r="W148" i="30"/>
  <c r="W149"/>
  <c r="W145"/>
  <c r="W153"/>
  <c r="X101" i="32"/>
  <c r="V148" i="30"/>
  <c r="V149"/>
  <c r="V145"/>
  <c r="V153"/>
  <c r="W101" i="32"/>
  <c r="U148" i="30"/>
  <c r="U149"/>
  <c r="U145"/>
  <c r="U153"/>
  <c r="V101" i="32"/>
  <c r="T148" i="30"/>
  <c r="T149"/>
  <c r="T145"/>
  <c r="T153"/>
  <c r="U101" i="32"/>
  <c r="S148" i="30"/>
  <c r="S149"/>
  <c r="S145"/>
  <c r="S153"/>
  <c r="T101" i="32"/>
  <c r="R148" i="30"/>
  <c r="R149"/>
  <c r="R145"/>
  <c r="R153"/>
  <c r="S101" i="32"/>
  <c r="Q148" i="30"/>
  <c r="Q149"/>
  <c r="Q145"/>
  <c r="Q153"/>
  <c r="R101" i="32"/>
  <c r="P148" i="30"/>
  <c r="P149"/>
  <c r="P145"/>
  <c r="P153"/>
  <c r="Q101" i="32"/>
  <c r="O149" i="30"/>
  <c r="O145"/>
  <c r="O153"/>
  <c r="P101" i="32"/>
  <c r="N149" i="30"/>
  <c r="N145"/>
  <c r="N153"/>
  <c r="O101" i="32"/>
  <c r="M149" i="30"/>
  <c r="M145"/>
  <c r="M153"/>
  <c r="N101" i="32"/>
  <c r="L149" i="30"/>
  <c r="L145"/>
  <c r="L153"/>
  <c r="M101" i="32"/>
  <c r="K149" i="30"/>
  <c r="K145"/>
  <c r="K153"/>
  <c r="L101" i="32"/>
  <c r="J149" i="30"/>
  <c r="J145"/>
  <c r="J153"/>
  <c r="K101" i="32"/>
  <c r="I149" i="30"/>
  <c r="I145"/>
  <c r="I153"/>
  <c r="J101" i="32"/>
  <c r="H149" i="30"/>
  <c r="H145"/>
  <c r="H153"/>
  <c r="I101" i="32"/>
  <c r="G149" i="30"/>
  <c r="G145"/>
  <c r="G153"/>
  <c r="H101" i="32"/>
  <c r="F149" i="30"/>
  <c r="F145"/>
  <c r="F153"/>
  <c r="G101" i="32"/>
  <c r="E149" i="30"/>
  <c r="E145"/>
  <c r="E153"/>
  <c r="F101" i="32"/>
  <c r="D149" i="30"/>
  <c r="D145"/>
  <c r="D153"/>
  <c r="E101" i="32"/>
  <c r="C149" i="30"/>
  <c r="C145"/>
  <c r="C153"/>
  <c r="D101" i="32"/>
  <c r="C59"/>
  <c r="C73"/>
  <c r="C87"/>
  <c r="C101"/>
  <c r="M119" i="30"/>
  <c r="D130"/>
  <c r="E130"/>
  <c r="F130"/>
  <c r="G130"/>
  <c r="H130"/>
  <c r="I130"/>
  <c r="J130"/>
  <c r="K130"/>
  <c r="L130"/>
  <c r="M130"/>
  <c r="N130"/>
  <c r="O130"/>
  <c r="Y119"/>
  <c r="AA130"/>
  <c r="AK119"/>
  <c r="AM130"/>
  <c r="AW119"/>
  <c r="AY130"/>
  <c r="BI119"/>
  <c r="BJ130"/>
  <c r="BJ131"/>
  <c r="D129"/>
  <c r="E129"/>
  <c r="F129"/>
  <c r="G129"/>
  <c r="H129"/>
  <c r="I129"/>
  <c r="J129"/>
  <c r="K129"/>
  <c r="L129"/>
  <c r="M129"/>
  <c r="N129"/>
  <c r="O129"/>
  <c r="U11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AZ120"/>
  <c r="BA120"/>
  <c r="BB120"/>
  <c r="BC120"/>
  <c r="BD120"/>
  <c r="BE120"/>
  <c r="BF120"/>
  <c r="BG120"/>
  <c r="BH120"/>
  <c r="BI120"/>
  <c r="BJ120"/>
  <c r="AZ121"/>
  <c r="BA121"/>
  <c r="BB121"/>
  <c r="BC121"/>
  <c r="BD121"/>
  <c r="BE121"/>
  <c r="BF121"/>
  <c r="BG121"/>
  <c r="BH121"/>
  <c r="BI121"/>
  <c r="BJ121"/>
  <c r="BJ122"/>
  <c r="AZ123"/>
  <c r="BA123"/>
  <c r="BB123"/>
  <c r="BC123"/>
  <c r="BD123"/>
  <c r="BE123"/>
  <c r="BF123"/>
  <c r="BG123"/>
  <c r="BH123"/>
  <c r="BI123"/>
  <c r="BJ123"/>
  <c r="BJ124"/>
  <c r="BJ127"/>
  <c r="BJ135"/>
  <c r="BK100" i="32"/>
  <c r="BI130" i="30"/>
  <c r="BI131"/>
  <c r="BI122"/>
  <c r="BI124"/>
  <c r="BI127"/>
  <c r="BI135"/>
  <c r="BJ100" i="32"/>
  <c r="BH130" i="30"/>
  <c r="BH131"/>
  <c r="BH122"/>
  <c r="BH124"/>
  <c r="BH127"/>
  <c r="BH135"/>
  <c r="BI100" i="32"/>
  <c r="BG130" i="30"/>
  <c r="BG131"/>
  <c r="BG122"/>
  <c r="BG124"/>
  <c r="BG127"/>
  <c r="BG135"/>
  <c r="BH100" i="32"/>
  <c r="BF130" i="30"/>
  <c r="BF131"/>
  <c r="BF122"/>
  <c r="BF124"/>
  <c r="BF127"/>
  <c r="BF135"/>
  <c r="BG100" i="32"/>
  <c r="BE130" i="30"/>
  <c r="BE131"/>
  <c r="BE122"/>
  <c r="BE124"/>
  <c r="BE127"/>
  <c r="BE135"/>
  <c r="BF100" i="32"/>
  <c r="BD130" i="30"/>
  <c r="BD131"/>
  <c r="BD122"/>
  <c r="BD124"/>
  <c r="BD127"/>
  <c r="BD135"/>
  <c r="BE100" i="32"/>
  <c r="BC130" i="30"/>
  <c r="BC131"/>
  <c r="BC122"/>
  <c r="BC124"/>
  <c r="BC127"/>
  <c r="BC135"/>
  <c r="BD100" i="32"/>
  <c r="BB130" i="30"/>
  <c r="BB131"/>
  <c r="BB122"/>
  <c r="BB124"/>
  <c r="BB127"/>
  <c r="BB135"/>
  <c r="BC100" i="32"/>
  <c r="BA130" i="30"/>
  <c r="BA131"/>
  <c r="BA122"/>
  <c r="BA124"/>
  <c r="BA127"/>
  <c r="BA135"/>
  <c r="BB100" i="32"/>
  <c r="AZ130" i="30"/>
  <c r="AZ131"/>
  <c r="AZ122"/>
  <c r="AZ124"/>
  <c r="AZ127"/>
  <c r="AZ135"/>
  <c r="BA100" i="32"/>
  <c r="AY131" i="30"/>
  <c r="AY127"/>
  <c r="AY135"/>
  <c r="AZ100" i="32"/>
  <c r="AX130" i="30"/>
  <c r="AX131"/>
  <c r="AX127"/>
  <c r="AX135"/>
  <c r="AY100" i="32"/>
  <c r="AW130" i="30"/>
  <c r="AW131"/>
  <c r="AW127"/>
  <c r="AW135"/>
  <c r="AX100" i="32"/>
  <c r="AV130" i="30"/>
  <c r="AV131"/>
  <c r="AV127"/>
  <c r="AV135"/>
  <c r="AW100" i="32"/>
  <c r="AU130" i="30"/>
  <c r="AU131"/>
  <c r="AU127"/>
  <c r="AU135"/>
  <c r="AV100" i="32"/>
  <c r="AT130" i="30"/>
  <c r="AT131"/>
  <c r="AT127"/>
  <c r="AT135"/>
  <c r="AU100" i="32"/>
  <c r="AS130" i="30"/>
  <c r="AS131"/>
  <c r="AS127"/>
  <c r="AS135"/>
  <c r="AT100" i="32"/>
  <c r="AR130" i="30"/>
  <c r="AR131"/>
  <c r="AR127"/>
  <c r="AR135"/>
  <c r="AS100" i="32"/>
  <c r="AQ130" i="30"/>
  <c r="AQ131"/>
  <c r="AQ127"/>
  <c r="AQ135"/>
  <c r="AR100" i="32"/>
  <c r="AP130" i="30"/>
  <c r="AP131"/>
  <c r="AP127"/>
  <c r="AP135"/>
  <c r="AQ100" i="32"/>
  <c r="AO130" i="30"/>
  <c r="AO131"/>
  <c r="AO127"/>
  <c r="AO135"/>
  <c r="AP100" i="32"/>
  <c r="AN130" i="30"/>
  <c r="AN131"/>
  <c r="AN127"/>
  <c r="AN135"/>
  <c r="AO100" i="32"/>
  <c r="AM131" i="30"/>
  <c r="AM127"/>
  <c r="AM135"/>
  <c r="AN100" i="32"/>
  <c r="AL130" i="30"/>
  <c r="AL131"/>
  <c r="AL127"/>
  <c r="AL135"/>
  <c r="AM100" i="32"/>
  <c r="AK130" i="30"/>
  <c r="AK131"/>
  <c r="AK127"/>
  <c r="AK135"/>
  <c r="AL100" i="32"/>
  <c r="AJ130" i="30"/>
  <c r="AJ131"/>
  <c r="AJ127"/>
  <c r="AJ135"/>
  <c r="AK100" i="32"/>
  <c r="AI130" i="30"/>
  <c r="AI131"/>
  <c r="AI127"/>
  <c r="AI135"/>
  <c r="AJ100" i="32"/>
  <c r="AH130" i="30"/>
  <c r="AH131"/>
  <c r="AH127"/>
  <c r="AH135"/>
  <c r="AI100" i="32"/>
  <c r="AG130" i="30"/>
  <c r="AG131"/>
  <c r="AG127"/>
  <c r="AG135"/>
  <c r="AH100" i="32"/>
  <c r="AF130" i="30"/>
  <c r="AF131"/>
  <c r="AF127"/>
  <c r="AF135"/>
  <c r="AG100" i="32"/>
  <c r="AE130" i="30"/>
  <c r="AE131"/>
  <c r="AE127"/>
  <c r="AE135"/>
  <c r="AF100" i="32"/>
  <c r="AD130" i="30"/>
  <c r="AD131"/>
  <c r="AD127"/>
  <c r="AD135"/>
  <c r="AE100" i="32"/>
  <c r="AC130" i="30"/>
  <c r="AC131"/>
  <c r="AC127"/>
  <c r="AC135"/>
  <c r="AD100" i="32"/>
  <c r="AB130" i="30"/>
  <c r="AB131"/>
  <c r="AB127"/>
  <c r="AB135"/>
  <c r="AC100" i="32"/>
  <c r="AA131" i="30"/>
  <c r="AA127"/>
  <c r="AA135"/>
  <c r="AB100" i="32"/>
  <c r="Z130" i="30"/>
  <c r="Z131"/>
  <c r="Z127"/>
  <c r="Z135"/>
  <c r="AA100" i="32"/>
  <c r="Y130" i="30"/>
  <c r="Y131"/>
  <c r="Y127"/>
  <c r="Y135"/>
  <c r="Z100" i="32"/>
  <c r="X130" i="30"/>
  <c r="X131"/>
  <c r="X127"/>
  <c r="X135"/>
  <c r="Y100" i="32"/>
  <c r="W130" i="30"/>
  <c r="W131"/>
  <c r="W127"/>
  <c r="W135"/>
  <c r="X100" i="32"/>
  <c r="V130" i="30"/>
  <c r="V131"/>
  <c r="V127"/>
  <c r="V135"/>
  <c r="W100" i="32"/>
  <c r="U130" i="30"/>
  <c r="U131"/>
  <c r="U127"/>
  <c r="U135"/>
  <c r="V100" i="32"/>
  <c r="T130" i="30"/>
  <c r="T131"/>
  <c r="T127"/>
  <c r="T135"/>
  <c r="U100" i="32"/>
  <c r="S130" i="30"/>
  <c r="S131"/>
  <c r="S127"/>
  <c r="S135"/>
  <c r="T100" i="32"/>
  <c r="R130" i="30"/>
  <c r="R131"/>
  <c r="R127"/>
  <c r="R135"/>
  <c r="S100" i="32"/>
  <c r="Q130" i="30"/>
  <c r="Q131"/>
  <c r="Q127"/>
  <c r="Q135"/>
  <c r="R100" i="32"/>
  <c r="P130" i="30"/>
  <c r="P131"/>
  <c r="P127"/>
  <c r="P135"/>
  <c r="Q100" i="32"/>
  <c r="O131" i="30"/>
  <c r="O127"/>
  <c r="O135"/>
  <c r="P100" i="32"/>
  <c r="N131" i="30"/>
  <c r="N127"/>
  <c r="N135"/>
  <c r="O100" i="32"/>
  <c r="M131" i="30"/>
  <c r="M127"/>
  <c r="M135"/>
  <c r="N100" i="32"/>
  <c r="L131" i="30"/>
  <c r="L127"/>
  <c r="L135"/>
  <c r="M100" i="32"/>
  <c r="K131" i="30"/>
  <c r="K127"/>
  <c r="K135"/>
  <c r="L100" i="32"/>
  <c r="J131" i="30"/>
  <c r="J127"/>
  <c r="J135"/>
  <c r="K100" i="32"/>
  <c r="I131" i="30"/>
  <c r="I127"/>
  <c r="I135"/>
  <c r="J100" i="32"/>
  <c r="H131" i="30"/>
  <c r="H127"/>
  <c r="H135"/>
  <c r="I100" i="32"/>
  <c r="G131" i="30"/>
  <c r="G127"/>
  <c r="G135"/>
  <c r="H100" i="32"/>
  <c r="F131" i="30"/>
  <c r="F127"/>
  <c r="F135"/>
  <c r="G100" i="32"/>
  <c r="E131" i="30"/>
  <c r="E127"/>
  <c r="E135"/>
  <c r="F100" i="32"/>
  <c r="D131" i="30"/>
  <c r="D127"/>
  <c r="D135"/>
  <c r="E100" i="32"/>
  <c r="C131" i="30"/>
  <c r="C127"/>
  <c r="C135"/>
  <c r="D100" i="32"/>
  <c r="C58"/>
  <c r="C72"/>
  <c r="C86"/>
  <c r="C100"/>
  <c r="D112" i="30"/>
  <c r="E112"/>
  <c r="F112"/>
  <c r="G112"/>
  <c r="H112"/>
  <c r="I112"/>
  <c r="J112"/>
  <c r="K112"/>
  <c r="L112"/>
  <c r="M112"/>
  <c r="N112"/>
  <c r="O112"/>
  <c r="Y101"/>
  <c r="AA112"/>
  <c r="AK101"/>
  <c r="AM112"/>
  <c r="AW101"/>
  <c r="AY112"/>
  <c r="BI101"/>
  <c r="BJ112"/>
  <c r="BJ113"/>
  <c r="D111"/>
  <c r="E111"/>
  <c r="F111"/>
  <c r="G111"/>
  <c r="H111"/>
  <c r="I111"/>
  <c r="J111"/>
  <c r="K111"/>
  <c r="L111"/>
  <c r="M111"/>
  <c r="N111"/>
  <c r="O111"/>
  <c r="U10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AZ102"/>
  <c r="BA102"/>
  <c r="BB102"/>
  <c r="BC102"/>
  <c r="BD102"/>
  <c r="BE102"/>
  <c r="BF102"/>
  <c r="BG102"/>
  <c r="BH102"/>
  <c r="BI102"/>
  <c r="BJ102"/>
  <c r="AZ103"/>
  <c r="BA103"/>
  <c r="BB103"/>
  <c r="BC103"/>
  <c r="BD103"/>
  <c r="BE103"/>
  <c r="BF103"/>
  <c r="BG103"/>
  <c r="BH103"/>
  <c r="BI103"/>
  <c r="BJ103"/>
  <c r="BJ104"/>
  <c r="AZ105"/>
  <c r="BA105"/>
  <c r="BB105"/>
  <c r="BC105"/>
  <c r="BD105"/>
  <c r="BE105"/>
  <c r="BF105"/>
  <c r="BG105"/>
  <c r="BH105"/>
  <c r="BI105"/>
  <c r="BJ105"/>
  <c r="BJ106"/>
  <c r="BJ109"/>
  <c r="BJ117"/>
  <c r="BK99" i="32"/>
  <c r="BI112" i="30"/>
  <c r="BI113"/>
  <c r="BI104"/>
  <c r="BI106"/>
  <c r="BI109"/>
  <c r="BI117"/>
  <c r="BJ99" i="32"/>
  <c r="BH112" i="30"/>
  <c r="BH113"/>
  <c r="BH104"/>
  <c r="BH106"/>
  <c r="BH109"/>
  <c r="BH117"/>
  <c r="BI99" i="32"/>
  <c r="BG112" i="30"/>
  <c r="BG113"/>
  <c r="BG104"/>
  <c r="BG106"/>
  <c r="BG109"/>
  <c r="BG117"/>
  <c r="BH99" i="32"/>
  <c r="BF112" i="30"/>
  <c r="BF113"/>
  <c r="BF104"/>
  <c r="BF106"/>
  <c r="BF109"/>
  <c r="BF117"/>
  <c r="BG99" i="32"/>
  <c r="BE112" i="30"/>
  <c r="BE113"/>
  <c r="BE104"/>
  <c r="BE106"/>
  <c r="BE109"/>
  <c r="BE117"/>
  <c r="BF99" i="32"/>
  <c r="BD112" i="30"/>
  <c r="BD113"/>
  <c r="BD104"/>
  <c r="BD106"/>
  <c r="BD109"/>
  <c r="BD117"/>
  <c r="BE99" i="32"/>
  <c r="BC112" i="30"/>
  <c r="BC113"/>
  <c r="BC104"/>
  <c r="BC106"/>
  <c r="BC109"/>
  <c r="BC117"/>
  <c r="BD99" i="32"/>
  <c r="BB112" i="30"/>
  <c r="BB113"/>
  <c r="BB104"/>
  <c r="BB106"/>
  <c r="BB109"/>
  <c r="BB117"/>
  <c r="BC99" i="32"/>
  <c r="BA112" i="30"/>
  <c r="BA113"/>
  <c r="BA104"/>
  <c r="BA106"/>
  <c r="BA109"/>
  <c r="BA117"/>
  <c r="BB99" i="32"/>
  <c r="AZ112" i="30"/>
  <c r="AZ113"/>
  <c r="AZ104"/>
  <c r="AZ106"/>
  <c r="AZ109"/>
  <c r="AZ117"/>
  <c r="BA99" i="32"/>
  <c r="AY113" i="30"/>
  <c r="AY109"/>
  <c r="AY117"/>
  <c r="AZ99" i="32"/>
  <c r="AX112" i="30"/>
  <c r="AX113"/>
  <c r="AX109"/>
  <c r="AX117"/>
  <c r="AY99" i="32"/>
  <c r="AW112" i="30"/>
  <c r="AW113"/>
  <c r="AW109"/>
  <c r="AW117"/>
  <c r="AX99" i="32"/>
  <c r="AV112" i="30"/>
  <c r="AV113"/>
  <c r="AV109"/>
  <c r="AV117"/>
  <c r="AW99" i="32"/>
  <c r="AU112" i="30"/>
  <c r="AU113"/>
  <c r="AU109"/>
  <c r="AU117"/>
  <c r="AV99" i="32"/>
  <c r="AT112" i="30"/>
  <c r="AT113"/>
  <c r="AT109"/>
  <c r="AT117"/>
  <c r="AU99" i="32"/>
  <c r="AS112" i="30"/>
  <c r="AS113"/>
  <c r="AS109"/>
  <c r="AS117"/>
  <c r="AT99" i="32"/>
  <c r="AR112" i="30"/>
  <c r="AR113"/>
  <c r="AR109"/>
  <c r="AR117"/>
  <c r="AS99" i="32"/>
  <c r="AQ112" i="30"/>
  <c r="AQ113"/>
  <c r="AQ109"/>
  <c r="AQ117"/>
  <c r="AR99" i="32"/>
  <c r="AP112" i="30"/>
  <c r="AP113"/>
  <c r="AP109"/>
  <c r="AP117"/>
  <c r="AQ99" i="32"/>
  <c r="AO112" i="30"/>
  <c r="AO113"/>
  <c r="AO109"/>
  <c r="AO117"/>
  <c r="AP99" i="32"/>
  <c r="AN112" i="30"/>
  <c r="AN113"/>
  <c r="AN109"/>
  <c r="AN117"/>
  <c r="AO99" i="32"/>
  <c r="AM113" i="30"/>
  <c r="AM109"/>
  <c r="AM117"/>
  <c r="AN99" i="32"/>
  <c r="AL112" i="30"/>
  <c r="AL113"/>
  <c r="AL109"/>
  <c r="AL117"/>
  <c r="AM99" i="32"/>
  <c r="AK112" i="30"/>
  <c r="AK113"/>
  <c r="AK109"/>
  <c r="AK117"/>
  <c r="AL99" i="32"/>
  <c r="AJ112" i="30"/>
  <c r="AJ113"/>
  <c r="AJ109"/>
  <c r="AJ117"/>
  <c r="AK99" i="32"/>
  <c r="AI112" i="30"/>
  <c r="AI113"/>
  <c r="AI109"/>
  <c r="AI117"/>
  <c r="AJ99" i="32"/>
  <c r="AH112" i="30"/>
  <c r="AH113"/>
  <c r="AH109"/>
  <c r="AH117"/>
  <c r="AI99" i="32"/>
  <c r="AG112" i="30"/>
  <c r="AG113"/>
  <c r="AG109"/>
  <c r="AG117"/>
  <c r="AH99" i="32"/>
  <c r="AF112" i="30"/>
  <c r="AF113"/>
  <c r="AF109"/>
  <c r="AF117"/>
  <c r="AG99" i="32"/>
  <c r="AE112" i="30"/>
  <c r="AE113"/>
  <c r="AE109"/>
  <c r="AE117"/>
  <c r="AF99" i="32"/>
  <c r="AD112" i="30"/>
  <c r="AD113"/>
  <c r="AD109"/>
  <c r="AD117"/>
  <c r="AE99" i="32"/>
  <c r="AC112" i="30"/>
  <c r="AC113"/>
  <c r="AC109"/>
  <c r="AC117"/>
  <c r="AD99" i="32"/>
  <c r="AB112" i="30"/>
  <c r="AB113"/>
  <c r="AB109"/>
  <c r="AB117"/>
  <c r="AC99" i="32"/>
  <c r="AA113" i="30"/>
  <c r="AA109"/>
  <c r="AA117"/>
  <c r="AB99" i="32"/>
  <c r="Z112" i="30"/>
  <c r="Z113"/>
  <c r="Z109"/>
  <c r="Z117"/>
  <c r="AA99" i="32"/>
  <c r="Y112" i="30"/>
  <c r="Y113"/>
  <c r="Y109"/>
  <c r="Y117"/>
  <c r="Z99" i="32"/>
  <c r="X112" i="30"/>
  <c r="X113"/>
  <c r="X109"/>
  <c r="X117"/>
  <c r="Y99" i="32"/>
  <c r="W112" i="30"/>
  <c r="W113"/>
  <c r="W109"/>
  <c r="W117"/>
  <c r="X99" i="32"/>
  <c r="V112" i="30"/>
  <c r="V113"/>
  <c r="V109"/>
  <c r="V117"/>
  <c r="W99" i="32"/>
  <c r="U112" i="30"/>
  <c r="U113"/>
  <c r="U109"/>
  <c r="U117"/>
  <c r="V99" i="32"/>
  <c r="T112" i="30"/>
  <c r="T113"/>
  <c r="T109"/>
  <c r="T117"/>
  <c r="U99" i="32"/>
  <c r="S112" i="30"/>
  <c r="S113"/>
  <c r="S109"/>
  <c r="S117"/>
  <c r="T99" i="32"/>
  <c r="R112" i="30"/>
  <c r="R113"/>
  <c r="R109"/>
  <c r="R117"/>
  <c r="S99" i="32"/>
  <c r="Q112" i="30"/>
  <c r="Q113"/>
  <c r="Q109"/>
  <c r="Q117"/>
  <c r="R99" i="32"/>
  <c r="P112" i="30"/>
  <c r="P113"/>
  <c r="P109"/>
  <c r="P117"/>
  <c r="Q99" i="32"/>
  <c r="O113" i="30"/>
  <c r="O109"/>
  <c r="O117"/>
  <c r="P99" i="32"/>
  <c r="N113" i="30"/>
  <c r="N109"/>
  <c r="N117"/>
  <c r="O99" i="32"/>
  <c r="M113" i="30"/>
  <c r="M109"/>
  <c r="M117"/>
  <c r="N99" i="32"/>
  <c r="L113" i="30"/>
  <c r="L109"/>
  <c r="L117"/>
  <c r="M99" i="32"/>
  <c r="K113" i="30"/>
  <c r="K109"/>
  <c r="K117"/>
  <c r="L99" i="32"/>
  <c r="J113" i="30"/>
  <c r="J109"/>
  <c r="J117"/>
  <c r="K99" i="32"/>
  <c r="I113" i="30"/>
  <c r="I109"/>
  <c r="I117"/>
  <c r="J99" i="32"/>
  <c r="H113" i="30"/>
  <c r="H109"/>
  <c r="H117"/>
  <c r="I99" i="32"/>
  <c r="G113" i="30"/>
  <c r="G109"/>
  <c r="G117"/>
  <c r="H99" i="32"/>
  <c r="F113" i="30"/>
  <c r="F109"/>
  <c r="F117"/>
  <c r="G99" i="32"/>
  <c r="E113" i="30"/>
  <c r="E109"/>
  <c r="E117"/>
  <c r="F99" i="32"/>
  <c r="D113" i="30"/>
  <c r="D109"/>
  <c r="D117"/>
  <c r="E99" i="32"/>
  <c r="C113" i="30"/>
  <c r="C109"/>
  <c r="C117"/>
  <c r="D99" i="32"/>
  <c r="C57"/>
  <c r="C71"/>
  <c r="C85"/>
  <c r="C99"/>
  <c r="M83" i="30"/>
  <c r="D94"/>
  <c r="E94"/>
  <c r="F94"/>
  <c r="G94"/>
  <c r="H94"/>
  <c r="I94"/>
  <c r="J94"/>
  <c r="K94"/>
  <c r="L94"/>
  <c r="M94"/>
  <c r="N94"/>
  <c r="O94"/>
  <c r="Y83"/>
  <c r="AA94"/>
  <c r="AK83"/>
  <c r="AM94"/>
  <c r="AW83"/>
  <c r="AY94"/>
  <c r="BI83"/>
  <c r="BJ94"/>
  <c r="BJ95"/>
  <c r="D93"/>
  <c r="E93"/>
  <c r="F93"/>
  <c r="G93"/>
  <c r="H93"/>
  <c r="I93"/>
  <c r="J93"/>
  <c r="K93"/>
  <c r="L93"/>
  <c r="M93"/>
  <c r="N93"/>
  <c r="O93"/>
  <c r="U8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AZ84"/>
  <c r="BA84"/>
  <c r="BB84"/>
  <c r="BC84"/>
  <c r="BD84"/>
  <c r="BE84"/>
  <c r="BF84"/>
  <c r="BG84"/>
  <c r="BH84"/>
  <c r="BI84"/>
  <c r="BJ84"/>
  <c r="AZ85"/>
  <c r="BA85"/>
  <c r="BB85"/>
  <c r="BC85"/>
  <c r="BD85"/>
  <c r="BE85"/>
  <c r="BF85"/>
  <c r="BG85"/>
  <c r="BH85"/>
  <c r="BI85"/>
  <c r="BJ85"/>
  <c r="BJ86"/>
  <c r="AZ87"/>
  <c r="BA87"/>
  <c r="BB87"/>
  <c r="BC87"/>
  <c r="BD87"/>
  <c r="BE87"/>
  <c r="BF87"/>
  <c r="BG87"/>
  <c r="BH87"/>
  <c r="BI87"/>
  <c r="BJ87"/>
  <c r="BJ88"/>
  <c r="BJ91"/>
  <c r="BJ99"/>
  <c r="BK98" i="32"/>
  <c r="BI94" i="30"/>
  <c r="BI95"/>
  <c r="BI86"/>
  <c r="BI88"/>
  <c r="BI91"/>
  <c r="BI99"/>
  <c r="BJ98" i="32"/>
  <c r="BH94" i="30"/>
  <c r="BH95"/>
  <c r="BH86"/>
  <c r="BH88"/>
  <c r="BH91"/>
  <c r="BH99"/>
  <c r="BI98" i="32"/>
  <c r="BG94" i="30"/>
  <c r="BG95"/>
  <c r="BG86"/>
  <c r="BG88"/>
  <c r="BG91"/>
  <c r="BG99"/>
  <c r="BH98" i="32"/>
  <c r="BF94" i="30"/>
  <c r="BF95"/>
  <c r="BF86"/>
  <c r="BF88"/>
  <c r="BF91"/>
  <c r="BF99"/>
  <c r="BG98" i="32"/>
  <c r="BE94" i="30"/>
  <c r="BE95"/>
  <c r="BE86"/>
  <c r="BE88"/>
  <c r="BE91"/>
  <c r="BE99"/>
  <c r="BF98" i="32"/>
  <c r="BD94" i="30"/>
  <c r="BD95"/>
  <c r="BD86"/>
  <c r="BD88"/>
  <c r="BD91"/>
  <c r="BD99"/>
  <c r="BE98" i="32"/>
  <c r="BC94" i="30"/>
  <c r="BC95"/>
  <c r="BC86"/>
  <c r="BC88"/>
  <c r="BC91"/>
  <c r="BC99"/>
  <c r="BD98" i="32"/>
  <c r="BB94" i="30"/>
  <c r="BB95"/>
  <c r="BB86"/>
  <c r="BB88"/>
  <c r="BB91"/>
  <c r="BB99"/>
  <c r="BC98" i="32"/>
  <c r="BA94" i="30"/>
  <c r="BA95"/>
  <c r="BA86"/>
  <c r="BA88"/>
  <c r="BA91"/>
  <c r="BA99"/>
  <c r="BB98" i="32"/>
  <c r="AZ94" i="30"/>
  <c r="AZ95"/>
  <c r="AZ86"/>
  <c r="AZ88"/>
  <c r="AZ91"/>
  <c r="AZ99"/>
  <c r="BA98" i="32"/>
  <c r="AY95" i="30"/>
  <c r="AY91"/>
  <c r="AY99"/>
  <c r="AZ98" i="32"/>
  <c r="AX94" i="30"/>
  <c r="AX95"/>
  <c r="AX91"/>
  <c r="AX99"/>
  <c r="AY98" i="32"/>
  <c r="AW94" i="30"/>
  <c r="AW95"/>
  <c r="AW91"/>
  <c r="AW99"/>
  <c r="AX98" i="32"/>
  <c r="AV94" i="30"/>
  <c r="AV95"/>
  <c r="AV91"/>
  <c r="AV99"/>
  <c r="AW98" i="32"/>
  <c r="AU94" i="30"/>
  <c r="AU95"/>
  <c r="AU91"/>
  <c r="AU99"/>
  <c r="AV98" i="32"/>
  <c r="AT94" i="30"/>
  <c r="AT95"/>
  <c r="AT91"/>
  <c r="AT99"/>
  <c r="AU98" i="32"/>
  <c r="AS94" i="30"/>
  <c r="AS95"/>
  <c r="AS91"/>
  <c r="AS99"/>
  <c r="AT98" i="32"/>
  <c r="AR94" i="30"/>
  <c r="AR95"/>
  <c r="AR91"/>
  <c r="AR99"/>
  <c r="AS98" i="32"/>
  <c r="AQ94" i="30"/>
  <c r="AQ95"/>
  <c r="AQ91"/>
  <c r="AQ99"/>
  <c r="AR98" i="32"/>
  <c r="AP94" i="30"/>
  <c r="AP95"/>
  <c r="AP91"/>
  <c r="AP99"/>
  <c r="AQ98" i="32"/>
  <c r="AO94" i="30"/>
  <c r="AO95"/>
  <c r="AO91"/>
  <c r="AO99"/>
  <c r="AP98" i="32"/>
  <c r="AN94" i="30"/>
  <c r="AN95"/>
  <c r="AN91"/>
  <c r="AN99"/>
  <c r="AO98" i="32"/>
  <c r="AM95" i="30"/>
  <c r="AM91"/>
  <c r="AM99"/>
  <c r="AN98" i="32"/>
  <c r="AL94" i="30"/>
  <c r="AL95"/>
  <c r="AL91"/>
  <c r="AL99"/>
  <c r="AM98" i="32"/>
  <c r="AK94" i="30"/>
  <c r="AK95"/>
  <c r="AK91"/>
  <c r="AK99"/>
  <c r="AL98" i="32"/>
  <c r="AJ94" i="30"/>
  <c r="AJ95"/>
  <c r="AJ91"/>
  <c r="AJ99"/>
  <c r="AK98" i="32"/>
  <c r="AI94" i="30"/>
  <c r="AI95"/>
  <c r="AI91"/>
  <c r="AI99"/>
  <c r="AJ98" i="32"/>
  <c r="AH94" i="30"/>
  <c r="AH95"/>
  <c r="AH91"/>
  <c r="AH99"/>
  <c r="AI98" i="32"/>
  <c r="AG94" i="30"/>
  <c r="AG95"/>
  <c r="AG91"/>
  <c r="AG99"/>
  <c r="AH98" i="32"/>
  <c r="AF94" i="30"/>
  <c r="AF95"/>
  <c r="AF91"/>
  <c r="AF99"/>
  <c r="AG98" i="32"/>
  <c r="AE94" i="30"/>
  <c r="AE95"/>
  <c r="AE91"/>
  <c r="AE99"/>
  <c r="AF98" i="32"/>
  <c r="AD94" i="30"/>
  <c r="AD95"/>
  <c r="AD91"/>
  <c r="AD99"/>
  <c r="AE98" i="32"/>
  <c r="AC94" i="30"/>
  <c r="AC95"/>
  <c r="AC91"/>
  <c r="AC99"/>
  <c r="AD98" i="32"/>
  <c r="AB94" i="30"/>
  <c r="AB95"/>
  <c r="AB91"/>
  <c r="AB99"/>
  <c r="AC98" i="32"/>
  <c r="AA95" i="30"/>
  <c r="AA91"/>
  <c r="AA99"/>
  <c r="AB98" i="32"/>
  <c r="Z94" i="30"/>
  <c r="Z95"/>
  <c r="Z91"/>
  <c r="Z99"/>
  <c r="AA98" i="32"/>
  <c r="Y94" i="30"/>
  <c r="Y95"/>
  <c r="Y91"/>
  <c r="Y99"/>
  <c r="Z98" i="32"/>
  <c r="X94" i="30"/>
  <c r="X95"/>
  <c r="X91"/>
  <c r="X99"/>
  <c r="Y98" i="32"/>
  <c r="W94" i="30"/>
  <c r="W95"/>
  <c r="W91"/>
  <c r="W99"/>
  <c r="X98" i="32"/>
  <c r="V94" i="30"/>
  <c r="V95"/>
  <c r="V91"/>
  <c r="V99"/>
  <c r="W98" i="32"/>
  <c r="U94" i="30"/>
  <c r="U95"/>
  <c r="U91"/>
  <c r="U99"/>
  <c r="V98" i="32"/>
  <c r="T94" i="30"/>
  <c r="T95"/>
  <c r="T91"/>
  <c r="T99"/>
  <c r="U98" i="32"/>
  <c r="S94" i="30"/>
  <c r="S95"/>
  <c r="S91"/>
  <c r="S99"/>
  <c r="T98" i="32"/>
  <c r="R94" i="30"/>
  <c r="R95"/>
  <c r="R91"/>
  <c r="R99"/>
  <c r="S98" i="32"/>
  <c r="Q94" i="30"/>
  <c r="Q95"/>
  <c r="Q91"/>
  <c r="Q99"/>
  <c r="R98" i="32"/>
  <c r="P94" i="30"/>
  <c r="P95"/>
  <c r="P91"/>
  <c r="P99"/>
  <c r="Q98" i="32"/>
  <c r="O95" i="30"/>
  <c r="O91"/>
  <c r="O99"/>
  <c r="P98" i="32"/>
  <c r="N95" i="30"/>
  <c r="N91"/>
  <c r="N99"/>
  <c r="O98" i="32"/>
  <c r="M95" i="30"/>
  <c r="M91"/>
  <c r="M99"/>
  <c r="N98" i="32"/>
  <c r="L95" i="30"/>
  <c r="L91"/>
  <c r="L99"/>
  <c r="M98" i="32"/>
  <c r="K95" i="30"/>
  <c r="K91"/>
  <c r="K99"/>
  <c r="L98" i="32"/>
  <c r="J95" i="30"/>
  <c r="J91"/>
  <c r="J99"/>
  <c r="K98" i="32"/>
  <c r="I95" i="30"/>
  <c r="I91"/>
  <c r="I99"/>
  <c r="J98" i="32"/>
  <c r="H95" i="30"/>
  <c r="H91"/>
  <c r="H99"/>
  <c r="I98" i="32"/>
  <c r="G95" i="30"/>
  <c r="G91"/>
  <c r="G99"/>
  <c r="H98" i="32"/>
  <c r="F95" i="30"/>
  <c r="F91"/>
  <c r="F99"/>
  <c r="G98" i="32"/>
  <c r="E95" i="30"/>
  <c r="E91"/>
  <c r="E99"/>
  <c r="F98" i="32"/>
  <c r="D95" i="30"/>
  <c r="D91"/>
  <c r="D99"/>
  <c r="E98" i="32"/>
  <c r="C95" i="30"/>
  <c r="C91"/>
  <c r="C99"/>
  <c r="D98" i="32"/>
  <c r="C56"/>
  <c r="C70"/>
  <c r="C84"/>
  <c r="C98"/>
  <c r="M65" i="30"/>
  <c r="D76"/>
  <c r="E76"/>
  <c r="F76"/>
  <c r="G76"/>
  <c r="H76"/>
  <c r="I76"/>
  <c r="J76"/>
  <c r="K76"/>
  <c r="L76"/>
  <c r="M76"/>
  <c r="N76"/>
  <c r="O76"/>
  <c r="Y65"/>
  <c r="AA76"/>
  <c r="AK65"/>
  <c r="AM76"/>
  <c r="AW65"/>
  <c r="AY76"/>
  <c r="BI65"/>
  <c r="BJ76"/>
  <c r="BJ77"/>
  <c r="D75"/>
  <c r="E75"/>
  <c r="F75"/>
  <c r="G75"/>
  <c r="H75"/>
  <c r="I75"/>
  <c r="J75"/>
  <c r="K75"/>
  <c r="L75"/>
  <c r="M75"/>
  <c r="N75"/>
  <c r="O75"/>
  <c r="U6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AZ66"/>
  <c r="BA66"/>
  <c r="BB66"/>
  <c r="BC66"/>
  <c r="BD66"/>
  <c r="BE66"/>
  <c r="BF66"/>
  <c r="BG66"/>
  <c r="BH66"/>
  <c r="BI66"/>
  <c r="BJ66"/>
  <c r="AZ67"/>
  <c r="BA67"/>
  <c r="BB67"/>
  <c r="BC67"/>
  <c r="BD67"/>
  <c r="BE67"/>
  <c r="BF67"/>
  <c r="BG67"/>
  <c r="BH67"/>
  <c r="BI67"/>
  <c r="BJ67"/>
  <c r="BJ68"/>
  <c r="AZ69"/>
  <c r="BA69"/>
  <c r="BB69"/>
  <c r="BC69"/>
  <c r="BD69"/>
  <c r="BE69"/>
  <c r="BF69"/>
  <c r="BG69"/>
  <c r="BH69"/>
  <c r="BI69"/>
  <c r="BJ69"/>
  <c r="BJ70"/>
  <c r="BJ73"/>
  <c r="BJ81"/>
  <c r="BK97" i="32"/>
  <c r="BI76" i="30"/>
  <c r="BI77"/>
  <c r="BI68"/>
  <c r="BI70"/>
  <c r="BI73"/>
  <c r="BI81"/>
  <c r="BJ97" i="32"/>
  <c r="BH76" i="30"/>
  <c r="BH77"/>
  <c r="BH68"/>
  <c r="BH70"/>
  <c r="BH73"/>
  <c r="BH81"/>
  <c r="BI97" i="32"/>
  <c r="BG76" i="30"/>
  <c r="BG77"/>
  <c r="BG68"/>
  <c r="BG70"/>
  <c r="BG73"/>
  <c r="BG81"/>
  <c r="BH97" i="32"/>
  <c r="BF76" i="30"/>
  <c r="BF77"/>
  <c r="BF68"/>
  <c r="BF70"/>
  <c r="BF73"/>
  <c r="BF81"/>
  <c r="BG97" i="32"/>
  <c r="BE76" i="30"/>
  <c r="BE77"/>
  <c r="BE68"/>
  <c r="BE70"/>
  <c r="BE73"/>
  <c r="BE81"/>
  <c r="BF97" i="32"/>
  <c r="BD76" i="30"/>
  <c r="BD77"/>
  <c r="BD68"/>
  <c r="BD70"/>
  <c r="BD73"/>
  <c r="BD81"/>
  <c r="BE97" i="32"/>
  <c r="BC76" i="30"/>
  <c r="BC77"/>
  <c r="BC68"/>
  <c r="BC70"/>
  <c r="BC73"/>
  <c r="BC81"/>
  <c r="BD97" i="32"/>
  <c r="BB76" i="30"/>
  <c r="BB77"/>
  <c r="BB68"/>
  <c r="BB70"/>
  <c r="BB73"/>
  <c r="BB81"/>
  <c r="BC97" i="32"/>
  <c r="BA76" i="30"/>
  <c r="BA77"/>
  <c r="BA68"/>
  <c r="BA70"/>
  <c r="BA73"/>
  <c r="BA81"/>
  <c r="BB97" i="32"/>
  <c r="AZ76" i="30"/>
  <c r="AZ77"/>
  <c r="AZ68"/>
  <c r="AZ70"/>
  <c r="AZ73"/>
  <c r="AZ81"/>
  <c r="BA97" i="32"/>
  <c r="AY77" i="30"/>
  <c r="AY73"/>
  <c r="AY81"/>
  <c r="AZ97" i="32"/>
  <c r="AX76" i="30"/>
  <c r="AX77"/>
  <c r="AX73"/>
  <c r="AX81"/>
  <c r="AY97" i="32"/>
  <c r="AW76" i="30"/>
  <c r="AW77"/>
  <c r="AW73"/>
  <c r="AW81"/>
  <c r="AX97" i="32"/>
  <c r="AV76" i="30"/>
  <c r="AV77"/>
  <c r="AV73"/>
  <c r="AV81"/>
  <c r="AW97" i="32"/>
  <c r="AU76" i="30"/>
  <c r="AU77"/>
  <c r="AU73"/>
  <c r="AU81"/>
  <c r="AV97" i="32"/>
  <c r="AT76" i="30"/>
  <c r="AT77"/>
  <c r="AT73"/>
  <c r="AT81"/>
  <c r="AU97" i="32"/>
  <c r="AS76" i="30"/>
  <c r="AS77"/>
  <c r="AS73"/>
  <c r="AS81"/>
  <c r="AT97" i="32"/>
  <c r="AR76" i="30"/>
  <c r="AR77"/>
  <c r="AR73"/>
  <c r="AR81"/>
  <c r="AS97" i="32"/>
  <c r="AQ76" i="30"/>
  <c r="AQ77"/>
  <c r="AQ73"/>
  <c r="AQ81"/>
  <c r="AR97" i="32"/>
  <c r="AP76" i="30"/>
  <c r="AP77"/>
  <c r="AP73"/>
  <c r="AP81"/>
  <c r="AQ97" i="32"/>
  <c r="AO76" i="30"/>
  <c r="AO77"/>
  <c r="AO73"/>
  <c r="AO81"/>
  <c r="AP97" i="32"/>
  <c r="AN76" i="30"/>
  <c r="AN77"/>
  <c r="AN73"/>
  <c r="AN81"/>
  <c r="AO97" i="32"/>
  <c r="AM77" i="30"/>
  <c r="AM73"/>
  <c r="AM81"/>
  <c r="AN97" i="32"/>
  <c r="AL76" i="30"/>
  <c r="AL77"/>
  <c r="AL73"/>
  <c r="AL81"/>
  <c r="AM97" i="32"/>
  <c r="AK76" i="30"/>
  <c r="AK77"/>
  <c r="AK73"/>
  <c r="AK81"/>
  <c r="AL97" i="32"/>
  <c r="AJ76" i="30"/>
  <c r="AJ77"/>
  <c r="AJ73"/>
  <c r="AJ81"/>
  <c r="AK97" i="32"/>
  <c r="AI76" i="30"/>
  <c r="AI77"/>
  <c r="AI73"/>
  <c r="AI81"/>
  <c r="AJ97" i="32"/>
  <c r="AH76" i="30"/>
  <c r="AH77"/>
  <c r="AH73"/>
  <c r="AH81"/>
  <c r="AI97" i="32"/>
  <c r="AG76" i="30"/>
  <c r="AG77"/>
  <c r="AG73"/>
  <c r="AG81"/>
  <c r="AH97" i="32"/>
  <c r="AF76" i="30"/>
  <c r="AF77"/>
  <c r="AF73"/>
  <c r="AF81"/>
  <c r="AG97" i="32"/>
  <c r="AE76" i="30"/>
  <c r="AE77"/>
  <c r="AE73"/>
  <c r="AE81"/>
  <c r="AF97" i="32"/>
  <c r="AD76" i="30"/>
  <c r="AD77"/>
  <c r="AD73"/>
  <c r="AD81"/>
  <c r="AE97" i="32"/>
  <c r="AC76" i="30"/>
  <c r="AC77"/>
  <c r="AC73"/>
  <c r="AC81"/>
  <c r="AD97" i="32"/>
  <c r="AB76" i="30"/>
  <c r="AB77"/>
  <c r="AB73"/>
  <c r="AB81"/>
  <c r="AC97" i="32"/>
  <c r="AA77" i="30"/>
  <c r="AA73"/>
  <c r="AA81"/>
  <c r="AB97" i="32"/>
  <c r="Z76" i="30"/>
  <c r="Z77"/>
  <c r="Z73"/>
  <c r="Z81"/>
  <c r="AA97" i="32"/>
  <c r="Y76" i="30"/>
  <c r="Y77"/>
  <c r="Y73"/>
  <c r="Y81"/>
  <c r="Z97" i="32"/>
  <c r="X76" i="30"/>
  <c r="X77"/>
  <c r="X73"/>
  <c r="X81"/>
  <c r="Y97" i="32"/>
  <c r="W76" i="30"/>
  <c r="W77"/>
  <c r="W73"/>
  <c r="W81"/>
  <c r="X97" i="32"/>
  <c r="V76" i="30"/>
  <c r="V77"/>
  <c r="V73"/>
  <c r="V81"/>
  <c r="W97" i="32"/>
  <c r="U76" i="30"/>
  <c r="U77"/>
  <c r="U73"/>
  <c r="U81"/>
  <c r="V97" i="32"/>
  <c r="T76" i="30"/>
  <c r="T77"/>
  <c r="T73"/>
  <c r="T81"/>
  <c r="U97" i="32"/>
  <c r="S76" i="30"/>
  <c r="S77"/>
  <c r="S73"/>
  <c r="S81"/>
  <c r="T97" i="32"/>
  <c r="R76" i="30"/>
  <c r="R77"/>
  <c r="R73"/>
  <c r="R81"/>
  <c r="S97" i="32"/>
  <c r="Q76" i="30"/>
  <c r="Q77"/>
  <c r="Q73"/>
  <c r="Q81"/>
  <c r="R97" i="32"/>
  <c r="P76" i="30"/>
  <c r="P77"/>
  <c r="P73"/>
  <c r="P81"/>
  <c r="Q97" i="32"/>
  <c r="O77" i="30"/>
  <c r="O73"/>
  <c r="O81"/>
  <c r="P97" i="32"/>
  <c r="N77" i="30"/>
  <c r="N73"/>
  <c r="N81"/>
  <c r="O97" i="32"/>
  <c r="M77" i="30"/>
  <c r="M73"/>
  <c r="M81"/>
  <c r="N97" i="32"/>
  <c r="L77" i="30"/>
  <c r="L73"/>
  <c r="L81"/>
  <c r="M97" i="32"/>
  <c r="K77" i="30"/>
  <c r="K73"/>
  <c r="K81"/>
  <c r="L97" i="32"/>
  <c r="J77" i="30"/>
  <c r="J73"/>
  <c r="J81"/>
  <c r="K97" i="32"/>
  <c r="I77" i="30"/>
  <c r="I73"/>
  <c r="I81"/>
  <c r="J97" i="32"/>
  <c r="H77" i="30"/>
  <c r="H73"/>
  <c r="H81"/>
  <c r="I97" i="32"/>
  <c r="G77" i="30"/>
  <c r="G73"/>
  <c r="G81"/>
  <c r="H97" i="32"/>
  <c r="F77" i="30"/>
  <c r="F73"/>
  <c r="F81"/>
  <c r="G97" i="32"/>
  <c r="E77" i="30"/>
  <c r="E73"/>
  <c r="E81"/>
  <c r="F97" i="32"/>
  <c r="D77" i="30"/>
  <c r="D73"/>
  <c r="D81"/>
  <c r="E97" i="32"/>
  <c r="C77" i="30"/>
  <c r="C73"/>
  <c r="C81"/>
  <c r="D97" i="32"/>
  <c r="C55"/>
  <c r="C69"/>
  <c r="C83"/>
  <c r="C97"/>
  <c r="M47" i="30"/>
  <c r="D58"/>
  <c r="E58"/>
  <c r="F58"/>
  <c r="G58"/>
  <c r="H58"/>
  <c r="I58"/>
  <c r="J58"/>
  <c r="K58"/>
  <c r="L58"/>
  <c r="M58"/>
  <c r="N58"/>
  <c r="O58"/>
  <c r="Y47"/>
  <c r="AA58"/>
  <c r="AK47"/>
  <c r="AM58"/>
  <c r="AW47"/>
  <c r="AY58"/>
  <c r="BI47"/>
  <c r="BJ58"/>
  <c r="BJ59"/>
  <c r="D57"/>
  <c r="E57"/>
  <c r="F57"/>
  <c r="G57"/>
  <c r="H57"/>
  <c r="I57"/>
  <c r="J57"/>
  <c r="K57"/>
  <c r="L57"/>
  <c r="M57"/>
  <c r="N57"/>
  <c r="O57"/>
  <c r="U4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AZ48"/>
  <c r="BA48"/>
  <c r="BB48"/>
  <c r="BC48"/>
  <c r="BD48"/>
  <c r="BE48"/>
  <c r="BF48"/>
  <c r="BG48"/>
  <c r="BH48"/>
  <c r="BI48"/>
  <c r="BJ48"/>
  <c r="AZ49"/>
  <c r="BA49"/>
  <c r="BB49"/>
  <c r="BC49"/>
  <c r="BD49"/>
  <c r="BE49"/>
  <c r="BF49"/>
  <c r="BG49"/>
  <c r="BH49"/>
  <c r="BI49"/>
  <c r="BJ49"/>
  <c r="BJ50"/>
  <c r="AZ51"/>
  <c r="BA51"/>
  <c r="BB51"/>
  <c r="BC51"/>
  <c r="BD51"/>
  <c r="BE51"/>
  <c r="BF51"/>
  <c r="BG51"/>
  <c r="BH51"/>
  <c r="BI51"/>
  <c r="BJ51"/>
  <c r="BJ52"/>
  <c r="BJ55"/>
  <c r="BJ63"/>
  <c r="BK96" i="32"/>
  <c r="BI58" i="30"/>
  <c r="BI59"/>
  <c r="BI50"/>
  <c r="BI52"/>
  <c r="BI55"/>
  <c r="BI63"/>
  <c r="BJ96" i="32"/>
  <c r="BH58" i="30"/>
  <c r="BH59"/>
  <c r="BH50"/>
  <c r="BH52"/>
  <c r="BH55"/>
  <c r="BH63"/>
  <c r="BI96" i="32"/>
  <c r="BG58" i="30"/>
  <c r="BG59"/>
  <c r="BG50"/>
  <c r="BG52"/>
  <c r="BG55"/>
  <c r="BG63"/>
  <c r="BH96" i="32"/>
  <c r="BF58" i="30"/>
  <c r="BF59"/>
  <c r="BF50"/>
  <c r="BF52"/>
  <c r="BF55"/>
  <c r="BF63"/>
  <c r="BG96" i="32"/>
  <c r="BE58" i="30"/>
  <c r="BE59"/>
  <c r="BE50"/>
  <c r="BE52"/>
  <c r="BE55"/>
  <c r="BE63"/>
  <c r="BF96" i="32"/>
  <c r="BD58" i="30"/>
  <c r="BD59"/>
  <c r="BD50"/>
  <c r="BD52"/>
  <c r="BD55"/>
  <c r="BD63"/>
  <c r="BE96" i="32"/>
  <c r="BC58" i="30"/>
  <c r="BC59"/>
  <c r="BC50"/>
  <c r="BC52"/>
  <c r="BC55"/>
  <c r="BC63"/>
  <c r="BD96" i="32"/>
  <c r="BB58" i="30"/>
  <c r="BB59"/>
  <c r="BB50"/>
  <c r="BB52"/>
  <c r="BB55"/>
  <c r="BB63"/>
  <c r="BC96" i="32"/>
  <c r="BA58" i="30"/>
  <c r="BA59"/>
  <c r="BA50"/>
  <c r="BA52"/>
  <c r="BA55"/>
  <c r="BA63"/>
  <c r="BB96" i="32"/>
  <c r="AZ58" i="30"/>
  <c r="AZ59"/>
  <c r="AZ50"/>
  <c r="AZ52"/>
  <c r="AZ55"/>
  <c r="AZ63"/>
  <c r="BA96" i="32"/>
  <c r="AY59" i="30"/>
  <c r="AY55"/>
  <c r="AY63"/>
  <c r="AZ96" i="32"/>
  <c r="AX58" i="30"/>
  <c r="AX59"/>
  <c r="AX55"/>
  <c r="AX63"/>
  <c r="AY96" i="32"/>
  <c r="AW58" i="30"/>
  <c r="AW59"/>
  <c r="AW55"/>
  <c r="AW63"/>
  <c r="AX96" i="32"/>
  <c r="AV58" i="30"/>
  <c r="AV59"/>
  <c r="AV55"/>
  <c r="AV63"/>
  <c r="AW96" i="32"/>
  <c r="AU58" i="30"/>
  <c r="AU59"/>
  <c r="AU55"/>
  <c r="AU63"/>
  <c r="AV96" i="32"/>
  <c r="AT58" i="30"/>
  <c r="AT59"/>
  <c r="AT55"/>
  <c r="AT63"/>
  <c r="AU96" i="32"/>
  <c r="AS58" i="30"/>
  <c r="AS59"/>
  <c r="AS55"/>
  <c r="AS63"/>
  <c r="AT96" i="32"/>
  <c r="AR58" i="30"/>
  <c r="AR59"/>
  <c r="AR55"/>
  <c r="AR63"/>
  <c r="AS96" i="32"/>
  <c r="AQ58" i="30"/>
  <c r="AQ59"/>
  <c r="AQ55"/>
  <c r="AQ63"/>
  <c r="AR96" i="32"/>
  <c r="AP58" i="30"/>
  <c r="AP59"/>
  <c r="AP55"/>
  <c r="AP63"/>
  <c r="AQ96" i="32"/>
  <c r="AO58" i="30"/>
  <c r="AO59"/>
  <c r="AO55"/>
  <c r="AO63"/>
  <c r="AP96" i="32"/>
  <c r="AN58" i="30"/>
  <c r="AN59"/>
  <c r="AN55"/>
  <c r="AN63"/>
  <c r="AO96" i="32"/>
  <c r="AM59" i="30"/>
  <c r="AM55"/>
  <c r="AM63"/>
  <c r="AN96" i="32"/>
  <c r="AL58" i="30"/>
  <c r="AL59"/>
  <c r="AL55"/>
  <c r="AL63"/>
  <c r="AM96" i="32"/>
  <c r="AK58" i="30"/>
  <c r="AK59"/>
  <c r="AK55"/>
  <c r="AK63"/>
  <c r="AL96" i="32"/>
  <c r="AJ58" i="30"/>
  <c r="AJ59"/>
  <c r="AJ55"/>
  <c r="AJ63"/>
  <c r="AK96" i="32"/>
  <c r="AI58" i="30"/>
  <c r="AI59"/>
  <c r="AI55"/>
  <c r="AI63"/>
  <c r="AJ96" i="32"/>
  <c r="AH58" i="30"/>
  <c r="AH59"/>
  <c r="AH55"/>
  <c r="AH63"/>
  <c r="AI96" i="32"/>
  <c r="AG58" i="30"/>
  <c r="AG59"/>
  <c r="AG55"/>
  <c r="AG63"/>
  <c r="AH96" i="32"/>
  <c r="AF58" i="30"/>
  <c r="AF59"/>
  <c r="AF55"/>
  <c r="AF63"/>
  <c r="AG96" i="32"/>
  <c r="AE58" i="30"/>
  <c r="AE59"/>
  <c r="AE55"/>
  <c r="AE63"/>
  <c r="AF96" i="32"/>
  <c r="AD58" i="30"/>
  <c r="AD59"/>
  <c r="AD55"/>
  <c r="AD63"/>
  <c r="AE96" i="32"/>
  <c r="AC58" i="30"/>
  <c r="AC59"/>
  <c r="AC55"/>
  <c r="AC63"/>
  <c r="AD96" i="32"/>
  <c r="AB58" i="30"/>
  <c r="AB59"/>
  <c r="AB55"/>
  <c r="AB63"/>
  <c r="AC96" i="32"/>
  <c r="AA59" i="30"/>
  <c r="AA55"/>
  <c r="AA63"/>
  <c r="AB96" i="32"/>
  <c r="Z58" i="30"/>
  <c r="Z59"/>
  <c r="Z55"/>
  <c r="Z63"/>
  <c r="AA96" i="32"/>
  <c r="Y58" i="30"/>
  <c r="Y59"/>
  <c r="Y55"/>
  <c r="Y63"/>
  <c r="Z96" i="32"/>
  <c r="X58" i="30"/>
  <c r="X59"/>
  <c r="X55"/>
  <c r="X63"/>
  <c r="Y96" i="32"/>
  <c r="W58" i="30"/>
  <c r="W59"/>
  <c r="W55"/>
  <c r="W63"/>
  <c r="X96" i="32"/>
  <c r="V58" i="30"/>
  <c r="V59"/>
  <c r="V55"/>
  <c r="V63"/>
  <c r="W96" i="32"/>
  <c r="U58" i="30"/>
  <c r="U59"/>
  <c r="U55"/>
  <c r="U63"/>
  <c r="V96" i="32"/>
  <c r="T58" i="30"/>
  <c r="T59"/>
  <c r="T55"/>
  <c r="T63"/>
  <c r="U96" i="32"/>
  <c r="S58" i="30"/>
  <c r="S59"/>
  <c r="S55"/>
  <c r="S63"/>
  <c r="T96" i="32"/>
  <c r="R58" i="30"/>
  <c r="R59"/>
  <c r="R55"/>
  <c r="R63"/>
  <c r="S96" i="32"/>
  <c r="Q58" i="30"/>
  <c r="Q59"/>
  <c r="Q55"/>
  <c r="Q63"/>
  <c r="R96" i="32"/>
  <c r="P58" i="30"/>
  <c r="P59"/>
  <c r="P55"/>
  <c r="P63"/>
  <c r="Q96" i="32"/>
  <c r="O59" i="30"/>
  <c r="O55"/>
  <c r="O63"/>
  <c r="P96" i="32"/>
  <c r="N59" i="30"/>
  <c r="N55"/>
  <c r="N63"/>
  <c r="O96" i="32"/>
  <c r="M59" i="30"/>
  <c r="M55"/>
  <c r="M63"/>
  <c r="N96" i="32"/>
  <c r="L59" i="30"/>
  <c r="L55"/>
  <c r="L63"/>
  <c r="M96" i="32"/>
  <c r="K59" i="30"/>
  <c r="K55"/>
  <c r="K63"/>
  <c r="L96" i="32"/>
  <c r="J59" i="30"/>
  <c r="J55"/>
  <c r="J63"/>
  <c r="K96" i="32"/>
  <c r="I59" i="30"/>
  <c r="I55"/>
  <c r="I63"/>
  <c r="J96" i="32"/>
  <c r="H59" i="30"/>
  <c r="H55"/>
  <c r="H63"/>
  <c r="I96" i="32"/>
  <c r="G59" i="30"/>
  <c r="G55"/>
  <c r="G63"/>
  <c r="H96" i="32"/>
  <c r="F59" i="30"/>
  <c r="F55"/>
  <c r="F63"/>
  <c r="G96" i="32"/>
  <c r="E59" i="30"/>
  <c r="E55"/>
  <c r="E63"/>
  <c r="F96" i="32"/>
  <c r="D59" i="30"/>
  <c r="D55"/>
  <c r="D63"/>
  <c r="E96" i="32"/>
  <c r="C59" i="30"/>
  <c r="C55"/>
  <c r="C63"/>
  <c r="D96" i="32"/>
  <c r="C54"/>
  <c r="C68"/>
  <c r="C82"/>
  <c r="C96"/>
  <c r="M29" i="30"/>
  <c r="D40"/>
  <c r="E40"/>
  <c r="F40"/>
  <c r="G40"/>
  <c r="H40"/>
  <c r="I40"/>
  <c r="J40"/>
  <c r="K40"/>
  <c r="L40"/>
  <c r="M40"/>
  <c r="N40"/>
  <c r="O40"/>
  <c r="Y29"/>
  <c r="AA40"/>
  <c r="AK29"/>
  <c r="AM40"/>
  <c r="AW29"/>
  <c r="AY40"/>
  <c r="BI29"/>
  <c r="BJ40"/>
  <c r="BJ41"/>
  <c r="D39"/>
  <c r="E39"/>
  <c r="F39"/>
  <c r="G39"/>
  <c r="H39"/>
  <c r="I39"/>
  <c r="J39"/>
  <c r="K39"/>
  <c r="L39"/>
  <c r="M39"/>
  <c r="N39"/>
  <c r="O39"/>
  <c r="U2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AZ30"/>
  <c r="BA30"/>
  <c r="BB30"/>
  <c r="BC30"/>
  <c r="BD30"/>
  <c r="BE30"/>
  <c r="BF30"/>
  <c r="BG30"/>
  <c r="BH30"/>
  <c r="BI30"/>
  <c r="BJ30"/>
  <c r="AZ31"/>
  <c r="BA31"/>
  <c r="BB31"/>
  <c r="BC31"/>
  <c r="BD31"/>
  <c r="BE31"/>
  <c r="BF31"/>
  <c r="BG31"/>
  <c r="BH31"/>
  <c r="BI31"/>
  <c r="BJ31"/>
  <c r="BJ32"/>
  <c r="AZ33"/>
  <c r="BA33"/>
  <c r="BB33"/>
  <c r="BC33"/>
  <c r="BD33"/>
  <c r="BE33"/>
  <c r="BF33"/>
  <c r="BG33"/>
  <c r="BH33"/>
  <c r="BI33"/>
  <c r="BJ33"/>
  <c r="BJ34"/>
  <c r="BJ37"/>
  <c r="BJ45"/>
  <c r="BK95" i="32"/>
  <c r="BI40" i="30"/>
  <c r="BI41"/>
  <c r="BI32"/>
  <c r="BI34"/>
  <c r="BI37"/>
  <c r="BI45"/>
  <c r="BJ95" i="32"/>
  <c r="BH40" i="30"/>
  <c r="BH41"/>
  <c r="BH32"/>
  <c r="BH34"/>
  <c r="BH37"/>
  <c r="BH45"/>
  <c r="BI95" i="32"/>
  <c r="BG40" i="30"/>
  <c r="BG41"/>
  <c r="BG32"/>
  <c r="BG34"/>
  <c r="BG37"/>
  <c r="BG45"/>
  <c r="BH95" i="32"/>
  <c r="BF40" i="30"/>
  <c r="BF41"/>
  <c r="BF32"/>
  <c r="BF34"/>
  <c r="BF37"/>
  <c r="BF45"/>
  <c r="BG95" i="32"/>
  <c r="BE40" i="30"/>
  <c r="BE41"/>
  <c r="BE32"/>
  <c r="BE34"/>
  <c r="BE37"/>
  <c r="BE45"/>
  <c r="BF95" i="32"/>
  <c r="BD40" i="30"/>
  <c r="BD41"/>
  <c r="BD32"/>
  <c r="BD34"/>
  <c r="BD37"/>
  <c r="BD45"/>
  <c r="BE95" i="32"/>
  <c r="BC40" i="30"/>
  <c r="BC41"/>
  <c r="BC32"/>
  <c r="BC34"/>
  <c r="BC37"/>
  <c r="BC45"/>
  <c r="BD95" i="32"/>
  <c r="BB40" i="30"/>
  <c r="BB41"/>
  <c r="BB32"/>
  <c r="BB34"/>
  <c r="BB37"/>
  <c r="BB45"/>
  <c r="BC95" i="32"/>
  <c r="BA40" i="30"/>
  <c r="BA41"/>
  <c r="BA32"/>
  <c r="BA34"/>
  <c r="BA37"/>
  <c r="BA45"/>
  <c r="BB95" i="32"/>
  <c r="AZ40" i="30"/>
  <c r="AZ41"/>
  <c r="AZ32"/>
  <c r="AZ34"/>
  <c r="AZ37"/>
  <c r="AZ45"/>
  <c r="BA95" i="32"/>
  <c r="AY41" i="30"/>
  <c r="AY37"/>
  <c r="AY45"/>
  <c r="AZ95" i="32"/>
  <c r="AX40" i="30"/>
  <c r="AX41"/>
  <c r="AX37"/>
  <c r="AX45"/>
  <c r="AY95" i="32"/>
  <c r="AW40" i="30"/>
  <c r="AW41"/>
  <c r="AW37"/>
  <c r="AW45"/>
  <c r="AX95" i="32"/>
  <c r="AV40" i="30"/>
  <c r="AV41"/>
  <c r="AV37"/>
  <c r="AV45"/>
  <c r="AW95" i="32"/>
  <c r="AU40" i="30"/>
  <c r="AU41"/>
  <c r="AU37"/>
  <c r="AU45"/>
  <c r="AV95" i="32"/>
  <c r="AT40" i="30"/>
  <c r="AT41"/>
  <c r="AT37"/>
  <c r="AT45"/>
  <c r="AU95" i="32"/>
  <c r="AS40" i="30"/>
  <c r="AS41"/>
  <c r="AS37"/>
  <c r="AS45"/>
  <c r="AT95" i="32"/>
  <c r="AR40" i="30"/>
  <c r="AR41"/>
  <c r="AR37"/>
  <c r="AR45"/>
  <c r="AS95" i="32"/>
  <c r="AQ40" i="30"/>
  <c r="AQ41"/>
  <c r="AQ37"/>
  <c r="AQ45"/>
  <c r="AR95" i="32"/>
  <c r="AP40" i="30"/>
  <c r="AP41"/>
  <c r="AP37"/>
  <c r="AP45"/>
  <c r="AQ95" i="32"/>
  <c r="AO40" i="30"/>
  <c r="AO41"/>
  <c r="AO37"/>
  <c r="AO45"/>
  <c r="AP95" i="32"/>
  <c r="AN40" i="30"/>
  <c r="AN41"/>
  <c r="AN37"/>
  <c r="AN45"/>
  <c r="AO95" i="32"/>
  <c r="AM41" i="30"/>
  <c r="AM37"/>
  <c r="AM45"/>
  <c r="AN95" i="32"/>
  <c r="AL40" i="30"/>
  <c r="AL41"/>
  <c r="AL37"/>
  <c r="AL45"/>
  <c r="AM95" i="32"/>
  <c r="AK40" i="30"/>
  <c r="AK41"/>
  <c r="AK37"/>
  <c r="AK45"/>
  <c r="AL95" i="32"/>
  <c r="AJ40" i="30"/>
  <c r="AJ41"/>
  <c r="AJ37"/>
  <c r="AJ45"/>
  <c r="AK95" i="32"/>
  <c r="AI40" i="30"/>
  <c r="AI41"/>
  <c r="AI37"/>
  <c r="AI45"/>
  <c r="AJ95" i="32"/>
  <c r="AH40" i="30"/>
  <c r="AH41"/>
  <c r="AH37"/>
  <c r="AH45"/>
  <c r="AI95" i="32"/>
  <c r="AG40" i="30"/>
  <c r="AG41"/>
  <c r="AG37"/>
  <c r="AG45"/>
  <c r="AH95" i="32"/>
  <c r="AF40" i="30"/>
  <c r="AF41"/>
  <c r="AF37"/>
  <c r="AF45"/>
  <c r="AG95" i="32"/>
  <c r="AE40" i="30"/>
  <c r="AE41"/>
  <c r="AE37"/>
  <c r="AE45"/>
  <c r="AF95" i="32"/>
  <c r="AD40" i="30"/>
  <c r="AD41"/>
  <c r="AD37"/>
  <c r="AD45"/>
  <c r="AE95" i="32"/>
  <c r="AC40" i="30"/>
  <c r="AC41"/>
  <c r="AC37"/>
  <c r="AC45"/>
  <c r="AD95" i="32"/>
  <c r="AB40" i="30"/>
  <c r="AB41"/>
  <c r="AB37"/>
  <c r="AB45"/>
  <c r="AC95" i="32"/>
  <c r="AA41" i="30"/>
  <c r="AA37"/>
  <c r="AA45"/>
  <c r="AB95" i="32"/>
  <c r="Z40" i="30"/>
  <c r="Z41"/>
  <c r="Z37"/>
  <c r="Z45"/>
  <c r="AA95" i="32"/>
  <c r="Y40" i="30"/>
  <c r="Y41"/>
  <c r="Y37"/>
  <c r="Y45"/>
  <c r="Z95" i="32"/>
  <c r="X40" i="30"/>
  <c r="X41"/>
  <c r="X37"/>
  <c r="X45"/>
  <c r="Y95" i="32"/>
  <c r="W40" i="30"/>
  <c r="W41"/>
  <c r="W37"/>
  <c r="W45"/>
  <c r="X95" i="32"/>
  <c r="V40" i="30"/>
  <c r="V41"/>
  <c r="V37"/>
  <c r="V45"/>
  <c r="W95" i="32"/>
  <c r="U40" i="30"/>
  <c r="U41"/>
  <c r="U37"/>
  <c r="U45"/>
  <c r="V95" i="32"/>
  <c r="T40" i="30"/>
  <c r="T41"/>
  <c r="T37"/>
  <c r="T45"/>
  <c r="U95" i="32"/>
  <c r="S40" i="30"/>
  <c r="S41"/>
  <c r="S37"/>
  <c r="S45"/>
  <c r="T95" i="32"/>
  <c r="R40" i="30"/>
  <c r="R41"/>
  <c r="R37"/>
  <c r="R45"/>
  <c r="S95" i="32"/>
  <c r="Q40" i="30"/>
  <c r="Q41"/>
  <c r="Q37"/>
  <c r="Q45"/>
  <c r="R95" i="32"/>
  <c r="P40" i="30"/>
  <c r="P41"/>
  <c r="P37"/>
  <c r="P45"/>
  <c r="Q95" i="32"/>
  <c r="O41" i="30"/>
  <c r="O37"/>
  <c r="O45"/>
  <c r="P95" i="32"/>
  <c r="N41" i="30"/>
  <c r="N37"/>
  <c r="N45"/>
  <c r="O95" i="32"/>
  <c r="M41" i="30"/>
  <c r="M37"/>
  <c r="M45"/>
  <c r="N95" i="32"/>
  <c r="L41" i="30"/>
  <c r="L37"/>
  <c r="L45"/>
  <c r="M95" i="32"/>
  <c r="K41" i="30"/>
  <c r="K37"/>
  <c r="K45"/>
  <c r="L95" i="32"/>
  <c r="J41" i="30"/>
  <c r="J37"/>
  <c r="J45"/>
  <c r="K95" i="32"/>
  <c r="I41" i="30"/>
  <c r="I37"/>
  <c r="I45"/>
  <c r="J95" i="32"/>
  <c r="H41" i="30"/>
  <c r="H37"/>
  <c r="H45"/>
  <c r="I95" i="32"/>
  <c r="G41" i="30"/>
  <c r="G37"/>
  <c r="G45"/>
  <c r="H95" i="32"/>
  <c r="F41" i="30"/>
  <c r="F37"/>
  <c r="F45"/>
  <c r="G95" i="32"/>
  <c r="E41" i="30"/>
  <c r="E37"/>
  <c r="E45"/>
  <c r="F95" i="32"/>
  <c r="D41" i="30"/>
  <c r="D37"/>
  <c r="D45"/>
  <c r="E95" i="32"/>
  <c r="C41" i="30"/>
  <c r="C37"/>
  <c r="C45"/>
  <c r="D95" i="32"/>
  <c r="A3" i="28"/>
  <c r="A4" i="29"/>
  <c r="A29" i="30"/>
  <c r="C53" i="32"/>
  <c r="C67"/>
  <c r="C81"/>
  <c r="C95"/>
  <c r="BJ242" i="30"/>
  <c r="BK92" i="32"/>
  <c r="BI242" i="30"/>
  <c r="BJ92" i="32"/>
  <c r="BH242" i="30"/>
  <c r="BI92" i="32"/>
  <c r="BG242" i="30"/>
  <c r="BH92" i="32"/>
  <c r="BF242" i="30"/>
  <c r="BG92" i="32"/>
  <c r="BE242" i="30"/>
  <c r="BF92" i="32"/>
  <c r="BD242" i="30"/>
  <c r="BE92" i="32"/>
  <c r="BC242" i="30"/>
  <c r="BD92" i="32"/>
  <c r="BB242" i="30"/>
  <c r="BC92" i="32"/>
  <c r="BA242" i="30"/>
  <c r="BB92" i="32"/>
  <c r="AZ242" i="30"/>
  <c r="BA92" i="32"/>
  <c r="AY242" i="30"/>
  <c r="AZ92" i="32"/>
  <c r="AX242" i="30"/>
  <c r="AY92" i="32"/>
  <c r="AW242" i="30"/>
  <c r="AX92" i="32"/>
  <c r="AV242" i="30"/>
  <c r="AW92" i="32"/>
  <c r="AU242" i="30"/>
  <c r="AV92" i="32"/>
  <c r="AT242" i="30"/>
  <c r="AU92" i="32"/>
  <c r="AS242" i="30"/>
  <c r="AT92" i="32"/>
  <c r="AR242" i="30"/>
  <c r="AS92" i="32"/>
  <c r="AQ242" i="30"/>
  <c r="AR92" i="32"/>
  <c r="AP242" i="30"/>
  <c r="AQ92" i="32"/>
  <c r="AO242" i="30"/>
  <c r="AP92" i="32"/>
  <c r="AN242" i="30"/>
  <c r="AO92" i="32"/>
  <c r="AM242" i="30"/>
  <c r="AN92" i="32"/>
  <c r="AL242" i="30"/>
  <c r="AM92" i="32"/>
  <c r="AK242" i="30"/>
  <c r="AL92" i="32"/>
  <c r="AJ242" i="30"/>
  <c r="AK92" i="32"/>
  <c r="AI242" i="30"/>
  <c r="AJ92" i="32"/>
  <c r="AH242" i="30"/>
  <c r="AI92" i="32"/>
  <c r="AG242" i="30"/>
  <c r="AH92" i="32"/>
  <c r="AF242" i="30"/>
  <c r="AG92" i="32"/>
  <c r="AE242" i="30"/>
  <c r="AF92" i="32"/>
  <c r="AD242" i="30"/>
  <c r="AE92" i="32"/>
  <c r="AC242" i="30"/>
  <c r="AD92" i="32"/>
  <c r="AB242" i="30"/>
  <c r="AC92" i="32"/>
  <c r="AA242" i="30"/>
  <c r="AB92" i="32"/>
  <c r="Z242" i="30"/>
  <c r="AA92" i="32"/>
  <c r="Y242" i="30"/>
  <c r="Z92" i="32"/>
  <c r="X242" i="30"/>
  <c r="Y92" i="32"/>
  <c r="W242" i="30"/>
  <c r="X92" i="32"/>
  <c r="V242" i="30"/>
  <c r="W92" i="32"/>
  <c r="U242" i="30"/>
  <c r="V92" i="32"/>
  <c r="T242" i="30"/>
  <c r="U92" i="32"/>
  <c r="S242" i="30"/>
  <c r="T92" i="32"/>
  <c r="R242" i="30"/>
  <c r="S92" i="32"/>
  <c r="Q242" i="30"/>
  <c r="R92" i="32"/>
  <c r="P242" i="30"/>
  <c r="Q92" i="32"/>
  <c r="O242" i="30"/>
  <c r="P92" i="32"/>
  <c r="N242" i="30"/>
  <c r="O92" i="32"/>
  <c r="M242" i="30"/>
  <c r="N92" i="32"/>
  <c r="L242" i="30"/>
  <c r="M92" i="32"/>
  <c r="K242" i="30"/>
  <c r="L92" i="32"/>
  <c r="J242" i="30"/>
  <c r="K92" i="32"/>
  <c r="I242" i="30"/>
  <c r="J92" i="32"/>
  <c r="H242" i="30"/>
  <c r="I92" i="32"/>
  <c r="G242" i="30"/>
  <c r="H92" i="32"/>
  <c r="F242" i="30"/>
  <c r="G92" i="32"/>
  <c r="E242" i="30"/>
  <c r="F92" i="32"/>
  <c r="D242" i="30"/>
  <c r="E92" i="32"/>
  <c r="C242" i="30"/>
  <c r="D92" i="32"/>
  <c r="BJ224" i="30"/>
  <c r="BK91" i="32"/>
  <c r="BI224" i="30"/>
  <c r="BJ91" i="32"/>
  <c r="BH224" i="30"/>
  <c r="BI91" i="32"/>
  <c r="BG224" i="30"/>
  <c r="BH91" i="32"/>
  <c r="BF224" i="30"/>
  <c r="BG91" i="32"/>
  <c r="BE224" i="30"/>
  <c r="BF91" i="32"/>
  <c r="BD224" i="30"/>
  <c r="BE91" i="32"/>
  <c r="BC224" i="30"/>
  <c r="BD91" i="32"/>
  <c r="BB224" i="30"/>
  <c r="BC91" i="32"/>
  <c r="BA224" i="30"/>
  <c r="BB91" i="32"/>
  <c r="AZ224" i="30"/>
  <c r="BA91" i="32"/>
  <c r="AY224" i="30"/>
  <c r="AZ91" i="32"/>
  <c r="AX224" i="30"/>
  <c r="AY91" i="32"/>
  <c r="AW224" i="30"/>
  <c r="AX91" i="32"/>
  <c r="AV224" i="30"/>
  <c r="AW91" i="32"/>
  <c r="AU224" i="30"/>
  <c r="AV91" i="32"/>
  <c r="AT224" i="30"/>
  <c r="AU91" i="32"/>
  <c r="AS224" i="30"/>
  <c r="AT91" i="32"/>
  <c r="AR224" i="30"/>
  <c r="AS91" i="32"/>
  <c r="AQ224" i="30"/>
  <c r="AR91" i="32"/>
  <c r="AP224" i="30"/>
  <c r="AQ91" i="32"/>
  <c r="AO224" i="30"/>
  <c r="AP91" i="32"/>
  <c r="AN224" i="30"/>
  <c r="AO91" i="32"/>
  <c r="AM224" i="30"/>
  <c r="AN91" i="32"/>
  <c r="AL224" i="30"/>
  <c r="AM91" i="32"/>
  <c r="AK224" i="30"/>
  <c r="AL91" i="32"/>
  <c r="AJ224" i="30"/>
  <c r="AK91" i="32"/>
  <c r="AI224" i="30"/>
  <c r="AJ91" i="32"/>
  <c r="AH224" i="30"/>
  <c r="AI91" i="32"/>
  <c r="AG224" i="30"/>
  <c r="AH91" i="32"/>
  <c r="AF224" i="30"/>
  <c r="AG91" i="32"/>
  <c r="AE224" i="30"/>
  <c r="AF91" i="32"/>
  <c r="AD224" i="30"/>
  <c r="AE91" i="32"/>
  <c r="AC224" i="30"/>
  <c r="AD91" i="32"/>
  <c r="AB224" i="30"/>
  <c r="AC91" i="32"/>
  <c r="AA224" i="30"/>
  <c r="AB91" i="32"/>
  <c r="Z224" i="30"/>
  <c r="AA91" i="32"/>
  <c r="Y224" i="30"/>
  <c r="Z91" i="32"/>
  <c r="X224" i="30"/>
  <c r="Y91" i="32"/>
  <c r="W224" i="30"/>
  <c r="X91" i="32"/>
  <c r="V224" i="30"/>
  <c r="W91" i="32"/>
  <c r="U224" i="30"/>
  <c r="V91" i="32"/>
  <c r="T224" i="30"/>
  <c r="U91" i="32"/>
  <c r="S224" i="30"/>
  <c r="T91" i="32"/>
  <c r="R224" i="30"/>
  <c r="S91" i="32"/>
  <c r="Q224" i="30"/>
  <c r="R91" i="32"/>
  <c r="P224" i="30"/>
  <c r="Q91" i="32"/>
  <c r="O224" i="30"/>
  <c r="P91" i="32"/>
  <c r="N224" i="30"/>
  <c r="O91" i="32"/>
  <c r="M224" i="30"/>
  <c r="N91" i="32"/>
  <c r="L224" i="30"/>
  <c r="M91" i="32"/>
  <c r="K224" i="30"/>
  <c r="L91" i="32"/>
  <c r="J224" i="30"/>
  <c r="K91" i="32"/>
  <c r="I224" i="30"/>
  <c r="J91" i="32"/>
  <c r="H224" i="30"/>
  <c r="I91" i="32"/>
  <c r="G224" i="30"/>
  <c r="H91" i="32"/>
  <c r="F224" i="30"/>
  <c r="G91" i="32"/>
  <c r="E224" i="30"/>
  <c r="F91" i="32"/>
  <c r="D224" i="30"/>
  <c r="E91" i="32"/>
  <c r="C224" i="30"/>
  <c r="D91" i="32"/>
  <c r="BJ206" i="30"/>
  <c r="BK90" i="32"/>
  <c r="BI206" i="30"/>
  <c r="BJ90" i="32"/>
  <c r="BH206" i="30"/>
  <c r="BI90" i="32"/>
  <c r="BG206" i="30"/>
  <c r="BH90" i="32"/>
  <c r="BF206" i="30"/>
  <c r="BG90" i="32"/>
  <c r="BE206" i="30"/>
  <c r="BF90" i="32"/>
  <c r="BD206" i="30"/>
  <c r="BE90" i="32"/>
  <c r="BC206" i="30"/>
  <c r="BD90" i="32"/>
  <c r="BB206" i="30"/>
  <c r="BC90" i="32"/>
  <c r="BA206" i="30"/>
  <c r="BB90" i="32"/>
  <c r="AZ206" i="30"/>
  <c r="BA90" i="32"/>
  <c r="AY206" i="30"/>
  <c r="AZ90" i="32"/>
  <c r="AX206" i="30"/>
  <c r="AY90" i="32"/>
  <c r="AW206" i="30"/>
  <c r="AX90" i="32"/>
  <c r="AV206" i="30"/>
  <c r="AW90" i="32"/>
  <c r="AU206" i="30"/>
  <c r="AV90" i="32"/>
  <c r="AT206" i="30"/>
  <c r="AU90" i="32"/>
  <c r="AS206" i="30"/>
  <c r="AT90" i="32"/>
  <c r="AR206" i="30"/>
  <c r="AS90" i="32"/>
  <c r="AQ206" i="30"/>
  <c r="AR90" i="32"/>
  <c r="AP206" i="30"/>
  <c r="AQ90" i="32"/>
  <c r="AO206" i="30"/>
  <c r="AP90" i="32"/>
  <c r="AN206" i="30"/>
  <c r="AO90" i="32"/>
  <c r="AM206" i="30"/>
  <c r="AN90" i="32"/>
  <c r="AL206" i="30"/>
  <c r="AM90" i="32"/>
  <c r="AK206" i="30"/>
  <c r="AL90" i="32"/>
  <c r="AJ206" i="30"/>
  <c r="AK90" i="32"/>
  <c r="AI206" i="30"/>
  <c r="AJ90" i="32"/>
  <c r="AH206" i="30"/>
  <c r="AI90" i="32"/>
  <c r="AG206" i="30"/>
  <c r="AH90" i="32"/>
  <c r="AF206" i="30"/>
  <c r="AG90" i="32"/>
  <c r="AE206" i="30"/>
  <c r="AF90" i="32"/>
  <c r="AD206" i="30"/>
  <c r="AE90" i="32"/>
  <c r="AC206" i="30"/>
  <c r="AD90" i="32"/>
  <c r="AB206" i="30"/>
  <c r="AC90" i="32"/>
  <c r="AA206" i="30"/>
  <c r="AB90" i="32"/>
  <c r="Z206" i="30"/>
  <c r="AA90" i="32"/>
  <c r="Y206" i="30"/>
  <c r="Z90" i="32"/>
  <c r="X206" i="30"/>
  <c r="Y90" i="32"/>
  <c r="W206" i="30"/>
  <c r="X90" i="32"/>
  <c r="V206" i="30"/>
  <c r="W90" i="32"/>
  <c r="U206" i="30"/>
  <c r="V90" i="32"/>
  <c r="T206" i="30"/>
  <c r="U90" i="32"/>
  <c r="S206" i="30"/>
  <c r="T90" i="32"/>
  <c r="R206" i="30"/>
  <c r="S90" i="32"/>
  <c r="Q206" i="30"/>
  <c r="R90" i="32"/>
  <c r="P206" i="30"/>
  <c r="Q90" i="32"/>
  <c r="O206" i="30"/>
  <c r="P90" i="32"/>
  <c r="N206" i="30"/>
  <c r="O90" i="32"/>
  <c r="M206" i="30"/>
  <c r="N90" i="32"/>
  <c r="L206" i="30"/>
  <c r="M90" i="32"/>
  <c r="K206" i="30"/>
  <c r="L90" i="32"/>
  <c r="J206" i="30"/>
  <c r="K90" i="32"/>
  <c r="I206" i="30"/>
  <c r="J90" i="32"/>
  <c r="H206" i="30"/>
  <c r="I90" i="32"/>
  <c r="G206" i="30"/>
  <c r="H90" i="32"/>
  <c r="F206" i="30"/>
  <c r="G90" i="32"/>
  <c r="E206" i="30"/>
  <c r="F90" i="32"/>
  <c r="D206" i="30"/>
  <c r="E90" i="32"/>
  <c r="C206" i="30"/>
  <c r="D90" i="32"/>
  <c r="BJ188" i="30"/>
  <c r="BK89" i="32"/>
  <c r="BI188" i="30"/>
  <c r="BJ89" i="32"/>
  <c r="BH188" i="30"/>
  <c r="BI89" i="32"/>
  <c r="BG188" i="30"/>
  <c r="BH89" i="32"/>
  <c r="BF188" i="30"/>
  <c r="BG89" i="32"/>
  <c r="BE188" i="30"/>
  <c r="BF89" i="32"/>
  <c r="BD188" i="30"/>
  <c r="BE89" i="32"/>
  <c r="BC188" i="30"/>
  <c r="BD89" i="32"/>
  <c r="BB188" i="30"/>
  <c r="BC89" i="32"/>
  <c r="BA188" i="30"/>
  <c r="BB89" i="32"/>
  <c r="AZ188" i="30"/>
  <c r="BA89" i="32"/>
  <c r="AY188" i="30"/>
  <c r="AZ89" i="32"/>
  <c r="AX188" i="30"/>
  <c r="AY89" i="32"/>
  <c r="AW188" i="30"/>
  <c r="AX89" i="32"/>
  <c r="AV188" i="30"/>
  <c r="AW89" i="32"/>
  <c r="AU188" i="30"/>
  <c r="AV89" i="32"/>
  <c r="AT188" i="30"/>
  <c r="AU89" i="32"/>
  <c r="AS188" i="30"/>
  <c r="AT89" i="32"/>
  <c r="AR188" i="30"/>
  <c r="AS89" i="32"/>
  <c r="AQ188" i="30"/>
  <c r="AR89" i="32"/>
  <c r="AP188" i="30"/>
  <c r="AQ89" i="32"/>
  <c r="AO188" i="30"/>
  <c r="AP89" i="32"/>
  <c r="AN188" i="30"/>
  <c r="AO89" i="32"/>
  <c r="AM188" i="30"/>
  <c r="AN89" i="32"/>
  <c r="AL188" i="30"/>
  <c r="AM89" i="32"/>
  <c r="AK188" i="30"/>
  <c r="AL89" i="32"/>
  <c r="AJ188" i="30"/>
  <c r="AK89" i="32"/>
  <c r="AI188" i="30"/>
  <c r="AJ89" i="32"/>
  <c r="AH188" i="30"/>
  <c r="AI89" i="32"/>
  <c r="AG188" i="30"/>
  <c r="AH89" i="32"/>
  <c r="AF188" i="30"/>
  <c r="AG89" i="32"/>
  <c r="AE188" i="30"/>
  <c r="AF89" i="32"/>
  <c r="AD188" i="30"/>
  <c r="AE89" i="32"/>
  <c r="AC188" i="30"/>
  <c r="AD89" i="32"/>
  <c r="AB188" i="30"/>
  <c r="AC89" i="32"/>
  <c r="AA188" i="30"/>
  <c r="AB89" i="32"/>
  <c r="Z188" i="30"/>
  <c r="AA89" i="32"/>
  <c r="Y188" i="30"/>
  <c r="Z89" i="32"/>
  <c r="X188" i="30"/>
  <c r="Y89" i="32"/>
  <c r="W188" i="30"/>
  <c r="X89" i="32"/>
  <c r="V188" i="30"/>
  <c r="W89" i="32"/>
  <c r="U188" i="30"/>
  <c r="V89" i="32"/>
  <c r="T188" i="30"/>
  <c r="U89" i="32"/>
  <c r="S188" i="30"/>
  <c r="T89" i="32"/>
  <c r="R188" i="30"/>
  <c r="S89" i="32"/>
  <c r="Q188" i="30"/>
  <c r="R89" i="32"/>
  <c r="P188" i="30"/>
  <c r="Q89" i="32"/>
  <c r="O188" i="30"/>
  <c r="P89" i="32"/>
  <c r="N188" i="30"/>
  <c r="O89" i="32"/>
  <c r="M188" i="30"/>
  <c r="N89" i="32"/>
  <c r="L188" i="30"/>
  <c r="M89" i="32"/>
  <c r="K188" i="30"/>
  <c r="L89" i="32"/>
  <c r="J188" i="30"/>
  <c r="K89" i="32"/>
  <c r="I188" i="30"/>
  <c r="J89" i="32"/>
  <c r="H188" i="30"/>
  <c r="I89" i="32"/>
  <c r="G188" i="30"/>
  <c r="H89" i="32"/>
  <c r="F188" i="30"/>
  <c r="G89" i="32"/>
  <c r="E188" i="30"/>
  <c r="F89" i="32"/>
  <c r="D188" i="30"/>
  <c r="E89" i="32"/>
  <c r="C188" i="30"/>
  <c r="D89" i="32"/>
  <c r="BJ170" i="30"/>
  <c r="BK88" i="32"/>
  <c r="BI170" i="30"/>
  <c r="BJ88" i="32"/>
  <c r="BH170" i="30"/>
  <c r="BI88" i="32"/>
  <c r="BG170" i="30"/>
  <c r="BH88" i="32"/>
  <c r="BF170" i="30"/>
  <c r="BG88" i="32"/>
  <c r="BE170" i="30"/>
  <c r="BF88" i="32"/>
  <c r="BD170" i="30"/>
  <c r="BE88" i="32"/>
  <c r="BC170" i="30"/>
  <c r="BD88" i="32"/>
  <c r="BB170" i="30"/>
  <c r="BC88" i="32"/>
  <c r="BA170" i="30"/>
  <c r="BB88" i="32"/>
  <c r="AZ170" i="30"/>
  <c r="BA88" i="32"/>
  <c r="AY170" i="30"/>
  <c r="AZ88" i="32"/>
  <c r="AX170" i="30"/>
  <c r="AY88" i="32"/>
  <c r="AW170" i="30"/>
  <c r="AX88" i="32"/>
  <c r="AV170" i="30"/>
  <c r="AW88" i="32"/>
  <c r="AU170" i="30"/>
  <c r="AV88" i="32"/>
  <c r="AT170" i="30"/>
  <c r="AU88" i="32"/>
  <c r="AS170" i="30"/>
  <c r="AT88" i="32"/>
  <c r="AR170" i="30"/>
  <c r="AS88" i="32"/>
  <c r="AQ170" i="30"/>
  <c r="AR88" i="32"/>
  <c r="AP170" i="30"/>
  <c r="AQ88" i="32"/>
  <c r="AO170" i="30"/>
  <c r="AP88" i="32"/>
  <c r="AN170" i="30"/>
  <c r="AO88" i="32"/>
  <c r="AM170" i="30"/>
  <c r="AN88" i="32"/>
  <c r="AL170" i="30"/>
  <c r="AM88" i="32"/>
  <c r="AK170" i="30"/>
  <c r="AL88" i="32"/>
  <c r="AJ170" i="30"/>
  <c r="AK88" i="32"/>
  <c r="AI170" i="30"/>
  <c r="AJ88" i="32"/>
  <c r="AH170" i="30"/>
  <c r="AI88" i="32"/>
  <c r="AG170" i="30"/>
  <c r="AH88" i="32"/>
  <c r="AF170" i="30"/>
  <c r="AG88" i="32"/>
  <c r="AE170" i="30"/>
  <c r="AF88" i="32"/>
  <c r="AD170" i="30"/>
  <c r="AE88" i="32"/>
  <c r="AC170" i="30"/>
  <c r="AD88" i="32"/>
  <c r="AB170" i="30"/>
  <c r="AC88" i="32"/>
  <c r="AA170" i="30"/>
  <c r="AB88" i="32"/>
  <c r="Z170" i="30"/>
  <c r="AA88" i="32"/>
  <c r="Y170" i="30"/>
  <c r="Z88" i="32"/>
  <c r="X170" i="30"/>
  <c r="Y88" i="32"/>
  <c r="W170" i="30"/>
  <c r="X88" i="32"/>
  <c r="V170" i="30"/>
  <c r="W88" i="32"/>
  <c r="U170" i="30"/>
  <c r="V88" i="32"/>
  <c r="T170" i="30"/>
  <c r="U88" i="32"/>
  <c r="S170" i="30"/>
  <c r="T88" i="32"/>
  <c r="R170" i="30"/>
  <c r="S88" i="32"/>
  <c r="Q170" i="30"/>
  <c r="R88" i="32"/>
  <c r="P170" i="30"/>
  <c r="Q88" i="32"/>
  <c r="O170" i="30"/>
  <c r="P88" i="32"/>
  <c r="N170" i="30"/>
  <c r="O88" i="32"/>
  <c r="M170" i="30"/>
  <c r="N88" i="32"/>
  <c r="L170" i="30"/>
  <c r="M88" i="32"/>
  <c r="K170" i="30"/>
  <c r="L88" i="32"/>
  <c r="J170" i="30"/>
  <c r="K88" i="32"/>
  <c r="I170" i="30"/>
  <c r="J88" i="32"/>
  <c r="H170" i="30"/>
  <c r="I88" i="32"/>
  <c r="G170" i="30"/>
  <c r="H88" i="32"/>
  <c r="F170" i="30"/>
  <c r="G88" i="32"/>
  <c r="E170" i="30"/>
  <c r="F88" i="32"/>
  <c r="D170" i="30"/>
  <c r="E88" i="32"/>
  <c r="C170" i="30"/>
  <c r="D88" i="32"/>
  <c r="BJ152" i="30"/>
  <c r="BK87" i="32"/>
  <c r="BI152" i="30"/>
  <c r="BJ87" i="32"/>
  <c r="BH152" i="30"/>
  <c r="BI87" i="32"/>
  <c r="BG152" i="30"/>
  <c r="BH87" i="32"/>
  <c r="BF152" i="30"/>
  <c r="BG87" i="32"/>
  <c r="BE152" i="30"/>
  <c r="BF87" i="32"/>
  <c r="BD152" i="30"/>
  <c r="BE87" i="32"/>
  <c r="BC152" i="30"/>
  <c r="BD87" i="32"/>
  <c r="BB152" i="30"/>
  <c r="BC87" i="32"/>
  <c r="BA152" i="30"/>
  <c r="BB87" i="32"/>
  <c r="AZ152" i="30"/>
  <c r="BA87" i="32"/>
  <c r="AY152" i="30"/>
  <c r="AZ87" i="32"/>
  <c r="AX152" i="30"/>
  <c r="AY87" i="32"/>
  <c r="AW152" i="30"/>
  <c r="AX87" i="32"/>
  <c r="AV152" i="30"/>
  <c r="AW87" i="32"/>
  <c r="AU152" i="30"/>
  <c r="AV87" i="32"/>
  <c r="AT152" i="30"/>
  <c r="AU87" i="32"/>
  <c r="AS152" i="30"/>
  <c r="AT87" i="32"/>
  <c r="AR152" i="30"/>
  <c r="AS87" i="32"/>
  <c r="AQ152" i="30"/>
  <c r="AR87" i="32"/>
  <c r="AP152" i="30"/>
  <c r="AQ87" i="32"/>
  <c r="AO152" i="30"/>
  <c r="AP87" i="32"/>
  <c r="AN152" i="30"/>
  <c r="AO87" i="32"/>
  <c r="AM152" i="30"/>
  <c r="AN87" i="32"/>
  <c r="AL152" i="30"/>
  <c r="AM87" i="32"/>
  <c r="AK152" i="30"/>
  <c r="AL87" i="32"/>
  <c r="AJ152" i="30"/>
  <c r="AK87" i="32"/>
  <c r="AI152" i="30"/>
  <c r="AJ87" i="32"/>
  <c r="AH152" i="30"/>
  <c r="AI87" i="32"/>
  <c r="AG152" i="30"/>
  <c r="AH87" i="32"/>
  <c r="AF152" i="30"/>
  <c r="AG87" i="32"/>
  <c r="AE152" i="30"/>
  <c r="AF87" i="32"/>
  <c r="AD152" i="30"/>
  <c r="AE87" i="32"/>
  <c r="AC152" i="30"/>
  <c r="AD87" i="32"/>
  <c r="AB152" i="30"/>
  <c r="AC87" i="32"/>
  <c r="AA152" i="30"/>
  <c r="AB87" i="32"/>
  <c r="Z152" i="30"/>
  <c r="AA87" i="32"/>
  <c r="Y152" i="30"/>
  <c r="Z87" i="32"/>
  <c r="X152" i="30"/>
  <c r="Y87" i="32"/>
  <c r="W152" i="30"/>
  <c r="X87" i="32"/>
  <c r="V152" i="30"/>
  <c r="W87" i="32"/>
  <c r="U152" i="30"/>
  <c r="V87" i="32"/>
  <c r="T152" i="30"/>
  <c r="U87" i="32"/>
  <c r="S152" i="30"/>
  <c r="T87" i="32"/>
  <c r="R152" i="30"/>
  <c r="S87" i="32"/>
  <c r="Q152" i="30"/>
  <c r="R87" i="32"/>
  <c r="P152" i="30"/>
  <c r="Q87" i="32"/>
  <c r="O152" i="30"/>
  <c r="P87" i="32"/>
  <c r="N152" i="30"/>
  <c r="O87" i="32"/>
  <c r="M152" i="30"/>
  <c r="N87" i="32"/>
  <c r="L152" i="30"/>
  <c r="M87" i="32"/>
  <c r="K152" i="30"/>
  <c r="L87" i="32"/>
  <c r="J152" i="30"/>
  <c r="K87" i="32"/>
  <c r="I152" i="30"/>
  <c r="J87" i="32"/>
  <c r="H152" i="30"/>
  <c r="I87" i="32"/>
  <c r="G152" i="30"/>
  <c r="H87" i="32"/>
  <c r="F152" i="30"/>
  <c r="G87" i="32"/>
  <c r="E152" i="30"/>
  <c r="F87" i="32"/>
  <c r="D152" i="30"/>
  <c r="E87" i="32"/>
  <c r="C152" i="30"/>
  <c r="D87" i="32"/>
  <c r="BJ134" i="30"/>
  <c r="BK86" i="32"/>
  <c r="BI134" i="30"/>
  <c r="BJ86" i="32"/>
  <c r="BH134" i="30"/>
  <c r="BI86" i="32"/>
  <c r="BG134" i="30"/>
  <c r="BH86" i="32"/>
  <c r="BF134" i="30"/>
  <c r="BG86" i="32"/>
  <c r="BE134" i="30"/>
  <c r="BF86" i="32"/>
  <c r="BD134" i="30"/>
  <c r="BE86" i="32"/>
  <c r="BC134" i="30"/>
  <c r="BD86" i="32"/>
  <c r="BB134" i="30"/>
  <c r="BC86" i="32"/>
  <c r="BA134" i="30"/>
  <c r="BB86" i="32"/>
  <c r="AZ134" i="30"/>
  <c r="BA86" i="32"/>
  <c r="AY134" i="30"/>
  <c r="AZ86" i="32"/>
  <c r="AX134" i="30"/>
  <c r="AY86" i="32"/>
  <c r="AW134" i="30"/>
  <c r="AX86" i="32"/>
  <c r="AV134" i="30"/>
  <c r="AW86" i="32"/>
  <c r="AU134" i="30"/>
  <c r="AV86" i="32"/>
  <c r="AT134" i="30"/>
  <c r="AU86" i="32"/>
  <c r="AS134" i="30"/>
  <c r="AT86" i="32"/>
  <c r="AR134" i="30"/>
  <c r="AS86" i="32"/>
  <c r="AQ134" i="30"/>
  <c r="AR86" i="32"/>
  <c r="AP134" i="30"/>
  <c r="AQ86" i="32"/>
  <c r="AO134" i="30"/>
  <c r="AP86" i="32"/>
  <c r="AN134" i="30"/>
  <c r="AO86" i="32"/>
  <c r="AM134" i="30"/>
  <c r="AN86" i="32"/>
  <c r="AL134" i="30"/>
  <c r="AM86" i="32"/>
  <c r="AK134" i="30"/>
  <c r="AL86" i="32"/>
  <c r="AJ134" i="30"/>
  <c r="AK86" i="32"/>
  <c r="AI134" i="30"/>
  <c r="AJ86" i="32"/>
  <c r="AH134" i="30"/>
  <c r="AI86" i="32"/>
  <c r="AG134" i="30"/>
  <c r="AH86" i="32"/>
  <c r="AF134" i="30"/>
  <c r="AG86" i="32"/>
  <c r="AE134" i="30"/>
  <c r="AF86" i="32"/>
  <c r="AD134" i="30"/>
  <c r="AE86" i="32"/>
  <c r="AC134" i="30"/>
  <c r="AD86" i="32"/>
  <c r="AB134" i="30"/>
  <c r="AC86" i="32"/>
  <c r="AA134" i="30"/>
  <c r="AB86" i="32"/>
  <c r="Z134" i="30"/>
  <c r="AA86" i="32"/>
  <c r="Y134" i="30"/>
  <c r="Z86" i="32"/>
  <c r="X134" i="30"/>
  <c r="Y86" i="32"/>
  <c r="W134" i="30"/>
  <c r="X86" i="32"/>
  <c r="V134" i="30"/>
  <c r="W86" i="32"/>
  <c r="U134" i="30"/>
  <c r="V86" i="32"/>
  <c r="T134" i="30"/>
  <c r="U86" i="32"/>
  <c r="S134" i="30"/>
  <c r="T86" i="32"/>
  <c r="R134" i="30"/>
  <c r="S86" i="32"/>
  <c r="Q134" i="30"/>
  <c r="R86" i="32"/>
  <c r="P134" i="30"/>
  <c r="Q86" i="32"/>
  <c r="O134" i="30"/>
  <c r="P86" i="32"/>
  <c r="N134" i="30"/>
  <c r="O86" i="32"/>
  <c r="M134" i="30"/>
  <c r="N86" i="32"/>
  <c r="L134" i="30"/>
  <c r="M86" i="32"/>
  <c r="K134" i="30"/>
  <c r="L86" i="32"/>
  <c r="J134" i="30"/>
  <c r="K86" i="32"/>
  <c r="I134" i="30"/>
  <c r="J86" i="32"/>
  <c r="H134" i="30"/>
  <c r="I86" i="32"/>
  <c r="G134" i="30"/>
  <c r="H86" i="32"/>
  <c r="F134" i="30"/>
  <c r="G86" i="32"/>
  <c r="E134" i="30"/>
  <c r="F86" i="32"/>
  <c r="D134" i="30"/>
  <c r="E86" i="32"/>
  <c r="C134" i="30"/>
  <c r="D86" i="32"/>
  <c r="BJ116" i="30"/>
  <c r="BK85" i="32"/>
  <c r="BI116" i="30"/>
  <c r="BJ85" i="32"/>
  <c r="BH116" i="30"/>
  <c r="BI85" i="32"/>
  <c r="BG116" i="30"/>
  <c r="BH85" i="32"/>
  <c r="BF116" i="30"/>
  <c r="BG85" i="32"/>
  <c r="BE116" i="30"/>
  <c r="BF85" i="32"/>
  <c r="BD116" i="30"/>
  <c r="BE85" i="32"/>
  <c r="BC116" i="30"/>
  <c r="BD85" i="32"/>
  <c r="BB116" i="30"/>
  <c r="BC85" i="32"/>
  <c r="BA116" i="30"/>
  <c r="BB85" i="32"/>
  <c r="AZ116" i="30"/>
  <c r="BA85" i="32"/>
  <c r="AY116" i="30"/>
  <c r="AZ85" i="32"/>
  <c r="AX116" i="30"/>
  <c r="AY85" i="32"/>
  <c r="AW116" i="30"/>
  <c r="AX85" i="32"/>
  <c r="AV116" i="30"/>
  <c r="AW85" i="32"/>
  <c r="AU116" i="30"/>
  <c r="AV85" i="32"/>
  <c r="AT116" i="30"/>
  <c r="AU85" i="32"/>
  <c r="AS116" i="30"/>
  <c r="AT85" i="32"/>
  <c r="AR116" i="30"/>
  <c r="AS85" i="32"/>
  <c r="AQ116" i="30"/>
  <c r="AR85" i="32"/>
  <c r="AP116" i="30"/>
  <c r="AQ85" i="32"/>
  <c r="AO116" i="30"/>
  <c r="AP85" i="32"/>
  <c r="AN116" i="30"/>
  <c r="AO85" i="32"/>
  <c r="AM116" i="30"/>
  <c r="AN85" i="32"/>
  <c r="AL116" i="30"/>
  <c r="AM85" i="32"/>
  <c r="AK116" i="30"/>
  <c r="AL85" i="32"/>
  <c r="AJ116" i="30"/>
  <c r="AK85" i="32"/>
  <c r="AI116" i="30"/>
  <c r="AJ85" i="32"/>
  <c r="AH116" i="30"/>
  <c r="AI85" i="32"/>
  <c r="AG116" i="30"/>
  <c r="AH85" i="32"/>
  <c r="AF116" i="30"/>
  <c r="AG85" i="32"/>
  <c r="AE116" i="30"/>
  <c r="AF85" i="32"/>
  <c r="AD116" i="30"/>
  <c r="AE85" i="32"/>
  <c r="AC116" i="30"/>
  <c r="AD85" i="32"/>
  <c r="AB116" i="30"/>
  <c r="AC85" i="32"/>
  <c r="AA116" i="30"/>
  <c r="AB85" i="32"/>
  <c r="Z116" i="30"/>
  <c r="AA85" i="32"/>
  <c r="Y116" i="30"/>
  <c r="Z85" i="32"/>
  <c r="X116" i="30"/>
  <c r="Y85" i="32"/>
  <c r="W116" i="30"/>
  <c r="X85" i="32"/>
  <c r="V116" i="30"/>
  <c r="W85" i="32"/>
  <c r="U116" i="30"/>
  <c r="V85" i="32"/>
  <c r="T116" i="30"/>
  <c r="U85" i="32"/>
  <c r="S116" i="30"/>
  <c r="T85" i="32"/>
  <c r="R116" i="30"/>
  <c r="S85" i="32"/>
  <c r="Q116" i="30"/>
  <c r="R85" i="32"/>
  <c r="P116" i="30"/>
  <c r="Q85" i="32"/>
  <c r="O116" i="30"/>
  <c r="P85" i="32"/>
  <c r="N116" i="30"/>
  <c r="O85" i="32"/>
  <c r="M116" i="30"/>
  <c r="N85" i="32"/>
  <c r="L116" i="30"/>
  <c r="M85" i="32"/>
  <c r="K116" i="30"/>
  <c r="L85" i="32"/>
  <c r="J116" i="30"/>
  <c r="K85" i="32"/>
  <c r="I116" i="30"/>
  <c r="J85" i="32"/>
  <c r="H116" i="30"/>
  <c r="I85" i="32"/>
  <c r="G116" i="30"/>
  <c r="H85" i="32"/>
  <c r="F116" i="30"/>
  <c r="G85" i="32"/>
  <c r="E116" i="30"/>
  <c r="F85" i="32"/>
  <c r="D116" i="30"/>
  <c r="E85" i="32"/>
  <c r="C116" i="30"/>
  <c r="D85" i="32"/>
  <c r="BJ98" i="30"/>
  <c r="BK84" i="32"/>
  <c r="BI98" i="30"/>
  <c r="BJ84" i="32"/>
  <c r="BH98" i="30"/>
  <c r="BI84" i="32"/>
  <c r="BG98" i="30"/>
  <c r="BH84" i="32"/>
  <c r="BF98" i="30"/>
  <c r="BG84" i="32"/>
  <c r="BE98" i="30"/>
  <c r="BF84" i="32"/>
  <c r="BD98" i="30"/>
  <c r="BE84" i="32"/>
  <c r="BC98" i="30"/>
  <c r="BD84" i="32"/>
  <c r="BB98" i="30"/>
  <c r="BC84" i="32"/>
  <c r="BA98" i="30"/>
  <c r="BB84" i="32"/>
  <c r="AZ98" i="30"/>
  <c r="BA84" i="32"/>
  <c r="AY98" i="30"/>
  <c r="AZ84" i="32"/>
  <c r="AX98" i="30"/>
  <c r="AY84" i="32"/>
  <c r="AW98" i="30"/>
  <c r="AX84" i="32"/>
  <c r="AV98" i="30"/>
  <c r="AW84" i="32"/>
  <c r="AU98" i="30"/>
  <c r="AV84" i="32"/>
  <c r="AT98" i="30"/>
  <c r="AU84" i="32"/>
  <c r="AS98" i="30"/>
  <c r="AT84" i="32"/>
  <c r="AR98" i="30"/>
  <c r="AS84" i="32"/>
  <c r="AQ98" i="30"/>
  <c r="AR84" i="32"/>
  <c r="AP98" i="30"/>
  <c r="AQ84" i="32"/>
  <c r="AO98" i="30"/>
  <c r="AP84" i="32"/>
  <c r="AN98" i="30"/>
  <c r="AO84" i="32"/>
  <c r="AM98" i="30"/>
  <c r="AN84" i="32"/>
  <c r="AL98" i="30"/>
  <c r="AM84" i="32"/>
  <c r="AK98" i="30"/>
  <c r="AL84" i="32"/>
  <c r="AJ98" i="30"/>
  <c r="AK84" i="32"/>
  <c r="AI98" i="30"/>
  <c r="AJ84" i="32"/>
  <c r="AH98" i="30"/>
  <c r="AI84" i="32"/>
  <c r="AG98" i="30"/>
  <c r="AH84" i="32"/>
  <c r="AF98" i="30"/>
  <c r="AG84" i="32"/>
  <c r="AE98" i="30"/>
  <c r="AF84" i="32"/>
  <c r="AD98" i="30"/>
  <c r="AE84" i="32"/>
  <c r="AC98" i="30"/>
  <c r="AD84" i="32"/>
  <c r="AB98" i="30"/>
  <c r="AC84" i="32"/>
  <c r="AA98" i="30"/>
  <c r="AB84" i="32"/>
  <c r="Z98" i="30"/>
  <c r="AA84" i="32"/>
  <c r="Y98" i="30"/>
  <c r="Z84" i="32"/>
  <c r="X98" i="30"/>
  <c r="Y84" i="32"/>
  <c r="W98" i="30"/>
  <c r="X84" i="32"/>
  <c r="V98" i="30"/>
  <c r="W84" i="32"/>
  <c r="U98" i="30"/>
  <c r="V84" i="32"/>
  <c r="T98" i="30"/>
  <c r="U84" i="32"/>
  <c r="S98" i="30"/>
  <c r="T84" i="32"/>
  <c r="R98" i="30"/>
  <c r="S84" i="32"/>
  <c r="Q98" i="30"/>
  <c r="R84" i="32"/>
  <c r="P98" i="30"/>
  <c r="Q84" i="32"/>
  <c r="O98" i="30"/>
  <c r="P84" i="32"/>
  <c r="N98" i="30"/>
  <c r="O84" i="32"/>
  <c r="M98" i="30"/>
  <c r="N84" i="32"/>
  <c r="L98" i="30"/>
  <c r="M84" i="32"/>
  <c r="K98" i="30"/>
  <c r="L84" i="32"/>
  <c r="J98" i="30"/>
  <c r="K84" i="32"/>
  <c r="I98" i="30"/>
  <c r="J84" i="32"/>
  <c r="H98" i="30"/>
  <c r="I84" i="32"/>
  <c r="G98" i="30"/>
  <c r="H84" i="32"/>
  <c r="F98" i="30"/>
  <c r="G84" i="32"/>
  <c r="E98" i="30"/>
  <c r="F84" i="32"/>
  <c r="D98" i="30"/>
  <c r="E84" i="32"/>
  <c r="C98" i="30"/>
  <c r="D84" i="32"/>
  <c r="BJ80" i="30"/>
  <c r="BK83" i="32"/>
  <c r="BI80" i="30"/>
  <c r="BJ83" i="32"/>
  <c r="BH80" i="30"/>
  <c r="BI83" i="32"/>
  <c r="BG80" i="30"/>
  <c r="BH83" i="32"/>
  <c r="BF80" i="30"/>
  <c r="BG83" i="32"/>
  <c r="BE80" i="30"/>
  <c r="BF83" i="32"/>
  <c r="BD80" i="30"/>
  <c r="BE83" i="32"/>
  <c r="BC80" i="30"/>
  <c r="BD83" i="32"/>
  <c r="BB80" i="30"/>
  <c r="BC83" i="32"/>
  <c r="BA80" i="30"/>
  <c r="BB83" i="32"/>
  <c r="AZ80" i="30"/>
  <c r="BA83" i="32"/>
  <c r="AY80" i="30"/>
  <c r="AZ83" i="32"/>
  <c r="AX80" i="30"/>
  <c r="AY83" i="32"/>
  <c r="AW80" i="30"/>
  <c r="AX83" i="32"/>
  <c r="AV80" i="30"/>
  <c r="AW83" i="32"/>
  <c r="AU80" i="30"/>
  <c r="AV83" i="32"/>
  <c r="AT80" i="30"/>
  <c r="AU83" i="32"/>
  <c r="AS80" i="30"/>
  <c r="AT83" i="32"/>
  <c r="AR80" i="30"/>
  <c r="AS83" i="32"/>
  <c r="AQ80" i="30"/>
  <c r="AR83" i="32"/>
  <c r="AP80" i="30"/>
  <c r="AQ83" i="32"/>
  <c r="AO80" i="30"/>
  <c r="AP83" i="32"/>
  <c r="AN80" i="30"/>
  <c r="AO83" i="32"/>
  <c r="AM80" i="30"/>
  <c r="AN83" i="32"/>
  <c r="AL80" i="30"/>
  <c r="AM83" i="32"/>
  <c r="AK80" i="30"/>
  <c r="AL83" i="32"/>
  <c r="AJ80" i="30"/>
  <c r="AK83" i="32"/>
  <c r="AI80" i="30"/>
  <c r="AJ83" i="32"/>
  <c r="AH80" i="30"/>
  <c r="AI83" i="32"/>
  <c r="AG80" i="30"/>
  <c r="AH83" i="32"/>
  <c r="AF80" i="30"/>
  <c r="AG83" i="32"/>
  <c r="AE80" i="30"/>
  <c r="AF83" i="32"/>
  <c r="AD80" i="30"/>
  <c r="AE83" i="32"/>
  <c r="AC80" i="30"/>
  <c r="AD83" i="32"/>
  <c r="AB80" i="30"/>
  <c r="AC83" i="32"/>
  <c r="AA80" i="30"/>
  <c r="AB83" i="32"/>
  <c r="Z80" i="30"/>
  <c r="AA83" i="32"/>
  <c r="Y80" i="30"/>
  <c r="Z83" i="32"/>
  <c r="X80" i="30"/>
  <c r="Y83" i="32"/>
  <c r="W80" i="30"/>
  <c r="X83" i="32"/>
  <c r="V80" i="30"/>
  <c r="W83" i="32"/>
  <c r="U80" i="30"/>
  <c r="V83" i="32"/>
  <c r="T80" i="30"/>
  <c r="U83" i="32"/>
  <c r="S80" i="30"/>
  <c r="T83" i="32"/>
  <c r="R80" i="30"/>
  <c r="S83" i="32"/>
  <c r="Q80" i="30"/>
  <c r="R83" i="32"/>
  <c r="P80" i="30"/>
  <c r="Q83" i="32"/>
  <c r="O80" i="30"/>
  <c r="P83" i="32"/>
  <c r="N80" i="30"/>
  <c r="O83" i="32"/>
  <c r="M80" i="30"/>
  <c r="N83" i="32"/>
  <c r="L80" i="30"/>
  <c r="M83" i="32"/>
  <c r="K80" i="30"/>
  <c r="L83" i="32"/>
  <c r="J80" i="30"/>
  <c r="K83" i="32"/>
  <c r="I80" i="30"/>
  <c r="J83" i="32"/>
  <c r="H80" i="30"/>
  <c r="I83" i="32"/>
  <c r="G80" i="30"/>
  <c r="H83" i="32"/>
  <c r="F80" i="30"/>
  <c r="G83" i="32"/>
  <c r="E80" i="30"/>
  <c r="F83" i="32"/>
  <c r="D80" i="30"/>
  <c r="E83" i="32"/>
  <c r="C80" i="30"/>
  <c r="D83" i="32"/>
  <c r="BJ62" i="30"/>
  <c r="BK82" i="32"/>
  <c r="BI62" i="30"/>
  <c r="BJ82" i="32"/>
  <c r="BH62" i="30"/>
  <c r="BI82" i="32"/>
  <c r="BG62" i="30"/>
  <c r="BH82" i="32"/>
  <c r="BF62" i="30"/>
  <c r="BG82" i="32"/>
  <c r="BE62" i="30"/>
  <c r="BF82" i="32"/>
  <c r="BD62" i="30"/>
  <c r="BE82" i="32"/>
  <c r="BC62" i="30"/>
  <c r="BD82" i="32"/>
  <c r="BB62" i="30"/>
  <c r="BC82" i="32"/>
  <c r="BA62" i="30"/>
  <c r="BB82" i="32"/>
  <c r="AZ62" i="30"/>
  <c r="BA82" i="32"/>
  <c r="AY62" i="30"/>
  <c r="AZ82" i="32"/>
  <c r="AX62" i="30"/>
  <c r="AY82" i="32"/>
  <c r="AW62" i="30"/>
  <c r="AX82" i="32"/>
  <c r="AV62" i="30"/>
  <c r="AW82" i="32"/>
  <c r="AU62" i="30"/>
  <c r="AV82" i="32"/>
  <c r="AT62" i="30"/>
  <c r="AU82" i="32"/>
  <c r="AS62" i="30"/>
  <c r="AT82" i="32"/>
  <c r="AR62" i="30"/>
  <c r="AS82" i="32"/>
  <c r="AQ62" i="30"/>
  <c r="AR82" i="32"/>
  <c r="AP62" i="30"/>
  <c r="AQ82" i="32"/>
  <c r="AO62" i="30"/>
  <c r="AP82" i="32"/>
  <c r="AN62" i="30"/>
  <c r="AO82" i="32"/>
  <c r="AM62" i="30"/>
  <c r="AN82" i="32"/>
  <c r="AL62" i="30"/>
  <c r="AM82" i="32"/>
  <c r="AK62" i="30"/>
  <c r="AL82" i="32"/>
  <c r="AJ62" i="30"/>
  <c r="AK82" i="32"/>
  <c r="AI62" i="30"/>
  <c r="AJ82" i="32"/>
  <c r="AH62" i="30"/>
  <c r="AI82" i="32"/>
  <c r="AG62" i="30"/>
  <c r="AH82" i="32"/>
  <c r="AF62" i="30"/>
  <c r="AG82" i="32"/>
  <c r="AE62" i="30"/>
  <c r="AF82" i="32"/>
  <c r="AD62" i="30"/>
  <c r="AE82" i="32"/>
  <c r="AC62" i="30"/>
  <c r="AD82" i="32"/>
  <c r="AB62" i="30"/>
  <c r="AC82" i="32"/>
  <c r="AA62" i="30"/>
  <c r="AB82" i="32"/>
  <c r="Z62" i="30"/>
  <c r="AA82" i="32"/>
  <c r="Y62" i="30"/>
  <c r="Z82" i="32"/>
  <c r="X62" i="30"/>
  <c r="Y82" i="32"/>
  <c r="W62" i="30"/>
  <c r="X82" i="32"/>
  <c r="V62" i="30"/>
  <c r="W82" i="32"/>
  <c r="U62" i="30"/>
  <c r="V82" i="32"/>
  <c r="T62" i="30"/>
  <c r="U82" i="32"/>
  <c r="S62" i="30"/>
  <c r="T82" i="32"/>
  <c r="R62" i="30"/>
  <c r="S82" i="32"/>
  <c r="Q62" i="30"/>
  <c r="R82" i="32"/>
  <c r="P62" i="30"/>
  <c r="Q82" i="32"/>
  <c r="O62" i="30"/>
  <c r="P82" i="32"/>
  <c r="N62" i="30"/>
  <c r="O82" i="32"/>
  <c r="M62" i="30"/>
  <c r="N82" i="32"/>
  <c r="L62" i="30"/>
  <c r="M82" i="32"/>
  <c r="K62" i="30"/>
  <c r="L82" i="32"/>
  <c r="J62" i="30"/>
  <c r="K82" i="32"/>
  <c r="I62" i="30"/>
  <c r="J82" i="32"/>
  <c r="H62" i="30"/>
  <c r="I82" i="32"/>
  <c r="G62" i="30"/>
  <c r="H82" i="32"/>
  <c r="F62" i="30"/>
  <c r="G82" i="32"/>
  <c r="E62" i="30"/>
  <c r="F82" i="32"/>
  <c r="D62" i="30"/>
  <c r="E82" i="32"/>
  <c r="C62" i="30"/>
  <c r="D82" i="32"/>
  <c r="BJ44" i="30"/>
  <c r="BK81" i="32"/>
  <c r="BI44" i="30"/>
  <c r="BJ81" i="32"/>
  <c r="BH44" i="30"/>
  <c r="BI81" i="32"/>
  <c r="BG44" i="30"/>
  <c r="BH81" i="32"/>
  <c r="BF44" i="30"/>
  <c r="BG81" i="32"/>
  <c r="BE44" i="30"/>
  <c r="BF81" i="32"/>
  <c r="BD44" i="30"/>
  <c r="BE81" i="32"/>
  <c r="BC44" i="30"/>
  <c r="BD81" i="32"/>
  <c r="BB44" i="30"/>
  <c r="BC81" i="32"/>
  <c r="BA44" i="30"/>
  <c r="BB81" i="32"/>
  <c r="AZ44" i="30"/>
  <c r="BA81" i="32"/>
  <c r="AY44" i="30"/>
  <c r="AZ81" i="32"/>
  <c r="AX44" i="30"/>
  <c r="AY81" i="32"/>
  <c r="AW44" i="30"/>
  <c r="AX81" i="32"/>
  <c r="AV44" i="30"/>
  <c r="AW81" i="32"/>
  <c r="AU44" i="30"/>
  <c r="AV81" i="32"/>
  <c r="AT44" i="30"/>
  <c r="AU81" i="32"/>
  <c r="AS44" i="30"/>
  <c r="AT81" i="32"/>
  <c r="AR44" i="30"/>
  <c r="AS81" i="32"/>
  <c r="AQ44" i="30"/>
  <c r="AR81" i="32"/>
  <c r="AP44" i="30"/>
  <c r="AQ81" i="32"/>
  <c r="AO44" i="30"/>
  <c r="AP81" i="32"/>
  <c r="AN44" i="30"/>
  <c r="AO81" i="32"/>
  <c r="AM44" i="30"/>
  <c r="AN81" i="32"/>
  <c r="AL44" i="30"/>
  <c r="AM81" i="32"/>
  <c r="AK44" i="30"/>
  <c r="AL81" i="32"/>
  <c r="AJ44" i="30"/>
  <c r="AK81" i="32"/>
  <c r="AI44" i="30"/>
  <c r="AJ81" i="32"/>
  <c r="AH44" i="30"/>
  <c r="AI81" i="32"/>
  <c r="AG44" i="30"/>
  <c r="AH81" i="32"/>
  <c r="AF44" i="30"/>
  <c r="AG81" i="32"/>
  <c r="AE44" i="30"/>
  <c r="AF81" i="32"/>
  <c r="AD44" i="30"/>
  <c r="AE81" i="32"/>
  <c r="AC44" i="30"/>
  <c r="AD81" i="32"/>
  <c r="AB44" i="30"/>
  <c r="AC81" i="32"/>
  <c r="AA44" i="30"/>
  <c r="AB81" i="32"/>
  <c r="Z44" i="30"/>
  <c r="AA81" i="32"/>
  <c r="Y44" i="30"/>
  <c r="Z81" i="32"/>
  <c r="X44" i="30"/>
  <c r="Y81" i="32"/>
  <c r="W44" i="30"/>
  <c r="X81" i="32"/>
  <c r="V44" i="30"/>
  <c r="W81" i="32"/>
  <c r="U44" i="30"/>
  <c r="V81" i="32"/>
  <c r="T44" i="30"/>
  <c r="U81" i="32"/>
  <c r="S44" i="30"/>
  <c r="T81" i="32"/>
  <c r="R44" i="30"/>
  <c r="S81" i="32"/>
  <c r="Q44" i="30"/>
  <c r="R81" i="32"/>
  <c r="P44" i="30"/>
  <c r="Q81" i="32"/>
  <c r="O44" i="30"/>
  <c r="P81" i="32"/>
  <c r="N44" i="30"/>
  <c r="O81" i="32"/>
  <c r="M44" i="30"/>
  <c r="N81" i="32"/>
  <c r="L44" i="30"/>
  <c r="M81" i="32"/>
  <c r="K44" i="30"/>
  <c r="L81" i="32"/>
  <c r="J44" i="30"/>
  <c r="K81" i="32"/>
  <c r="I44" i="30"/>
  <c r="J81" i="32"/>
  <c r="H44" i="30"/>
  <c r="I81" i="32"/>
  <c r="G44" i="30"/>
  <c r="H81" i="32"/>
  <c r="F44" i="30"/>
  <c r="G81" i="32"/>
  <c r="E44" i="30"/>
  <c r="F81" i="32"/>
  <c r="D44" i="30"/>
  <c r="E81" i="32"/>
  <c r="C44" i="30"/>
  <c r="D81" i="32"/>
  <c r="BK237" i="30"/>
  <c r="BK238"/>
  <c r="BI5" i="17"/>
  <c r="BI8"/>
  <c r="BI6"/>
  <c r="BI7"/>
  <c r="BI24"/>
  <c r="BI11"/>
  <c r="BI69"/>
  <c r="BI536" i="24"/>
  <c r="BI45"/>
  <c r="BI53"/>
  <c r="BI61"/>
  <c r="BI69"/>
  <c r="BI77"/>
  <c r="BI84"/>
  <c r="BI91"/>
  <c r="BI99"/>
  <c r="BI107"/>
  <c r="BI115"/>
  <c r="BI123"/>
  <c r="BI131"/>
  <c r="BI139"/>
  <c r="BI147"/>
  <c r="BI155"/>
  <c r="BI163"/>
  <c r="BI171"/>
  <c r="BI179"/>
  <c r="BI187"/>
  <c r="BI195"/>
  <c r="BI203"/>
  <c r="BI211"/>
  <c r="BI219"/>
  <c r="BI227"/>
  <c r="BI235"/>
  <c r="BI243"/>
  <c r="BI251"/>
  <c r="BI259"/>
  <c r="BI267"/>
  <c r="BI275"/>
  <c r="BI283"/>
  <c r="BI291"/>
  <c r="BI299"/>
  <c r="BI307"/>
  <c r="BI315"/>
  <c r="BI323"/>
  <c r="BI331"/>
  <c r="BI339"/>
  <c r="BI347"/>
  <c r="BI355"/>
  <c r="BI363"/>
  <c r="BI371"/>
  <c r="BI379"/>
  <c r="BI387"/>
  <c r="BI395"/>
  <c r="BI403"/>
  <c r="BI411"/>
  <c r="BI419"/>
  <c r="BI427"/>
  <c r="BI435"/>
  <c r="BI443"/>
  <c r="BI451"/>
  <c r="BI459"/>
  <c r="BI467"/>
  <c r="BI475"/>
  <c r="BI483"/>
  <c r="BI491"/>
  <c r="BI499"/>
  <c r="BI507"/>
  <c r="BI515"/>
  <c r="BI7"/>
  <c r="BK34" i="26"/>
  <c r="BK33"/>
  <c r="BI68" i="17"/>
  <c r="BI535" i="24"/>
  <c r="BI44"/>
  <c r="BI52"/>
  <c r="BI60"/>
  <c r="BI68"/>
  <c r="BI76"/>
  <c r="BI98"/>
  <c r="BI106"/>
  <c r="BI114"/>
  <c r="BI122"/>
  <c r="BI130"/>
  <c r="BI138"/>
  <c r="BI146"/>
  <c r="BI154"/>
  <c r="BI162"/>
  <c r="BI170"/>
  <c r="BI178"/>
  <c r="BI186"/>
  <c r="BI194"/>
  <c r="BI202"/>
  <c r="BI210"/>
  <c r="BI218"/>
  <c r="BI226"/>
  <c r="BI234"/>
  <c r="BI242"/>
  <c r="BI250"/>
  <c r="BI258"/>
  <c r="BI266"/>
  <c r="BI274"/>
  <c r="BI282"/>
  <c r="BI290"/>
  <c r="BI298"/>
  <c r="BI306"/>
  <c r="BI314"/>
  <c r="BI322"/>
  <c r="BI330"/>
  <c r="BI338"/>
  <c r="BI346"/>
  <c r="BI354"/>
  <c r="BI362"/>
  <c r="BI370"/>
  <c r="BI378"/>
  <c r="BI386"/>
  <c r="BI394"/>
  <c r="BI402"/>
  <c r="BI410"/>
  <c r="BI418"/>
  <c r="BI426"/>
  <c r="BI434"/>
  <c r="BI442"/>
  <c r="BI450"/>
  <c r="BI458"/>
  <c r="BI466"/>
  <c r="BI474"/>
  <c r="BI482"/>
  <c r="BI490"/>
  <c r="BI498"/>
  <c r="BI506"/>
  <c r="BI514"/>
  <c r="BI27"/>
  <c r="BK24" i="26"/>
  <c r="BK23"/>
  <c r="BK22"/>
  <c r="BK20"/>
  <c r="BK19"/>
  <c r="BK18"/>
  <c r="BK13"/>
  <c r="BK11"/>
  <c r="BK38"/>
  <c r="BK239" i="30"/>
  <c r="BK228"/>
  <c r="BK229"/>
  <c r="BK230"/>
  <c r="BK241"/>
  <c r="BK78" i="32"/>
  <c r="BJ241" i="30"/>
  <c r="BJ78" i="32"/>
  <c r="BI241" i="30"/>
  <c r="BI78" i="32"/>
  <c r="BH241" i="30"/>
  <c r="BH78" i="32"/>
  <c r="BG241" i="30"/>
  <c r="BG78" i="32"/>
  <c r="BF241" i="30"/>
  <c r="BF78" i="32"/>
  <c r="BE241" i="30"/>
  <c r="BE78" i="32"/>
  <c r="BD241" i="30"/>
  <c r="BD78" i="32"/>
  <c r="BC241" i="30"/>
  <c r="BC78" i="32"/>
  <c r="BB241" i="30"/>
  <c r="BB78" i="32"/>
  <c r="BA241" i="30"/>
  <c r="BA78" i="32"/>
  <c r="AZ241" i="30"/>
  <c r="AZ78" i="32"/>
  <c r="AY241" i="30"/>
  <c r="AY78" i="32"/>
  <c r="AX241" i="30"/>
  <c r="AX78" i="32"/>
  <c r="AW241" i="30"/>
  <c r="AW78" i="32"/>
  <c r="AV241" i="30"/>
  <c r="AV78" i="32"/>
  <c r="AU241" i="30"/>
  <c r="AU78" i="32"/>
  <c r="AT241" i="30"/>
  <c r="AT78" i="32"/>
  <c r="AS241" i="30"/>
  <c r="AS78" i="32"/>
  <c r="AR241" i="30"/>
  <c r="AR78" i="32"/>
  <c r="AQ241" i="30"/>
  <c r="AQ78" i="32"/>
  <c r="AP241" i="30"/>
  <c r="AP78" i="32"/>
  <c r="AO241" i="30"/>
  <c r="AO78" i="32"/>
  <c r="AN241" i="30"/>
  <c r="AN78" i="32"/>
  <c r="AM241" i="30"/>
  <c r="AM78" i="32"/>
  <c r="AL241" i="30"/>
  <c r="AL78" i="32"/>
  <c r="AK241" i="30"/>
  <c r="AK78" i="32"/>
  <c r="AJ241" i="30"/>
  <c r="AJ78" i="32"/>
  <c r="AI241" i="30"/>
  <c r="AI78" i="32"/>
  <c r="AH241" i="30"/>
  <c r="AH78" i="32"/>
  <c r="AG241" i="30"/>
  <c r="AG78" i="32"/>
  <c r="AF241" i="30"/>
  <c r="AF78" i="32"/>
  <c r="AE241" i="30"/>
  <c r="AE78" i="32"/>
  <c r="AD241" i="30"/>
  <c r="AD78" i="32"/>
  <c r="AC241" i="30"/>
  <c r="AC78" i="32"/>
  <c r="AB241" i="30"/>
  <c r="AB78" i="32"/>
  <c r="AA241" i="30"/>
  <c r="AA78" i="32"/>
  <c r="Z241" i="30"/>
  <c r="Z78" i="32"/>
  <c r="Y241" i="30"/>
  <c r="Y78" i="32"/>
  <c r="X241" i="30"/>
  <c r="X78" i="32"/>
  <c r="W241" i="30"/>
  <c r="W78" i="32"/>
  <c r="V241" i="30"/>
  <c r="V78" i="32"/>
  <c r="U241" i="30"/>
  <c r="U78" i="32"/>
  <c r="T241" i="30"/>
  <c r="T78" i="32"/>
  <c r="S241" i="30"/>
  <c r="S78" i="32"/>
  <c r="R241" i="30"/>
  <c r="R78" i="32"/>
  <c r="Q241" i="30"/>
  <c r="Q78" i="32"/>
  <c r="P241" i="30"/>
  <c r="P78" i="32"/>
  <c r="O241" i="30"/>
  <c r="O78" i="32"/>
  <c r="N241" i="30"/>
  <c r="N78" i="32"/>
  <c r="M241" i="30"/>
  <c r="M78" i="32"/>
  <c r="L241" i="30"/>
  <c r="L78" i="32"/>
  <c r="K241" i="30"/>
  <c r="K78" i="32"/>
  <c r="J241" i="30"/>
  <c r="J78" i="32"/>
  <c r="I241" i="30"/>
  <c r="I78" i="32"/>
  <c r="H241" i="30"/>
  <c r="H78" i="32"/>
  <c r="G241" i="30"/>
  <c r="G78" i="32"/>
  <c r="F241" i="30"/>
  <c r="F78" i="32"/>
  <c r="E241" i="30"/>
  <c r="E78" i="32"/>
  <c r="D241" i="30"/>
  <c r="D78" i="32"/>
  <c r="BK219" i="30"/>
  <c r="BK220"/>
  <c r="BK221"/>
  <c r="BK210"/>
  <c r="BK211"/>
  <c r="BK212"/>
  <c r="BK223"/>
  <c r="BK77" i="32"/>
  <c r="BJ223" i="30"/>
  <c r="BJ77" i="32"/>
  <c r="BI223" i="30"/>
  <c r="BI77" i="32"/>
  <c r="BH223" i="30"/>
  <c r="BH77" i="32"/>
  <c r="BG223" i="30"/>
  <c r="BG77" i="32"/>
  <c r="BF223" i="30"/>
  <c r="BF77" i="32"/>
  <c r="BE223" i="30"/>
  <c r="BE77" i="32"/>
  <c r="BD223" i="30"/>
  <c r="BD77" i="32"/>
  <c r="BC223" i="30"/>
  <c r="BC77" i="32"/>
  <c r="BB223" i="30"/>
  <c r="BB77" i="32"/>
  <c r="BA223" i="30"/>
  <c r="BA77" i="32"/>
  <c r="AZ223" i="30"/>
  <c r="AZ77" i="32"/>
  <c r="AY223" i="30"/>
  <c r="AY77" i="32"/>
  <c r="AX223" i="30"/>
  <c r="AX77" i="32"/>
  <c r="AW223" i="30"/>
  <c r="AW77" i="32"/>
  <c r="AV223" i="30"/>
  <c r="AV77" i="32"/>
  <c r="AU223" i="30"/>
  <c r="AU77" i="32"/>
  <c r="AT223" i="30"/>
  <c r="AT77" i="32"/>
  <c r="AS223" i="30"/>
  <c r="AS77" i="32"/>
  <c r="AR223" i="30"/>
  <c r="AR77" i="32"/>
  <c r="AQ223" i="30"/>
  <c r="AQ77" i="32"/>
  <c r="AP223" i="30"/>
  <c r="AP77" i="32"/>
  <c r="AO223" i="30"/>
  <c r="AO77" i="32"/>
  <c r="AN223" i="30"/>
  <c r="AN77" i="32"/>
  <c r="AM223" i="30"/>
  <c r="AM77" i="32"/>
  <c r="AL223" i="30"/>
  <c r="AL77" i="32"/>
  <c r="AK223" i="30"/>
  <c r="AK77" i="32"/>
  <c r="AJ223" i="30"/>
  <c r="AJ77" i="32"/>
  <c r="AI223" i="30"/>
  <c r="AI77" i="32"/>
  <c r="AH223" i="30"/>
  <c r="AH77" i="32"/>
  <c r="AG223" i="30"/>
  <c r="AG77" i="32"/>
  <c r="AF223" i="30"/>
  <c r="AF77" i="32"/>
  <c r="AE223" i="30"/>
  <c r="AE77" i="32"/>
  <c r="AD223" i="30"/>
  <c r="AD77" i="32"/>
  <c r="AC223" i="30"/>
  <c r="AC77" i="32"/>
  <c r="AB223" i="30"/>
  <c r="AB77" i="32"/>
  <c r="AA223" i="30"/>
  <c r="AA77" i="32"/>
  <c r="Z223" i="30"/>
  <c r="Z77" i="32"/>
  <c r="Y223" i="30"/>
  <c r="Y77" i="32"/>
  <c r="X223" i="30"/>
  <c r="X77" i="32"/>
  <c r="W223" i="30"/>
  <c r="W77" i="32"/>
  <c r="V223" i="30"/>
  <c r="V77" i="32"/>
  <c r="U223" i="30"/>
  <c r="U77" i="32"/>
  <c r="T223" i="30"/>
  <c r="T77" i="32"/>
  <c r="S223" i="30"/>
  <c r="S77" i="32"/>
  <c r="R223" i="30"/>
  <c r="R77" i="32"/>
  <c r="Q223" i="30"/>
  <c r="Q77" i="32"/>
  <c r="P223" i="30"/>
  <c r="P77" i="32"/>
  <c r="O223" i="30"/>
  <c r="O77" i="32"/>
  <c r="N223" i="30"/>
  <c r="N77" i="32"/>
  <c r="M223" i="30"/>
  <c r="M77" i="32"/>
  <c r="L223" i="30"/>
  <c r="L77" i="32"/>
  <c r="K223" i="30"/>
  <c r="K77" i="32"/>
  <c r="J223" i="30"/>
  <c r="J77" i="32"/>
  <c r="I223" i="30"/>
  <c r="I77" i="32"/>
  <c r="H223" i="30"/>
  <c r="H77" i="32"/>
  <c r="G223" i="30"/>
  <c r="G77" i="32"/>
  <c r="F223" i="30"/>
  <c r="F77" i="32"/>
  <c r="E223" i="30"/>
  <c r="E77" i="32"/>
  <c r="D223" i="30"/>
  <c r="D77" i="32"/>
  <c r="BK201" i="30"/>
  <c r="BK202"/>
  <c r="BK203"/>
  <c r="BK192"/>
  <c r="BK193"/>
  <c r="BK194"/>
  <c r="BK205"/>
  <c r="BK76" i="32"/>
  <c r="BJ205" i="30"/>
  <c r="BJ76" i="32"/>
  <c r="BI205" i="30"/>
  <c r="BI76" i="32"/>
  <c r="BH205" i="30"/>
  <c r="BH76" i="32"/>
  <c r="BG205" i="30"/>
  <c r="BG76" i="32"/>
  <c r="BF205" i="30"/>
  <c r="BF76" i="32"/>
  <c r="BE205" i="30"/>
  <c r="BE76" i="32"/>
  <c r="BD205" i="30"/>
  <c r="BD76" i="32"/>
  <c r="BC205" i="30"/>
  <c r="BC76" i="32"/>
  <c r="BB205" i="30"/>
  <c r="BB76" i="32"/>
  <c r="BA205" i="30"/>
  <c r="BA76" i="32"/>
  <c r="AZ205" i="30"/>
  <c r="AZ76" i="32"/>
  <c r="AY205" i="30"/>
  <c r="AY76" i="32"/>
  <c r="AX205" i="30"/>
  <c r="AX76" i="32"/>
  <c r="AW205" i="30"/>
  <c r="AW76" i="32"/>
  <c r="AV205" i="30"/>
  <c r="AV76" i="32"/>
  <c r="AU205" i="30"/>
  <c r="AU76" i="32"/>
  <c r="AT205" i="30"/>
  <c r="AT76" i="32"/>
  <c r="AS205" i="30"/>
  <c r="AS76" i="32"/>
  <c r="AR205" i="30"/>
  <c r="AR76" i="32"/>
  <c r="AQ205" i="30"/>
  <c r="AQ76" i="32"/>
  <c r="AP205" i="30"/>
  <c r="AP76" i="32"/>
  <c r="AO205" i="30"/>
  <c r="AO76" i="32"/>
  <c r="AN205" i="30"/>
  <c r="AN76" i="32"/>
  <c r="AM205" i="30"/>
  <c r="AM76" i="32"/>
  <c r="AL205" i="30"/>
  <c r="AL76" i="32"/>
  <c r="AK205" i="30"/>
  <c r="AK76" i="32"/>
  <c r="AJ205" i="30"/>
  <c r="AJ76" i="32"/>
  <c r="AI205" i="30"/>
  <c r="AI76" i="32"/>
  <c r="AH205" i="30"/>
  <c r="AH76" i="32"/>
  <c r="AG205" i="30"/>
  <c r="AG76" i="32"/>
  <c r="AF205" i="30"/>
  <c r="AF76" i="32"/>
  <c r="AE205" i="30"/>
  <c r="AE76" i="32"/>
  <c r="AD205" i="30"/>
  <c r="AD76" i="32"/>
  <c r="AC205" i="30"/>
  <c r="AC76" i="32"/>
  <c r="AB205" i="30"/>
  <c r="AB76" i="32"/>
  <c r="AA205" i="30"/>
  <c r="AA76" i="32"/>
  <c r="Z205" i="30"/>
  <c r="Z76" i="32"/>
  <c r="Y205" i="30"/>
  <c r="Y76" i="32"/>
  <c r="X205" i="30"/>
  <c r="X76" i="32"/>
  <c r="W205" i="30"/>
  <c r="W76" i="32"/>
  <c r="V205" i="30"/>
  <c r="V76" i="32"/>
  <c r="U205" i="30"/>
  <c r="U76" i="32"/>
  <c r="T205" i="30"/>
  <c r="T76" i="32"/>
  <c r="S205" i="30"/>
  <c r="S76" i="32"/>
  <c r="R205" i="30"/>
  <c r="R76" i="32"/>
  <c r="Q205" i="30"/>
  <c r="Q76" i="32"/>
  <c r="P205" i="30"/>
  <c r="P76" i="32"/>
  <c r="O205" i="30"/>
  <c r="O76" i="32"/>
  <c r="N205" i="30"/>
  <c r="N76" i="32"/>
  <c r="M205" i="30"/>
  <c r="M76" i="32"/>
  <c r="L205" i="30"/>
  <c r="L76" i="32"/>
  <c r="K205" i="30"/>
  <c r="K76" i="32"/>
  <c r="J205" i="30"/>
  <c r="J76" i="32"/>
  <c r="I205" i="30"/>
  <c r="I76" i="32"/>
  <c r="H205" i="30"/>
  <c r="H76" i="32"/>
  <c r="G205" i="30"/>
  <c r="G76" i="32"/>
  <c r="F205" i="30"/>
  <c r="F76" i="32"/>
  <c r="E205" i="30"/>
  <c r="E76" i="32"/>
  <c r="D205" i="30"/>
  <c r="D76" i="32"/>
  <c r="BK183" i="30"/>
  <c r="BK184"/>
  <c r="BK185"/>
  <c r="BK174"/>
  <c r="BK175"/>
  <c r="BK176"/>
  <c r="BK187"/>
  <c r="BK75" i="32"/>
  <c r="BJ187" i="30"/>
  <c r="BJ75" i="32"/>
  <c r="BI187" i="30"/>
  <c r="BI75" i="32"/>
  <c r="BH187" i="30"/>
  <c r="BH75" i="32"/>
  <c r="BG187" i="30"/>
  <c r="BG75" i="32"/>
  <c r="BF187" i="30"/>
  <c r="BF75" i="32"/>
  <c r="BE187" i="30"/>
  <c r="BE75" i="32"/>
  <c r="BD187" i="30"/>
  <c r="BD75" i="32"/>
  <c r="BC187" i="30"/>
  <c r="BC75" i="32"/>
  <c r="BB187" i="30"/>
  <c r="BB75" i="32"/>
  <c r="BA187" i="30"/>
  <c r="BA75" i="32"/>
  <c r="AZ187" i="30"/>
  <c r="AZ75" i="32"/>
  <c r="AY187" i="30"/>
  <c r="AY75" i="32"/>
  <c r="AX187" i="30"/>
  <c r="AX75" i="32"/>
  <c r="AW187" i="30"/>
  <c r="AW75" i="32"/>
  <c r="AV187" i="30"/>
  <c r="AV75" i="32"/>
  <c r="AU187" i="30"/>
  <c r="AU75" i="32"/>
  <c r="AT187" i="30"/>
  <c r="AT75" i="32"/>
  <c r="AS187" i="30"/>
  <c r="AS75" i="32"/>
  <c r="AR187" i="30"/>
  <c r="AR75" i="32"/>
  <c r="AQ187" i="30"/>
  <c r="AQ75" i="32"/>
  <c r="AP187" i="30"/>
  <c r="AP75" i="32"/>
  <c r="AO187" i="30"/>
  <c r="AO75" i="32"/>
  <c r="AN187" i="30"/>
  <c r="AN75" i="32"/>
  <c r="AM187" i="30"/>
  <c r="AM75" i="32"/>
  <c r="AL187" i="30"/>
  <c r="AL75" i="32"/>
  <c r="AK187" i="30"/>
  <c r="AK75" i="32"/>
  <c r="AJ187" i="30"/>
  <c r="AJ75" i="32"/>
  <c r="AI187" i="30"/>
  <c r="AI75" i="32"/>
  <c r="AH187" i="30"/>
  <c r="AH75" i="32"/>
  <c r="AG187" i="30"/>
  <c r="AG75" i="32"/>
  <c r="AF187" i="30"/>
  <c r="AF75" i="32"/>
  <c r="AE187" i="30"/>
  <c r="AE75" i="32"/>
  <c r="AD187" i="30"/>
  <c r="AD75" i="32"/>
  <c r="AC187" i="30"/>
  <c r="AC75" i="32"/>
  <c r="AB187" i="30"/>
  <c r="AB75" i="32"/>
  <c r="AA187" i="30"/>
  <c r="AA75" i="32"/>
  <c r="Z187" i="30"/>
  <c r="Z75" i="32"/>
  <c r="Y187" i="30"/>
  <c r="Y75" i="32"/>
  <c r="X187" i="30"/>
  <c r="X75" i="32"/>
  <c r="W187" i="30"/>
  <c r="W75" i="32"/>
  <c r="V187" i="30"/>
  <c r="V75" i="32"/>
  <c r="U187" i="30"/>
  <c r="U75" i="32"/>
  <c r="T187" i="30"/>
  <c r="T75" i="32"/>
  <c r="S187" i="30"/>
  <c r="S75" i="32"/>
  <c r="R187" i="30"/>
  <c r="R75" i="32"/>
  <c r="Q187" i="30"/>
  <c r="Q75" i="32"/>
  <c r="P187" i="30"/>
  <c r="P75" i="32"/>
  <c r="O187" i="30"/>
  <c r="O75" i="32"/>
  <c r="N187" i="30"/>
  <c r="N75" i="32"/>
  <c r="M187" i="30"/>
  <c r="M75" i="32"/>
  <c r="L187" i="30"/>
  <c r="L75" i="32"/>
  <c r="K187" i="30"/>
  <c r="K75" i="32"/>
  <c r="J187" i="30"/>
  <c r="J75" i="32"/>
  <c r="I187" i="30"/>
  <c r="I75" i="32"/>
  <c r="H187" i="30"/>
  <c r="H75" i="32"/>
  <c r="G187" i="30"/>
  <c r="G75" i="32"/>
  <c r="F187" i="30"/>
  <c r="F75" i="32"/>
  <c r="E187" i="30"/>
  <c r="E75" i="32"/>
  <c r="D187" i="30"/>
  <c r="D75" i="32"/>
  <c r="BK165" i="30"/>
  <c r="BK166"/>
  <c r="BK167"/>
  <c r="BK156"/>
  <c r="BK157"/>
  <c r="BK158"/>
  <c r="BK169"/>
  <c r="BK74" i="32"/>
  <c r="BJ169" i="30"/>
  <c r="BJ74" i="32"/>
  <c r="BI169" i="30"/>
  <c r="BI74" i="32"/>
  <c r="BH169" i="30"/>
  <c r="BH74" i="32"/>
  <c r="BG169" i="30"/>
  <c r="BG74" i="32"/>
  <c r="BF169" i="30"/>
  <c r="BF74" i="32"/>
  <c r="BE169" i="30"/>
  <c r="BE74" i="32"/>
  <c r="BD169" i="30"/>
  <c r="BD74" i="32"/>
  <c r="BC169" i="30"/>
  <c r="BC74" i="32"/>
  <c r="BB169" i="30"/>
  <c r="BB74" i="32"/>
  <c r="BA169" i="30"/>
  <c r="BA74" i="32"/>
  <c r="AZ169" i="30"/>
  <c r="AZ74" i="32"/>
  <c r="AY169" i="30"/>
  <c r="AY74" i="32"/>
  <c r="AX169" i="30"/>
  <c r="AX74" i="32"/>
  <c r="AW169" i="30"/>
  <c r="AW74" i="32"/>
  <c r="AV169" i="30"/>
  <c r="AV74" i="32"/>
  <c r="AU169" i="30"/>
  <c r="AU74" i="32"/>
  <c r="AT169" i="30"/>
  <c r="AT74" i="32"/>
  <c r="AS169" i="30"/>
  <c r="AS74" i="32"/>
  <c r="AR169" i="30"/>
  <c r="AR74" i="32"/>
  <c r="AQ169" i="30"/>
  <c r="AQ74" i="32"/>
  <c r="AP169" i="30"/>
  <c r="AP74" i="32"/>
  <c r="AO169" i="30"/>
  <c r="AO74" i="32"/>
  <c r="AN169" i="30"/>
  <c r="AN74" i="32"/>
  <c r="AM169" i="30"/>
  <c r="AM74" i="32"/>
  <c r="AL169" i="30"/>
  <c r="AL74" i="32"/>
  <c r="AK169" i="30"/>
  <c r="AK74" i="32"/>
  <c r="AJ169" i="30"/>
  <c r="AJ74" i="32"/>
  <c r="AI169" i="30"/>
  <c r="AI74" i="32"/>
  <c r="AH169" i="30"/>
  <c r="AH74" i="32"/>
  <c r="AG169" i="30"/>
  <c r="AG74" i="32"/>
  <c r="AF169" i="30"/>
  <c r="AF74" i="32"/>
  <c r="AE169" i="30"/>
  <c r="AE74" i="32"/>
  <c r="AD169" i="30"/>
  <c r="AD74" i="32"/>
  <c r="AC169" i="30"/>
  <c r="AC74" i="32"/>
  <c r="AB169" i="30"/>
  <c r="AB74" i="32"/>
  <c r="AA169" i="30"/>
  <c r="AA74" i="32"/>
  <c r="Z169" i="30"/>
  <c r="Z74" i="32"/>
  <c r="Y169" i="30"/>
  <c r="Y74" i="32"/>
  <c r="X169" i="30"/>
  <c r="X74" i="32"/>
  <c r="W169" i="30"/>
  <c r="W74" i="32"/>
  <c r="V169" i="30"/>
  <c r="V74" i="32"/>
  <c r="U169" i="30"/>
  <c r="U74" i="32"/>
  <c r="T169" i="30"/>
  <c r="T74" i="32"/>
  <c r="S169" i="30"/>
  <c r="S74" i="32"/>
  <c r="R169" i="30"/>
  <c r="R74" i="32"/>
  <c r="Q169" i="30"/>
  <c r="Q74" i="32"/>
  <c r="P169" i="30"/>
  <c r="P74" i="32"/>
  <c r="O169" i="30"/>
  <c r="O74" i="32"/>
  <c r="N169" i="30"/>
  <c r="N74" i="32"/>
  <c r="M169" i="30"/>
  <c r="M74" i="32"/>
  <c r="L169" i="30"/>
  <c r="L74" i="32"/>
  <c r="K169" i="30"/>
  <c r="K74" i="32"/>
  <c r="J169" i="30"/>
  <c r="J74" i="32"/>
  <c r="I169" i="30"/>
  <c r="I74" i="32"/>
  <c r="H169" i="30"/>
  <c r="H74" i="32"/>
  <c r="G169" i="30"/>
  <c r="G74" i="32"/>
  <c r="F169" i="30"/>
  <c r="F74" i="32"/>
  <c r="E169" i="30"/>
  <c r="E74" i="32"/>
  <c r="D169" i="30"/>
  <c r="D74" i="32"/>
  <c r="BK147" i="30"/>
  <c r="BK148"/>
  <c r="BK149"/>
  <c r="BK138"/>
  <c r="BK139"/>
  <c r="BK140"/>
  <c r="BK151"/>
  <c r="BK73" i="32"/>
  <c r="BJ151" i="30"/>
  <c r="BJ73" i="32"/>
  <c r="BI151" i="30"/>
  <c r="BI73" i="32"/>
  <c r="BH151" i="30"/>
  <c r="BH73" i="32"/>
  <c r="BG151" i="30"/>
  <c r="BG73" i="32"/>
  <c r="BF151" i="30"/>
  <c r="BF73" i="32"/>
  <c r="BE151" i="30"/>
  <c r="BE73" i="32"/>
  <c r="BD151" i="30"/>
  <c r="BD73" i="32"/>
  <c r="BC151" i="30"/>
  <c r="BC73" i="32"/>
  <c r="BB151" i="30"/>
  <c r="BB73" i="32"/>
  <c r="BA151" i="30"/>
  <c r="BA73" i="32"/>
  <c r="AZ151" i="30"/>
  <c r="AZ73" i="32"/>
  <c r="AY151" i="30"/>
  <c r="AY73" i="32"/>
  <c r="AX151" i="30"/>
  <c r="AX73" i="32"/>
  <c r="AW151" i="30"/>
  <c r="AW73" i="32"/>
  <c r="AV151" i="30"/>
  <c r="AV73" i="32"/>
  <c r="AU151" i="30"/>
  <c r="AU73" i="32"/>
  <c r="AT151" i="30"/>
  <c r="AT73" i="32"/>
  <c r="AS151" i="30"/>
  <c r="AS73" i="32"/>
  <c r="AR151" i="30"/>
  <c r="AR73" i="32"/>
  <c r="AQ151" i="30"/>
  <c r="AQ73" i="32"/>
  <c r="AP151" i="30"/>
  <c r="AP73" i="32"/>
  <c r="AO151" i="30"/>
  <c r="AO73" i="32"/>
  <c r="AN151" i="30"/>
  <c r="AN73" i="32"/>
  <c r="AM151" i="30"/>
  <c r="AM73" i="32"/>
  <c r="AL151" i="30"/>
  <c r="AL73" i="32"/>
  <c r="AK151" i="30"/>
  <c r="AK73" i="32"/>
  <c r="AJ151" i="30"/>
  <c r="AJ73" i="32"/>
  <c r="AI151" i="30"/>
  <c r="AI73" i="32"/>
  <c r="AH151" i="30"/>
  <c r="AH73" i="32"/>
  <c r="AG151" i="30"/>
  <c r="AG73" i="32"/>
  <c r="AF151" i="30"/>
  <c r="AF73" i="32"/>
  <c r="AE151" i="30"/>
  <c r="AE73" i="32"/>
  <c r="AD151" i="30"/>
  <c r="AD73" i="32"/>
  <c r="AC151" i="30"/>
  <c r="AC73" i="32"/>
  <c r="AB151" i="30"/>
  <c r="AB73" i="32"/>
  <c r="AA151" i="30"/>
  <c r="AA73" i="32"/>
  <c r="Z151" i="30"/>
  <c r="Z73" i="32"/>
  <c r="Y151" i="30"/>
  <c r="Y73" i="32"/>
  <c r="X151" i="30"/>
  <c r="X73" i="32"/>
  <c r="W151" i="30"/>
  <c r="W73" i="32"/>
  <c r="V151" i="30"/>
  <c r="V73" i="32"/>
  <c r="U151" i="30"/>
  <c r="U73" i="32"/>
  <c r="T151" i="30"/>
  <c r="T73" i="32"/>
  <c r="S151" i="30"/>
  <c r="S73" i="32"/>
  <c r="R151" i="30"/>
  <c r="R73" i="32"/>
  <c r="Q151" i="30"/>
  <c r="Q73" i="32"/>
  <c r="P151" i="30"/>
  <c r="P73" i="32"/>
  <c r="O151" i="30"/>
  <c r="O73" i="32"/>
  <c r="N151" i="30"/>
  <c r="N73" i="32"/>
  <c r="M151" i="30"/>
  <c r="M73" i="32"/>
  <c r="L151" i="30"/>
  <c r="L73" i="32"/>
  <c r="K151" i="30"/>
  <c r="K73" i="32"/>
  <c r="J151" i="30"/>
  <c r="J73" i="32"/>
  <c r="I151" i="30"/>
  <c r="I73" i="32"/>
  <c r="H151" i="30"/>
  <c r="H73" i="32"/>
  <c r="G151" i="30"/>
  <c r="G73" i="32"/>
  <c r="F151" i="30"/>
  <c r="F73" i="32"/>
  <c r="E151" i="30"/>
  <c r="E73" i="32"/>
  <c r="D151" i="30"/>
  <c r="D73" i="32"/>
  <c r="BK129" i="30"/>
  <c r="BK130"/>
  <c r="BK131"/>
  <c r="BK120"/>
  <c r="BK121"/>
  <c r="BK122"/>
  <c r="BK133"/>
  <c r="BK72" i="32"/>
  <c r="BJ133" i="30"/>
  <c r="BJ72" i="32"/>
  <c r="BI133" i="30"/>
  <c r="BI72" i="32"/>
  <c r="BH133" i="30"/>
  <c r="BH72" i="32"/>
  <c r="BG133" i="30"/>
  <c r="BG72" i="32"/>
  <c r="BF133" i="30"/>
  <c r="BF72" i="32"/>
  <c r="BE133" i="30"/>
  <c r="BE72" i="32"/>
  <c r="BD133" i="30"/>
  <c r="BD72" i="32"/>
  <c r="BC133" i="30"/>
  <c r="BC72" i="32"/>
  <c r="BB133" i="30"/>
  <c r="BB72" i="32"/>
  <c r="BA133" i="30"/>
  <c r="BA72" i="32"/>
  <c r="AZ133" i="30"/>
  <c r="AZ72" i="32"/>
  <c r="AY133" i="30"/>
  <c r="AY72" i="32"/>
  <c r="AX133" i="30"/>
  <c r="AX72" i="32"/>
  <c r="AW133" i="30"/>
  <c r="AW72" i="32"/>
  <c r="AV133" i="30"/>
  <c r="AV72" i="32"/>
  <c r="AU133" i="30"/>
  <c r="AU72" i="32"/>
  <c r="AT133" i="30"/>
  <c r="AT72" i="32"/>
  <c r="AS133" i="30"/>
  <c r="AS72" i="32"/>
  <c r="AR133" i="30"/>
  <c r="AR72" i="32"/>
  <c r="AQ133" i="30"/>
  <c r="AQ72" i="32"/>
  <c r="AP133" i="30"/>
  <c r="AP72" i="32"/>
  <c r="AO133" i="30"/>
  <c r="AO72" i="32"/>
  <c r="AN133" i="30"/>
  <c r="AN72" i="32"/>
  <c r="AM133" i="30"/>
  <c r="AM72" i="32"/>
  <c r="AL133" i="30"/>
  <c r="AL72" i="32"/>
  <c r="AK133" i="30"/>
  <c r="AK72" i="32"/>
  <c r="AJ133" i="30"/>
  <c r="AJ72" i="32"/>
  <c r="AI133" i="30"/>
  <c r="AI72" i="32"/>
  <c r="AH133" i="30"/>
  <c r="AH72" i="32"/>
  <c r="AG133" i="30"/>
  <c r="AG72" i="32"/>
  <c r="AF133" i="30"/>
  <c r="AF72" i="32"/>
  <c r="AE133" i="30"/>
  <c r="AE72" i="32"/>
  <c r="AD133" i="30"/>
  <c r="AD72" i="32"/>
  <c r="AC133" i="30"/>
  <c r="AC72" i="32"/>
  <c r="AB133" i="30"/>
  <c r="AB72" i="32"/>
  <c r="AA133" i="30"/>
  <c r="AA72" i="32"/>
  <c r="Z133" i="30"/>
  <c r="Z72" i="32"/>
  <c r="Y133" i="30"/>
  <c r="Y72" i="32"/>
  <c r="X133" i="30"/>
  <c r="X72" i="32"/>
  <c r="W133" i="30"/>
  <c r="W72" i="32"/>
  <c r="V133" i="30"/>
  <c r="V72" i="32"/>
  <c r="U133" i="30"/>
  <c r="U72" i="32"/>
  <c r="T133" i="30"/>
  <c r="T72" i="32"/>
  <c r="S133" i="30"/>
  <c r="S72" i="32"/>
  <c r="R133" i="30"/>
  <c r="R72" i="32"/>
  <c r="Q133" i="30"/>
  <c r="Q72" i="32"/>
  <c r="P133" i="30"/>
  <c r="P72" i="32"/>
  <c r="O133" i="30"/>
  <c r="O72" i="32"/>
  <c r="N133" i="30"/>
  <c r="N72" i="32"/>
  <c r="M133" i="30"/>
  <c r="M72" i="32"/>
  <c r="L133" i="30"/>
  <c r="L72" i="32"/>
  <c r="K133" i="30"/>
  <c r="K72" i="32"/>
  <c r="J133" i="30"/>
  <c r="J72" i="32"/>
  <c r="I133" i="30"/>
  <c r="I72" i="32"/>
  <c r="H133" i="30"/>
  <c r="H72" i="32"/>
  <c r="G133" i="30"/>
  <c r="G72" i="32"/>
  <c r="F133" i="30"/>
  <c r="F72" i="32"/>
  <c r="E133" i="30"/>
  <c r="E72" i="32"/>
  <c r="D133" i="30"/>
  <c r="D72" i="32"/>
  <c r="BK111" i="30"/>
  <c r="BK112"/>
  <c r="BK113"/>
  <c r="BK102"/>
  <c r="BK103"/>
  <c r="BK104"/>
  <c r="BK115"/>
  <c r="BK71" i="32"/>
  <c r="BJ115" i="30"/>
  <c r="BJ71" i="32"/>
  <c r="BI115" i="30"/>
  <c r="BI71" i="32"/>
  <c r="BH115" i="30"/>
  <c r="BH71" i="32"/>
  <c r="BG115" i="30"/>
  <c r="BG71" i="32"/>
  <c r="BF115" i="30"/>
  <c r="BF71" i="32"/>
  <c r="BE115" i="30"/>
  <c r="BE71" i="32"/>
  <c r="BD115" i="30"/>
  <c r="BD71" i="32"/>
  <c r="BC115" i="30"/>
  <c r="BC71" i="32"/>
  <c r="BB115" i="30"/>
  <c r="BB71" i="32"/>
  <c r="BA115" i="30"/>
  <c r="BA71" i="32"/>
  <c r="AZ115" i="30"/>
  <c r="AZ71" i="32"/>
  <c r="AY115" i="30"/>
  <c r="AY71" i="32"/>
  <c r="AX115" i="30"/>
  <c r="AX71" i="32"/>
  <c r="AW115" i="30"/>
  <c r="AW71" i="32"/>
  <c r="AV115" i="30"/>
  <c r="AV71" i="32"/>
  <c r="AU115" i="30"/>
  <c r="AU71" i="32"/>
  <c r="AT115" i="30"/>
  <c r="AT71" i="32"/>
  <c r="AS115" i="30"/>
  <c r="AS71" i="32"/>
  <c r="AR115" i="30"/>
  <c r="AR71" i="32"/>
  <c r="AQ115" i="30"/>
  <c r="AQ71" i="32"/>
  <c r="AP115" i="30"/>
  <c r="AP71" i="32"/>
  <c r="AO115" i="30"/>
  <c r="AO71" i="32"/>
  <c r="AN115" i="30"/>
  <c r="AN71" i="32"/>
  <c r="AM115" i="30"/>
  <c r="AM71" i="32"/>
  <c r="AL115" i="30"/>
  <c r="AL71" i="32"/>
  <c r="AK115" i="30"/>
  <c r="AK71" i="32"/>
  <c r="AJ115" i="30"/>
  <c r="AJ71" i="32"/>
  <c r="AI115" i="30"/>
  <c r="AI71" i="32"/>
  <c r="AH115" i="30"/>
  <c r="AH71" i="32"/>
  <c r="AG115" i="30"/>
  <c r="AG71" i="32"/>
  <c r="AF115" i="30"/>
  <c r="AF71" i="32"/>
  <c r="AE115" i="30"/>
  <c r="AE71" i="32"/>
  <c r="AD115" i="30"/>
  <c r="AD71" i="32"/>
  <c r="AC115" i="30"/>
  <c r="AC71" i="32"/>
  <c r="AB115" i="30"/>
  <c r="AB71" i="32"/>
  <c r="AA115" i="30"/>
  <c r="AA71" i="32"/>
  <c r="Z115" i="30"/>
  <c r="Z71" i="32"/>
  <c r="Y115" i="30"/>
  <c r="Y71" i="32"/>
  <c r="X115" i="30"/>
  <c r="X71" i="32"/>
  <c r="W115" i="30"/>
  <c r="W71" i="32"/>
  <c r="V115" i="30"/>
  <c r="V71" i="32"/>
  <c r="U115" i="30"/>
  <c r="U71" i="32"/>
  <c r="T115" i="30"/>
  <c r="T71" i="32"/>
  <c r="S115" i="30"/>
  <c r="S71" i="32"/>
  <c r="R115" i="30"/>
  <c r="R71" i="32"/>
  <c r="Q115" i="30"/>
  <c r="Q71" i="32"/>
  <c r="P115" i="30"/>
  <c r="P71" i="32"/>
  <c r="O115" i="30"/>
  <c r="O71" i="32"/>
  <c r="N115" i="30"/>
  <c r="N71" i="32"/>
  <c r="M115" i="30"/>
  <c r="M71" i="32"/>
  <c r="L115" i="30"/>
  <c r="L71" i="32"/>
  <c r="K115" i="30"/>
  <c r="K71" i="32"/>
  <c r="J115" i="30"/>
  <c r="J71" i="32"/>
  <c r="I115" i="30"/>
  <c r="I71" i="32"/>
  <c r="H115" i="30"/>
  <c r="H71" i="32"/>
  <c r="G115" i="30"/>
  <c r="G71" i="32"/>
  <c r="F115" i="30"/>
  <c r="F71" i="32"/>
  <c r="E115" i="30"/>
  <c r="E71" i="32"/>
  <c r="D115" i="30"/>
  <c r="D71" i="32"/>
  <c r="BK93" i="30"/>
  <c r="BK94"/>
  <c r="BK95"/>
  <c r="BK84"/>
  <c r="BK85"/>
  <c r="BK86"/>
  <c r="BK97"/>
  <c r="BK70" i="32"/>
  <c r="BJ97" i="30"/>
  <c r="BJ70" i="32"/>
  <c r="BI97" i="30"/>
  <c r="BI70" i="32"/>
  <c r="BH97" i="30"/>
  <c r="BH70" i="32"/>
  <c r="BG97" i="30"/>
  <c r="BG70" i="32"/>
  <c r="BF97" i="30"/>
  <c r="BF70" i="32"/>
  <c r="BE97" i="30"/>
  <c r="BE70" i="32"/>
  <c r="BD97" i="30"/>
  <c r="BD70" i="32"/>
  <c r="BC97" i="30"/>
  <c r="BC70" i="32"/>
  <c r="BB97" i="30"/>
  <c r="BB70" i="32"/>
  <c r="BA97" i="30"/>
  <c r="BA70" i="32"/>
  <c r="AZ97" i="30"/>
  <c r="AZ70" i="32"/>
  <c r="AY97" i="30"/>
  <c r="AY70" i="32"/>
  <c r="AX97" i="30"/>
  <c r="AX70" i="32"/>
  <c r="AW97" i="30"/>
  <c r="AW70" i="32"/>
  <c r="AV97" i="30"/>
  <c r="AV70" i="32"/>
  <c r="AU97" i="30"/>
  <c r="AU70" i="32"/>
  <c r="AT97" i="30"/>
  <c r="AT70" i="32"/>
  <c r="AS97" i="30"/>
  <c r="AS70" i="32"/>
  <c r="AR97" i="30"/>
  <c r="AR70" i="32"/>
  <c r="AQ97" i="30"/>
  <c r="AQ70" i="32"/>
  <c r="AP97" i="30"/>
  <c r="AP70" i="32"/>
  <c r="AO97" i="30"/>
  <c r="AO70" i="32"/>
  <c r="AN97" i="30"/>
  <c r="AN70" i="32"/>
  <c r="AM97" i="30"/>
  <c r="AM70" i="32"/>
  <c r="AL97" i="30"/>
  <c r="AL70" i="32"/>
  <c r="AK97" i="30"/>
  <c r="AK70" i="32"/>
  <c r="AJ97" i="30"/>
  <c r="AJ70" i="32"/>
  <c r="AI97" i="30"/>
  <c r="AI70" i="32"/>
  <c r="AH97" i="30"/>
  <c r="AH70" i="32"/>
  <c r="AG97" i="30"/>
  <c r="AG70" i="32"/>
  <c r="AF97" i="30"/>
  <c r="AF70" i="32"/>
  <c r="AE97" i="30"/>
  <c r="AE70" i="32"/>
  <c r="AD97" i="30"/>
  <c r="AD70" i="32"/>
  <c r="AC97" i="30"/>
  <c r="AC70" i="32"/>
  <c r="AB97" i="30"/>
  <c r="AB70" i="32"/>
  <c r="AA97" i="30"/>
  <c r="AA70" i="32"/>
  <c r="Z97" i="30"/>
  <c r="Z70" i="32"/>
  <c r="Y97" i="30"/>
  <c r="Y70" i="32"/>
  <c r="X97" i="30"/>
  <c r="X70" i="32"/>
  <c r="W97" i="30"/>
  <c r="W70" i="32"/>
  <c r="V97" i="30"/>
  <c r="V70" i="32"/>
  <c r="U97" i="30"/>
  <c r="U70" i="32"/>
  <c r="T97" i="30"/>
  <c r="T70" i="32"/>
  <c r="S97" i="30"/>
  <c r="S70" i="32"/>
  <c r="R97" i="30"/>
  <c r="R70" i="32"/>
  <c r="Q97" i="30"/>
  <c r="Q70" i="32"/>
  <c r="P97" i="30"/>
  <c r="P70" i="32"/>
  <c r="O97" i="30"/>
  <c r="O70" i="32"/>
  <c r="N97" i="30"/>
  <c r="N70" i="32"/>
  <c r="M97" i="30"/>
  <c r="M70" i="32"/>
  <c r="L97" i="30"/>
  <c r="L70" i="32"/>
  <c r="K97" i="30"/>
  <c r="K70" i="32"/>
  <c r="J97" i="30"/>
  <c r="J70" i="32"/>
  <c r="I97" i="30"/>
  <c r="I70" i="32"/>
  <c r="H97" i="30"/>
  <c r="H70" i="32"/>
  <c r="G97" i="30"/>
  <c r="G70" i="32"/>
  <c r="F97" i="30"/>
  <c r="F70" i="32"/>
  <c r="E97" i="30"/>
  <c r="E70" i="32"/>
  <c r="D97" i="30"/>
  <c r="D70" i="32"/>
  <c r="BK75" i="30"/>
  <c r="BK76"/>
  <c r="BK77"/>
  <c r="BK66"/>
  <c r="BK67"/>
  <c r="BK68"/>
  <c r="BK79"/>
  <c r="BK69" i="32"/>
  <c r="BJ79" i="30"/>
  <c r="BJ69" i="32"/>
  <c r="BI79" i="30"/>
  <c r="BI69" i="32"/>
  <c r="BH79" i="30"/>
  <c r="BH69" i="32"/>
  <c r="BG79" i="30"/>
  <c r="BG69" i="32"/>
  <c r="BF79" i="30"/>
  <c r="BF69" i="32"/>
  <c r="BE79" i="30"/>
  <c r="BE69" i="32"/>
  <c r="BD79" i="30"/>
  <c r="BD69" i="32"/>
  <c r="BC79" i="30"/>
  <c r="BC69" i="32"/>
  <c r="BB79" i="30"/>
  <c r="BB69" i="32"/>
  <c r="BA79" i="30"/>
  <c r="BA69" i="32"/>
  <c r="AZ79" i="30"/>
  <c r="AZ69" i="32"/>
  <c r="AY79" i="30"/>
  <c r="AY69" i="32"/>
  <c r="AX79" i="30"/>
  <c r="AX69" i="32"/>
  <c r="AW79" i="30"/>
  <c r="AW69" i="32"/>
  <c r="AV79" i="30"/>
  <c r="AV69" i="32"/>
  <c r="AU79" i="30"/>
  <c r="AU69" i="32"/>
  <c r="AT79" i="30"/>
  <c r="AT69" i="32"/>
  <c r="AS79" i="30"/>
  <c r="AS69" i="32"/>
  <c r="AR79" i="30"/>
  <c r="AR69" i="32"/>
  <c r="AQ79" i="30"/>
  <c r="AQ69" i="32"/>
  <c r="AP79" i="30"/>
  <c r="AP69" i="32"/>
  <c r="AO79" i="30"/>
  <c r="AO69" i="32"/>
  <c r="AN79" i="30"/>
  <c r="AN69" i="32"/>
  <c r="AM79" i="30"/>
  <c r="AM69" i="32"/>
  <c r="AL79" i="30"/>
  <c r="AL69" i="32"/>
  <c r="AK79" i="30"/>
  <c r="AK69" i="32"/>
  <c r="AJ79" i="30"/>
  <c r="AJ69" i="32"/>
  <c r="AI79" i="30"/>
  <c r="AI69" i="32"/>
  <c r="AH79" i="30"/>
  <c r="AH69" i="32"/>
  <c r="AG79" i="30"/>
  <c r="AG69" i="32"/>
  <c r="AF79" i="30"/>
  <c r="AF69" i="32"/>
  <c r="AE79" i="30"/>
  <c r="AE69" i="32"/>
  <c r="AD79" i="30"/>
  <c r="AD69" i="32"/>
  <c r="AC79" i="30"/>
  <c r="AC69" i="32"/>
  <c r="AB79" i="30"/>
  <c r="AB69" i="32"/>
  <c r="AA79" i="30"/>
  <c r="AA69" i="32"/>
  <c r="Z79" i="30"/>
  <c r="Z69" i="32"/>
  <c r="Y79" i="30"/>
  <c r="Y69" i="32"/>
  <c r="X79" i="30"/>
  <c r="X69" i="32"/>
  <c r="W79" i="30"/>
  <c r="W69" i="32"/>
  <c r="V79" i="30"/>
  <c r="V69" i="32"/>
  <c r="U79" i="30"/>
  <c r="U69" i="32"/>
  <c r="T79" i="30"/>
  <c r="T69" i="32"/>
  <c r="S79" i="30"/>
  <c r="S69" i="32"/>
  <c r="R79" i="30"/>
  <c r="R69" i="32"/>
  <c r="Q79" i="30"/>
  <c r="Q69" i="32"/>
  <c r="P79" i="30"/>
  <c r="P69" i="32"/>
  <c r="O79" i="30"/>
  <c r="O69" i="32"/>
  <c r="N79" i="30"/>
  <c r="N69" i="32"/>
  <c r="M79" i="30"/>
  <c r="M69" i="32"/>
  <c r="L79" i="30"/>
  <c r="L69" i="32"/>
  <c r="K79" i="30"/>
  <c r="K69" i="32"/>
  <c r="J79" i="30"/>
  <c r="J69" i="32"/>
  <c r="I79" i="30"/>
  <c r="I69" i="32"/>
  <c r="H79" i="30"/>
  <c r="H69" i="32"/>
  <c r="G79" i="30"/>
  <c r="G69" i="32"/>
  <c r="F79" i="30"/>
  <c r="F69" i="32"/>
  <c r="E79" i="30"/>
  <c r="E69" i="32"/>
  <c r="D79" i="30"/>
  <c r="D69" i="32"/>
  <c r="BK57" i="30"/>
  <c r="BK58"/>
  <c r="BK59"/>
  <c r="BK48"/>
  <c r="BK49"/>
  <c r="BK50"/>
  <c r="BK61"/>
  <c r="BK68" i="32"/>
  <c r="BJ61" i="30"/>
  <c r="BJ68" i="32"/>
  <c r="BI61" i="30"/>
  <c r="BI68" i="32"/>
  <c r="BH61" i="30"/>
  <c r="BH68" i="32"/>
  <c r="BG61" i="30"/>
  <c r="BG68" i="32"/>
  <c r="BF61" i="30"/>
  <c r="BF68" i="32"/>
  <c r="BE61" i="30"/>
  <c r="BE68" i="32"/>
  <c r="BD61" i="30"/>
  <c r="BD68" i="32"/>
  <c r="BC61" i="30"/>
  <c r="BC68" i="32"/>
  <c r="BB61" i="30"/>
  <c r="BB68" i="32"/>
  <c r="BA61" i="30"/>
  <c r="BA68" i="32"/>
  <c r="AZ61" i="30"/>
  <c r="AZ68" i="32"/>
  <c r="AY61" i="30"/>
  <c r="AY68" i="32"/>
  <c r="AX61" i="30"/>
  <c r="AX68" i="32"/>
  <c r="AW61" i="30"/>
  <c r="AW68" i="32"/>
  <c r="AV61" i="30"/>
  <c r="AV68" i="32"/>
  <c r="AU61" i="30"/>
  <c r="AU68" i="32"/>
  <c r="AT61" i="30"/>
  <c r="AT68" i="32"/>
  <c r="AS61" i="30"/>
  <c r="AS68" i="32"/>
  <c r="AR61" i="30"/>
  <c r="AR68" i="32"/>
  <c r="AQ61" i="30"/>
  <c r="AQ68" i="32"/>
  <c r="AP61" i="30"/>
  <c r="AP68" i="32"/>
  <c r="AO61" i="30"/>
  <c r="AO68" i="32"/>
  <c r="AN61" i="30"/>
  <c r="AN68" i="32"/>
  <c r="AM61" i="30"/>
  <c r="AM68" i="32"/>
  <c r="AL61" i="30"/>
  <c r="AL68" i="32"/>
  <c r="AK61" i="30"/>
  <c r="AK68" i="32"/>
  <c r="AJ61" i="30"/>
  <c r="AJ68" i="32"/>
  <c r="AI61" i="30"/>
  <c r="AI68" i="32"/>
  <c r="AH61" i="30"/>
  <c r="AH68" i="32"/>
  <c r="AG61" i="30"/>
  <c r="AG68" i="32"/>
  <c r="AF61" i="30"/>
  <c r="AF68" i="32"/>
  <c r="AE61" i="30"/>
  <c r="AE68" i="32"/>
  <c r="AD61" i="30"/>
  <c r="AD68" i="32"/>
  <c r="AC61" i="30"/>
  <c r="AC68" i="32"/>
  <c r="AB61" i="30"/>
  <c r="AB68" i="32"/>
  <c r="AA61" i="30"/>
  <c r="AA68" i="32"/>
  <c r="Z61" i="30"/>
  <c r="Z68" i="32"/>
  <c r="Y61" i="30"/>
  <c r="Y68" i="32"/>
  <c r="X61" i="30"/>
  <c r="X68" i="32"/>
  <c r="W61" i="30"/>
  <c r="W68" i="32"/>
  <c r="V61" i="30"/>
  <c r="V68" i="32"/>
  <c r="U61" i="30"/>
  <c r="U68" i="32"/>
  <c r="T61" i="30"/>
  <c r="T68" i="32"/>
  <c r="S61" i="30"/>
  <c r="S68" i="32"/>
  <c r="R61" i="30"/>
  <c r="R68" i="32"/>
  <c r="Q61" i="30"/>
  <c r="Q68" i="32"/>
  <c r="P61" i="30"/>
  <c r="P68" i="32"/>
  <c r="O61" i="30"/>
  <c r="O68" i="32"/>
  <c r="N61" i="30"/>
  <c r="N68" i="32"/>
  <c r="M61" i="30"/>
  <c r="M68" i="32"/>
  <c r="L61" i="30"/>
  <c r="L68" i="32"/>
  <c r="K61" i="30"/>
  <c r="K68" i="32"/>
  <c r="J61" i="30"/>
  <c r="J68" i="32"/>
  <c r="I61" i="30"/>
  <c r="I68" i="32"/>
  <c r="H61" i="30"/>
  <c r="H68" i="32"/>
  <c r="G61" i="30"/>
  <c r="G68" i="32"/>
  <c r="F61" i="30"/>
  <c r="F68" i="32"/>
  <c r="E61" i="30"/>
  <c r="E68" i="32"/>
  <c r="D61" i="30"/>
  <c r="D68" i="32"/>
  <c r="BJ43" i="30"/>
  <c r="BK67" i="32"/>
  <c r="BI43" i="30"/>
  <c r="BJ67" i="32"/>
  <c r="BH43" i="30"/>
  <c r="BI67" i="32"/>
  <c r="BG43" i="30"/>
  <c r="BH67" i="32"/>
  <c r="BF43" i="30"/>
  <c r="BG67" i="32"/>
  <c r="BE43" i="30"/>
  <c r="BF67" i="32"/>
  <c r="BD43" i="30"/>
  <c r="BE67" i="32"/>
  <c r="BC43" i="30"/>
  <c r="BD67" i="32"/>
  <c r="BB43" i="30"/>
  <c r="BC67" i="32"/>
  <c r="BA43" i="30"/>
  <c r="BB67" i="32"/>
  <c r="AZ43" i="30"/>
  <c r="BA67" i="32"/>
  <c r="AY43" i="30"/>
  <c r="AZ67" i="32"/>
  <c r="AX43" i="30"/>
  <c r="AY67" i="32"/>
  <c r="AW43" i="30"/>
  <c r="AX67" i="32"/>
  <c r="AV43" i="30"/>
  <c r="AW67" i="32"/>
  <c r="AU43" i="30"/>
  <c r="AV67" i="32"/>
  <c r="AT43" i="30"/>
  <c r="AU67" i="32"/>
  <c r="AS43" i="30"/>
  <c r="AT67" i="32"/>
  <c r="AR43" i="30"/>
  <c r="AS67" i="32"/>
  <c r="AQ43" i="30"/>
  <c r="AR67" i="32"/>
  <c r="AP43" i="30"/>
  <c r="AQ67" i="32"/>
  <c r="AO43" i="30"/>
  <c r="AP67" i="32"/>
  <c r="AN43" i="30"/>
  <c r="AO67" i="32"/>
  <c r="AM43" i="30"/>
  <c r="AN67" i="32"/>
  <c r="AL43" i="30"/>
  <c r="AM67" i="32"/>
  <c r="AK43" i="30"/>
  <c r="AL67" i="32"/>
  <c r="AJ43" i="30"/>
  <c r="AK67" i="32"/>
  <c r="AI43" i="30"/>
  <c r="AJ67" i="32"/>
  <c r="AH43" i="30"/>
  <c r="AI67" i="32"/>
  <c r="AG43" i="30"/>
  <c r="AH67" i="32"/>
  <c r="AF43" i="30"/>
  <c r="AG67" i="32"/>
  <c r="AE43" i="30"/>
  <c r="AF67" i="32"/>
  <c r="AD43" i="30"/>
  <c r="AE67" i="32"/>
  <c r="AC43" i="30"/>
  <c r="AD67" i="32"/>
  <c r="AB43" i="30"/>
  <c r="AC67" i="32"/>
  <c r="AA43" i="30"/>
  <c r="AB67" i="32"/>
  <c r="Z43" i="30"/>
  <c r="AA67" i="32"/>
  <c r="Y43" i="30"/>
  <c r="Z67" i="32"/>
  <c r="X43" i="30"/>
  <c r="Y67" i="32"/>
  <c r="W43" i="30"/>
  <c r="X67" i="32"/>
  <c r="V43" i="30"/>
  <c r="W67" i="32"/>
  <c r="U43" i="30"/>
  <c r="V67" i="32"/>
  <c r="T43" i="30"/>
  <c r="U67" i="32"/>
  <c r="S43" i="30"/>
  <c r="T67" i="32"/>
  <c r="R43" i="30"/>
  <c r="S67" i="32"/>
  <c r="Q43" i="30"/>
  <c r="R67" i="32"/>
  <c r="P43" i="30"/>
  <c r="Q67" i="32"/>
  <c r="O43" i="30"/>
  <c r="P67" i="32"/>
  <c r="N43" i="30"/>
  <c r="O67" i="32"/>
  <c r="M43" i="30"/>
  <c r="N67" i="32"/>
  <c r="L43" i="30"/>
  <c r="M67" i="32"/>
  <c r="K43" i="30"/>
  <c r="L67" i="32"/>
  <c r="J43" i="30"/>
  <c r="K67" i="32"/>
  <c r="I43" i="30"/>
  <c r="J67" i="32"/>
  <c r="H43" i="30"/>
  <c r="I67" i="32"/>
  <c r="G43" i="30"/>
  <c r="H67" i="32"/>
  <c r="F43" i="30"/>
  <c r="G67" i="32"/>
  <c r="E43" i="30"/>
  <c r="F67" i="32"/>
  <c r="D43" i="30"/>
  <c r="E67" i="32"/>
  <c r="C43" i="30"/>
  <c r="D67" i="32"/>
  <c r="BK240" i="30"/>
  <c r="BK64" i="32"/>
  <c r="BJ240" i="30"/>
  <c r="BJ64" i="32"/>
  <c r="BI240" i="30"/>
  <c r="BI64" i="32"/>
  <c r="BH240" i="30"/>
  <c r="BH64" i="32"/>
  <c r="BG240" i="30"/>
  <c r="BG64" i="32"/>
  <c r="BF240" i="30"/>
  <c r="BF64" i="32"/>
  <c r="BE240" i="30"/>
  <c r="BE64" i="32"/>
  <c r="BD240" i="30"/>
  <c r="BD64" i="32"/>
  <c r="BC240" i="30"/>
  <c r="BC64" i="32"/>
  <c r="BB240" i="30"/>
  <c r="BB64" i="32"/>
  <c r="BA240" i="30"/>
  <c r="BA64" i="32"/>
  <c r="AZ240" i="30"/>
  <c r="AZ64" i="32"/>
  <c r="AY240" i="30"/>
  <c r="AY64" i="32"/>
  <c r="AX240" i="30"/>
  <c r="AX64" i="32"/>
  <c r="AW240" i="30"/>
  <c r="AW64" i="32"/>
  <c r="AV240" i="30"/>
  <c r="AV64" i="32"/>
  <c r="AU240" i="30"/>
  <c r="AU64" i="32"/>
  <c r="AT240" i="30"/>
  <c r="AT64" i="32"/>
  <c r="AS240" i="30"/>
  <c r="AS64" i="32"/>
  <c r="AR240" i="30"/>
  <c r="AR64" i="32"/>
  <c r="AQ240" i="30"/>
  <c r="AQ64" i="32"/>
  <c r="AP240" i="30"/>
  <c r="AP64" i="32"/>
  <c r="AO240" i="30"/>
  <c r="AO64" i="32"/>
  <c r="AN240" i="30"/>
  <c r="AN64" i="32"/>
  <c r="AM240" i="30"/>
  <c r="AM64" i="32"/>
  <c r="AL240" i="30"/>
  <c r="AL64" i="32"/>
  <c r="AK240" i="30"/>
  <c r="AK64" i="32"/>
  <c r="AJ240" i="30"/>
  <c r="AJ64" i="32"/>
  <c r="AI240" i="30"/>
  <c r="AI64" i="32"/>
  <c r="AH240" i="30"/>
  <c r="AH64" i="32"/>
  <c r="AG240" i="30"/>
  <c r="AG64" i="32"/>
  <c r="AF240" i="30"/>
  <c r="AF64" i="32"/>
  <c r="AE240" i="30"/>
  <c r="AE64" i="32"/>
  <c r="AD240" i="30"/>
  <c r="AD64" i="32"/>
  <c r="AC240" i="30"/>
  <c r="AC64" i="32"/>
  <c r="AB240" i="30"/>
  <c r="AB64" i="32"/>
  <c r="AA240" i="30"/>
  <c r="AA64" i="32"/>
  <c r="Z240" i="30"/>
  <c r="Z64" i="32"/>
  <c r="Y240" i="30"/>
  <c r="Y64" i="32"/>
  <c r="X240" i="30"/>
  <c r="X64" i="32"/>
  <c r="W240" i="30"/>
  <c r="W64" i="32"/>
  <c r="V240" i="30"/>
  <c r="V64" i="32"/>
  <c r="U240" i="30"/>
  <c r="U64" i="32"/>
  <c r="T240" i="30"/>
  <c r="T64" i="32"/>
  <c r="S240" i="30"/>
  <c r="S64" i="32"/>
  <c r="R240" i="30"/>
  <c r="R64" i="32"/>
  <c r="Q240" i="30"/>
  <c r="Q64" i="32"/>
  <c r="P240" i="30"/>
  <c r="P64" i="32"/>
  <c r="O240" i="30"/>
  <c r="O64" i="32"/>
  <c r="N240" i="30"/>
  <c r="N64" i="32"/>
  <c r="M240" i="30"/>
  <c r="M64" i="32"/>
  <c r="L240" i="30"/>
  <c r="L64" i="32"/>
  <c r="K240" i="30"/>
  <c r="K64" i="32"/>
  <c r="J240" i="30"/>
  <c r="J64" i="32"/>
  <c r="I240" i="30"/>
  <c r="I64" i="32"/>
  <c r="H240" i="30"/>
  <c r="H64" i="32"/>
  <c r="G240" i="30"/>
  <c r="G64" i="32"/>
  <c r="F240" i="30"/>
  <c r="F64" i="32"/>
  <c r="E240" i="30"/>
  <c r="E64" i="32"/>
  <c r="D240" i="30"/>
  <c r="D64" i="32"/>
  <c r="BK222" i="30"/>
  <c r="BK63" i="32"/>
  <c r="BJ222" i="30"/>
  <c r="BJ63" i="32"/>
  <c r="BI222" i="30"/>
  <c r="BI63" i="32"/>
  <c r="BH222" i="30"/>
  <c r="BH63" i="32"/>
  <c r="BG222" i="30"/>
  <c r="BG63" i="32"/>
  <c r="BF222" i="30"/>
  <c r="BF63" i="32"/>
  <c r="BE222" i="30"/>
  <c r="BE63" i="32"/>
  <c r="BD222" i="30"/>
  <c r="BD63" i="32"/>
  <c r="BC222" i="30"/>
  <c r="BC63" i="32"/>
  <c r="BB222" i="30"/>
  <c r="BB63" i="32"/>
  <c r="BA222" i="30"/>
  <c r="BA63" i="32"/>
  <c r="AZ222" i="30"/>
  <c r="AZ63" i="32"/>
  <c r="AY222" i="30"/>
  <c r="AY63" i="32"/>
  <c r="AX222" i="30"/>
  <c r="AX63" i="32"/>
  <c r="AW222" i="30"/>
  <c r="AW63" i="32"/>
  <c r="AV222" i="30"/>
  <c r="AV63" i="32"/>
  <c r="AU222" i="30"/>
  <c r="AU63" i="32"/>
  <c r="AT222" i="30"/>
  <c r="AT63" i="32"/>
  <c r="AS222" i="30"/>
  <c r="AS63" i="32"/>
  <c r="AR222" i="30"/>
  <c r="AR63" i="32"/>
  <c r="AQ222" i="30"/>
  <c r="AQ63" i="32"/>
  <c r="AP222" i="30"/>
  <c r="AP63" i="32"/>
  <c r="AO222" i="30"/>
  <c r="AO63" i="32"/>
  <c r="AN222" i="30"/>
  <c r="AN63" i="32"/>
  <c r="AM222" i="30"/>
  <c r="AM63" i="32"/>
  <c r="AL222" i="30"/>
  <c r="AL63" i="32"/>
  <c r="AK222" i="30"/>
  <c r="AK63" i="32"/>
  <c r="AJ222" i="30"/>
  <c r="AJ63" i="32"/>
  <c r="AI222" i="30"/>
  <c r="AI63" i="32"/>
  <c r="AH222" i="30"/>
  <c r="AH63" i="32"/>
  <c r="AG222" i="30"/>
  <c r="AG63" i="32"/>
  <c r="AF222" i="30"/>
  <c r="AF63" i="32"/>
  <c r="AE222" i="30"/>
  <c r="AE63" i="32"/>
  <c r="AD222" i="30"/>
  <c r="AD63" i="32"/>
  <c r="AC222" i="30"/>
  <c r="AC63" i="32"/>
  <c r="AB222" i="30"/>
  <c r="AB63" i="32"/>
  <c r="AA222" i="30"/>
  <c r="AA63" i="32"/>
  <c r="Z222" i="30"/>
  <c r="Z63" i="32"/>
  <c r="Y222" i="30"/>
  <c r="Y63" i="32"/>
  <c r="X222" i="30"/>
  <c r="X63" i="32"/>
  <c r="W222" i="30"/>
  <c r="W63" i="32"/>
  <c r="V222" i="30"/>
  <c r="V63" i="32"/>
  <c r="U222" i="30"/>
  <c r="U63" i="32"/>
  <c r="T222" i="30"/>
  <c r="T63" i="32"/>
  <c r="S222" i="30"/>
  <c r="S63" i="32"/>
  <c r="R222" i="30"/>
  <c r="R63" i="32"/>
  <c r="Q222" i="30"/>
  <c r="Q63" i="32"/>
  <c r="P222" i="30"/>
  <c r="P63" i="32"/>
  <c r="O222" i="30"/>
  <c r="O63" i="32"/>
  <c r="N222" i="30"/>
  <c r="N63" i="32"/>
  <c r="M222" i="30"/>
  <c r="M63" i="32"/>
  <c r="L222" i="30"/>
  <c r="L63" i="32"/>
  <c r="K222" i="30"/>
  <c r="K63" i="32"/>
  <c r="J222" i="30"/>
  <c r="J63" i="32"/>
  <c r="I222" i="30"/>
  <c r="I63" i="32"/>
  <c r="H222" i="30"/>
  <c r="H63" i="32"/>
  <c r="G222" i="30"/>
  <c r="G63" i="32"/>
  <c r="F222" i="30"/>
  <c r="F63" i="32"/>
  <c r="E222" i="30"/>
  <c r="E63" i="32"/>
  <c r="D222" i="30"/>
  <c r="D63" i="32"/>
  <c r="BK204" i="30"/>
  <c r="BK62" i="32"/>
  <c r="BJ204" i="30"/>
  <c r="BJ62" i="32"/>
  <c r="BI204" i="30"/>
  <c r="BI62" i="32"/>
  <c r="BH204" i="30"/>
  <c r="BH62" i="32"/>
  <c r="BG204" i="30"/>
  <c r="BG62" i="32"/>
  <c r="BF204" i="30"/>
  <c r="BF62" i="32"/>
  <c r="BE204" i="30"/>
  <c r="BE62" i="32"/>
  <c r="BD204" i="30"/>
  <c r="BD62" i="32"/>
  <c r="BC204" i="30"/>
  <c r="BC62" i="32"/>
  <c r="BB204" i="30"/>
  <c r="BB62" i="32"/>
  <c r="BA204" i="30"/>
  <c r="BA62" i="32"/>
  <c r="AZ204" i="30"/>
  <c r="AZ62" i="32"/>
  <c r="AY204" i="30"/>
  <c r="AY62" i="32"/>
  <c r="AX204" i="30"/>
  <c r="AX62" i="32"/>
  <c r="AW204" i="30"/>
  <c r="AW62" i="32"/>
  <c r="AV204" i="30"/>
  <c r="AV62" i="32"/>
  <c r="AU204" i="30"/>
  <c r="AU62" i="32"/>
  <c r="AT204" i="30"/>
  <c r="AT62" i="32"/>
  <c r="AS204" i="30"/>
  <c r="AS62" i="32"/>
  <c r="AR204" i="30"/>
  <c r="AR62" i="32"/>
  <c r="AQ204" i="30"/>
  <c r="AQ62" i="32"/>
  <c r="AP204" i="30"/>
  <c r="AP62" i="32"/>
  <c r="AO204" i="30"/>
  <c r="AO62" i="32"/>
  <c r="AN204" i="30"/>
  <c r="AN62" i="32"/>
  <c r="AM204" i="30"/>
  <c r="AM62" i="32"/>
  <c r="AL204" i="30"/>
  <c r="AL62" i="32"/>
  <c r="AK204" i="30"/>
  <c r="AK62" i="32"/>
  <c r="AJ204" i="30"/>
  <c r="AJ62" i="32"/>
  <c r="AI204" i="30"/>
  <c r="AI62" i="32"/>
  <c r="AH204" i="30"/>
  <c r="AH62" i="32"/>
  <c r="AG204" i="30"/>
  <c r="AG62" i="32"/>
  <c r="AF204" i="30"/>
  <c r="AF62" i="32"/>
  <c r="AE204" i="30"/>
  <c r="AE62" i="32"/>
  <c r="AD204" i="30"/>
  <c r="AD62" i="32"/>
  <c r="AC204" i="30"/>
  <c r="AC62" i="32"/>
  <c r="AB204" i="30"/>
  <c r="AB62" i="32"/>
  <c r="AA204" i="30"/>
  <c r="AA62" i="32"/>
  <c r="Z204" i="30"/>
  <c r="Z62" i="32"/>
  <c r="Y204" i="30"/>
  <c r="Y62" i="32"/>
  <c r="X204" i="30"/>
  <c r="X62" i="32"/>
  <c r="W204" i="30"/>
  <c r="W62" i="32"/>
  <c r="V204" i="30"/>
  <c r="V62" i="32"/>
  <c r="U204" i="30"/>
  <c r="U62" i="32"/>
  <c r="T204" i="30"/>
  <c r="T62" i="32"/>
  <c r="S204" i="30"/>
  <c r="S62" i="32"/>
  <c r="R204" i="30"/>
  <c r="R62" i="32"/>
  <c r="Q204" i="30"/>
  <c r="Q62" i="32"/>
  <c r="P204" i="30"/>
  <c r="P62" i="32"/>
  <c r="O204" i="30"/>
  <c r="O62" i="32"/>
  <c r="N204" i="30"/>
  <c r="N62" i="32"/>
  <c r="M204" i="30"/>
  <c r="M62" i="32"/>
  <c r="L204" i="30"/>
  <c r="L62" i="32"/>
  <c r="K204" i="30"/>
  <c r="K62" i="32"/>
  <c r="J204" i="30"/>
  <c r="J62" i="32"/>
  <c r="I204" i="30"/>
  <c r="I62" i="32"/>
  <c r="H204" i="30"/>
  <c r="H62" i="32"/>
  <c r="G204" i="30"/>
  <c r="G62" i="32"/>
  <c r="F204" i="30"/>
  <c r="F62" i="32"/>
  <c r="E204" i="30"/>
  <c r="E62" i="32"/>
  <c r="D204" i="30"/>
  <c r="D62" i="32"/>
  <c r="BK186" i="30"/>
  <c r="BK61" i="32"/>
  <c r="BJ186" i="30"/>
  <c r="BJ61" i="32"/>
  <c r="BI186" i="30"/>
  <c r="BI61" i="32"/>
  <c r="BH186" i="30"/>
  <c r="BH61" i="32"/>
  <c r="BG186" i="30"/>
  <c r="BG61" i="32"/>
  <c r="BF186" i="30"/>
  <c r="BF61" i="32"/>
  <c r="BE186" i="30"/>
  <c r="BE61" i="32"/>
  <c r="BD186" i="30"/>
  <c r="BD61" i="32"/>
  <c r="BC186" i="30"/>
  <c r="BC61" i="32"/>
  <c r="BB186" i="30"/>
  <c r="BB61" i="32"/>
  <c r="BA186" i="30"/>
  <c r="BA61" i="32"/>
  <c r="AZ186" i="30"/>
  <c r="AZ61" i="32"/>
  <c r="AY186" i="30"/>
  <c r="AY61" i="32"/>
  <c r="AX186" i="30"/>
  <c r="AX61" i="32"/>
  <c r="AW186" i="30"/>
  <c r="AW61" i="32"/>
  <c r="AV186" i="30"/>
  <c r="AV61" i="32"/>
  <c r="AU186" i="30"/>
  <c r="AU61" i="32"/>
  <c r="AT186" i="30"/>
  <c r="AT61" i="32"/>
  <c r="AS186" i="30"/>
  <c r="AS61" i="32"/>
  <c r="AR186" i="30"/>
  <c r="AR61" i="32"/>
  <c r="AQ186" i="30"/>
  <c r="AQ61" i="32"/>
  <c r="AP186" i="30"/>
  <c r="AP61" i="32"/>
  <c r="AO186" i="30"/>
  <c r="AO61" i="32"/>
  <c r="AN186" i="30"/>
  <c r="AN61" i="32"/>
  <c r="AM186" i="30"/>
  <c r="AM61" i="32"/>
  <c r="AL186" i="30"/>
  <c r="AL61" i="32"/>
  <c r="AK186" i="30"/>
  <c r="AK61" i="32"/>
  <c r="AJ186" i="30"/>
  <c r="AJ61" i="32"/>
  <c r="AI186" i="30"/>
  <c r="AI61" i="32"/>
  <c r="AH186" i="30"/>
  <c r="AH61" i="32"/>
  <c r="AG186" i="30"/>
  <c r="AG61" i="32"/>
  <c r="AF186" i="30"/>
  <c r="AF61" i="32"/>
  <c r="AE186" i="30"/>
  <c r="AE61" i="32"/>
  <c r="AD186" i="30"/>
  <c r="AD61" i="32"/>
  <c r="AC186" i="30"/>
  <c r="AC61" i="32"/>
  <c r="AB186" i="30"/>
  <c r="AB61" i="32"/>
  <c r="AA186" i="30"/>
  <c r="AA61" i="32"/>
  <c r="Z186" i="30"/>
  <c r="Z61" i="32"/>
  <c r="Y186" i="30"/>
  <c r="Y61" i="32"/>
  <c r="X186" i="30"/>
  <c r="X61" i="32"/>
  <c r="W186" i="30"/>
  <c r="W61" i="32"/>
  <c r="V186" i="30"/>
  <c r="V61" i="32"/>
  <c r="U186" i="30"/>
  <c r="U61" i="32"/>
  <c r="T186" i="30"/>
  <c r="T61" i="32"/>
  <c r="S186" i="30"/>
  <c r="S61" i="32"/>
  <c r="R186" i="30"/>
  <c r="R61" i="32"/>
  <c r="Q186" i="30"/>
  <c r="Q61" i="32"/>
  <c r="P186" i="30"/>
  <c r="P61" i="32"/>
  <c r="O186" i="30"/>
  <c r="O61" i="32"/>
  <c r="N186" i="30"/>
  <c r="N61" i="32"/>
  <c r="M186" i="30"/>
  <c r="M61" i="32"/>
  <c r="L186" i="30"/>
  <c r="L61" i="32"/>
  <c r="K186" i="30"/>
  <c r="K61" i="32"/>
  <c r="J186" i="30"/>
  <c r="J61" i="32"/>
  <c r="I186" i="30"/>
  <c r="I61" i="32"/>
  <c r="H186" i="30"/>
  <c r="H61" i="32"/>
  <c r="G186" i="30"/>
  <c r="G61" i="32"/>
  <c r="F186" i="30"/>
  <c r="F61" i="32"/>
  <c r="E186" i="30"/>
  <c r="E61" i="32"/>
  <c r="D186" i="30"/>
  <c r="D61" i="32"/>
  <c r="BK168" i="30"/>
  <c r="BK60" i="32"/>
  <c r="BJ168" i="30"/>
  <c r="BJ60" i="32"/>
  <c r="BI168" i="30"/>
  <c r="BI60" i="32"/>
  <c r="BH168" i="30"/>
  <c r="BH60" i="32"/>
  <c r="BG168" i="30"/>
  <c r="BG60" i="32"/>
  <c r="BF168" i="30"/>
  <c r="BF60" i="32"/>
  <c r="BE168" i="30"/>
  <c r="BE60" i="32"/>
  <c r="BD168" i="30"/>
  <c r="BD60" i="32"/>
  <c r="BC168" i="30"/>
  <c r="BC60" i="32"/>
  <c r="BB168" i="30"/>
  <c r="BB60" i="32"/>
  <c r="BA168" i="30"/>
  <c r="BA60" i="32"/>
  <c r="AZ168" i="30"/>
  <c r="AZ60" i="32"/>
  <c r="AY168" i="30"/>
  <c r="AY60" i="32"/>
  <c r="AX168" i="30"/>
  <c r="AX60" i="32"/>
  <c r="AW168" i="30"/>
  <c r="AW60" i="32"/>
  <c r="AV168" i="30"/>
  <c r="AV60" i="32"/>
  <c r="AU168" i="30"/>
  <c r="AU60" i="32"/>
  <c r="AT168" i="30"/>
  <c r="AT60" i="32"/>
  <c r="AS168" i="30"/>
  <c r="AS60" i="32"/>
  <c r="AR168" i="30"/>
  <c r="AR60" i="32"/>
  <c r="AQ168" i="30"/>
  <c r="AQ60" i="32"/>
  <c r="AP168" i="30"/>
  <c r="AP60" i="32"/>
  <c r="AO168" i="30"/>
  <c r="AO60" i="32"/>
  <c r="AN168" i="30"/>
  <c r="AN60" i="32"/>
  <c r="AM168" i="30"/>
  <c r="AM60" i="32"/>
  <c r="AL168" i="30"/>
  <c r="AL60" i="32"/>
  <c r="AK168" i="30"/>
  <c r="AK60" i="32"/>
  <c r="AJ168" i="30"/>
  <c r="AJ60" i="32"/>
  <c r="AI168" i="30"/>
  <c r="AI60" i="32"/>
  <c r="AH168" i="30"/>
  <c r="AH60" i="32"/>
  <c r="AG168" i="30"/>
  <c r="AG60" i="32"/>
  <c r="AF168" i="30"/>
  <c r="AF60" i="32"/>
  <c r="AE168" i="30"/>
  <c r="AE60" i="32"/>
  <c r="AD168" i="30"/>
  <c r="AD60" i="32"/>
  <c r="AC168" i="30"/>
  <c r="AC60" i="32"/>
  <c r="AB168" i="30"/>
  <c r="AB60" i="32"/>
  <c r="AA168" i="30"/>
  <c r="AA60" i="32"/>
  <c r="Z168" i="30"/>
  <c r="Z60" i="32"/>
  <c r="Y168" i="30"/>
  <c r="Y60" i="32"/>
  <c r="X168" i="30"/>
  <c r="X60" i="32"/>
  <c r="W168" i="30"/>
  <c r="W60" i="32"/>
  <c r="V168" i="30"/>
  <c r="V60" i="32"/>
  <c r="U168" i="30"/>
  <c r="U60" i="32"/>
  <c r="T168" i="30"/>
  <c r="T60" i="32"/>
  <c r="S168" i="30"/>
  <c r="S60" i="32"/>
  <c r="R168" i="30"/>
  <c r="R60" i="32"/>
  <c r="Q168" i="30"/>
  <c r="Q60" i="32"/>
  <c r="P168" i="30"/>
  <c r="P60" i="32"/>
  <c r="O168" i="30"/>
  <c r="O60" i="32"/>
  <c r="N168" i="30"/>
  <c r="N60" i="32"/>
  <c r="M168" i="30"/>
  <c r="M60" i="32"/>
  <c r="L168" i="30"/>
  <c r="L60" i="32"/>
  <c r="K168" i="30"/>
  <c r="K60" i="32"/>
  <c r="J168" i="30"/>
  <c r="J60" i="32"/>
  <c r="I168" i="30"/>
  <c r="I60" i="32"/>
  <c r="H168" i="30"/>
  <c r="H60" i="32"/>
  <c r="G168" i="30"/>
  <c r="G60" i="32"/>
  <c r="F168" i="30"/>
  <c r="F60" i="32"/>
  <c r="E168" i="30"/>
  <c r="E60" i="32"/>
  <c r="D168" i="30"/>
  <c r="D60" i="32"/>
  <c r="BK150" i="30"/>
  <c r="BK59" i="32"/>
  <c r="BJ150" i="30"/>
  <c r="BJ59" i="32"/>
  <c r="BI150" i="30"/>
  <c r="BI59" i="32"/>
  <c r="BH150" i="30"/>
  <c r="BH59" i="32"/>
  <c r="BG150" i="30"/>
  <c r="BG59" i="32"/>
  <c r="BF150" i="30"/>
  <c r="BF59" i="32"/>
  <c r="BE150" i="30"/>
  <c r="BE59" i="32"/>
  <c r="BD150" i="30"/>
  <c r="BD59" i="32"/>
  <c r="BC150" i="30"/>
  <c r="BC59" i="32"/>
  <c r="BB150" i="30"/>
  <c r="BB59" i="32"/>
  <c r="BA150" i="30"/>
  <c r="BA59" i="32"/>
  <c r="AZ150" i="30"/>
  <c r="AZ59" i="32"/>
  <c r="AY150" i="30"/>
  <c r="AY59" i="32"/>
  <c r="AX150" i="30"/>
  <c r="AX59" i="32"/>
  <c r="AW150" i="30"/>
  <c r="AW59" i="32"/>
  <c r="AV150" i="30"/>
  <c r="AV59" i="32"/>
  <c r="AU150" i="30"/>
  <c r="AU59" i="32"/>
  <c r="AT150" i="30"/>
  <c r="AT59" i="32"/>
  <c r="AS150" i="30"/>
  <c r="AS59" i="32"/>
  <c r="AR150" i="30"/>
  <c r="AR59" i="32"/>
  <c r="AQ150" i="30"/>
  <c r="AQ59" i="32"/>
  <c r="AP150" i="30"/>
  <c r="AP59" i="32"/>
  <c r="AO150" i="30"/>
  <c r="AO59" i="32"/>
  <c r="AN150" i="30"/>
  <c r="AN59" i="32"/>
  <c r="AM150" i="30"/>
  <c r="AM59" i="32"/>
  <c r="AL150" i="30"/>
  <c r="AL59" i="32"/>
  <c r="AK150" i="30"/>
  <c r="AK59" i="32"/>
  <c r="AJ150" i="30"/>
  <c r="AJ59" i="32"/>
  <c r="AI150" i="30"/>
  <c r="AI59" i="32"/>
  <c r="AH150" i="30"/>
  <c r="AH59" i="32"/>
  <c r="AG150" i="30"/>
  <c r="AG59" i="32"/>
  <c r="AF150" i="30"/>
  <c r="AF59" i="32"/>
  <c r="AE150" i="30"/>
  <c r="AE59" i="32"/>
  <c r="AD150" i="30"/>
  <c r="AD59" i="32"/>
  <c r="AC150" i="30"/>
  <c r="AC59" i="32"/>
  <c r="AB150" i="30"/>
  <c r="AB59" i="32"/>
  <c r="AA150" i="30"/>
  <c r="AA59" i="32"/>
  <c r="Z150" i="30"/>
  <c r="Z59" i="32"/>
  <c r="Y150" i="30"/>
  <c r="Y59" i="32"/>
  <c r="X150" i="30"/>
  <c r="X59" i="32"/>
  <c r="W150" i="30"/>
  <c r="W59" i="32"/>
  <c r="V150" i="30"/>
  <c r="V59" i="32"/>
  <c r="U150" i="30"/>
  <c r="U59" i="32"/>
  <c r="T150" i="30"/>
  <c r="T59" i="32"/>
  <c r="S150" i="30"/>
  <c r="S59" i="32"/>
  <c r="R150" i="30"/>
  <c r="R59" i="32"/>
  <c r="Q150" i="30"/>
  <c r="Q59" i="32"/>
  <c r="P150" i="30"/>
  <c r="P59" i="32"/>
  <c r="O150" i="30"/>
  <c r="O59" i="32"/>
  <c r="N150" i="30"/>
  <c r="N59" i="32"/>
  <c r="M150" i="30"/>
  <c r="M59" i="32"/>
  <c r="L150" i="30"/>
  <c r="L59" i="32"/>
  <c r="K150" i="30"/>
  <c r="K59" i="32"/>
  <c r="J150" i="30"/>
  <c r="J59" i="32"/>
  <c r="I150" i="30"/>
  <c r="I59" i="32"/>
  <c r="H150" i="30"/>
  <c r="H59" i="32"/>
  <c r="G150" i="30"/>
  <c r="G59" i="32"/>
  <c r="F150" i="30"/>
  <c r="F59" i="32"/>
  <c r="E150" i="30"/>
  <c r="E59" i="32"/>
  <c r="D150" i="30"/>
  <c r="D59" i="32"/>
  <c r="BK132" i="30"/>
  <c r="BK58" i="32"/>
  <c r="BJ132" i="30"/>
  <c r="BJ58" i="32"/>
  <c r="BI132" i="30"/>
  <c r="BI58" i="32"/>
  <c r="BH132" i="30"/>
  <c r="BH58" i="32"/>
  <c r="BG132" i="30"/>
  <c r="BG58" i="32"/>
  <c r="BF132" i="30"/>
  <c r="BF58" i="32"/>
  <c r="BE132" i="30"/>
  <c r="BE58" i="32"/>
  <c r="BD132" i="30"/>
  <c r="BD58" i="32"/>
  <c r="BC132" i="30"/>
  <c r="BC58" i="32"/>
  <c r="BB132" i="30"/>
  <c r="BB58" i="32"/>
  <c r="BA132" i="30"/>
  <c r="BA58" i="32"/>
  <c r="AZ132" i="30"/>
  <c r="AZ58" i="32"/>
  <c r="AY132" i="30"/>
  <c r="AY58" i="32"/>
  <c r="AX132" i="30"/>
  <c r="AX58" i="32"/>
  <c r="AW132" i="30"/>
  <c r="AW58" i="32"/>
  <c r="AV132" i="30"/>
  <c r="AV58" i="32"/>
  <c r="AU132" i="30"/>
  <c r="AU58" i="32"/>
  <c r="AT132" i="30"/>
  <c r="AT58" i="32"/>
  <c r="AS132" i="30"/>
  <c r="AS58" i="32"/>
  <c r="AR132" i="30"/>
  <c r="AR58" i="32"/>
  <c r="AQ132" i="30"/>
  <c r="AQ58" i="32"/>
  <c r="AP132" i="30"/>
  <c r="AP58" i="32"/>
  <c r="AO132" i="30"/>
  <c r="AO58" i="32"/>
  <c r="AN132" i="30"/>
  <c r="AN58" i="32"/>
  <c r="AM132" i="30"/>
  <c r="AM58" i="32"/>
  <c r="AL132" i="30"/>
  <c r="AL58" i="32"/>
  <c r="AK132" i="30"/>
  <c r="AK58" i="32"/>
  <c r="AJ132" i="30"/>
  <c r="AJ58" i="32"/>
  <c r="AI132" i="30"/>
  <c r="AI58" i="32"/>
  <c r="AH132" i="30"/>
  <c r="AH58" i="32"/>
  <c r="AG132" i="30"/>
  <c r="AG58" i="32"/>
  <c r="AF132" i="30"/>
  <c r="AF58" i="32"/>
  <c r="AE132" i="30"/>
  <c r="AE58" i="32"/>
  <c r="AD132" i="30"/>
  <c r="AD58" i="32"/>
  <c r="AC132" i="30"/>
  <c r="AC58" i="32"/>
  <c r="AB132" i="30"/>
  <c r="AB58" i="32"/>
  <c r="AA132" i="30"/>
  <c r="AA58" i="32"/>
  <c r="Z132" i="30"/>
  <c r="Z58" i="32"/>
  <c r="Y132" i="30"/>
  <c r="Y58" i="32"/>
  <c r="X132" i="30"/>
  <c r="X58" i="32"/>
  <c r="W132" i="30"/>
  <c r="W58" i="32"/>
  <c r="V132" i="30"/>
  <c r="V58" i="32"/>
  <c r="U132" i="30"/>
  <c r="U58" i="32"/>
  <c r="T132" i="30"/>
  <c r="T58" i="32"/>
  <c r="S132" i="30"/>
  <c r="S58" i="32"/>
  <c r="R132" i="30"/>
  <c r="R58" i="32"/>
  <c r="Q132" i="30"/>
  <c r="Q58" i="32"/>
  <c r="P132" i="30"/>
  <c r="P58" i="32"/>
  <c r="O132" i="30"/>
  <c r="O58" i="32"/>
  <c r="N132" i="30"/>
  <c r="N58" i="32"/>
  <c r="M132" i="30"/>
  <c r="M58" i="32"/>
  <c r="L132" i="30"/>
  <c r="L58" i="32"/>
  <c r="K132" i="30"/>
  <c r="K58" i="32"/>
  <c r="J132" i="30"/>
  <c r="J58" i="32"/>
  <c r="I132" i="30"/>
  <c r="I58" i="32"/>
  <c r="H132" i="30"/>
  <c r="H58" i="32"/>
  <c r="G132" i="30"/>
  <c r="G58" i="32"/>
  <c r="F132" i="30"/>
  <c r="F58" i="32"/>
  <c r="E132" i="30"/>
  <c r="E58" i="32"/>
  <c r="D132" i="30"/>
  <c r="D58" i="32"/>
  <c r="BK114" i="30"/>
  <c r="BK57" i="32"/>
  <c r="BJ114" i="30"/>
  <c r="BJ57" i="32"/>
  <c r="BI114" i="30"/>
  <c r="BI57" i="32"/>
  <c r="BH114" i="30"/>
  <c r="BH57" i="32"/>
  <c r="BG114" i="30"/>
  <c r="BG57" i="32"/>
  <c r="BF114" i="30"/>
  <c r="BF57" i="32"/>
  <c r="BE114" i="30"/>
  <c r="BE57" i="32"/>
  <c r="BD114" i="30"/>
  <c r="BD57" i="32"/>
  <c r="BC114" i="30"/>
  <c r="BC57" i="32"/>
  <c r="BB114" i="30"/>
  <c r="BB57" i="32"/>
  <c r="BA114" i="30"/>
  <c r="BA57" i="32"/>
  <c r="AZ114" i="30"/>
  <c r="AZ57" i="32"/>
  <c r="AY114" i="30"/>
  <c r="AY57" i="32"/>
  <c r="AX114" i="30"/>
  <c r="AX57" i="32"/>
  <c r="AW114" i="30"/>
  <c r="AW57" i="32"/>
  <c r="AV114" i="30"/>
  <c r="AV57" i="32"/>
  <c r="AU114" i="30"/>
  <c r="AU57" i="32"/>
  <c r="AT114" i="30"/>
  <c r="AT57" i="32"/>
  <c r="AS114" i="30"/>
  <c r="AS57" i="32"/>
  <c r="AR114" i="30"/>
  <c r="AR57" i="32"/>
  <c r="AQ114" i="30"/>
  <c r="AQ57" i="32"/>
  <c r="AP114" i="30"/>
  <c r="AP57" i="32"/>
  <c r="AO114" i="30"/>
  <c r="AO57" i="32"/>
  <c r="AN114" i="30"/>
  <c r="AN57" i="32"/>
  <c r="AM114" i="30"/>
  <c r="AM57" i="32"/>
  <c r="AL114" i="30"/>
  <c r="AL57" i="32"/>
  <c r="AK114" i="30"/>
  <c r="AK57" i="32"/>
  <c r="AJ114" i="30"/>
  <c r="AJ57" i="32"/>
  <c r="AI114" i="30"/>
  <c r="AI57" i="32"/>
  <c r="AH114" i="30"/>
  <c r="AH57" i="32"/>
  <c r="AG114" i="30"/>
  <c r="AG57" i="32"/>
  <c r="AF114" i="30"/>
  <c r="AF57" i="32"/>
  <c r="AE114" i="30"/>
  <c r="AE57" i="32"/>
  <c r="AD114" i="30"/>
  <c r="AD57" i="32"/>
  <c r="AC114" i="30"/>
  <c r="AC57" i="32"/>
  <c r="AB114" i="30"/>
  <c r="AB57" i="32"/>
  <c r="AA114" i="30"/>
  <c r="AA57" i="32"/>
  <c r="Z114" i="30"/>
  <c r="Z57" i="32"/>
  <c r="Y114" i="30"/>
  <c r="Y57" i="32"/>
  <c r="X114" i="30"/>
  <c r="X57" i="32"/>
  <c r="W114" i="30"/>
  <c r="W57" i="32"/>
  <c r="V114" i="30"/>
  <c r="V57" i="32"/>
  <c r="U114" i="30"/>
  <c r="U57" i="32"/>
  <c r="T114" i="30"/>
  <c r="T57" i="32"/>
  <c r="S114" i="30"/>
  <c r="S57" i="32"/>
  <c r="R114" i="30"/>
  <c r="R57" i="32"/>
  <c r="Q114" i="30"/>
  <c r="Q57" i="32"/>
  <c r="P114" i="30"/>
  <c r="P57" i="32"/>
  <c r="O114" i="30"/>
  <c r="O57" i="32"/>
  <c r="N114" i="30"/>
  <c r="N57" i="32"/>
  <c r="M114" i="30"/>
  <c r="M57" i="32"/>
  <c r="L114" i="30"/>
  <c r="L57" i="32"/>
  <c r="K114" i="30"/>
  <c r="K57" i="32"/>
  <c r="J114" i="30"/>
  <c r="J57" i="32"/>
  <c r="I114" i="30"/>
  <c r="I57" i="32"/>
  <c r="H114" i="30"/>
  <c r="H57" i="32"/>
  <c r="G114" i="30"/>
  <c r="G57" i="32"/>
  <c r="F114" i="30"/>
  <c r="F57" i="32"/>
  <c r="E114" i="30"/>
  <c r="E57" i="32"/>
  <c r="D114" i="30"/>
  <c r="D57" i="32"/>
  <c r="BK96" i="30"/>
  <c r="BK56" i="32"/>
  <c r="BJ96" i="30"/>
  <c r="BJ56" i="32"/>
  <c r="BI96" i="30"/>
  <c r="BI56" i="32"/>
  <c r="BH96" i="30"/>
  <c r="BH56" i="32"/>
  <c r="BG96" i="30"/>
  <c r="BG56" i="32"/>
  <c r="BF96" i="30"/>
  <c r="BF56" i="32"/>
  <c r="BE96" i="30"/>
  <c r="BE56" i="32"/>
  <c r="BD96" i="30"/>
  <c r="BD56" i="32"/>
  <c r="BC96" i="30"/>
  <c r="BC56" i="32"/>
  <c r="BB96" i="30"/>
  <c r="BB56" i="32"/>
  <c r="BA96" i="30"/>
  <c r="BA56" i="32"/>
  <c r="AZ96" i="30"/>
  <c r="AZ56" i="32"/>
  <c r="AY96" i="30"/>
  <c r="AY56" i="32"/>
  <c r="AX96" i="30"/>
  <c r="AX56" i="32"/>
  <c r="AW96" i="30"/>
  <c r="AW56" i="32"/>
  <c r="AV96" i="30"/>
  <c r="AV56" i="32"/>
  <c r="AU96" i="30"/>
  <c r="AU56" i="32"/>
  <c r="AT96" i="30"/>
  <c r="AT56" i="32"/>
  <c r="AS96" i="30"/>
  <c r="AS56" i="32"/>
  <c r="AR96" i="30"/>
  <c r="AR56" i="32"/>
  <c r="AQ96" i="30"/>
  <c r="AQ56" i="32"/>
  <c r="AP96" i="30"/>
  <c r="AP56" i="32"/>
  <c r="AO96" i="30"/>
  <c r="AO56" i="32"/>
  <c r="AN96" i="30"/>
  <c r="AN56" i="32"/>
  <c r="AM96" i="30"/>
  <c r="AM56" i="32"/>
  <c r="AL96" i="30"/>
  <c r="AL56" i="32"/>
  <c r="AK96" i="30"/>
  <c r="AK56" i="32"/>
  <c r="AJ96" i="30"/>
  <c r="AJ56" i="32"/>
  <c r="AI96" i="30"/>
  <c r="AI56" i="32"/>
  <c r="AH96" i="30"/>
  <c r="AH56" i="32"/>
  <c r="AG96" i="30"/>
  <c r="AG56" i="32"/>
  <c r="AF96" i="30"/>
  <c r="AF56" i="32"/>
  <c r="AE96" i="30"/>
  <c r="AE56" i="32"/>
  <c r="AD96" i="30"/>
  <c r="AD56" i="32"/>
  <c r="AC96" i="30"/>
  <c r="AC56" i="32"/>
  <c r="AB96" i="30"/>
  <c r="AB56" i="32"/>
  <c r="AA96" i="30"/>
  <c r="AA56" i="32"/>
  <c r="Z96" i="30"/>
  <c r="Z56" i="32"/>
  <c r="Y96" i="30"/>
  <c r="Y56" i="32"/>
  <c r="X96" i="30"/>
  <c r="X56" i="32"/>
  <c r="W96" i="30"/>
  <c r="W56" i="32"/>
  <c r="V96" i="30"/>
  <c r="V56" i="32"/>
  <c r="U96" i="30"/>
  <c r="U56" i="32"/>
  <c r="T96" i="30"/>
  <c r="T56" i="32"/>
  <c r="S96" i="30"/>
  <c r="S56" i="32"/>
  <c r="R96" i="30"/>
  <c r="R56" i="32"/>
  <c r="Q96" i="30"/>
  <c r="Q56" i="32"/>
  <c r="P96" i="30"/>
  <c r="P56" i="32"/>
  <c r="O96" i="30"/>
  <c r="O56" i="32"/>
  <c r="N96" i="30"/>
  <c r="N56" i="32"/>
  <c r="M96" i="30"/>
  <c r="M56" i="32"/>
  <c r="L96" i="30"/>
  <c r="L56" i="32"/>
  <c r="K96" i="30"/>
  <c r="K56" i="32"/>
  <c r="J96" i="30"/>
  <c r="J56" i="32"/>
  <c r="I96" i="30"/>
  <c r="I56" i="32"/>
  <c r="H96" i="30"/>
  <c r="H56" i="32"/>
  <c r="G96" i="30"/>
  <c r="G56" i="32"/>
  <c r="F96" i="30"/>
  <c r="F56" i="32"/>
  <c r="E96" i="30"/>
  <c r="E56" i="32"/>
  <c r="D96" i="30"/>
  <c r="D56" i="32"/>
  <c r="BK78" i="30"/>
  <c r="BK55" i="32"/>
  <c r="BJ78" i="30"/>
  <c r="BJ55" i="32"/>
  <c r="BI78" i="30"/>
  <c r="BI55" i="32"/>
  <c r="BH78" i="30"/>
  <c r="BH55" i="32"/>
  <c r="BG78" i="30"/>
  <c r="BG55" i="32"/>
  <c r="BF78" i="30"/>
  <c r="BF55" i="32"/>
  <c r="BE78" i="30"/>
  <c r="BE55" i="32"/>
  <c r="BD78" i="30"/>
  <c r="BD55" i="32"/>
  <c r="BC78" i="30"/>
  <c r="BC55" i="32"/>
  <c r="BB78" i="30"/>
  <c r="BB55" i="32"/>
  <c r="BA78" i="30"/>
  <c r="BA55" i="32"/>
  <c r="AZ78" i="30"/>
  <c r="AZ55" i="32"/>
  <c r="AY78" i="30"/>
  <c r="AY55" i="32"/>
  <c r="AX78" i="30"/>
  <c r="AX55" i="32"/>
  <c r="AW78" i="30"/>
  <c r="AW55" i="32"/>
  <c r="AV78" i="30"/>
  <c r="AV55" i="32"/>
  <c r="AU78" i="30"/>
  <c r="AU55" i="32"/>
  <c r="AT78" i="30"/>
  <c r="AT55" i="32"/>
  <c r="AS78" i="30"/>
  <c r="AS55" i="32"/>
  <c r="AR78" i="30"/>
  <c r="AR55" i="32"/>
  <c r="AQ78" i="30"/>
  <c r="AQ55" i="32"/>
  <c r="AP78" i="30"/>
  <c r="AP55" i="32"/>
  <c r="AO78" i="30"/>
  <c r="AO55" i="32"/>
  <c r="AN78" i="30"/>
  <c r="AN55" i="32"/>
  <c r="AM78" i="30"/>
  <c r="AM55" i="32"/>
  <c r="AL78" i="30"/>
  <c r="AL55" i="32"/>
  <c r="AK78" i="30"/>
  <c r="AK55" i="32"/>
  <c r="AJ78" i="30"/>
  <c r="AJ55" i="32"/>
  <c r="AI78" i="30"/>
  <c r="AI55" i="32"/>
  <c r="AH78" i="30"/>
  <c r="AH55" i="32"/>
  <c r="AG78" i="30"/>
  <c r="AG55" i="32"/>
  <c r="AF78" i="30"/>
  <c r="AF55" i="32"/>
  <c r="AE78" i="30"/>
  <c r="AE55" i="32"/>
  <c r="AD78" i="30"/>
  <c r="AD55" i="32"/>
  <c r="AC78" i="30"/>
  <c r="AC55" i="32"/>
  <c r="AB78" i="30"/>
  <c r="AB55" i="32"/>
  <c r="AA78" i="30"/>
  <c r="AA55" i="32"/>
  <c r="Z78" i="30"/>
  <c r="Z55" i="32"/>
  <c r="Y78" i="30"/>
  <c r="Y55" i="32"/>
  <c r="X78" i="30"/>
  <c r="X55" i="32"/>
  <c r="W78" i="30"/>
  <c r="W55" i="32"/>
  <c r="V78" i="30"/>
  <c r="V55" i="32"/>
  <c r="U78" i="30"/>
  <c r="U55" i="32"/>
  <c r="T78" i="30"/>
  <c r="T55" i="32"/>
  <c r="S78" i="30"/>
  <c r="S55" i="32"/>
  <c r="R78" i="30"/>
  <c r="R55" i="32"/>
  <c r="Q78" i="30"/>
  <c r="Q55" i="32"/>
  <c r="P78" i="30"/>
  <c r="P55" i="32"/>
  <c r="O78" i="30"/>
  <c r="O55" i="32"/>
  <c r="N78" i="30"/>
  <c r="N55" i="32"/>
  <c r="M78" i="30"/>
  <c r="M55" i="32"/>
  <c r="L78" i="30"/>
  <c r="L55" i="32"/>
  <c r="K78" i="30"/>
  <c r="K55" i="32"/>
  <c r="J78" i="30"/>
  <c r="J55" i="32"/>
  <c r="I78" i="30"/>
  <c r="I55" i="32"/>
  <c r="H78" i="30"/>
  <c r="H55" i="32"/>
  <c r="G78" i="30"/>
  <c r="G55" i="32"/>
  <c r="F78" i="30"/>
  <c r="F55" i="32"/>
  <c r="E78" i="30"/>
  <c r="E55" i="32"/>
  <c r="D78" i="30"/>
  <c r="D55" i="32"/>
  <c r="BK60" i="30"/>
  <c r="BK54" i="32"/>
  <c r="BJ60" i="30"/>
  <c r="BJ54" i="32"/>
  <c r="BI60" i="30"/>
  <c r="BI54" i="32"/>
  <c r="BH60" i="30"/>
  <c r="BH54" i="32"/>
  <c r="BG60" i="30"/>
  <c r="BG54" i="32"/>
  <c r="BF60" i="30"/>
  <c r="BF54" i="32"/>
  <c r="BE60" i="30"/>
  <c r="BE54" i="32"/>
  <c r="BD60" i="30"/>
  <c r="BD54" i="32"/>
  <c r="BC60" i="30"/>
  <c r="BC54" i="32"/>
  <c r="BB60" i="30"/>
  <c r="BB54" i="32"/>
  <c r="BA60" i="30"/>
  <c r="BA54" i="32"/>
  <c r="AZ60" i="30"/>
  <c r="AZ54" i="32"/>
  <c r="AY60" i="30"/>
  <c r="AY54" i="32"/>
  <c r="AX60" i="30"/>
  <c r="AX54" i="32"/>
  <c r="AW60" i="30"/>
  <c r="AW54" i="32"/>
  <c r="AV60" i="30"/>
  <c r="AV54" i="32"/>
  <c r="AU60" i="30"/>
  <c r="AU54" i="32"/>
  <c r="AT60" i="30"/>
  <c r="AT54" i="32"/>
  <c r="AS60" i="30"/>
  <c r="AS54" i="32"/>
  <c r="AR60" i="30"/>
  <c r="AR54" i="32"/>
  <c r="AQ60" i="30"/>
  <c r="AQ54" i="32"/>
  <c r="AP60" i="30"/>
  <c r="AP54" i="32"/>
  <c r="AO60" i="30"/>
  <c r="AO54" i="32"/>
  <c r="AN60" i="30"/>
  <c r="AN54" i="32"/>
  <c r="AM60" i="30"/>
  <c r="AM54" i="32"/>
  <c r="AL60" i="30"/>
  <c r="AL54" i="32"/>
  <c r="AK60" i="30"/>
  <c r="AK54" i="32"/>
  <c r="AJ60" i="30"/>
  <c r="AJ54" i="32"/>
  <c r="AI60" i="30"/>
  <c r="AI54" i="32"/>
  <c r="AH60" i="30"/>
  <c r="AH54" i="32"/>
  <c r="AG60" i="30"/>
  <c r="AG54" i="32"/>
  <c r="AF60" i="30"/>
  <c r="AF54" i="32"/>
  <c r="AE60" i="30"/>
  <c r="AE54" i="32"/>
  <c r="AD60" i="30"/>
  <c r="AD54" i="32"/>
  <c r="AC60" i="30"/>
  <c r="AC54" i="32"/>
  <c r="AB60" i="30"/>
  <c r="AB54" i="32"/>
  <c r="AA60" i="30"/>
  <c r="AA54" i="32"/>
  <c r="Z60" i="30"/>
  <c r="Z54" i="32"/>
  <c r="Y60" i="30"/>
  <c r="Y54" i="32"/>
  <c r="X60" i="30"/>
  <c r="X54" i="32"/>
  <c r="W60" i="30"/>
  <c r="W54" i="32"/>
  <c r="V60" i="30"/>
  <c r="V54" i="32"/>
  <c r="U60" i="30"/>
  <c r="U54" i="32"/>
  <c r="T60" i="30"/>
  <c r="T54" i="32"/>
  <c r="S60" i="30"/>
  <c r="S54" i="32"/>
  <c r="R60" i="30"/>
  <c r="R54" i="32"/>
  <c r="Q60" i="30"/>
  <c r="Q54" i="32"/>
  <c r="P60" i="30"/>
  <c r="P54" i="32"/>
  <c r="O60" i="30"/>
  <c r="O54" i="32"/>
  <c r="N60" i="30"/>
  <c r="N54" i="32"/>
  <c r="M60" i="30"/>
  <c r="M54" i="32"/>
  <c r="L60" i="30"/>
  <c r="L54" i="32"/>
  <c r="K60" i="30"/>
  <c r="K54" i="32"/>
  <c r="J60" i="30"/>
  <c r="J54" i="32"/>
  <c r="I60" i="30"/>
  <c r="I54" i="32"/>
  <c r="H60" i="30"/>
  <c r="H54" i="32"/>
  <c r="G60" i="30"/>
  <c r="G54" i="32"/>
  <c r="F60" i="30"/>
  <c r="F54" i="32"/>
  <c r="E60" i="30"/>
  <c r="E54" i="32"/>
  <c r="D60" i="30"/>
  <c r="D54" i="32"/>
  <c r="BJ42" i="30"/>
  <c r="BK53" i="32"/>
  <c r="BI42" i="30"/>
  <c r="BJ53" i="32"/>
  <c r="BH42" i="30"/>
  <c r="BI53" i="32"/>
  <c r="BG42" i="30"/>
  <c r="BH53" i="32"/>
  <c r="BF42" i="30"/>
  <c r="BG53" i="32"/>
  <c r="BE42" i="30"/>
  <c r="BF53" i="32"/>
  <c r="BD42" i="30"/>
  <c r="BE53" i="32"/>
  <c r="BC42" i="30"/>
  <c r="BD53" i="32"/>
  <c r="BB42" i="30"/>
  <c r="BC53" i="32"/>
  <c r="BA42" i="30"/>
  <c r="BB53" i="32"/>
  <c r="AZ42" i="30"/>
  <c r="BA53" i="32"/>
  <c r="AY42" i="30"/>
  <c r="AZ53" i="32"/>
  <c r="AX42" i="30"/>
  <c r="AY53" i="32"/>
  <c r="AW42" i="30"/>
  <c r="AX53" i="32"/>
  <c r="AV42" i="30"/>
  <c r="AW53" i="32"/>
  <c r="AU42" i="30"/>
  <c r="AV53" i="32"/>
  <c r="AT42" i="30"/>
  <c r="AU53" i="32"/>
  <c r="AS42" i="30"/>
  <c r="AT53" i="32"/>
  <c r="AR42" i="30"/>
  <c r="AS53" i="32"/>
  <c r="AQ42" i="30"/>
  <c r="AR53" i="32"/>
  <c r="AP42" i="30"/>
  <c r="AQ53" i="32"/>
  <c r="AO42" i="30"/>
  <c r="AP53" i="32"/>
  <c r="AN42" i="30"/>
  <c r="AO53" i="32"/>
  <c r="AM42" i="30"/>
  <c r="AN53" i="32"/>
  <c r="AL42" i="30"/>
  <c r="AM53" i="32"/>
  <c r="AK42" i="30"/>
  <c r="AL53" i="32"/>
  <c r="AJ42" i="30"/>
  <c r="AK53" i="32"/>
  <c r="AI42" i="30"/>
  <c r="AJ53" i="32"/>
  <c r="AH42" i="30"/>
  <c r="AI53" i="32"/>
  <c r="AG42" i="30"/>
  <c r="AH53" i="32"/>
  <c r="AF42" i="30"/>
  <c r="AG53" i="32"/>
  <c r="AE42" i="30"/>
  <c r="AF53" i="32"/>
  <c r="AD42" i="30"/>
  <c r="AE53" i="32"/>
  <c r="AC42" i="30"/>
  <c r="AD53" i="32"/>
  <c r="AB42" i="30"/>
  <c r="AC53" i="32"/>
  <c r="AA42" i="30"/>
  <c r="AB53" i="32"/>
  <c r="Z42" i="30"/>
  <c r="AA53" i="32"/>
  <c r="Y42" i="30"/>
  <c r="Z53" i="32"/>
  <c r="X42" i="30"/>
  <c r="Y53" i="32"/>
  <c r="W42" i="30"/>
  <c r="X53" i="32"/>
  <c r="V42" i="30"/>
  <c r="W53" i="32"/>
  <c r="U42" i="30"/>
  <c r="V53" i="32"/>
  <c r="T42" i="30"/>
  <c r="U53" i="32"/>
  <c r="S42" i="30"/>
  <c r="T53" i="32"/>
  <c r="R42" i="30"/>
  <c r="S53" i="32"/>
  <c r="Q42" i="30"/>
  <c r="R53" i="32"/>
  <c r="P42" i="30"/>
  <c r="Q53" i="32"/>
  <c r="O42" i="30"/>
  <c r="P53" i="32"/>
  <c r="N42" i="30"/>
  <c r="O53" i="32"/>
  <c r="M42" i="30"/>
  <c r="N53" i="32"/>
  <c r="L42" i="30"/>
  <c r="M53" i="32"/>
  <c r="K42" i="30"/>
  <c r="L53" i="32"/>
  <c r="J42" i="30"/>
  <c r="K53" i="32"/>
  <c r="I42" i="30"/>
  <c r="J53" i="32"/>
  <c r="H42" i="30"/>
  <c r="I53" i="32"/>
  <c r="G42" i="30"/>
  <c r="H53" i="32"/>
  <c r="F42" i="30"/>
  <c r="G53" i="32"/>
  <c r="E42" i="30"/>
  <c r="F53" i="32"/>
  <c r="D42" i="30"/>
  <c r="E53" i="32"/>
  <c r="C42" i="30"/>
  <c r="D53" i="32"/>
  <c r="BJ12" i="30"/>
  <c r="BJ10"/>
  <c r="BJ11"/>
  <c r="BI25" i="17"/>
  <c r="BI26"/>
  <c r="AY12"/>
  <c r="AZ12"/>
  <c r="BA12"/>
  <c r="BB12"/>
  <c r="BC12"/>
  <c r="BD12"/>
  <c r="BE12"/>
  <c r="BF12"/>
  <c r="BG12"/>
  <c r="BH12"/>
  <c r="BI12"/>
  <c r="BI13"/>
  <c r="BK31" i="3"/>
  <c r="C37"/>
  <c r="BK37"/>
  <c r="BI12" i="30"/>
  <c r="BI10"/>
  <c r="BI11"/>
  <c r="BH25" i="17"/>
  <c r="BH26"/>
  <c r="BH13"/>
  <c r="BJ31" i="3"/>
  <c r="BJ37"/>
  <c r="BH12" i="30"/>
  <c r="BH10"/>
  <c r="BH11"/>
  <c r="BG25" i="17"/>
  <c r="BG26"/>
  <c r="BG13"/>
  <c r="BI31" i="3"/>
  <c r="BI37"/>
  <c r="BG12" i="30"/>
  <c r="BG10"/>
  <c r="BG11"/>
  <c r="BF25" i="17"/>
  <c r="BF26"/>
  <c r="BF13"/>
  <c r="BH31" i="3"/>
  <c r="BH37"/>
  <c r="BF12" i="30"/>
  <c r="BF10"/>
  <c r="BF11"/>
  <c r="BE25" i="17"/>
  <c r="BE26"/>
  <c r="BE13"/>
  <c r="BG31" i="3"/>
  <c r="BG37"/>
  <c r="BE12" i="30"/>
  <c r="BE10"/>
  <c r="BE11"/>
  <c r="BD25" i="17"/>
  <c r="BD26"/>
  <c r="BD13"/>
  <c r="BF31" i="3"/>
  <c r="BF37"/>
  <c r="BD12" i="30"/>
  <c r="BD10"/>
  <c r="BD11"/>
  <c r="BC25" i="17"/>
  <c r="BC26"/>
  <c r="BC13"/>
  <c r="BE31" i="3"/>
  <c r="BE37"/>
  <c r="BC12" i="30"/>
  <c r="BC10"/>
  <c r="BC11"/>
  <c r="BB25" i="17"/>
  <c r="BB26"/>
  <c r="BB13"/>
  <c r="BD31" i="3"/>
  <c r="BD37"/>
  <c r="BB12" i="30"/>
  <c r="BB10"/>
  <c r="BB11"/>
  <c r="BA25" i="17"/>
  <c r="BA26"/>
  <c r="BA13"/>
  <c r="BC31" i="3"/>
  <c r="BC37"/>
  <c r="BA12" i="30"/>
  <c r="BA10"/>
  <c r="BA11"/>
  <c r="AZ25" i="17"/>
  <c r="AZ26"/>
  <c r="AZ13"/>
  <c r="BB31" i="3"/>
  <c r="BB37"/>
  <c r="AZ12" i="30"/>
  <c r="AZ10"/>
  <c r="AZ11"/>
  <c r="AY25" i="17"/>
  <c r="AY26"/>
  <c r="AY13"/>
  <c r="BA31" i="3"/>
  <c r="BA37"/>
  <c r="AY37"/>
  <c r="AX37"/>
  <c r="AW37"/>
  <c r="AV37"/>
  <c r="AU37"/>
  <c r="AT37"/>
  <c r="AS37"/>
  <c r="AR37"/>
  <c r="AQ37"/>
  <c r="AP37"/>
  <c r="AO37"/>
  <c r="AN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J14" i="30"/>
  <c r="BJ13"/>
  <c r="BI27" i="17"/>
  <c r="BI28"/>
  <c r="BK35" i="3"/>
  <c r="BI29" i="17"/>
  <c r="BI34"/>
  <c r="AY14"/>
  <c r="AZ14"/>
  <c r="BA14"/>
  <c r="BB14"/>
  <c r="BC14"/>
  <c r="BD14"/>
  <c r="BE14"/>
  <c r="BF14"/>
  <c r="BG14"/>
  <c r="BH14"/>
  <c r="BI14"/>
  <c r="BI16"/>
  <c r="BI19"/>
  <c r="BI21"/>
  <c r="BI37"/>
  <c r="BK36" i="3"/>
  <c r="BL4" i="1"/>
  <c r="BI32" i="17"/>
  <c r="BL5" i="1"/>
  <c r="BL6"/>
  <c r="BL9"/>
  <c r="BI53" i="17"/>
  <c r="BK26" i="3"/>
  <c r="BK2"/>
  <c r="BK19"/>
  <c r="BK22"/>
  <c r="BK25"/>
  <c r="BK3"/>
  <c r="BK5"/>
  <c r="BK42"/>
  <c r="BI14" i="30"/>
  <c r="BI13"/>
  <c r="BH27" i="17"/>
  <c r="BH29"/>
  <c r="BK4" i="1"/>
  <c r="BH32" i="17"/>
  <c r="BK5" i="1"/>
  <c r="BK6"/>
  <c r="BK9"/>
  <c r="BH16" i="17"/>
  <c r="BH53"/>
  <c r="BJ26" i="3"/>
  <c r="BJ2"/>
  <c r="BJ19"/>
  <c r="BJ22"/>
  <c r="BJ25"/>
  <c r="BJ3"/>
  <c r="BJ5"/>
  <c r="BJ42"/>
  <c r="BH14" i="30"/>
  <c r="BH13"/>
  <c r="BG27" i="17"/>
  <c r="BG29"/>
  <c r="BJ4" i="1"/>
  <c r="BG32" i="17"/>
  <c r="BJ5" i="1"/>
  <c r="BJ6"/>
  <c r="BJ9"/>
  <c r="BG16" i="17"/>
  <c r="BG53"/>
  <c r="BI26" i="3"/>
  <c r="BI2"/>
  <c r="BI19"/>
  <c r="BI22"/>
  <c r="BI25"/>
  <c r="BI3"/>
  <c r="BI5"/>
  <c r="BI42"/>
  <c r="BG14" i="30"/>
  <c r="BG13"/>
  <c r="BF27" i="17"/>
  <c r="BF29"/>
  <c r="BI4" i="1"/>
  <c r="BF32" i="17"/>
  <c r="BI5" i="1"/>
  <c r="BI6"/>
  <c r="BI9"/>
  <c r="BF16" i="17"/>
  <c r="BF53"/>
  <c r="BH26" i="3"/>
  <c r="BH2"/>
  <c r="BH19"/>
  <c r="BH22"/>
  <c r="BH25"/>
  <c r="BH3"/>
  <c r="BH5"/>
  <c r="BH42"/>
  <c r="BF14" i="30"/>
  <c r="BF13"/>
  <c r="BE27" i="17"/>
  <c r="BE29"/>
  <c r="BH4" i="1"/>
  <c r="BE32" i="17"/>
  <c r="BH5" i="1"/>
  <c r="BH6"/>
  <c r="BH9"/>
  <c r="BE16" i="17"/>
  <c r="BE53"/>
  <c r="BG26" i="3"/>
  <c r="BG2"/>
  <c r="BG19"/>
  <c r="BG22"/>
  <c r="BG25"/>
  <c r="BG3"/>
  <c r="BG5"/>
  <c r="BG42"/>
  <c r="BE14" i="30"/>
  <c r="BE13"/>
  <c r="BD27" i="17"/>
  <c r="BD29"/>
  <c r="BG4" i="1"/>
  <c r="BD32" i="17"/>
  <c r="BG5" i="1"/>
  <c r="BG6"/>
  <c r="BG9"/>
  <c r="BD16" i="17"/>
  <c r="BD53"/>
  <c r="BF26" i="3"/>
  <c r="BF2"/>
  <c r="BF19"/>
  <c r="BF22"/>
  <c r="BF25"/>
  <c r="BF3"/>
  <c r="BF5"/>
  <c r="BF42"/>
  <c r="BD14" i="30"/>
  <c r="BD13"/>
  <c r="BC27" i="17"/>
  <c r="BC29"/>
  <c r="BF4" i="1"/>
  <c r="BC32" i="17"/>
  <c r="BF5" i="1"/>
  <c r="BF6"/>
  <c r="BF9"/>
  <c r="BC16" i="17"/>
  <c r="BC53"/>
  <c r="BE26" i="3"/>
  <c r="BE2"/>
  <c r="BE19"/>
  <c r="BE22"/>
  <c r="BE25"/>
  <c r="BE3"/>
  <c r="BE5"/>
  <c r="BE42"/>
  <c r="BC14" i="30"/>
  <c r="BC13"/>
  <c r="BB27" i="17"/>
  <c r="BB29"/>
  <c r="BE4" i="1"/>
  <c r="BB32" i="17"/>
  <c r="BE5" i="1"/>
  <c r="BE6"/>
  <c r="BE9"/>
  <c r="BB16" i="17"/>
  <c r="BB53"/>
  <c r="BD26" i="3"/>
  <c r="BD2"/>
  <c r="BD19"/>
  <c r="BD22"/>
  <c r="BD25"/>
  <c r="BD3"/>
  <c r="BD5"/>
  <c r="BD42"/>
  <c r="BB14" i="30"/>
  <c r="BB13"/>
  <c r="BA27" i="17"/>
  <c r="BA29"/>
  <c r="BD4" i="1"/>
  <c r="BA32" i="17"/>
  <c r="BD5" i="1"/>
  <c r="BD6"/>
  <c r="BD9"/>
  <c r="BA16" i="17"/>
  <c r="BA53"/>
  <c r="BC26" i="3"/>
  <c r="BC2"/>
  <c r="BC19"/>
  <c r="BC22"/>
  <c r="BC25"/>
  <c r="BC3"/>
  <c r="BC5"/>
  <c r="BC42"/>
  <c r="BC38"/>
  <c r="BD38"/>
  <c r="BE38"/>
  <c r="BF38"/>
  <c r="BG38"/>
  <c r="BH38"/>
  <c r="BI38"/>
  <c r="BJ38"/>
  <c r="BK38"/>
  <c r="BK39"/>
  <c r="BK43"/>
  <c r="BK15"/>
  <c r="BK12"/>
  <c r="BK45"/>
  <c r="BP102" i="4"/>
  <c r="BH28" i="17"/>
  <c r="BJ35" i="3"/>
  <c r="BH34" i="17"/>
  <c r="BH19"/>
  <c r="BH21"/>
  <c r="BH37"/>
  <c r="BJ36" i="3"/>
  <c r="BJ39"/>
  <c r="BJ43"/>
  <c r="BJ15"/>
  <c r="BJ12"/>
  <c r="BJ45"/>
  <c r="BO102" i="4"/>
  <c r="BG28" i="17"/>
  <c r="BI35" i="3"/>
  <c r="BG34" i="17"/>
  <c r="BG19"/>
  <c r="BG21"/>
  <c r="BG37"/>
  <c r="BI36" i="3"/>
  <c r="BI39"/>
  <c r="BI43"/>
  <c r="BI15"/>
  <c r="BI12"/>
  <c r="BI45"/>
  <c r="BN102" i="4"/>
  <c r="BF28" i="17"/>
  <c r="BH35" i="3"/>
  <c r="BF34" i="17"/>
  <c r="BF19"/>
  <c r="BF21"/>
  <c r="BF37"/>
  <c r="BH36" i="3"/>
  <c r="BH39"/>
  <c r="BH43"/>
  <c r="BH15"/>
  <c r="BH12"/>
  <c r="BH45"/>
  <c r="BM102" i="4"/>
  <c r="BE28" i="17"/>
  <c r="BG35" i="3"/>
  <c r="BE34" i="17"/>
  <c r="BE19"/>
  <c r="BE21"/>
  <c r="BE37"/>
  <c r="BG36" i="3"/>
  <c r="BG39"/>
  <c r="BG43"/>
  <c r="BG15"/>
  <c r="BG12"/>
  <c r="BG45"/>
  <c r="BL102" i="4"/>
  <c r="BD28" i="17"/>
  <c r="BF35" i="3"/>
  <c r="BD34" i="17"/>
  <c r="BD19"/>
  <c r="BD21"/>
  <c r="BD37"/>
  <c r="BF36" i="3"/>
  <c r="BF39"/>
  <c r="BF43"/>
  <c r="BF15"/>
  <c r="BF12"/>
  <c r="BF45"/>
  <c r="BK102" i="4"/>
  <c r="BC28" i="17"/>
  <c r="BE35" i="3"/>
  <c r="BC34" i="17"/>
  <c r="BC19"/>
  <c r="BC21"/>
  <c r="BC37"/>
  <c r="BE36" i="3"/>
  <c r="BE39"/>
  <c r="BE43"/>
  <c r="BE15"/>
  <c r="BE12"/>
  <c r="BE45"/>
  <c r="BJ102" i="4"/>
  <c r="BB28" i="17"/>
  <c r="BD35" i="3"/>
  <c r="BB34" i="17"/>
  <c r="BB19"/>
  <c r="BB21"/>
  <c r="BB37"/>
  <c r="BD36" i="3"/>
  <c r="BD39"/>
  <c r="BD43"/>
  <c r="BD15"/>
  <c r="BD12"/>
  <c r="BD45"/>
  <c r="BI102" i="4"/>
  <c r="BA28" i="17"/>
  <c r="BC35" i="3"/>
  <c r="BA34" i="17"/>
  <c r="BA19"/>
  <c r="BA21"/>
  <c r="BA37"/>
  <c r="BC36" i="3"/>
  <c r="BC39"/>
  <c r="BC43"/>
  <c r="BC15"/>
  <c r="BC12"/>
  <c r="BC45"/>
  <c r="BH102" i="4"/>
  <c r="BA14" i="30"/>
  <c r="BA13"/>
  <c r="AZ27" i="17"/>
  <c r="AZ28"/>
  <c r="BB35" i="3"/>
  <c r="AZ29" i="17"/>
  <c r="AZ34"/>
  <c r="AZ16"/>
  <c r="AZ19"/>
  <c r="AZ21"/>
  <c r="AZ37"/>
  <c r="BB36" i="3"/>
  <c r="BC4" i="1"/>
  <c r="AZ32" i="17"/>
  <c r="BC5" i="1"/>
  <c r="BC6"/>
  <c r="BC9"/>
  <c r="AZ53" i="17"/>
  <c r="BB26" i="3"/>
  <c r="BB2"/>
  <c r="BB19"/>
  <c r="BB22"/>
  <c r="BB25"/>
  <c r="BB3"/>
  <c r="BB5"/>
  <c r="BB42"/>
  <c r="BB38"/>
  <c r="BB39"/>
  <c r="BB43"/>
  <c r="BB15"/>
  <c r="BB12"/>
  <c r="BB45"/>
  <c r="BG102" i="4"/>
  <c r="AZ14" i="30"/>
  <c r="AZ13"/>
  <c r="AY27" i="17"/>
  <c r="AY28"/>
  <c r="BA35" i="3"/>
  <c r="AY29" i="17"/>
  <c r="AY34"/>
  <c r="AY16"/>
  <c r="AY19"/>
  <c r="AY21"/>
  <c r="AY37"/>
  <c r="BA36" i="3"/>
  <c r="BB4" i="1"/>
  <c r="AY32" i="17"/>
  <c r="BB5" i="1"/>
  <c r="BB6"/>
  <c r="BB9"/>
  <c r="AY53" i="17"/>
  <c r="BA26" i="3"/>
  <c r="BA2"/>
  <c r="BA19"/>
  <c r="BA22"/>
  <c r="BA25"/>
  <c r="BA3"/>
  <c r="BA5"/>
  <c r="BA42"/>
  <c r="BA38"/>
  <c r="BA39"/>
  <c r="BA43"/>
  <c r="BA15"/>
  <c r="BA12"/>
  <c r="BA45"/>
  <c r="BF102" i="4"/>
  <c r="AW28" i="17"/>
  <c r="AY35" i="3"/>
  <c r="AW34" i="17"/>
  <c r="AW19"/>
  <c r="AW21"/>
  <c r="AW37"/>
  <c r="AY36" i="3"/>
  <c r="AY38"/>
  <c r="AY39"/>
  <c r="AY43"/>
  <c r="AY15"/>
  <c r="AY12"/>
  <c r="AY45"/>
  <c r="BD102" i="4"/>
  <c r="AV28" i="17"/>
  <c r="AX35" i="3"/>
  <c r="AV34" i="17"/>
  <c r="AV19"/>
  <c r="AV21"/>
  <c r="AV37"/>
  <c r="AX36" i="3"/>
  <c r="AX38"/>
  <c r="AX39"/>
  <c r="AX43"/>
  <c r="AX15"/>
  <c r="AX12"/>
  <c r="AX45"/>
  <c r="BC102" i="4"/>
  <c r="AU28" i="17"/>
  <c r="AW35" i="3"/>
  <c r="AU34" i="17"/>
  <c r="AU19"/>
  <c r="AU21"/>
  <c r="AU37"/>
  <c r="AW36" i="3"/>
  <c r="AW38"/>
  <c r="AW39"/>
  <c r="AW43"/>
  <c r="AW15"/>
  <c r="AW12"/>
  <c r="AW45"/>
  <c r="BB102" i="4"/>
  <c r="AT28" i="17"/>
  <c r="AV35" i="3"/>
  <c r="AT34" i="17"/>
  <c r="AT19"/>
  <c r="AT21"/>
  <c r="AT37"/>
  <c r="AV36" i="3"/>
  <c r="AV38"/>
  <c r="AV39"/>
  <c r="AV43"/>
  <c r="AV15"/>
  <c r="AV12"/>
  <c r="AV45"/>
  <c r="BA102" i="4"/>
  <c r="AS28" i="17"/>
  <c r="AU35" i="3"/>
  <c r="AS34" i="17"/>
  <c r="AS19"/>
  <c r="AS21"/>
  <c r="AS37"/>
  <c r="AU36" i="3"/>
  <c r="AU38"/>
  <c r="AU39"/>
  <c r="AU43"/>
  <c r="AU15"/>
  <c r="AU12"/>
  <c r="AU45"/>
  <c r="AZ102" i="4"/>
  <c r="AR28" i="17"/>
  <c r="AT35" i="3"/>
  <c r="AR34" i="17"/>
  <c r="AR19"/>
  <c r="AR21"/>
  <c r="AR37"/>
  <c r="AT36" i="3"/>
  <c r="AT38"/>
  <c r="AT39"/>
  <c r="AT43"/>
  <c r="AT15"/>
  <c r="AT12"/>
  <c r="AT45"/>
  <c r="AY102" i="4"/>
  <c r="AQ28" i="17"/>
  <c r="AS35" i="3"/>
  <c r="AQ34" i="17"/>
  <c r="AQ19"/>
  <c r="AQ21"/>
  <c r="AQ37"/>
  <c r="AS36" i="3"/>
  <c r="AS38"/>
  <c r="AS39"/>
  <c r="AS43"/>
  <c r="AS15"/>
  <c r="AS12"/>
  <c r="AS45"/>
  <c r="AX102" i="4"/>
  <c r="AP28" i="17"/>
  <c r="AR35" i="3"/>
  <c r="AP34" i="17"/>
  <c r="AP19"/>
  <c r="AP21"/>
  <c r="AP37"/>
  <c r="AR36" i="3"/>
  <c r="AR38"/>
  <c r="AR39"/>
  <c r="AR43"/>
  <c r="AR15"/>
  <c r="AR12"/>
  <c r="AR45"/>
  <c r="AW102" i="4"/>
  <c r="AO28" i="17"/>
  <c r="AQ35" i="3"/>
  <c r="AO34" i="17"/>
  <c r="AO19"/>
  <c r="AO21"/>
  <c r="AO37"/>
  <c r="AQ36" i="3"/>
  <c r="AQ38"/>
  <c r="AQ39"/>
  <c r="AQ43"/>
  <c r="AQ15"/>
  <c r="AQ12"/>
  <c r="AQ45"/>
  <c r="AV102" i="4"/>
  <c r="AN28" i="17"/>
  <c r="AP35" i="3"/>
  <c r="AN34" i="17"/>
  <c r="AN19"/>
  <c r="AN21"/>
  <c r="AN37"/>
  <c r="AP36" i="3"/>
  <c r="AP38"/>
  <c r="AP39"/>
  <c r="AP43"/>
  <c r="AP15"/>
  <c r="AP12"/>
  <c r="AP45"/>
  <c r="AU102" i="4"/>
  <c r="AM28" i="17"/>
  <c r="AO35" i="3"/>
  <c r="AM34" i="17"/>
  <c r="AM19"/>
  <c r="AM21"/>
  <c r="AM37"/>
  <c r="AO36" i="3"/>
  <c r="AO38"/>
  <c r="AO39"/>
  <c r="AO43"/>
  <c r="AO15"/>
  <c r="AO12"/>
  <c r="AO45"/>
  <c r="AT102" i="4"/>
  <c r="AL28" i="17"/>
  <c r="AN35" i="3"/>
  <c r="AL34" i="17"/>
  <c r="AL19"/>
  <c r="AL21"/>
  <c r="AL37"/>
  <c r="AN36" i="3"/>
  <c r="AN38"/>
  <c r="AN39"/>
  <c r="AN43"/>
  <c r="AN15"/>
  <c r="AN12"/>
  <c r="AN45"/>
  <c r="AS102" i="4"/>
  <c r="AR102"/>
  <c r="AJ28" i="17"/>
  <c r="AL35" i="3"/>
  <c r="AJ34" i="17"/>
  <c r="AJ19"/>
  <c r="AJ21"/>
  <c r="AJ37"/>
  <c r="AL36" i="3"/>
  <c r="AL38"/>
  <c r="AL39"/>
  <c r="AL43"/>
  <c r="AL12"/>
  <c r="AL45"/>
  <c r="AQ102" i="4"/>
  <c r="AI28" i="17"/>
  <c r="AK35" i="3"/>
  <c r="AI34" i="17"/>
  <c r="AI19"/>
  <c r="AI21"/>
  <c r="AI37"/>
  <c r="AK36" i="3"/>
  <c r="AK38"/>
  <c r="AK39"/>
  <c r="AK43"/>
  <c r="AK15"/>
  <c r="AK12"/>
  <c r="AK45"/>
  <c r="AP102" i="4"/>
  <c r="AH28" i="17"/>
  <c r="AJ35" i="3"/>
  <c r="AH34" i="17"/>
  <c r="AH19"/>
  <c r="AH21"/>
  <c r="AH37"/>
  <c r="AJ36" i="3"/>
  <c r="AJ38"/>
  <c r="AJ39"/>
  <c r="AJ43"/>
  <c r="AJ15"/>
  <c r="AJ12"/>
  <c r="AJ45"/>
  <c r="AO102" i="4"/>
  <c r="AG28" i="17"/>
  <c r="AI35" i="3"/>
  <c r="AG34" i="17"/>
  <c r="AG19"/>
  <c r="AG21"/>
  <c r="AG37"/>
  <c r="AI36" i="3"/>
  <c r="AI38"/>
  <c r="AI39"/>
  <c r="AI43"/>
  <c r="AI15"/>
  <c r="AI12"/>
  <c r="AI45"/>
  <c r="AN102" i="4"/>
  <c r="AF28" i="17"/>
  <c r="AH35" i="3"/>
  <c r="AF34" i="17"/>
  <c r="AF19"/>
  <c r="AF21"/>
  <c r="AF37"/>
  <c r="AH36" i="3"/>
  <c r="AH38"/>
  <c r="AH39"/>
  <c r="AH43"/>
  <c r="AH15"/>
  <c r="AH12"/>
  <c r="AH45"/>
  <c r="AM102" i="4"/>
  <c r="AE28" i="17"/>
  <c r="AG35" i="3"/>
  <c r="AE34" i="17"/>
  <c r="AE19"/>
  <c r="AE21"/>
  <c r="AE37"/>
  <c r="AG36" i="3"/>
  <c r="AG38"/>
  <c r="AG39"/>
  <c r="AG43"/>
  <c r="AG15"/>
  <c r="AG12"/>
  <c r="AG45"/>
  <c r="AL102" i="4"/>
  <c r="AD28" i="17"/>
  <c r="AF35" i="3"/>
  <c r="AD34" i="17"/>
  <c r="AD19"/>
  <c r="AD21"/>
  <c r="AD37"/>
  <c r="AF36" i="3"/>
  <c r="AF38"/>
  <c r="AF39"/>
  <c r="AF43"/>
  <c r="AF15"/>
  <c r="AF12"/>
  <c r="AF45"/>
  <c r="AK102" i="4"/>
  <c r="AC28" i="17"/>
  <c r="AE35" i="3"/>
  <c r="AC34" i="17"/>
  <c r="AC19"/>
  <c r="AC21"/>
  <c r="AC37"/>
  <c r="AE36" i="3"/>
  <c r="AE38"/>
  <c r="AE39"/>
  <c r="AE43"/>
  <c r="AE15"/>
  <c r="AE12"/>
  <c r="AE45"/>
  <c r="AJ102" i="4"/>
  <c r="AB28" i="17"/>
  <c r="AD35" i="3"/>
  <c r="AB34" i="17"/>
  <c r="AB19"/>
  <c r="AB21"/>
  <c r="AB37"/>
  <c r="AD36" i="3"/>
  <c r="AD38"/>
  <c r="AD39"/>
  <c r="AD43"/>
  <c r="AD15"/>
  <c r="AD12"/>
  <c r="AD45"/>
  <c r="AI102" i="4"/>
  <c r="AA28" i="17"/>
  <c r="AC35" i="3"/>
  <c r="AA34" i="17"/>
  <c r="AA19"/>
  <c r="AA21"/>
  <c r="AA37"/>
  <c r="AC36" i="3"/>
  <c r="AC38"/>
  <c r="AC39"/>
  <c r="AC43"/>
  <c r="AC15"/>
  <c r="AC12"/>
  <c r="AC45"/>
  <c r="AH102" i="4"/>
  <c r="Z28" i="17"/>
  <c r="AB35" i="3"/>
  <c r="Z34" i="17"/>
  <c r="Z19"/>
  <c r="Z21"/>
  <c r="Z37"/>
  <c r="AB36" i="3"/>
  <c r="AB38"/>
  <c r="AB39"/>
  <c r="AB43"/>
  <c r="AB15"/>
  <c r="AB12"/>
  <c r="AB45"/>
  <c r="AG102" i="4"/>
  <c r="Y28" i="17"/>
  <c r="AA35" i="3"/>
  <c r="Y34" i="17"/>
  <c r="Y19"/>
  <c r="Y21"/>
  <c r="Y37"/>
  <c r="AA36" i="3"/>
  <c r="AA38"/>
  <c r="AA39"/>
  <c r="AA43"/>
  <c r="AA15"/>
  <c r="AA12"/>
  <c r="AA45"/>
  <c r="AF102" i="4"/>
  <c r="X28" i="17"/>
  <c r="Z35" i="3"/>
  <c r="X34" i="17"/>
  <c r="X19"/>
  <c r="X21"/>
  <c r="X37"/>
  <c r="Z36" i="3"/>
  <c r="Z38"/>
  <c r="Z39"/>
  <c r="Z43"/>
  <c r="Z15"/>
  <c r="Z12"/>
  <c r="Z45"/>
  <c r="AE102" i="4"/>
  <c r="W28" i="17"/>
  <c r="Y35" i="3"/>
  <c r="W34" i="17"/>
  <c r="W19"/>
  <c r="W21"/>
  <c r="W37"/>
  <c r="Y36" i="3"/>
  <c r="Y38"/>
  <c r="Y39"/>
  <c r="Y43"/>
  <c r="Y15"/>
  <c r="Y12"/>
  <c r="Y45"/>
  <c r="AD102" i="4"/>
  <c r="V28" i="17"/>
  <c r="X35" i="3"/>
  <c r="V34" i="17"/>
  <c r="V19"/>
  <c r="V21"/>
  <c r="V37"/>
  <c r="X36" i="3"/>
  <c r="X38"/>
  <c r="X39"/>
  <c r="X43"/>
  <c r="X15"/>
  <c r="X12"/>
  <c r="X45"/>
  <c r="AC102" i="4"/>
  <c r="U28" i="17"/>
  <c r="W35" i="3"/>
  <c r="U34" i="17"/>
  <c r="U19"/>
  <c r="U21"/>
  <c r="U37"/>
  <c r="W36" i="3"/>
  <c r="W38"/>
  <c r="W39"/>
  <c r="W43"/>
  <c r="W15"/>
  <c r="W12"/>
  <c r="W45"/>
  <c r="AB102" i="4"/>
  <c r="T28" i="17"/>
  <c r="V35" i="3"/>
  <c r="T34" i="17"/>
  <c r="T19"/>
  <c r="T21"/>
  <c r="T37"/>
  <c r="V36" i="3"/>
  <c r="V38"/>
  <c r="V39"/>
  <c r="V43"/>
  <c r="V15"/>
  <c r="V12"/>
  <c r="V45"/>
  <c r="AA102" i="4"/>
  <c r="S28" i="17"/>
  <c r="U35" i="3"/>
  <c r="S34" i="17"/>
  <c r="S19"/>
  <c r="S21"/>
  <c r="S37"/>
  <c r="U36" i="3"/>
  <c r="U38"/>
  <c r="U39"/>
  <c r="U43"/>
  <c r="U15"/>
  <c r="U12"/>
  <c r="U45"/>
  <c r="Z102" i="4"/>
  <c r="R28" i="17"/>
  <c r="T35" i="3"/>
  <c r="R34" i="17"/>
  <c r="R19"/>
  <c r="R21"/>
  <c r="R37"/>
  <c r="T36" i="3"/>
  <c r="T38"/>
  <c r="T39"/>
  <c r="T43"/>
  <c r="T15"/>
  <c r="T12"/>
  <c r="T45"/>
  <c r="Y102" i="4"/>
  <c r="Q28" i="17"/>
  <c r="S35" i="3"/>
  <c r="Q34" i="17"/>
  <c r="Q19"/>
  <c r="Q21"/>
  <c r="Q37"/>
  <c r="S36" i="3"/>
  <c r="S38"/>
  <c r="S39"/>
  <c r="S43"/>
  <c r="S15"/>
  <c r="S12"/>
  <c r="S45"/>
  <c r="X102" i="4"/>
  <c r="P28" i="17"/>
  <c r="R35" i="3"/>
  <c r="P34" i="17"/>
  <c r="P19"/>
  <c r="P21"/>
  <c r="P37"/>
  <c r="R36" i="3"/>
  <c r="R38"/>
  <c r="R39"/>
  <c r="R43"/>
  <c r="R15"/>
  <c r="R12"/>
  <c r="R45"/>
  <c r="W102" i="4"/>
  <c r="O28" i="17"/>
  <c r="Q35" i="3"/>
  <c r="O34" i="17"/>
  <c r="O19"/>
  <c r="O21"/>
  <c r="O37"/>
  <c r="Q36" i="3"/>
  <c r="Q38"/>
  <c r="Q39"/>
  <c r="Q43"/>
  <c r="Q15"/>
  <c r="Q12"/>
  <c r="Q45"/>
  <c r="V102" i="4"/>
  <c r="N28" i="17"/>
  <c r="P35" i="3"/>
  <c r="N34" i="17"/>
  <c r="N19"/>
  <c r="N21"/>
  <c r="N37"/>
  <c r="P36" i="3"/>
  <c r="P38"/>
  <c r="P39"/>
  <c r="P43"/>
  <c r="P15"/>
  <c r="P12"/>
  <c r="P45"/>
  <c r="U102" i="4"/>
  <c r="M28" i="17"/>
  <c r="O35" i="3"/>
  <c r="M34" i="17"/>
  <c r="M19"/>
  <c r="M21"/>
  <c r="M37"/>
  <c r="O36" i="3"/>
  <c r="O38"/>
  <c r="O39"/>
  <c r="O43"/>
  <c r="O15"/>
  <c r="O12"/>
  <c r="O45"/>
  <c r="T102" i="4"/>
  <c r="L28" i="17"/>
  <c r="N35" i="3"/>
  <c r="L34" i="17"/>
  <c r="L19"/>
  <c r="L21"/>
  <c r="L37"/>
  <c r="N36" i="3"/>
  <c r="N38"/>
  <c r="N39"/>
  <c r="N43"/>
  <c r="N15"/>
  <c r="N12"/>
  <c r="N45"/>
  <c r="S102" i="4"/>
  <c r="K28" i="17"/>
  <c r="M35" i="3"/>
  <c r="K34" i="17"/>
  <c r="K19"/>
  <c r="K21"/>
  <c r="K37"/>
  <c r="M36" i="3"/>
  <c r="M38"/>
  <c r="M39"/>
  <c r="M43"/>
  <c r="M15"/>
  <c r="M12"/>
  <c r="M45"/>
  <c r="R102" i="4"/>
  <c r="J28" i="17"/>
  <c r="L35" i="3"/>
  <c r="J34" i="17"/>
  <c r="J19"/>
  <c r="J21"/>
  <c r="J37"/>
  <c r="L36" i="3"/>
  <c r="L38"/>
  <c r="L39"/>
  <c r="L43"/>
  <c r="L15"/>
  <c r="L12"/>
  <c r="L45"/>
  <c r="Q102" i="4"/>
  <c r="I28" i="17"/>
  <c r="K35" i="3"/>
  <c r="I34" i="17"/>
  <c r="I19"/>
  <c r="I21"/>
  <c r="I37"/>
  <c r="K36" i="3"/>
  <c r="K38"/>
  <c r="K39"/>
  <c r="K43"/>
  <c r="K15"/>
  <c r="K12"/>
  <c r="K45"/>
  <c r="P102" i="4"/>
  <c r="H28" i="17"/>
  <c r="J35" i="3"/>
  <c r="H34" i="17"/>
  <c r="H19"/>
  <c r="H21"/>
  <c r="H37"/>
  <c r="J36" i="3"/>
  <c r="J38"/>
  <c r="J39"/>
  <c r="J43"/>
  <c r="J15"/>
  <c r="J12"/>
  <c r="J45"/>
  <c r="O102" i="4"/>
  <c r="G28" i="17"/>
  <c r="I35" i="3"/>
  <c r="G34" i="17"/>
  <c r="G19"/>
  <c r="G21"/>
  <c r="G37"/>
  <c r="I36" i="3"/>
  <c r="I38"/>
  <c r="I39"/>
  <c r="I43"/>
  <c r="I15"/>
  <c r="I12"/>
  <c r="I45"/>
  <c r="N102" i="4"/>
  <c r="F28" i="17"/>
  <c r="H35" i="3"/>
  <c r="F34" i="17"/>
  <c r="F19"/>
  <c r="F21"/>
  <c r="F37"/>
  <c r="H36" i="3"/>
  <c r="H38"/>
  <c r="H39"/>
  <c r="H43"/>
  <c r="H15"/>
  <c r="H12"/>
  <c r="H45"/>
  <c r="M102" i="4"/>
  <c r="E28" i="17"/>
  <c r="G35" i="3"/>
  <c r="E34" i="17"/>
  <c r="E19"/>
  <c r="E21"/>
  <c r="E37"/>
  <c r="G36" i="3"/>
  <c r="G38"/>
  <c r="G39"/>
  <c r="G43"/>
  <c r="G15"/>
  <c r="G12"/>
  <c r="G45"/>
  <c r="L102" i="4"/>
  <c r="D28" i="17"/>
  <c r="F35" i="3"/>
  <c r="D34" i="17"/>
  <c r="D19"/>
  <c r="D21"/>
  <c r="D37"/>
  <c r="F36" i="3"/>
  <c r="F38"/>
  <c r="F39"/>
  <c r="F43"/>
  <c r="F15"/>
  <c r="F12"/>
  <c r="F45"/>
  <c r="K102" i="4"/>
  <c r="C28" i="17"/>
  <c r="E35" i="3"/>
  <c r="C34" i="17"/>
  <c r="C19"/>
  <c r="C21"/>
  <c r="C37"/>
  <c r="E36" i="3"/>
  <c r="E38"/>
  <c r="E39"/>
  <c r="E43"/>
  <c r="E15"/>
  <c r="E12"/>
  <c r="E45"/>
  <c r="J102" i="4"/>
  <c r="B28" i="17"/>
  <c r="D35" i="3"/>
  <c r="B34" i="17"/>
  <c r="B19"/>
  <c r="B21"/>
  <c r="B37"/>
  <c r="D36" i="3"/>
  <c r="D38"/>
  <c r="D39"/>
  <c r="D43"/>
  <c r="D15"/>
  <c r="D12"/>
  <c r="D45"/>
  <c r="I102" i="4"/>
  <c r="C29" i="26"/>
  <c r="BK29"/>
  <c r="C31"/>
  <c r="BK31"/>
  <c r="BK27"/>
  <c r="BK41"/>
  <c r="BP71" i="25"/>
  <c r="BJ29" i="26"/>
  <c r="BJ31"/>
  <c r="BJ27"/>
  <c r="BJ41"/>
  <c r="BO71" i="25"/>
  <c r="BI29" i="26"/>
  <c r="BI31"/>
  <c r="BI27"/>
  <c r="BI41"/>
  <c r="BN71" i="25"/>
  <c r="BH29" i="26"/>
  <c r="BH31"/>
  <c r="BH27"/>
  <c r="BH41"/>
  <c r="BM71" i="25"/>
  <c r="BG29" i="26"/>
  <c r="BG31"/>
  <c r="BG27"/>
  <c r="BG41"/>
  <c r="BL71" i="25"/>
  <c r="BF29" i="26"/>
  <c r="BF31"/>
  <c r="BF27"/>
  <c r="BF41"/>
  <c r="BK71" i="25"/>
  <c r="BE29" i="26"/>
  <c r="BE31"/>
  <c r="BE27"/>
  <c r="BE41"/>
  <c r="BJ71" i="25"/>
  <c r="BD29" i="26"/>
  <c r="BD31"/>
  <c r="BD27"/>
  <c r="BD41"/>
  <c r="BI71" i="25"/>
  <c r="BC29" i="26"/>
  <c r="BC31"/>
  <c r="BC27"/>
  <c r="BC41"/>
  <c r="BH71" i="25"/>
  <c r="BB29" i="26"/>
  <c r="BB31"/>
  <c r="BB27"/>
  <c r="BB41"/>
  <c r="BG71" i="25"/>
  <c r="BA29" i="26"/>
  <c r="BA31"/>
  <c r="BA27"/>
  <c r="BA41"/>
  <c r="BF71" i="25"/>
  <c r="AZ29" i="26"/>
  <c r="AZ31"/>
  <c r="AZ27"/>
  <c r="AZ41"/>
  <c r="BE71" i="25"/>
  <c r="AY29" i="26"/>
  <c r="AY31"/>
  <c r="AY27"/>
  <c r="AY41"/>
  <c r="BD71" i="25"/>
  <c r="AX29" i="26"/>
  <c r="AX31"/>
  <c r="AX27"/>
  <c r="AX41"/>
  <c r="BC71" i="25"/>
  <c r="AW29" i="26"/>
  <c r="AW31"/>
  <c r="AW27"/>
  <c r="AW41"/>
  <c r="BB71" i="25"/>
  <c r="AV29" i="26"/>
  <c r="AV31"/>
  <c r="AV27"/>
  <c r="AV41"/>
  <c r="BA71" i="25"/>
  <c r="AU29" i="26"/>
  <c r="AU31"/>
  <c r="AU27"/>
  <c r="AU41"/>
  <c r="AZ71" i="25"/>
  <c r="AT29" i="26"/>
  <c r="AT31"/>
  <c r="AT27"/>
  <c r="AT41"/>
  <c r="AY71" i="25"/>
  <c r="AS29" i="26"/>
  <c r="AS31"/>
  <c r="AS27"/>
  <c r="AS41"/>
  <c r="AX71" i="25"/>
  <c r="AR29" i="26"/>
  <c r="AR31"/>
  <c r="AR27"/>
  <c r="AR41"/>
  <c r="AW71" i="25"/>
  <c r="AQ29" i="26"/>
  <c r="AQ31"/>
  <c r="AQ27"/>
  <c r="AQ41"/>
  <c r="AV71" i="25"/>
  <c r="AP29" i="26"/>
  <c r="AP31"/>
  <c r="AP27"/>
  <c r="AP41"/>
  <c r="AU71" i="25"/>
  <c r="AO29" i="26"/>
  <c r="AO31"/>
  <c r="AO27"/>
  <c r="AO41"/>
  <c r="AT71" i="25"/>
  <c r="AN29" i="26"/>
  <c r="AN31"/>
  <c r="AN27"/>
  <c r="AN41"/>
  <c r="AS71" i="25"/>
  <c r="AM29" i="26"/>
  <c r="AM31"/>
  <c r="AM27"/>
  <c r="AM41"/>
  <c r="AR71" i="25"/>
  <c r="AL29" i="26"/>
  <c r="AL31"/>
  <c r="AL27"/>
  <c r="AL41"/>
  <c r="AQ71" i="25"/>
  <c r="AK29" i="26"/>
  <c r="AK31"/>
  <c r="AK27"/>
  <c r="AK41"/>
  <c r="AP71" i="25"/>
  <c r="AJ29" i="26"/>
  <c r="AJ31"/>
  <c r="AJ27"/>
  <c r="AJ41"/>
  <c r="AO71" i="25"/>
  <c r="AI29" i="26"/>
  <c r="AI31"/>
  <c r="AI27"/>
  <c r="AI41"/>
  <c r="AN71" i="25"/>
  <c r="AH29" i="26"/>
  <c r="AH31"/>
  <c r="AH27"/>
  <c r="AH41"/>
  <c r="AM71" i="25"/>
  <c r="AG29" i="26"/>
  <c r="AG31"/>
  <c r="AG27"/>
  <c r="AG41"/>
  <c r="AL71" i="25"/>
  <c r="AF29" i="26"/>
  <c r="AF31"/>
  <c r="AF27"/>
  <c r="AF41"/>
  <c r="AK71" i="25"/>
  <c r="AE29" i="26"/>
  <c r="AE31"/>
  <c r="AE27"/>
  <c r="AE41"/>
  <c r="AJ71" i="25"/>
  <c r="AD29" i="26"/>
  <c r="AD31"/>
  <c r="AD27"/>
  <c r="AD41"/>
  <c r="AI71" i="25"/>
  <c r="AC29" i="26"/>
  <c r="AC31"/>
  <c r="AC27"/>
  <c r="AC41"/>
  <c r="AH71" i="25"/>
  <c r="AB29" i="26"/>
  <c r="AB31"/>
  <c r="AB27"/>
  <c r="AB41"/>
  <c r="AG71" i="25"/>
  <c r="AA29" i="26"/>
  <c r="AA31"/>
  <c r="AA27"/>
  <c r="AA41"/>
  <c r="AF71" i="25"/>
  <c r="Z29" i="26"/>
  <c r="Z31"/>
  <c r="Z27"/>
  <c r="Z41"/>
  <c r="AE71" i="25"/>
  <c r="Y29" i="26"/>
  <c r="Y31"/>
  <c r="Y27"/>
  <c r="Y41"/>
  <c r="AD71" i="25"/>
  <c r="X29" i="26"/>
  <c r="X31"/>
  <c r="X27"/>
  <c r="X41"/>
  <c r="AC71" i="25"/>
  <c r="W29" i="26"/>
  <c r="W31"/>
  <c r="W27"/>
  <c r="W41"/>
  <c r="AB71" i="25"/>
  <c r="V29" i="26"/>
  <c r="V31"/>
  <c r="V27"/>
  <c r="V41"/>
  <c r="AA71" i="25"/>
  <c r="U29" i="26"/>
  <c r="U31"/>
  <c r="U27"/>
  <c r="U41"/>
  <c r="Z71" i="25"/>
  <c r="T29" i="26"/>
  <c r="T31"/>
  <c r="T27"/>
  <c r="T41"/>
  <c r="Y71" i="25"/>
  <c r="S29" i="26"/>
  <c r="S31"/>
  <c r="S27"/>
  <c r="S41"/>
  <c r="X71" i="25"/>
  <c r="R29" i="26"/>
  <c r="R27"/>
  <c r="R41"/>
  <c r="W71" i="25"/>
  <c r="Q29" i="26"/>
  <c r="Q27"/>
  <c r="Q41"/>
  <c r="V71" i="25"/>
  <c r="P29" i="26"/>
  <c r="P27"/>
  <c r="P41"/>
  <c r="U71" i="25"/>
  <c r="O29" i="26"/>
  <c r="O27"/>
  <c r="O41"/>
  <c r="T71" i="25"/>
  <c r="N29" i="26"/>
  <c r="N27"/>
  <c r="N41"/>
  <c r="S71" i="25"/>
  <c r="M29" i="26"/>
  <c r="M27"/>
  <c r="M41"/>
  <c r="R71" i="25"/>
  <c r="L29" i="26"/>
  <c r="L27"/>
  <c r="L41"/>
  <c r="Q71" i="25"/>
  <c r="K29" i="26"/>
  <c r="K27"/>
  <c r="K41"/>
  <c r="P71" i="25"/>
  <c r="J29" i="26"/>
  <c r="J27"/>
  <c r="J41"/>
  <c r="O71" i="25"/>
  <c r="I29" i="26"/>
  <c r="I27"/>
  <c r="I41"/>
  <c r="N71" i="25"/>
  <c r="H29" i="26"/>
  <c r="H27"/>
  <c r="H41"/>
  <c r="M71" i="25"/>
  <c r="G29" i="26"/>
  <c r="G27"/>
  <c r="G41"/>
  <c r="L71" i="25"/>
  <c r="F29" i="26"/>
  <c r="F27"/>
  <c r="F41"/>
  <c r="K71" i="25"/>
  <c r="E29" i="26"/>
  <c r="E27"/>
  <c r="E41"/>
  <c r="J71" i="25"/>
  <c r="D29" i="26"/>
  <c r="D27"/>
  <c r="D41"/>
  <c r="I71" i="25"/>
  <c r="BK40" i="3"/>
  <c r="BJ40"/>
  <c r="BI40"/>
  <c r="BH40"/>
  <c r="BG40"/>
  <c r="BF40"/>
  <c r="BE40"/>
  <c r="BD40"/>
  <c r="BC40"/>
  <c r="BB40"/>
  <c r="BA40"/>
  <c r="AY40"/>
  <c r="AX40"/>
  <c r="AW40"/>
  <c r="AV40"/>
  <c r="AU40"/>
  <c r="AT40"/>
  <c r="AS40"/>
  <c r="AR40"/>
  <c r="AQ40"/>
  <c r="AP40"/>
  <c r="AO40"/>
  <c r="AN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A18"/>
  <c r="AA21"/>
  <c r="AA24"/>
  <c r="AA28"/>
  <c r="D44"/>
  <c r="D20" i="30"/>
  <c r="C20"/>
  <c r="BK72"/>
  <c r="BK69"/>
  <c r="BK70"/>
  <c r="BK73"/>
  <c r="BK81"/>
  <c r="BK80"/>
  <c r="C79"/>
  <c r="C78"/>
  <c r="BP85" i="4"/>
  <c r="BF43" i="25"/>
  <c r="BG43"/>
  <c r="BH43"/>
  <c r="BI43"/>
  <c r="BJ43"/>
  <c r="BK43"/>
  <c r="BL43"/>
  <c r="BM43"/>
  <c r="BN43"/>
  <c r="BO43"/>
  <c r="BP43"/>
  <c r="BP89" i="4"/>
  <c r="BO85"/>
  <c r="BO89"/>
  <c r="BN85"/>
  <c r="BN89"/>
  <c r="BM85"/>
  <c r="BM89"/>
  <c r="BL85"/>
  <c r="BL89"/>
  <c r="BK85"/>
  <c r="BK89"/>
  <c r="BJ85"/>
  <c r="BJ89"/>
  <c r="BI85"/>
  <c r="BI89"/>
  <c r="BH85"/>
  <c r="BH89"/>
  <c r="BG85"/>
  <c r="BG89"/>
  <c r="BF85"/>
  <c r="BF89"/>
  <c r="BF42" i="25"/>
  <c r="BG42"/>
  <c r="BH42"/>
  <c r="BI42"/>
  <c r="BJ42"/>
  <c r="BK42"/>
  <c r="BL42"/>
  <c r="BM42"/>
  <c r="BN42"/>
  <c r="BO42"/>
  <c r="BP42"/>
  <c r="BP88" i="4"/>
  <c r="BO88"/>
  <c r="BN88"/>
  <c r="BM88"/>
  <c r="BL88"/>
  <c r="BK88"/>
  <c r="BJ88"/>
  <c r="BI88"/>
  <c r="BH88"/>
  <c r="BG88"/>
  <c r="BF88"/>
  <c r="BP41" i="25"/>
  <c r="BP87" i="4"/>
  <c r="BO41" i="25"/>
  <c r="BO87" i="4"/>
  <c r="BN41" i="25"/>
  <c r="BN87" i="4"/>
  <c r="BM41" i="25"/>
  <c r="BM87" i="4"/>
  <c r="BL41" i="25"/>
  <c r="BL87" i="4"/>
  <c r="BK41" i="25"/>
  <c r="BK87" i="4"/>
  <c r="BJ41" i="25"/>
  <c r="BJ87" i="4"/>
  <c r="BI41" i="25"/>
  <c r="BI87" i="4"/>
  <c r="BH41" i="25"/>
  <c r="BH87" i="4"/>
  <c r="BG41" i="25"/>
  <c r="BG87" i="4"/>
  <c r="BF41" i="25"/>
  <c r="BF87" i="4"/>
  <c r="BP86"/>
  <c r="BO86"/>
  <c r="BN86"/>
  <c r="BM86"/>
  <c r="BL86"/>
  <c r="BK86"/>
  <c r="BJ86"/>
  <c r="BI86"/>
  <c r="BH86"/>
  <c r="BG86"/>
  <c r="BF86"/>
  <c r="BD85"/>
  <c r="BD89"/>
  <c r="BC85"/>
  <c r="BC89"/>
  <c r="BB85"/>
  <c r="BB89"/>
  <c r="BA85"/>
  <c r="BA89"/>
  <c r="AZ85"/>
  <c r="AZ89"/>
  <c r="AY85"/>
  <c r="AY89"/>
  <c r="AX85"/>
  <c r="AX89"/>
  <c r="AW85"/>
  <c r="AW89"/>
  <c r="AV85"/>
  <c r="AV89"/>
  <c r="AU85"/>
  <c r="AU89"/>
  <c r="AT85"/>
  <c r="AT89"/>
  <c r="BD88"/>
  <c r="BC88"/>
  <c r="BB88"/>
  <c r="BA88"/>
  <c r="AZ88"/>
  <c r="AY88"/>
  <c r="AX88"/>
  <c r="AW88"/>
  <c r="AV88"/>
  <c r="AU88"/>
  <c r="AT88"/>
  <c r="BD41" i="25"/>
  <c r="BD87" i="4"/>
  <c r="BC41" i="25"/>
  <c r="BC87" i="4"/>
  <c r="BB41" i="25"/>
  <c r="BB87" i="4"/>
  <c r="BA41" i="25"/>
  <c r="BA87" i="4"/>
  <c r="AZ41" i="25"/>
  <c r="AZ87" i="4"/>
  <c r="AY41" i="25"/>
  <c r="AY87" i="4"/>
  <c r="AX41" i="25"/>
  <c r="AX87" i="4"/>
  <c r="AW41" i="25"/>
  <c r="AW87" i="4"/>
  <c r="AV41" i="25"/>
  <c r="AV87" i="4"/>
  <c r="AU41" i="25"/>
  <c r="AU87" i="4"/>
  <c r="AT41" i="25"/>
  <c r="AT87" i="4"/>
  <c r="BD86"/>
  <c r="BC86"/>
  <c r="BB86"/>
  <c r="BA86"/>
  <c r="AZ86"/>
  <c r="AY86"/>
  <c r="AX86"/>
  <c r="AW86"/>
  <c r="AV86"/>
  <c r="AU86"/>
  <c r="AT86"/>
  <c r="AS85"/>
  <c r="AS89"/>
  <c r="AS88"/>
  <c r="AS41" i="25"/>
  <c r="AS87" i="4"/>
  <c r="AS86"/>
  <c r="AR85"/>
  <c r="AR89"/>
  <c r="AQ85"/>
  <c r="AQ89"/>
  <c r="AP85"/>
  <c r="AP89"/>
  <c r="AO85"/>
  <c r="AO89"/>
  <c r="AN85"/>
  <c r="AN89"/>
  <c r="AM85"/>
  <c r="AM89"/>
  <c r="AL85"/>
  <c r="AL89"/>
  <c r="AK85"/>
  <c r="AK89"/>
  <c r="AJ85"/>
  <c r="AJ89"/>
  <c r="AI85"/>
  <c r="AI89"/>
  <c r="AH85"/>
  <c r="AH89"/>
  <c r="AR88"/>
  <c r="AQ88"/>
  <c r="AP88"/>
  <c r="AO88"/>
  <c r="AN88"/>
  <c r="AM88"/>
  <c r="AL88"/>
  <c r="AK88"/>
  <c r="AJ88"/>
  <c r="AI88"/>
  <c r="AH88"/>
  <c r="AR41" i="25"/>
  <c r="AR87" i="4"/>
  <c r="AQ41" i="25"/>
  <c r="AQ87" i="4"/>
  <c r="AP41" i="25"/>
  <c r="AP87" i="4"/>
  <c r="AO41" i="25"/>
  <c r="AO87" i="4"/>
  <c r="AN41" i="25"/>
  <c r="AN87" i="4"/>
  <c r="AM41" i="25"/>
  <c r="AM87" i="4"/>
  <c r="AL41" i="25"/>
  <c r="AL87" i="4"/>
  <c r="AK41" i="25"/>
  <c r="AK87" i="4"/>
  <c r="AJ41" i="25"/>
  <c r="AJ87" i="4"/>
  <c r="AI41" i="25"/>
  <c r="AI87" i="4"/>
  <c r="AH41" i="25"/>
  <c r="AH87" i="4"/>
  <c r="AR86"/>
  <c r="AQ86"/>
  <c r="AP86"/>
  <c r="AO86"/>
  <c r="AN86"/>
  <c r="AM86"/>
  <c r="AL86"/>
  <c r="AK86"/>
  <c r="AJ86"/>
  <c r="AI86"/>
  <c r="AH86"/>
  <c r="AG85"/>
  <c r="AG89"/>
  <c r="AG88"/>
  <c r="AG41" i="25"/>
  <c r="AG87" i="4"/>
  <c r="AG86"/>
  <c r="AF85"/>
  <c r="AF89"/>
  <c r="AE85"/>
  <c r="AE89"/>
  <c r="AD85"/>
  <c r="AD89"/>
  <c r="AC85"/>
  <c r="AC89"/>
  <c r="AB85"/>
  <c r="AB89"/>
  <c r="AA85"/>
  <c r="AA89"/>
  <c r="Z85"/>
  <c r="Z89"/>
  <c r="Y85"/>
  <c r="Y89"/>
  <c r="X85"/>
  <c r="X89"/>
  <c r="W85"/>
  <c r="W89"/>
  <c r="V85"/>
  <c r="V89"/>
  <c r="AF88"/>
  <c r="AE88"/>
  <c r="AD88"/>
  <c r="AC88"/>
  <c r="AB88"/>
  <c r="AA88"/>
  <c r="Z88"/>
  <c r="Y88"/>
  <c r="X88"/>
  <c r="W88"/>
  <c r="V88"/>
  <c r="AF41" i="25"/>
  <c r="AF87" i="4"/>
  <c r="AE41" i="25"/>
  <c r="AE87" i="4"/>
  <c r="AD41" i="25"/>
  <c r="AD87" i="4"/>
  <c r="AC41" i="25"/>
  <c r="AC87" i="4"/>
  <c r="AB41" i="25"/>
  <c r="AB87" i="4"/>
  <c r="AA41" i="25"/>
  <c r="AA87" i="4"/>
  <c r="Z41" i="25"/>
  <c r="Z87" i="4"/>
  <c r="Y41" i="25"/>
  <c r="Y87" i="4"/>
  <c r="X41" i="25"/>
  <c r="X87" i="4"/>
  <c r="W41" i="25"/>
  <c r="W87" i="4"/>
  <c r="V41" i="25"/>
  <c r="V87" i="4"/>
  <c r="AF86"/>
  <c r="AE86"/>
  <c r="AD86"/>
  <c r="AC86"/>
  <c r="AB86"/>
  <c r="AA86"/>
  <c r="Z86"/>
  <c r="Y86"/>
  <c r="X86"/>
  <c r="W86"/>
  <c r="V86"/>
  <c r="U85"/>
  <c r="U89"/>
  <c r="U88"/>
  <c r="U41" i="25"/>
  <c r="U87" i="4"/>
  <c r="U86"/>
  <c r="BP91"/>
  <c r="BI541" i="24"/>
  <c r="BI50"/>
  <c r="BO91" i="4"/>
  <c r="BH541" i="24"/>
  <c r="BI58"/>
  <c r="BI66"/>
  <c r="BM91" i="4"/>
  <c r="BF541" i="24"/>
  <c r="BI74"/>
  <c r="BI82"/>
  <c r="BI89"/>
  <c r="BI96"/>
  <c r="BI91" i="4"/>
  <c r="BB541" i="24"/>
  <c r="BI104"/>
  <c r="BI112"/>
  <c r="BG91" i="4"/>
  <c r="AZ541" i="24"/>
  <c r="BI120"/>
  <c r="BI128"/>
  <c r="AX541"/>
  <c r="BI136"/>
  <c r="BI144"/>
  <c r="BC91" i="4"/>
  <c r="AV541" i="24"/>
  <c r="BI152"/>
  <c r="BI160"/>
  <c r="BI168"/>
  <c r="AZ91" i="4"/>
  <c r="AS541" i="24"/>
  <c r="BI176"/>
  <c r="BI184"/>
  <c r="BI192"/>
  <c r="AW91" i="4"/>
  <c r="AP541" i="24"/>
  <c r="BI200"/>
  <c r="BI208"/>
  <c r="AU91" i="4"/>
  <c r="AN541" i="24"/>
  <c r="BI216"/>
  <c r="BI224"/>
  <c r="AS91" i="4"/>
  <c r="AL541" i="24"/>
  <c r="BI232"/>
  <c r="BI240"/>
  <c r="AQ91" i="4"/>
  <c r="AJ541" i="24"/>
  <c r="BI248"/>
  <c r="AP91" i="4"/>
  <c r="AI541" i="24"/>
  <c r="BI256"/>
  <c r="AO91" i="4"/>
  <c r="AH541" i="24"/>
  <c r="BI264"/>
  <c r="AN91" i="4"/>
  <c r="AG541" i="24"/>
  <c r="BI272"/>
  <c r="AM91" i="4"/>
  <c r="AF541" i="24"/>
  <c r="BI280"/>
  <c r="AL91" i="4"/>
  <c r="AE541" i="24"/>
  <c r="BI288"/>
  <c r="BI296"/>
  <c r="AJ91" i="4"/>
  <c r="AC541" i="24"/>
  <c r="BI304"/>
  <c r="BI312"/>
  <c r="AH91" i="4"/>
  <c r="AA541" i="24"/>
  <c r="BI320"/>
  <c r="BI328"/>
  <c r="AF91" i="4"/>
  <c r="Y541" i="24"/>
  <c r="BI336"/>
  <c r="AE91" i="4"/>
  <c r="X541" i="24"/>
  <c r="BI344"/>
  <c r="BI352"/>
  <c r="AC91" i="4"/>
  <c r="V541" i="24"/>
  <c r="BI360"/>
  <c r="BI368"/>
  <c r="AA91" i="4"/>
  <c r="T541" i="24"/>
  <c r="BI376"/>
  <c r="Z91" i="4"/>
  <c r="S541" i="24"/>
  <c r="BI384"/>
  <c r="BI392"/>
  <c r="X91" i="4"/>
  <c r="Q541" i="24"/>
  <c r="BI400"/>
  <c r="W91" i="4"/>
  <c r="P541" i="24"/>
  <c r="BI408"/>
  <c r="BI416"/>
  <c r="U91" i="4"/>
  <c r="N541" i="24"/>
  <c r="BI424"/>
  <c r="T85" i="4"/>
  <c r="T86"/>
  <c r="T41" i="25"/>
  <c r="T87" i="4"/>
  <c r="T88"/>
  <c r="T89"/>
  <c r="T91"/>
  <c r="M541" i="24"/>
  <c r="BI432"/>
  <c r="BI440"/>
  <c r="R85" i="4"/>
  <c r="R86"/>
  <c r="R41" i="25"/>
  <c r="R87" i="4"/>
  <c r="R88"/>
  <c r="R89"/>
  <c r="R91"/>
  <c r="K541" i="24"/>
  <c r="BI448"/>
  <c r="Q85" i="4"/>
  <c r="Q86"/>
  <c r="Q41" i="25"/>
  <c r="Q87" i="4"/>
  <c r="Q88"/>
  <c r="Q89"/>
  <c r="Q91"/>
  <c r="J541" i="24"/>
  <c r="BI456"/>
  <c r="BI464"/>
  <c r="BI472"/>
  <c r="N85" i="4"/>
  <c r="N86"/>
  <c r="N41" i="25"/>
  <c r="N87" i="4"/>
  <c r="N88"/>
  <c r="N89"/>
  <c r="N91"/>
  <c r="G541" i="24"/>
  <c r="BI480"/>
  <c r="BI488"/>
  <c r="BI496"/>
  <c r="K85" i="4"/>
  <c r="K86"/>
  <c r="K41" i="25"/>
  <c r="K87" i="4"/>
  <c r="K88"/>
  <c r="K89"/>
  <c r="K91"/>
  <c r="D541" i="24"/>
  <c r="BI504"/>
  <c r="BI512"/>
  <c r="I85" i="4"/>
  <c r="I86"/>
  <c r="I41" i="25"/>
  <c r="I87" i="4"/>
  <c r="I88"/>
  <c r="I89"/>
  <c r="I91"/>
  <c r="B541" i="24"/>
  <c r="BI520"/>
  <c r="BI24"/>
  <c r="BK40" i="30"/>
  <c r="BK41"/>
  <c r="BK21"/>
  <c r="BK39"/>
  <c r="BK19"/>
  <c r="BK22"/>
  <c r="C17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K30"/>
  <c r="BK31"/>
  <c r="BK32"/>
  <c r="BK33"/>
  <c r="BK34"/>
  <c r="BK51"/>
  <c r="BK52"/>
  <c r="BK87"/>
  <c r="BK88"/>
  <c r="BK105"/>
  <c r="BK106"/>
  <c r="BK123"/>
  <c r="BK124"/>
  <c r="BK141"/>
  <c r="BK142"/>
  <c r="BK159"/>
  <c r="BK160"/>
  <c r="BK177"/>
  <c r="BK178"/>
  <c r="BK195"/>
  <c r="BK196"/>
  <c r="BK213"/>
  <c r="BK214"/>
  <c r="BK231"/>
  <c r="BK232"/>
  <c r="BK14"/>
  <c r="BK17"/>
  <c r="BK27"/>
  <c r="BJ21"/>
  <c r="BJ19"/>
  <c r="BJ22"/>
  <c r="BJ17"/>
  <c r="BJ27"/>
  <c r="BI21"/>
  <c r="BI19"/>
  <c r="BI22"/>
  <c r="BI17"/>
  <c r="BI27"/>
  <c r="BH21"/>
  <c r="BH19"/>
  <c r="BH22"/>
  <c r="BH17"/>
  <c r="BH27"/>
  <c r="BG21"/>
  <c r="BG19"/>
  <c r="BG22"/>
  <c r="BG17"/>
  <c r="BG27"/>
  <c r="BF21"/>
  <c r="BF19"/>
  <c r="BF22"/>
  <c r="BF17"/>
  <c r="BF27"/>
  <c r="BE21"/>
  <c r="BE19"/>
  <c r="BE22"/>
  <c r="BE17"/>
  <c r="BE27"/>
  <c r="BD21"/>
  <c r="BD19"/>
  <c r="BD22"/>
  <c r="BD17"/>
  <c r="BD27"/>
  <c r="BC21"/>
  <c r="BC19"/>
  <c r="BC22"/>
  <c r="BC17"/>
  <c r="BC27"/>
  <c r="BB21"/>
  <c r="BB19"/>
  <c r="BB22"/>
  <c r="BB17"/>
  <c r="BB27"/>
  <c r="BA21"/>
  <c r="BA19"/>
  <c r="BA22"/>
  <c r="BA17"/>
  <c r="BA27"/>
  <c r="AZ21"/>
  <c r="AZ19"/>
  <c r="AZ22"/>
  <c r="AZ17"/>
  <c r="AZ27"/>
  <c r="AY21"/>
  <c r="AY19"/>
  <c r="AY22"/>
  <c r="AY17"/>
  <c r="AY27"/>
  <c r="AX21"/>
  <c r="AX19"/>
  <c r="AX22"/>
  <c r="AX17"/>
  <c r="AX27"/>
  <c r="AW21"/>
  <c r="AW19"/>
  <c r="AW22"/>
  <c r="AW17"/>
  <c r="AW27"/>
  <c r="AV21"/>
  <c r="AV19"/>
  <c r="AV22"/>
  <c r="AV17"/>
  <c r="AV27"/>
  <c r="AU21"/>
  <c r="AU19"/>
  <c r="AU22"/>
  <c r="AU17"/>
  <c r="AU27"/>
  <c r="AT21"/>
  <c r="AT19"/>
  <c r="AT22"/>
  <c r="AT17"/>
  <c r="AT27"/>
  <c r="AS21"/>
  <c r="AS19"/>
  <c r="AS22"/>
  <c r="AS17"/>
  <c r="AS27"/>
  <c r="AR21"/>
  <c r="AR19"/>
  <c r="AR22"/>
  <c r="AR17"/>
  <c r="AR27"/>
  <c r="AQ21"/>
  <c r="AQ19"/>
  <c r="AQ22"/>
  <c r="AQ17"/>
  <c r="AQ27"/>
  <c r="AP21"/>
  <c r="AP19"/>
  <c r="AP22"/>
  <c r="AP17"/>
  <c r="AP27"/>
  <c r="AO21"/>
  <c r="AO19"/>
  <c r="AO22"/>
  <c r="AO17"/>
  <c r="AO27"/>
  <c r="AN21"/>
  <c r="AN19"/>
  <c r="AN22"/>
  <c r="AN17"/>
  <c r="AN27"/>
  <c r="AM21"/>
  <c r="AM19"/>
  <c r="AM22"/>
  <c r="AM17"/>
  <c r="AM27"/>
  <c r="AL21"/>
  <c r="AL19"/>
  <c r="AL22"/>
  <c r="AL17"/>
  <c r="AL27"/>
  <c r="AK21"/>
  <c r="AK19"/>
  <c r="AK22"/>
  <c r="AK17"/>
  <c r="AK27"/>
  <c r="AJ21"/>
  <c r="AJ19"/>
  <c r="AJ22"/>
  <c r="AJ17"/>
  <c r="AJ27"/>
  <c r="AI21"/>
  <c r="AI19"/>
  <c r="AI22"/>
  <c r="AI17"/>
  <c r="AI27"/>
  <c r="AH21"/>
  <c r="AH19"/>
  <c r="AH22"/>
  <c r="AH17"/>
  <c r="AH27"/>
  <c r="AG21"/>
  <c r="AG19"/>
  <c r="AG22"/>
  <c r="AG17"/>
  <c r="AG27"/>
  <c r="AF21"/>
  <c r="AF19"/>
  <c r="AF22"/>
  <c r="AF17"/>
  <c r="AF27"/>
  <c r="AE21"/>
  <c r="AE19"/>
  <c r="AE22"/>
  <c r="AE17"/>
  <c r="AE27"/>
  <c r="AD21"/>
  <c r="AD19"/>
  <c r="AD22"/>
  <c r="AD17"/>
  <c r="AD27"/>
  <c r="AC21"/>
  <c r="AC19"/>
  <c r="AC22"/>
  <c r="AC17"/>
  <c r="AC27"/>
  <c r="AB21"/>
  <c r="AB19"/>
  <c r="AB22"/>
  <c r="AB17"/>
  <c r="AB27"/>
  <c r="AA21"/>
  <c r="AA19"/>
  <c r="AA22"/>
  <c r="AA17"/>
  <c r="AA27"/>
  <c r="Z21"/>
  <c r="Z19"/>
  <c r="Z22"/>
  <c r="Z17"/>
  <c r="Z27"/>
  <c r="Y21"/>
  <c r="Y19"/>
  <c r="Y22"/>
  <c r="Y17"/>
  <c r="Y27"/>
  <c r="X21"/>
  <c r="X19"/>
  <c r="X22"/>
  <c r="X17"/>
  <c r="X27"/>
  <c r="W21"/>
  <c r="W19"/>
  <c r="W22"/>
  <c r="W17"/>
  <c r="W27"/>
  <c r="V21"/>
  <c r="V19"/>
  <c r="V22"/>
  <c r="V17"/>
  <c r="V27"/>
  <c r="U21"/>
  <c r="U19"/>
  <c r="U22"/>
  <c r="U17"/>
  <c r="U27"/>
  <c r="T21"/>
  <c r="T19"/>
  <c r="T22"/>
  <c r="T17"/>
  <c r="T27"/>
  <c r="S21"/>
  <c r="S19"/>
  <c r="S22"/>
  <c r="S17"/>
  <c r="S27"/>
  <c r="R21"/>
  <c r="R19"/>
  <c r="R22"/>
  <c r="R17"/>
  <c r="R27"/>
  <c r="Q21"/>
  <c r="Q19"/>
  <c r="Q22"/>
  <c r="Q17"/>
  <c r="Q27"/>
  <c r="P21"/>
  <c r="P19"/>
  <c r="P22"/>
  <c r="P17"/>
  <c r="P27"/>
  <c r="O21"/>
  <c r="O19"/>
  <c r="O22"/>
  <c r="O17"/>
  <c r="O27"/>
  <c r="N21"/>
  <c r="N19"/>
  <c r="N22"/>
  <c r="N17"/>
  <c r="N27"/>
  <c r="M21"/>
  <c r="M19"/>
  <c r="M22"/>
  <c r="M17"/>
  <c r="M27"/>
  <c r="L21"/>
  <c r="L19"/>
  <c r="L22"/>
  <c r="L17"/>
  <c r="L27"/>
  <c r="K21"/>
  <c r="K19"/>
  <c r="K22"/>
  <c r="K17"/>
  <c r="K27"/>
  <c r="J21"/>
  <c r="J19"/>
  <c r="J22"/>
  <c r="J17"/>
  <c r="J27"/>
  <c r="I21"/>
  <c r="I19"/>
  <c r="I22"/>
  <c r="I17"/>
  <c r="I27"/>
  <c r="H21"/>
  <c r="H19"/>
  <c r="H22"/>
  <c r="H17"/>
  <c r="H27"/>
  <c r="G21"/>
  <c r="G19"/>
  <c r="G22"/>
  <c r="G17"/>
  <c r="G27"/>
  <c r="F21"/>
  <c r="F19"/>
  <c r="F22"/>
  <c r="F17"/>
  <c r="F27"/>
  <c r="E21"/>
  <c r="E19"/>
  <c r="E22"/>
  <c r="E17"/>
  <c r="E27"/>
  <c r="D21"/>
  <c r="D19"/>
  <c r="D22"/>
  <c r="D17"/>
  <c r="D27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K12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K10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1"/>
  <c r="C19"/>
  <c r="C22"/>
  <c r="C27"/>
  <c r="C26"/>
  <c r="C25"/>
  <c r="BK42"/>
  <c r="M245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C60"/>
  <c r="C96"/>
  <c r="C114"/>
  <c r="C132"/>
  <c r="C150"/>
  <c r="C168"/>
  <c r="C186"/>
  <c r="C204"/>
  <c r="C222"/>
  <c r="C240"/>
  <c r="BK13"/>
  <c r="BK11"/>
  <c r="BK62"/>
  <c r="BK54"/>
  <c r="BK55"/>
  <c r="BK63"/>
  <c r="BK234"/>
  <c r="BK235"/>
  <c r="BK243"/>
  <c r="BK242"/>
  <c r="C241"/>
  <c r="BK216"/>
  <c r="BK217"/>
  <c r="BK225"/>
  <c r="BK224"/>
  <c r="C223"/>
  <c r="BK198"/>
  <c r="BK199"/>
  <c r="BK207"/>
  <c r="BK206"/>
  <c r="C205"/>
  <c r="BK180"/>
  <c r="BK181"/>
  <c r="BK189"/>
  <c r="BK188"/>
  <c r="C187"/>
  <c r="BK162"/>
  <c r="BK163"/>
  <c r="BK171"/>
  <c r="BK170"/>
  <c r="C169"/>
  <c r="BK144"/>
  <c r="BK145"/>
  <c r="BK153"/>
  <c r="BK152"/>
  <c r="C151"/>
  <c r="BK126"/>
  <c r="BK127"/>
  <c r="BK135"/>
  <c r="BK134"/>
  <c r="C133"/>
  <c r="BK108"/>
  <c r="BK109"/>
  <c r="BK117"/>
  <c r="BK116"/>
  <c r="C115"/>
  <c r="BK90"/>
  <c r="BK91"/>
  <c r="BK99"/>
  <c r="BK98"/>
  <c r="C97"/>
  <c r="C61"/>
  <c r="BK36"/>
  <c r="BK37"/>
  <c r="BK45"/>
  <c r="BK44"/>
  <c r="BK43"/>
  <c r="BI18" i="31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I15" i="17"/>
  <c r="BI71"/>
  <c r="BI538" i="24"/>
  <c r="BI47"/>
  <c r="BH15" i="17"/>
  <c r="BH71"/>
  <c r="BH538" i="24"/>
  <c r="BI55"/>
  <c r="BI63"/>
  <c r="BF15" i="17"/>
  <c r="BF71"/>
  <c r="BF538" i="24"/>
  <c r="BI71"/>
  <c r="BI79"/>
  <c r="BI86"/>
  <c r="BI93"/>
  <c r="BB15" i="17"/>
  <c r="BB71"/>
  <c r="BB538" i="24"/>
  <c r="BI101"/>
  <c r="BI109"/>
  <c r="AZ15" i="17"/>
  <c r="AZ71"/>
  <c r="AZ538" i="24"/>
  <c r="BI117"/>
  <c r="BI125"/>
  <c r="AX15" i="17"/>
  <c r="AX71"/>
  <c r="AX538" i="24"/>
  <c r="BI133"/>
  <c r="BI141"/>
  <c r="AV15" i="17"/>
  <c r="AV71"/>
  <c r="AV538" i="24"/>
  <c r="BI149"/>
  <c r="BI157"/>
  <c r="BI165"/>
  <c r="AS15" i="17"/>
  <c r="AS71"/>
  <c r="AS538" i="24"/>
  <c r="BI173"/>
  <c r="BI181"/>
  <c r="BI189"/>
  <c r="AP15" i="17"/>
  <c r="AP71"/>
  <c r="AP538" i="24"/>
  <c r="BI197"/>
  <c r="BI205"/>
  <c r="AN15" i="17"/>
  <c r="AN71"/>
  <c r="AN538" i="24"/>
  <c r="BI213"/>
  <c r="BI221"/>
  <c r="AL15" i="17"/>
  <c r="AL71"/>
  <c r="AL538" i="24"/>
  <c r="BI229"/>
  <c r="BI237"/>
  <c r="AJ15" i="17"/>
  <c r="AJ71"/>
  <c r="AJ538" i="24"/>
  <c r="BI245"/>
  <c r="AI15" i="17"/>
  <c r="AI71"/>
  <c r="AI538" i="24"/>
  <c r="BI253"/>
  <c r="AH15" i="17"/>
  <c r="AH71"/>
  <c r="AH538" i="24"/>
  <c r="BI261"/>
  <c r="AG15" i="17"/>
  <c r="AG71"/>
  <c r="AG538" i="24"/>
  <c r="BI269"/>
  <c r="AF15" i="17"/>
  <c r="AF71"/>
  <c r="AF538" i="24"/>
  <c r="BI277"/>
  <c r="AE15" i="17"/>
  <c r="AE71"/>
  <c r="AE538" i="24"/>
  <c r="BI285"/>
  <c r="BI293"/>
  <c r="AC15" i="17"/>
  <c r="AC71"/>
  <c r="AC538" i="24"/>
  <c r="BI301"/>
  <c r="BI309"/>
  <c r="AA15" i="17"/>
  <c r="AA71"/>
  <c r="AA538" i="24"/>
  <c r="BI317"/>
  <c r="BI325"/>
  <c r="Y15" i="17"/>
  <c r="Y71"/>
  <c r="Y538" i="24"/>
  <c r="BI333"/>
  <c r="X15" i="17"/>
  <c r="X71"/>
  <c r="X538" i="24"/>
  <c r="BI341"/>
  <c r="BI349"/>
  <c r="V15" i="17"/>
  <c r="V71"/>
  <c r="V538" i="24"/>
  <c r="BI357"/>
  <c r="BI365"/>
  <c r="T15" i="17"/>
  <c r="T71"/>
  <c r="T538" i="24"/>
  <c r="BI373"/>
  <c r="S15" i="17"/>
  <c r="S71"/>
  <c r="S538" i="24"/>
  <c r="BI381"/>
  <c r="BI389"/>
  <c r="Q15" i="17"/>
  <c r="Q71"/>
  <c r="Q538" i="24"/>
  <c r="BI397"/>
  <c r="P15" i="17"/>
  <c r="P71"/>
  <c r="P538" i="24"/>
  <c r="BI405"/>
  <c r="BI413"/>
  <c r="N15" i="17"/>
  <c r="N71"/>
  <c r="N538" i="24"/>
  <c r="BI421"/>
  <c r="M15" i="17"/>
  <c r="M71"/>
  <c r="M538" i="24"/>
  <c r="BI429"/>
  <c r="BI437"/>
  <c r="K15" i="17"/>
  <c r="K71"/>
  <c r="K538" i="24"/>
  <c r="BI445"/>
  <c r="J15" i="17"/>
  <c r="J71"/>
  <c r="J538" i="24"/>
  <c r="BI453"/>
  <c r="BI461"/>
  <c r="BI469"/>
  <c r="G15" i="17"/>
  <c r="G71"/>
  <c r="G538" i="24"/>
  <c r="BI477"/>
  <c r="BI485"/>
  <c r="BI493"/>
  <c r="D15" i="17"/>
  <c r="D71"/>
  <c r="D538" i="24"/>
  <c r="BI501"/>
  <c r="BI509"/>
  <c r="B15" i="17"/>
  <c r="B71"/>
  <c r="B538" i="24"/>
  <c r="BI517"/>
  <c r="BI9"/>
  <c r="BI20" i="31"/>
  <c r="BH47" i="24"/>
  <c r="BG15" i="17"/>
  <c r="BG71"/>
  <c r="BG538" i="24"/>
  <c r="BH55"/>
  <c r="BH63"/>
  <c r="BE15" i="17"/>
  <c r="BE71"/>
  <c r="BE538" i="24"/>
  <c r="BH71"/>
  <c r="BH79"/>
  <c r="BH86"/>
  <c r="BH93"/>
  <c r="BA15" i="17"/>
  <c r="BA71"/>
  <c r="BA538" i="24"/>
  <c r="BH101"/>
  <c r="BH109"/>
  <c r="AY15" i="17"/>
  <c r="AY71"/>
  <c r="AY538" i="24"/>
  <c r="BH117"/>
  <c r="BH125"/>
  <c r="AW15" i="17"/>
  <c r="AW71"/>
  <c r="AW538" i="24"/>
  <c r="BH133"/>
  <c r="BH141"/>
  <c r="AU15" i="17"/>
  <c r="AU71"/>
  <c r="AU538" i="24"/>
  <c r="BH149"/>
  <c r="BH157"/>
  <c r="BH165"/>
  <c r="AR15" i="17"/>
  <c r="AR71"/>
  <c r="AR538" i="24"/>
  <c r="BH173"/>
  <c r="BH181"/>
  <c r="BH189"/>
  <c r="AO15" i="17"/>
  <c r="AO71"/>
  <c r="AO538" i="24"/>
  <c r="BH197"/>
  <c r="BH205"/>
  <c r="AM15" i="17"/>
  <c r="AM71"/>
  <c r="AM538" i="24"/>
  <c r="BH213"/>
  <c r="BH221"/>
  <c r="AK15" i="17"/>
  <c r="AK71"/>
  <c r="AK538" i="24"/>
  <c r="BH229"/>
  <c r="BH237"/>
  <c r="BH245"/>
  <c r="BH253"/>
  <c r="BH261"/>
  <c r="BH269"/>
  <c r="BH277"/>
  <c r="AD15" i="17"/>
  <c r="AD71"/>
  <c r="AD538" i="24"/>
  <c r="BH285"/>
  <c r="BH293"/>
  <c r="AB15" i="17"/>
  <c r="AB71"/>
  <c r="AB538" i="24"/>
  <c r="BH301"/>
  <c r="BH309"/>
  <c r="Z15" i="17"/>
  <c r="Z71"/>
  <c r="Z538" i="24"/>
  <c r="BH317"/>
  <c r="BH325"/>
  <c r="BH333"/>
  <c r="W15" i="17"/>
  <c r="W71"/>
  <c r="W538" i="24"/>
  <c r="BH341"/>
  <c r="BH349"/>
  <c r="U15" i="17"/>
  <c r="U71"/>
  <c r="U538" i="24"/>
  <c r="BH357"/>
  <c r="BH365"/>
  <c r="BH373"/>
  <c r="R15" i="17"/>
  <c r="R71"/>
  <c r="R538" i="24"/>
  <c r="BH381"/>
  <c r="BH389"/>
  <c r="BH397"/>
  <c r="O15" i="17"/>
  <c r="O71"/>
  <c r="O538" i="24"/>
  <c r="BH405"/>
  <c r="BH413"/>
  <c r="BH421"/>
  <c r="L15" i="17"/>
  <c r="L71"/>
  <c r="L538" i="24"/>
  <c r="BH429"/>
  <c r="BH437"/>
  <c r="BH445"/>
  <c r="I15" i="17"/>
  <c r="I71"/>
  <c r="I538" i="24"/>
  <c r="BH453"/>
  <c r="BH461"/>
  <c r="BH469"/>
  <c r="F15" i="17"/>
  <c r="F71"/>
  <c r="F538" i="24"/>
  <c r="BH477"/>
  <c r="BH485"/>
  <c r="BH493"/>
  <c r="C15" i="17"/>
  <c r="C71"/>
  <c r="C538" i="24"/>
  <c r="BH501"/>
  <c r="BH509"/>
  <c r="BH9"/>
  <c r="BH20" i="31"/>
  <c r="BG47" i="24"/>
  <c r="BG55"/>
  <c r="BG63"/>
  <c r="BD15" i="17"/>
  <c r="BD71"/>
  <c r="BD538" i="24"/>
  <c r="BG71"/>
  <c r="BG79"/>
  <c r="BG86"/>
  <c r="BG93"/>
  <c r="BG101"/>
  <c r="BG109"/>
  <c r="BG117"/>
  <c r="BG125"/>
  <c r="BG133"/>
  <c r="BG141"/>
  <c r="AT15" i="17"/>
  <c r="AT71"/>
  <c r="AT538" i="24"/>
  <c r="BG149"/>
  <c r="BG157"/>
  <c r="BG165"/>
  <c r="AQ15" i="17"/>
  <c r="AQ71"/>
  <c r="AQ538" i="24"/>
  <c r="BG173"/>
  <c r="BG181"/>
  <c r="BG189"/>
  <c r="BG197"/>
  <c r="BG205"/>
  <c r="BG213"/>
  <c r="BG221"/>
  <c r="BG229"/>
  <c r="BG237"/>
  <c r="BG245"/>
  <c r="BG253"/>
  <c r="BG261"/>
  <c r="BG269"/>
  <c r="BG277"/>
  <c r="BG285"/>
  <c r="BG293"/>
  <c r="BG301"/>
  <c r="BG309"/>
  <c r="BG317"/>
  <c r="BG325"/>
  <c r="BG333"/>
  <c r="BG341"/>
  <c r="BG349"/>
  <c r="BG357"/>
  <c r="BG365"/>
  <c r="BG373"/>
  <c r="BG381"/>
  <c r="BG389"/>
  <c r="BG397"/>
  <c r="BG405"/>
  <c r="BG413"/>
  <c r="BG421"/>
  <c r="BG429"/>
  <c r="BG437"/>
  <c r="BG445"/>
  <c r="H15" i="17"/>
  <c r="H71"/>
  <c r="H538" i="24"/>
  <c r="BG453"/>
  <c r="BG461"/>
  <c r="BG469"/>
  <c r="E15" i="17"/>
  <c r="E71"/>
  <c r="E538" i="24"/>
  <c r="BG477"/>
  <c r="BG485"/>
  <c r="BG493"/>
  <c r="BG501"/>
  <c r="BG9"/>
  <c r="BG20" i="31"/>
  <c r="BF47" i="24"/>
  <c r="BF55"/>
  <c r="BF63"/>
  <c r="BC15" i="17"/>
  <c r="BC71"/>
  <c r="BC538" i="24"/>
  <c r="BF71"/>
  <c r="BF79"/>
  <c r="BF86"/>
  <c r="BF93"/>
  <c r="BF101"/>
  <c r="BF109"/>
  <c r="BF117"/>
  <c r="BF125"/>
  <c r="BF133"/>
  <c r="BF141"/>
  <c r="BF149"/>
  <c r="BF157"/>
  <c r="BF165"/>
  <c r="BF173"/>
  <c r="BF181"/>
  <c r="BF189"/>
  <c r="BF197"/>
  <c r="BF205"/>
  <c r="BF213"/>
  <c r="BF221"/>
  <c r="BF229"/>
  <c r="BF237"/>
  <c r="BF245"/>
  <c r="BF253"/>
  <c r="BF261"/>
  <c r="BF269"/>
  <c r="BF277"/>
  <c r="BF285"/>
  <c r="BF293"/>
  <c r="BF301"/>
  <c r="BF309"/>
  <c r="BF317"/>
  <c r="BF325"/>
  <c r="BF333"/>
  <c r="BF341"/>
  <c r="BF349"/>
  <c r="BF357"/>
  <c r="BF365"/>
  <c r="BF373"/>
  <c r="BF381"/>
  <c r="BF389"/>
  <c r="BF397"/>
  <c r="BF405"/>
  <c r="BF413"/>
  <c r="BF421"/>
  <c r="BF429"/>
  <c r="BF437"/>
  <c r="BF445"/>
  <c r="BF453"/>
  <c r="BF461"/>
  <c r="BF469"/>
  <c r="BF477"/>
  <c r="BF485"/>
  <c r="BF493"/>
  <c r="BF9"/>
  <c r="BF20" i="31"/>
  <c r="BE47" i="24"/>
  <c r="BE55"/>
  <c r="BE63"/>
  <c r="BE71"/>
  <c r="BE79"/>
  <c r="BE86"/>
  <c r="BE93"/>
  <c r="BE101"/>
  <c r="BE109"/>
  <c r="BE117"/>
  <c r="BE125"/>
  <c r="BE133"/>
  <c r="BE141"/>
  <c r="BE149"/>
  <c r="BE157"/>
  <c r="BE165"/>
  <c r="BE173"/>
  <c r="BE181"/>
  <c r="BE189"/>
  <c r="BE197"/>
  <c r="BE205"/>
  <c r="BE213"/>
  <c r="BE221"/>
  <c r="BE229"/>
  <c r="BE237"/>
  <c r="BE245"/>
  <c r="BE253"/>
  <c r="BE261"/>
  <c r="BE269"/>
  <c r="BE277"/>
  <c r="BE285"/>
  <c r="BE293"/>
  <c r="BE301"/>
  <c r="BE309"/>
  <c r="BE317"/>
  <c r="BE325"/>
  <c r="BE333"/>
  <c r="BE341"/>
  <c r="BE349"/>
  <c r="BE357"/>
  <c r="BE365"/>
  <c r="BE373"/>
  <c r="BE381"/>
  <c r="BE389"/>
  <c r="BE397"/>
  <c r="BE405"/>
  <c r="BE413"/>
  <c r="BE421"/>
  <c r="BE429"/>
  <c r="BE437"/>
  <c r="BE445"/>
  <c r="BE453"/>
  <c r="BE461"/>
  <c r="BE469"/>
  <c r="BE477"/>
  <c r="BE485"/>
  <c r="BE9"/>
  <c r="BE20" i="31"/>
  <c r="BD47" i="24"/>
  <c r="BD55"/>
  <c r="BD63"/>
  <c r="BD71"/>
  <c r="BD79"/>
  <c r="BD86"/>
  <c r="BD93"/>
  <c r="BD101"/>
  <c r="BD109"/>
  <c r="BD117"/>
  <c r="BD125"/>
  <c r="BD133"/>
  <c r="BD141"/>
  <c r="BD149"/>
  <c r="BD157"/>
  <c r="BD165"/>
  <c r="BD173"/>
  <c r="BD181"/>
  <c r="BD189"/>
  <c r="BD197"/>
  <c r="BD205"/>
  <c r="BD213"/>
  <c r="BD221"/>
  <c r="BD229"/>
  <c r="BD237"/>
  <c r="BD245"/>
  <c r="BD253"/>
  <c r="BD261"/>
  <c r="BD269"/>
  <c r="BD277"/>
  <c r="BD285"/>
  <c r="BD293"/>
  <c r="BD301"/>
  <c r="BD309"/>
  <c r="BD317"/>
  <c r="BD325"/>
  <c r="BD333"/>
  <c r="BD341"/>
  <c r="BD349"/>
  <c r="BD357"/>
  <c r="BD365"/>
  <c r="BD373"/>
  <c r="BD381"/>
  <c r="BD389"/>
  <c r="BD397"/>
  <c r="BD405"/>
  <c r="BD413"/>
  <c r="BD421"/>
  <c r="BD429"/>
  <c r="BD437"/>
  <c r="BD445"/>
  <c r="BD453"/>
  <c r="BD461"/>
  <c r="BD469"/>
  <c r="BD477"/>
  <c r="BD9"/>
  <c r="BD20" i="31"/>
  <c r="BC47" i="24"/>
  <c r="BC55"/>
  <c r="BC63"/>
  <c r="BC71"/>
  <c r="BC79"/>
  <c r="BC86"/>
  <c r="BC93"/>
  <c r="BC101"/>
  <c r="BC109"/>
  <c r="BC117"/>
  <c r="BC125"/>
  <c r="BC133"/>
  <c r="BC141"/>
  <c r="BC149"/>
  <c r="BC157"/>
  <c r="BC165"/>
  <c r="BC173"/>
  <c r="BC181"/>
  <c r="BC189"/>
  <c r="BC197"/>
  <c r="BC205"/>
  <c r="BC213"/>
  <c r="BC221"/>
  <c r="BC229"/>
  <c r="BC237"/>
  <c r="BC245"/>
  <c r="BC253"/>
  <c r="BC261"/>
  <c r="BC269"/>
  <c r="BC277"/>
  <c r="BC285"/>
  <c r="BC293"/>
  <c r="BC301"/>
  <c r="BC309"/>
  <c r="BC317"/>
  <c r="BC325"/>
  <c r="BC333"/>
  <c r="BC341"/>
  <c r="BC349"/>
  <c r="BC357"/>
  <c r="BC365"/>
  <c r="BC373"/>
  <c r="BC381"/>
  <c r="BC389"/>
  <c r="BC397"/>
  <c r="BC405"/>
  <c r="BC413"/>
  <c r="BC421"/>
  <c r="BC429"/>
  <c r="BC437"/>
  <c r="BC445"/>
  <c r="BC453"/>
  <c r="BC461"/>
  <c r="BC469"/>
  <c r="BC9"/>
  <c r="BC20" i="31"/>
  <c r="BB47" i="24"/>
  <c r="BB55"/>
  <c r="BB63"/>
  <c r="BB71"/>
  <c r="BB79"/>
  <c r="BB86"/>
  <c r="BB93"/>
  <c r="BB101"/>
  <c r="BB109"/>
  <c r="BB117"/>
  <c r="BB125"/>
  <c r="BB133"/>
  <c r="BB141"/>
  <c r="BB149"/>
  <c r="BB157"/>
  <c r="BB165"/>
  <c r="BB173"/>
  <c r="BB181"/>
  <c r="BB189"/>
  <c r="BB197"/>
  <c r="BB205"/>
  <c r="BB213"/>
  <c r="BB221"/>
  <c r="BB229"/>
  <c r="BB237"/>
  <c r="BB245"/>
  <c r="BB253"/>
  <c r="BB261"/>
  <c r="BB269"/>
  <c r="BB277"/>
  <c r="BB285"/>
  <c r="BB293"/>
  <c r="BB301"/>
  <c r="BB309"/>
  <c r="BB317"/>
  <c r="BB325"/>
  <c r="BB333"/>
  <c r="BB341"/>
  <c r="BB349"/>
  <c r="BB357"/>
  <c r="BB365"/>
  <c r="BB373"/>
  <c r="BB381"/>
  <c r="BB389"/>
  <c r="BB397"/>
  <c r="BB405"/>
  <c r="BB413"/>
  <c r="BB421"/>
  <c r="BB429"/>
  <c r="BB437"/>
  <c r="BB445"/>
  <c r="BB453"/>
  <c r="BB461"/>
  <c r="BB9"/>
  <c r="BB20" i="31"/>
  <c r="BA47" i="24"/>
  <c r="BA55"/>
  <c r="BA63"/>
  <c r="BA71"/>
  <c r="BA79"/>
  <c r="BA86"/>
  <c r="BA93"/>
  <c r="BA101"/>
  <c r="BA109"/>
  <c r="BA117"/>
  <c r="BA125"/>
  <c r="BA133"/>
  <c r="BA141"/>
  <c r="BA149"/>
  <c r="BA157"/>
  <c r="BA165"/>
  <c r="BA173"/>
  <c r="BA181"/>
  <c r="BA189"/>
  <c r="BA197"/>
  <c r="BA205"/>
  <c r="BA213"/>
  <c r="BA221"/>
  <c r="BA229"/>
  <c r="BA237"/>
  <c r="BA245"/>
  <c r="BA253"/>
  <c r="BA261"/>
  <c r="BA269"/>
  <c r="BA277"/>
  <c r="BA285"/>
  <c r="BA293"/>
  <c r="BA301"/>
  <c r="BA309"/>
  <c r="BA317"/>
  <c r="BA325"/>
  <c r="BA333"/>
  <c r="BA341"/>
  <c r="BA349"/>
  <c r="BA357"/>
  <c r="BA365"/>
  <c r="BA373"/>
  <c r="BA381"/>
  <c r="BA389"/>
  <c r="BA397"/>
  <c r="BA405"/>
  <c r="BA413"/>
  <c r="BA421"/>
  <c r="BA429"/>
  <c r="BA437"/>
  <c r="BA445"/>
  <c r="BA453"/>
  <c r="BA9"/>
  <c r="BA20" i="31"/>
  <c r="AZ47" i="24"/>
  <c r="AZ55"/>
  <c r="AZ63"/>
  <c r="AZ71"/>
  <c r="AZ79"/>
  <c r="AZ86"/>
  <c r="AZ93"/>
  <c r="AZ101"/>
  <c r="AZ109"/>
  <c r="AZ117"/>
  <c r="AZ125"/>
  <c r="AZ133"/>
  <c r="AZ141"/>
  <c r="AZ149"/>
  <c r="AZ157"/>
  <c r="AZ165"/>
  <c r="AZ173"/>
  <c r="AZ181"/>
  <c r="AZ189"/>
  <c r="AZ197"/>
  <c r="AZ205"/>
  <c r="AZ213"/>
  <c r="AZ221"/>
  <c r="AZ229"/>
  <c r="AZ237"/>
  <c r="AZ245"/>
  <c r="AZ253"/>
  <c r="AZ261"/>
  <c r="AZ269"/>
  <c r="AZ277"/>
  <c r="AZ285"/>
  <c r="AZ293"/>
  <c r="AZ301"/>
  <c r="AZ309"/>
  <c r="AZ317"/>
  <c r="AZ325"/>
  <c r="AZ333"/>
  <c r="AZ341"/>
  <c r="AZ349"/>
  <c r="AZ357"/>
  <c r="AZ365"/>
  <c r="AZ373"/>
  <c r="AZ381"/>
  <c r="AZ389"/>
  <c r="AZ397"/>
  <c r="AZ405"/>
  <c r="AZ413"/>
  <c r="AZ421"/>
  <c r="AZ429"/>
  <c r="AZ437"/>
  <c r="AZ445"/>
  <c r="AZ9"/>
  <c r="AZ20" i="31"/>
  <c r="AY47" i="24"/>
  <c r="AY55"/>
  <c r="AY63"/>
  <c r="AY71"/>
  <c r="AY79"/>
  <c r="AY86"/>
  <c r="AY93"/>
  <c r="AY101"/>
  <c r="AY109"/>
  <c r="AY117"/>
  <c r="AY125"/>
  <c r="AY133"/>
  <c r="AY141"/>
  <c r="AY149"/>
  <c r="AY157"/>
  <c r="AY165"/>
  <c r="AY173"/>
  <c r="AY181"/>
  <c r="AY189"/>
  <c r="AY197"/>
  <c r="AY205"/>
  <c r="AY213"/>
  <c r="AY221"/>
  <c r="AY229"/>
  <c r="AY237"/>
  <c r="AY245"/>
  <c r="AY253"/>
  <c r="AY261"/>
  <c r="AY269"/>
  <c r="AY277"/>
  <c r="AY285"/>
  <c r="AY293"/>
  <c r="AY301"/>
  <c r="AY309"/>
  <c r="AY317"/>
  <c r="AY325"/>
  <c r="AY333"/>
  <c r="AY341"/>
  <c r="AY349"/>
  <c r="AY357"/>
  <c r="AY365"/>
  <c r="AY373"/>
  <c r="AY381"/>
  <c r="AY389"/>
  <c r="AY397"/>
  <c r="AY405"/>
  <c r="AY413"/>
  <c r="AY421"/>
  <c r="AY429"/>
  <c r="AY437"/>
  <c r="AY9"/>
  <c r="AY20" i="31"/>
  <c r="AX47" i="24"/>
  <c r="AX55"/>
  <c r="AX63"/>
  <c r="AX71"/>
  <c r="AX79"/>
  <c r="AX86"/>
  <c r="AX93"/>
  <c r="AX101"/>
  <c r="AX109"/>
  <c r="AX117"/>
  <c r="AX125"/>
  <c r="AX133"/>
  <c r="AX141"/>
  <c r="AX149"/>
  <c r="AX157"/>
  <c r="AX165"/>
  <c r="AX173"/>
  <c r="AX181"/>
  <c r="AX189"/>
  <c r="AX197"/>
  <c r="AX205"/>
  <c r="AX213"/>
  <c r="AX221"/>
  <c r="AX229"/>
  <c r="AX237"/>
  <c r="AX245"/>
  <c r="AX253"/>
  <c r="AX261"/>
  <c r="AX269"/>
  <c r="AX277"/>
  <c r="AX285"/>
  <c r="AX293"/>
  <c r="AX301"/>
  <c r="AX309"/>
  <c r="AX317"/>
  <c r="AX325"/>
  <c r="AX333"/>
  <c r="AX341"/>
  <c r="AX349"/>
  <c r="AX357"/>
  <c r="AX365"/>
  <c r="AX373"/>
  <c r="AX381"/>
  <c r="AX389"/>
  <c r="AX397"/>
  <c r="AX405"/>
  <c r="AX413"/>
  <c r="AX421"/>
  <c r="AX429"/>
  <c r="AX9"/>
  <c r="AX20" i="31"/>
  <c r="AW47" i="24"/>
  <c r="AW55"/>
  <c r="AW63"/>
  <c r="AW71"/>
  <c r="AW79"/>
  <c r="AW86"/>
  <c r="AW93"/>
  <c r="AW101"/>
  <c r="AW109"/>
  <c r="AW117"/>
  <c r="AW125"/>
  <c r="AW133"/>
  <c r="AW141"/>
  <c r="AW149"/>
  <c r="AW157"/>
  <c r="AW165"/>
  <c r="AW173"/>
  <c r="AW181"/>
  <c r="AW189"/>
  <c r="AW197"/>
  <c r="AW205"/>
  <c r="AW213"/>
  <c r="AW221"/>
  <c r="AW229"/>
  <c r="AW237"/>
  <c r="AW245"/>
  <c r="AW253"/>
  <c r="AW261"/>
  <c r="AW269"/>
  <c r="AW277"/>
  <c r="AW285"/>
  <c r="AW293"/>
  <c r="AW301"/>
  <c r="AW309"/>
  <c r="AW317"/>
  <c r="AW325"/>
  <c r="AW333"/>
  <c r="AW341"/>
  <c r="AW349"/>
  <c r="AW357"/>
  <c r="AW365"/>
  <c r="AW373"/>
  <c r="AW381"/>
  <c r="AW389"/>
  <c r="AW397"/>
  <c r="AW405"/>
  <c r="AW413"/>
  <c r="AW421"/>
  <c r="AW9"/>
  <c r="AW20" i="31"/>
  <c r="AV47" i="24"/>
  <c r="AV55"/>
  <c r="AV63"/>
  <c r="AV71"/>
  <c r="AV79"/>
  <c r="AV86"/>
  <c r="AV93"/>
  <c r="AV101"/>
  <c r="AV109"/>
  <c r="AV117"/>
  <c r="AV125"/>
  <c r="AV133"/>
  <c r="AV141"/>
  <c r="AV149"/>
  <c r="AV157"/>
  <c r="AV165"/>
  <c r="AV173"/>
  <c r="AV181"/>
  <c r="AV189"/>
  <c r="AV197"/>
  <c r="AV205"/>
  <c r="AV213"/>
  <c r="AV221"/>
  <c r="AV229"/>
  <c r="AV237"/>
  <c r="AV245"/>
  <c r="AV253"/>
  <c r="AV261"/>
  <c r="AV269"/>
  <c r="AV277"/>
  <c r="AV285"/>
  <c r="AV293"/>
  <c r="AV301"/>
  <c r="AV309"/>
  <c r="AV317"/>
  <c r="AV325"/>
  <c r="AV333"/>
  <c r="AV341"/>
  <c r="AV349"/>
  <c r="AV357"/>
  <c r="AV365"/>
  <c r="AV373"/>
  <c r="AV381"/>
  <c r="AV389"/>
  <c r="AV397"/>
  <c r="AV405"/>
  <c r="AV413"/>
  <c r="AV9"/>
  <c r="AV20" i="31"/>
  <c r="AU47" i="24"/>
  <c r="AU55"/>
  <c r="AU63"/>
  <c r="AU71"/>
  <c r="AU79"/>
  <c r="AU86"/>
  <c r="AU93"/>
  <c r="AU101"/>
  <c r="AU109"/>
  <c r="AU117"/>
  <c r="AU125"/>
  <c r="AU133"/>
  <c r="AU141"/>
  <c r="AU149"/>
  <c r="AU157"/>
  <c r="AU165"/>
  <c r="AU173"/>
  <c r="AU181"/>
  <c r="AU189"/>
  <c r="AU197"/>
  <c r="AU205"/>
  <c r="AU213"/>
  <c r="AU221"/>
  <c r="AU229"/>
  <c r="AU237"/>
  <c r="AU245"/>
  <c r="AU253"/>
  <c r="AU261"/>
  <c r="AU269"/>
  <c r="AU277"/>
  <c r="AU285"/>
  <c r="AU293"/>
  <c r="AU301"/>
  <c r="AU309"/>
  <c r="AU317"/>
  <c r="AU325"/>
  <c r="AU333"/>
  <c r="AU341"/>
  <c r="AU349"/>
  <c r="AU357"/>
  <c r="AU365"/>
  <c r="AU373"/>
  <c r="AU381"/>
  <c r="AU389"/>
  <c r="AU397"/>
  <c r="AU405"/>
  <c r="AU9"/>
  <c r="AU20" i="31"/>
  <c r="AT47" i="24"/>
  <c r="AT55"/>
  <c r="AT63"/>
  <c r="AT71"/>
  <c r="AT79"/>
  <c r="AT86"/>
  <c r="AT93"/>
  <c r="AT101"/>
  <c r="AT109"/>
  <c r="AT117"/>
  <c r="AT125"/>
  <c r="AT133"/>
  <c r="AT141"/>
  <c r="AT149"/>
  <c r="AT157"/>
  <c r="AT165"/>
  <c r="AT173"/>
  <c r="AT181"/>
  <c r="AT189"/>
  <c r="AT197"/>
  <c r="AT205"/>
  <c r="AT213"/>
  <c r="AT221"/>
  <c r="AT229"/>
  <c r="AT237"/>
  <c r="AT245"/>
  <c r="AT253"/>
  <c r="AT261"/>
  <c r="AT269"/>
  <c r="AT277"/>
  <c r="AT285"/>
  <c r="AT293"/>
  <c r="AT301"/>
  <c r="AT309"/>
  <c r="AT317"/>
  <c r="AT325"/>
  <c r="AT333"/>
  <c r="AT341"/>
  <c r="AT349"/>
  <c r="AT357"/>
  <c r="AT365"/>
  <c r="AT373"/>
  <c r="AT381"/>
  <c r="AT389"/>
  <c r="AT397"/>
  <c r="AT9"/>
  <c r="AT20" i="31"/>
  <c r="AS47" i="24"/>
  <c r="AS55"/>
  <c r="AS63"/>
  <c r="AS71"/>
  <c r="AS79"/>
  <c r="AS86"/>
  <c r="AS93"/>
  <c r="AS101"/>
  <c r="AS109"/>
  <c r="AS117"/>
  <c r="AS125"/>
  <c r="AS133"/>
  <c r="AS141"/>
  <c r="AS149"/>
  <c r="AS157"/>
  <c r="AS165"/>
  <c r="AS173"/>
  <c r="AS181"/>
  <c r="AS189"/>
  <c r="AS197"/>
  <c r="AS205"/>
  <c r="AS213"/>
  <c r="AS221"/>
  <c r="AS229"/>
  <c r="AS237"/>
  <c r="AS245"/>
  <c r="AS253"/>
  <c r="AS261"/>
  <c r="AS269"/>
  <c r="AS277"/>
  <c r="AS285"/>
  <c r="AS293"/>
  <c r="AS301"/>
  <c r="AS309"/>
  <c r="AS317"/>
  <c r="AS325"/>
  <c r="AS333"/>
  <c r="AS341"/>
  <c r="AS349"/>
  <c r="AS357"/>
  <c r="AS365"/>
  <c r="AS373"/>
  <c r="AS381"/>
  <c r="AS389"/>
  <c r="AS9"/>
  <c r="AS20" i="31"/>
  <c r="AR47" i="24"/>
  <c r="AR55"/>
  <c r="AR63"/>
  <c r="AR71"/>
  <c r="AR79"/>
  <c r="AR86"/>
  <c r="AR93"/>
  <c r="AR101"/>
  <c r="AR109"/>
  <c r="AR117"/>
  <c r="AR125"/>
  <c r="AR133"/>
  <c r="AR141"/>
  <c r="AR149"/>
  <c r="AR157"/>
  <c r="AR165"/>
  <c r="AR173"/>
  <c r="AR181"/>
  <c r="AR189"/>
  <c r="AR197"/>
  <c r="AR205"/>
  <c r="AR213"/>
  <c r="AR221"/>
  <c r="AR229"/>
  <c r="AR237"/>
  <c r="AR245"/>
  <c r="AR253"/>
  <c r="AR261"/>
  <c r="AR269"/>
  <c r="AR277"/>
  <c r="AR285"/>
  <c r="AR293"/>
  <c r="AR301"/>
  <c r="AR309"/>
  <c r="AR317"/>
  <c r="AR325"/>
  <c r="AR333"/>
  <c r="AR341"/>
  <c r="AR349"/>
  <c r="AR357"/>
  <c r="AR365"/>
  <c r="AR373"/>
  <c r="AR381"/>
  <c r="AR9"/>
  <c r="AR20" i="31"/>
  <c r="AQ47" i="24"/>
  <c r="AQ55"/>
  <c r="AQ63"/>
  <c r="AQ71"/>
  <c r="AQ79"/>
  <c r="AQ86"/>
  <c r="AQ93"/>
  <c r="AQ101"/>
  <c r="AQ109"/>
  <c r="AQ117"/>
  <c r="AQ125"/>
  <c r="AQ133"/>
  <c r="AQ141"/>
  <c r="AQ149"/>
  <c r="AQ157"/>
  <c r="AQ165"/>
  <c r="AQ173"/>
  <c r="AQ181"/>
  <c r="AQ189"/>
  <c r="AQ197"/>
  <c r="AQ205"/>
  <c r="AQ213"/>
  <c r="AQ221"/>
  <c r="AQ229"/>
  <c r="AQ237"/>
  <c r="AQ245"/>
  <c r="AQ253"/>
  <c r="AQ261"/>
  <c r="AQ269"/>
  <c r="AQ277"/>
  <c r="AQ285"/>
  <c r="AQ293"/>
  <c r="AQ301"/>
  <c r="AQ309"/>
  <c r="AQ317"/>
  <c r="AQ325"/>
  <c r="AQ333"/>
  <c r="AQ341"/>
  <c r="AQ349"/>
  <c r="AQ357"/>
  <c r="AQ365"/>
  <c r="AQ373"/>
  <c r="AQ9"/>
  <c r="AQ20" i="31"/>
  <c r="AP47" i="24"/>
  <c r="AP55"/>
  <c r="AP63"/>
  <c r="AP71"/>
  <c r="AP79"/>
  <c r="AP86"/>
  <c r="AP93"/>
  <c r="AP101"/>
  <c r="AP109"/>
  <c r="AP117"/>
  <c r="AP125"/>
  <c r="AP133"/>
  <c r="AP141"/>
  <c r="AP149"/>
  <c r="AP157"/>
  <c r="AP165"/>
  <c r="AP173"/>
  <c r="AP181"/>
  <c r="AP189"/>
  <c r="AP197"/>
  <c r="AP205"/>
  <c r="AP213"/>
  <c r="AP221"/>
  <c r="AP229"/>
  <c r="AP237"/>
  <c r="AP245"/>
  <c r="AP253"/>
  <c r="AP261"/>
  <c r="AP269"/>
  <c r="AP277"/>
  <c r="AP285"/>
  <c r="AP293"/>
  <c r="AP301"/>
  <c r="AP309"/>
  <c r="AP317"/>
  <c r="AP325"/>
  <c r="AP333"/>
  <c r="AP341"/>
  <c r="AP349"/>
  <c r="AP357"/>
  <c r="AP365"/>
  <c r="AP9"/>
  <c r="AP20" i="31"/>
  <c r="AO47" i="24"/>
  <c r="AO55"/>
  <c r="AO63"/>
  <c r="AO71"/>
  <c r="AO79"/>
  <c r="AO86"/>
  <c r="AO93"/>
  <c r="AO101"/>
  <c r="AO109"/>
  <c r="AO117"/>
  <c r="AO125"/>
  <c r="AO133"/>
  <c r="AO141"/>
  <c r="AO149"/>
  <c r="AO157"/>
  <c r="AO165"/>
  <c r="AO173"/>
  <c r="AO181"/>
  <c r="AO189"/>
  <c r="AO197"/>
  <c r="AO205"/>
  <c r="AO213"/>
  <c r="AO221"/>
  <c r="AO229"/>
  <c r="AO237"/>
  <c r="AO245"/>
  <c r="AO253"/>
  <c r="AO261"/>
  <c r="AO269"/>
  <c r="AO277"/>
  <c r="AO285"/>
  <c r="AO293"/>
  <c r="AO301"/>
  <c r="AO309"/>
  <c r="AO317"/>
  <c r="AO325"/>
  <c r="AO333"/>
  <c r="AO341"/>
  <c r="AO349"/>
  <c r="AO357"/>
  <c r="AO9"/>
  <c r="AO20" i="31"/>
  <c r="AN47" i="24"/>
  <c r="AN55"/>
  <c r="AN63"/>
  <c r="AN71"/>
  <c r="AN79"/>
  <c r="AN86"/>
  <c r="AN93"/>
  <c r="AN101"/>
  <c r="AN109"/>
  <c r="AN117"/>
  <c r="AN125"/>
  <c r="AN133"/>
  <c r="AN141"/>
  <c r="AN149"/>
  <c r="AN157"/>
  <c r="AN165"/>
  <c r="AN173"/>
  <c r="AN181"/>
  <c r="AN189"/>
  <c r="AN197"/>
  <c r="AN205"/>
  <c r="AN213"/>
  <c r="AN221"/>
  <c r="AN229"/>
  <c r="AN237"/>
  <c r="AN245"/>
  <c r="AN253"/>
  <c r="AN261"/>
  <c r="AN269"/>
  <c r="AN277"/>
  <c r="AN285"/>
  <c r="AN293"/>
  <c r="AN301"/>
  <c r="AN309"/>
  <c r="AN317"/>
  <c r="AN325"/>
  <c r="AN333"/>
  <c r="AN341"/>
  <c r="AN349"/>
  <c r="AN9"/>
  <c r="AN20" i="31"/>
  <c r="AM47" i="24"/>
  <c r="AM55"/>
  <c r="AM63"/>
  <c r="AM71"/>
  <c r="AM79"/>
  <c r="AM86"/>
  <c r="AM93"/>
  <c r="AM101"/>
  <c r="AM109"/>
  <c r="AM117"/>
  <c r="AM125"/>
  <c r="AM133"/>
  <c r="AM141"/>
  <c r="AM149"/>
  <c r="AM157"/>
  <c r="AM165"/>
  <c r="AM173"/>
  <c r="AM181"/>
  <c r="AM189"/>
  <c r="AM197"/>
  <c r="AM205"/>
  <c r="AM213"/>
  <c r="AM221"/>
  <c r="AM229"/>
  <c r="AM237"/>
  <c r="AM245"/>
  <c r="AM253"/>
  <c r="AM261"/>
  <c r="AM269"/>
  <c r="AM277"/>
  <c r="AM285"/>
  <c r="AM293"/>
  <c r="AM301"/>
  <c r="AM309"/>
  <c r="AM317"/>
  <c r="AM325"/>
  <c r="AM333"/>
  <c r="AM341"/>
  <c r="AM9"/>
  <c r="AM20" i="31"/>
  <c r="AL47" i="24"/>
  <c r="AL55"/>
  <c r="AL63"/>
  <c r="AL71"/>
  <c r="AL79"/>
  <c r="AL86"/>
  <c r="AL93"/>
  <c r="AL101"/>
  <c r="AL109"/>
  <c r="AL117"/>
  <c r="AL125"/>
  <c r="AL133"/>
  <c r="AL141"/>
  <c r="AL149"/>
  <c r="AL157"/>
  <c r="AL165"/>
  <c r="AL173"/>
  <c r="AL181"/>
  <c r="AL189"/>
  <c r="AL197"/>
  <c r="AL205"/>
  <c r="AL213"/>
  <c r="AL221"/>
  <c r="AL229"/>
  <c r="AL237"/>
  <c r="AL245"/>
  <c r="AL253"/>
  <c r="AL261"/>
  <c r="AL269"/>
  <c r="AL277"/>
  <c r="AL285"/>
  <c r="AL293"/>
  <c r="AL301"/>
  <c r="AL309"/>
  <c r="AL317"/>
  <c r="AL325"/>
  <c r="AL333"/>
  <c r="AL9"/>
  <c r="AL20" i="31"/>
  <c r="AK47" i="24"/>
  <c r="AK55"/>
  <c r="AK63"/>
  <c r="AK71"/>
  <c r="AK79"/>
  <c r="AK86"/>
  <c r="AK93"/>
  <c r="AK101"/>
  <c r="AK109"/>
  <c r="AK117"/>
  <c r="AK125"/>
  <c r="AK133"/>
  <c r="AK141"/>
  <c r="AK149"/>
  <c r="AK157"/>
  <c r="AK165"/>
  <c r="AK173"/>
  <c r="AK181"/>
  <c r="AK189"/>
  <c r="AK197"/>
  <c r="AK205"/>
  <c r="AK213"/>
  <c r="AK221"/>
  <c r="AK229"/>
  <c r="AK237"/>
  <c r="AK245"/>
  <c r="AK253"/>
  <c r="AK261"/>
  <c r="AK269"/>
  <c r="AK277"/>
  <c r="AK285"/>
  <c r="AK293"/>
  <c r="AK301"/>
  <c r="AK309"/>
  <c r="AK317"/>
  <c r="AK325"/>
  <c r="AK9"/>
  <c r="AK20" i="31"/>
  <c r="AJ47" i="24"/>
  <c r="AJ55"/>
  <c r="AJ63"/>
  <c r="AJ71"/>
  <c r="AJ79"/>
  <c r="AJ86"/>
  <c r="AJ93"/>
  <c r="AJ101"/>
  <c r="AJ109"/>
  <c r="AJ117"/>
  <c r="AJ125"/>
  <c r="AJ133"/>
  <c r="AJ141"/>
  <c r="AJ149"/>
  <c r="AJ157"/>
  <c r="AJ165"/>
  <c r="AJ173"/>
  <c r="AJ181"/>
  <c r="AJ189"/>
  <c r="AJ197"/>
  <c r="AJ205"/>
  <c r="AJ213"/>
  <c r="AJ221"/>
  <c r="AJ229"/>
  <c r="AJ237"/>
  <c r="AJ245"/>
  <c r="AJ253"/>
  <c r="AJ261"/>
  <c r="AJ269"/>
  <c r="AJ277"/>
  <c r="AJ285"/>
  <c r="AJ293"/>
  <c r="AJ301"/>
  <c r="AJ309"/>
  <c r="AJ317"/>
  <c r="AJ9"/>
  <c r="AJ20" i="31"/>
  <c r="AI47" i="24"/>
  <c r="AI55"/>
  <c r="AI63"/>
  <c r="AI71"/>
  <c r="AI79"/>
  <c r="AI86"/>
  <c r="AI93"/>
  <c r="AI101"/>
  <c r="AI109"/>
  <c r="AI117"/>
  <c r="AI125"/>
  <c r="AI133"/>
  <c r="AI141"/>
  <c r="AI149"/>
  <c r="AI157"/>
  <c r="AI165"/>
  <c r="AI173"/>
  <c r="AI181"/>
  <c r="AI189"/>
  <c r="AI197"/>
  <c r="AI205"/>
  <c r="AI213"/>
  <c r="AI221"/>
  <c r="AI229"/>
  <c r="AI237"/>
  <c r="AI245"/>
  <c r="AI253"/>
  <c r="AI261"/>
  <c r="AI269"/>
  <c r="AI277"/>
  <c r="AI285"/>
  <c r="AI293"/>
  <c r="AI301"/>
  <c r="AI309"/>
  <c r="AI9"/>
  <c r="AI20" i="31"/>
  <c r="AH47" i="24"/>
  <c r="AH55"/>
  <c r="AH63"/>
  <c r="AH71"/>
  <c r="AH79"/>
  <c r="AH86"/>
  <c r="AH93"/>
  <c r="AH101"/>
  <c r="AH109"/>
  <c r="AH117"/>
  <c r="AH125"/>
  <c r="AH133"/>
  <c r="AH141"/>
  <c r="AH149"/>
  <c r="AH157"/>
  <c r="AH165"/>
  <c r="AH173"/>
  <c r="AH181"/>
  <c r="AH189"/>
  <c r="AH197"/>
  <c r="AH205"/>
  <c r="AH213"/>
  <c r="AH221"/>
  <c r="AH229"/>
  <c r="AH237"/>
  <c r="AH245"/>
  <c r="AH253"/>
  <c r="AH261"/>
  <c r="AH269"/>
  <c r="AH277"/>
  <c r="AH285"/>
  <c r="AH293"/>
  <c r="AH301"/>
  <c r="AH9"/>
  <c r="AH20" i="31"/>
  <c r="AG47" i="24"/>
  <c r="AG55"/>
  <c r="AG63"/>
  <c r="AG71"/>
  <c r="AG79"/>
  <c r="AG86"/>
  <c r="AG93"/>
  <c r="AG101"/>
  <c r="AG109"/>
  <c r="AG117"/>
  <c r="AG125"/>
  <c r="AG133"/>
  <c r="AG141"/>
  <c r="AG149"/>
  <c r="AG157"/>
  <c r="AG165"/>
  <c r="AG173"/>
  <c r="AG181"/>
  <c r="AG189"/>
  <c r="AG197"/>
  <c r="AG205"/>
  <c r="AG213"/>
  <c r="AG221"/>
  <c r="AG229"/>
  <c r="AG237"/>
  <c r="AG245"/>
  <c r="AG253"/>
  <c r="AG261"/>
  <c r="AG269"/>
  <c r="AG277"/>
  <c r="AG285"/>
  <c r="AG293"/>
  <c r="AG9"/>
  <c r="AG20" i="31"/>
  <c r="AF47" i="24"/>
  <c r="AF55"/>
  <c r="AF63"/>
  <c r="AF71"/>
  <c r="AF79"/>
  <c r="AF86"/>
  <c r="AF93"/>
  <c r="AF101"/>
  <c r="AF109"/>
  <c r="AF117"/>
  <c r="AF125"/>
  <c r="AF133"/>
  <c r="AF141"/>
  <c r="AF149"/>
  <c r="AF157"/>
  <c r="AF165"/>
  <c r="AF173"/>
  <c r="AF181"/>
  <c r="AF189"/>
  <c r="AF197"/>
  <c r="AF205"/>
  <c r="AF213"/>
  <c r="AF221"/>
  <c r="AF229"/>
  <c r="AF237"/>
  <c r="AF245"/>
  <c r="AF253"/>
  <c r="AF261"/>
  <c r="AF269"/>
  <c r="AF277"/>
  <c r="AF285"/>
  <c r="AF9"/>
  <c r="AF20" i="31"/>
  <c r="AE47" i="24"/>
  <c r="AE55"/>
  <c r="AE63"/>
  <c r="AE71"/>
  <c r="AE79"/>
  <c r="AE86"/>
  <c r="AE93"/>
  <c r="AE101"/>
  <c r="AE109"/>
  <c r="AE117"/>
  <c r="AE125"/>
  <c r="AE133"/>
  <c r="AE141"/>
  <c r="AE149"/>
  <c r="AE157"/>
  <c r="AE165"/>
  <c r="AE173"/>
  <c r="AE181"/>
  <c r="AE189"/>
  <c r="AE197"/>
  <c r="AE205"/>
  <c r="AE213"/>
  <c r="AE221"/>
  <c r="AE229"/>
  <c r="AE237"/>
  <c r="AE245"/>
  <c r="AE253"/>
  <c r="AE261"/>
  <c r="AE269"/>
  <c r="AE277"/>
  <c r="AE9"/>
  <c r="AE20" i="31"/>
  <c r="AD47" i="24"/>
  <c r="AD55"/>
  <c r="AD63"/>
  <c r="AD71"/>
  <c r="AD79"/>
  <c r="AD86"/>
  <c r="AD93"/>
  <c r="AD101"/>
  <c r="AD109"/>
  <c r="AD117"/>
  <c r="AD125"/>
  <c r="AD133"/>
  <c r="AD141"/>
  <c r="AD149"/>
  <c r="AD157"/>
  <c r="AD165"/>
  <c r="AD173"/>
  <c r="AD181"/>
  <c r="AD189"/>
  <c r="AD197"/>
  <c r="AD205"/>
  <c r="AD213"/>
  <c r="AD221"/>
  <c r="AD229"/>
  <c r="AD237"/>
  <c r="AD245"/>
  <c r="AD253"/>
  <c r="AD261"/>
  <c r="AD269"/>
  <c r="AD9"/>
  <c r="AD20" i="31"/>
  <c r="AC47" i="24"/>
  <c r="AC55"/>
  <c r="AC63"/>
  <c r="AC71"/>
  <c r="AC79"/>
  <c r="AC86"/>
  <c r="AC93"/>
  <c r="AC101"/>
  <c r="AC109"/>
  <c r="AC117"/>
  <c r="AC125"/>
  <c r="AC133"/>
  <c r="AC141"/>
  <c r="AC149"/>
  <c r="AC157"/>
  <c r="AC165"/>
  <c r="AC173"/>
  <c r="AC181"/>
  <c r="AC189"/>
  <c r="AC197"/>
  <c r="AC205"/>
  <c r="AC213"/>
  <c r="AC221"/>
  <c r="AC229"/>
  <c r="AC237"/>
  <c r="AC245"/>
  <c r="AC253"/>
  <c r="AC261"/>
  <c r="AC9"/>
  <c r="AC20" i="31"/>
  <c r="AB47" i="24"/>
  <c r="AB55"/>
  <c r="AB63"/>
  <c r="AB71"/>
  <c r="AB79"/>
  <c r="AB86"/>
  <c r="AB93"/>
  <c r="AB101"/>
  <c r="AB109"/>
  <c r="AB117"/>
  <c r="AB125"/>
  <c r="AB133"/>
  <c r="AB141"/>
  <c r="AB149"/>
  <c r="AB157"/>
  <c r="AB165"/>
  <c r="AB173"/>
  <c r="AB181"/>
  <c r="AB189"/>
  <c r="AB197"/>
  <c r="AB205"/>
  <c r="AB213"/>
  <c r="AB221"/>
  <c r="AB229"/>
  <c r="AB237"/>
  <c r="AB245"/>
  <c r="AB253"/>
  <c r="AB9"/>
  <c r="AB20" i="31"/>
  <c r="AA47" i="24"/>
  <c r="AA55"/>
  <c r="AA63"/>
  <c r="AA71"/>
  <c r="AA79"/>
  <c r="AA86"/>
  <c r="AA93"/>
  <c r="AA101"/>
  <c r="AA109"/>
  <c r="AA117"/>
  <c r="AA125"/>
  <c r="AA133"/>
  <c r="AA141"/>
  <c r="AA149"/>
  <c r="AA157"/>
  <c r="AA165"/>
  <c r="AA173"/>
  <c r="AA181"/>
  <c r="AA189"/>
  <c r="AA197"/>
  <c r="AA205"/>
  <c r="AA213"/>
  <c r="AA221"/>
  <c r="AA229"/>
  <c r="AA237"/>
  <c r="AA245"/>
  <c r="AA9"/>
  <c r="AA20" i="31"/>
  <c r="Z47" i="24"/>
  <c r="Z55"/>
  <c r="Z63"/>
  <c r="Z71"/>
  <c r="Z79"/>
  <c r="Z86"/>
  <c r="Z93"/>
  <c r="Z101"/>
  <c r="Z109"/>
  <c r="Z117"/>
  <c r="Z125"/>
  <c r="Z133"/>
  <c r="Z141"/>
  <c r="Z149"/>
  <c r="Z157"/>
  <c r="Z165"/>
  <c r="Z173"/>
  <c r="Z181"/>
  <c r="Z189"/>
  <c r="Z197"/>
  <c r="Z205"/>
  <c r="Z213"/>
  <c r="Z221"/>
  <c r="Z229"/>
  <c r="Z237"/>
  <c r="Z9"/>
  <c r="Z20" i="31"/>
  <c r="Y47" i="24"/>
  <c r="Y55"/>
  <c r="Y63"/>
  <c r="Y71"/>
  <c r="Y79"/>
  <c r="Y86"/>
  <c r="Y93"/>
  <c r="Y101"/>
  <c r="Y109"/>
  <c r="Y117"/>
  <c r="Y125"/>
  <c r="Y133"/>
  <c r="Y141"/>
  <c r="Y149"/>
  <c r="Y157"/>
  <c r="Y165"/>
  <c r="Y173"/>
  <c r="Y181"/>
  <c r="Y189"/>
  <c r="Y197"/>
  <c r="Y205"/>
  <c r="Y213"/>
  <c r="Y221"/>
  <c r="Y229"/>
  <c r="Y9"/>
  <c r="Y20" i="31"/>
  <c r="X47" i="24"/>
  <c r="X55"/>
  <c r="X63"/>
  <c r="X71"/>
  <c r="X79"/>
  <c r="X86"/>
  <c r="X93"/>
  <c r="X101"/>
  <c r="X109"/>
  <c r="X117"/>
  <c r="X125"/>
  <c r="X133"/>
  <c r="X141"/>
  <c r="X149"/>
  <c r="X157"/>
  <c r="X165"/>
  <c r="X173"/>
  <c r="X181"/>
  <c r="X189"/>
  <c r="X197"/>
  <c r="X205"/>
  <c r="X213"/>
  <c r="X221"/>
  <c r="X9"/>
  <c r="X20" i="31"/>
  <c r="W47" i="24"/>
  <c r="W55"/>
  <c r="W63"/>
  <c r="W71"/>
  <c r="W79"/>
  <c r="W86"/>
  <c r="W93"/>
  <c r="W101"/>
  <c r="W109"/>
  <c r="W117"/>
  <c r="W125"/>
  <c r="W133"/>
  <c r="W141"/>
  <c r="W149"/>
  <c r="W157"/>
  <c r="W165"/>
  <c r="W173"/>
  <c r="W181"/>
  <c r="W189"/>
  <c r="W197"/>
  <c r="W205"/>
  <c r="W213"/>
  <c r="W9"/>
  <c r="W20" i="31"/>
  <c r="V47" i="24"/>
  <c r="V55"/>
  <c r="V63"/>
  <c r="V71"/>
  <c r="V79"/>
  <c r="V86"/>
  <c r="V93"/>
  <c r="V101"/>
  <c r="V109"/>
  <c r="V117"/>
  <c r="V125"/>
  <c r="V133"/>
  <c r="V141"/>
  <c r="V149"/>
  <c r="V157"/>
  <c r="V165"/>
  <c r="V173"/>
  <c r="V181"/>
  <c r="V189"/>
  <c r="V197"/>
  <c r="V205"/>
  <c r="V9"/>
  <c r="V20" i="31"/>
  <c r="U47" i="24"/>
  <c r="U55"/>
  <c r="U63"/>
  <c r="U71"/>
  <c r="U79"/>
  <c r="U86"/>
  <c r="U93"/>
  <c r="U101"/>
  <c r="U109"/>
  <c r="U117"/>
  <c r="U125"/>
  <c r="U133"/>
  <c r="U141"/>
  <c r="U149"/>
  <c r="U157"/>
  <c r="U165"/>
  <c r="U173"/>
  <c r="U181"/>
  <c r="U189"/>
  <c r="U197"/>
  <c r="U9"/>
  <c r="U20" i="31"/>
  <c r="T47" i="24"/>
  <c r="T55"/>
  <c r="T63"/>
  <c r="T71"/>
  <c r="T79"/>
  <c r="T86"/>
  <c r="T93"/>
  <c r="T101"/>
  <c r="T109"/>
  <c r="T117"/>
  <c r="T125"/>
  <c r="T133"/>
  <c r="T141"/>
  <c r="T149"/>
  <c r="T157"/>
  <c r="T165"/>
  <c r="T173"/>
  <c r="T181"/>
  <c r="T189"/>
  <c r="T9"/>
  <c r="T20" i="31"/>
  <c r="S47" i="24"/>
  <c r="S55"/>
  <c r="S63"/>
  <c r="S71"/>
  <c r="S79"/>
  <c r="S86"/>
  <c r="S93"/>
  <c r="S101"/>
  <c r="S109"/>
  <c r="S117"/>
  <c r="S125"/>
  <c r="S133"/>
  <c r="S141"/>
  <c r="S149"/>
  <c r="S157"/>
  <c r="S165"/>
  <c r="S173"/>
  <c r="S181"/>
  <c r="S9"/>
  <c r="S20" i="31"/>
  <c r="R47" i="24"/>
  <c r="R55"/>
  <c r="R63"/>
  <c r="R71"/>
  <c r="R79"/>
  <c r="R86"/>
  <c r="R93"/>
  <c r="R101"/>
  <c r="R109"/>
  <c r="R117"/>
  <c r="R125"/>
  <c r="R133"/>
  <c r="R141"/>
  <c r="R149"/>
  <c r="R157"/>
  <c r="R165"/>
  <c r="R173"/>
  <c r="R9"/>
  <c r="R20" i="31"/>
  <c r="Q47" i="24"/>
  <c r="Q55"/>
  <c r="Q63"/>
  <c r="Q71"/>
  <c r="Q79"/>
  <c r="Q86"/>
  <c r="Q93"/>
  <c r="Q101"/>
  <c r="Q109"/>
  <c r="Q117"/>
  <c r="Q125"/>
  <c r="Q133"/>
  <c r="Q141"/>
  <c r="Q149"/>
  <c r="Q157"/>
  <c r="Q165"/>
  <c r="Q9"/>
  <c r="Q20" i="31"/>
  <c r="P47" i="24"/>
  <c r="P55"/>
  <c r="P63"/>
  <c r="P71"/>
  <c r="P79"/>
  <c r="P86"/>
  <c r="P93"/>
  <c r="P101"/>
  <c r="P109"/>
  <c r="P117"/>
  <c r="P125"/>
  <c r="P133"/>
  <c r="P141"/>
  <c r="P149"/>
  <c r="P157"/>
  <c r="P9"/>
  <c r="P20" i="31"/>
  <c r="O47" i="24"/>
  <c r="O55"/>
  <c r="O63"/>
  <c r="O71"/>
  <c r="O79"/>
  <c r="O86"/>
  <c r="O93"/>
  <c r="O101"/>
  <c r="O109"/>
  <c r="O117"/>
  <c r="O125"/>
  <c r="O133"/>
  <c r="O141"/>
  <c r="O149"/>
  <c r="O9"/>
  <c r="O20" i="31"/>
  <c r="N47" i="24"/>
  <c r="N55"/>
  <c r="N63"/>
  <c r="N71"/>
  <c r="N79"/>
  <c r="N86"/>
  <c r="N93"/>
  <c r="N101"/>
  <c r="N109"/>
  <c r="N117"/>
  <c r="N125"/>
  <c r="N133"/>
  <c r="N141"/>
  <c r="N9"/>
  <c r="N20" i="31"/>
  <c r="M47" i="24"/>
  <c r="M55"/>
  <c r="M63"/>
  <c r="M71"/>
  <c r="M79"/>
  <c r="M86"/>
  <c r="M93"/>
  <c r="M101"/>
  <c r="M109"/>
  <c r="M117"/>
  <c r="M125"/>
  <c r="M133"/>
  <c r="M9"/>
  <c r="M20" i="31"/>
  <c r="L47" i="24"/>
  <c r="L55"/>
  <c r="L63"/>
  <c r="L71"/>
  <c r="L79"/>
  <c r="L86"/>
  <c r="L93"/>
  <c r="L101"/>
  <c r="L109"/>
  <c r="L117"/>
  <c r="L125"/>
  <c r="L9"/>
  <c r="L20" i="31"/>
  <c r="K47" i="24"/>
  <c r="K55"/>
  <c r="K63"/>
  <c r="K71"/>
  <c r="K79"/>
  <c r="K86"/>
  <c r="K93"/>
  <c r="K101"/>
  <c r="K109"/>
  <c r="K117"/>
  <c r="K9"/>
  <c r="K20" i="31"/>
  <c r="J47" i="24"/>
  <c r="J55"/>
  <c r="J63"/>
  <c r="J71"/>
  <c r="J79"/>
  <c r="J86"/>
  <c r="J93"/>
  <c r="J101"/>
  <c r="J109"/>
  <c r="J9"/>
  <c r="J20" i="31"/>
  <c r="I47" i="24"/>
  <c r="I55"/>
  <c r="I63"/>
  <c r="I71"/>
  <c r="I79"/>
  <c r="I86"/>
  <c r="I93"/>
  <c r="I101"/>
  <c r="I9"/>
  <c r="I20" i="31"/>
  <c r="H47" i="24"/>
  <c r="H55"/>
  <c r="H63"/>
  <c r="H71"/>
  <c r="H79"/>
  <c r="H86"/>
  <c r="H93"/>
  <c r="H9"/>
  <c r="H20" i="31"/>
  <c r="G47" i="24"/>
  <c r="G55"/>
  <c r="G63"/>
  <c r="G71"/>
  <c r="G79"/>
  <c r="G86"/>
  <c r="G9"/>
  <c r="G20" i="31"/>
  <c r="F47" i="24"/>
  <c r="F55"/>
  <c r="F63"/>
  <c r="F71"/>
  <c r="F79"/>
  <c r="F9"/>
  <c r="F20" i="31"/>
  <c r="E47" i="24"/>
  <c r="E55"/>
  <c r="E63"/>
  <c r="E71"/>
  <c r="E9"/>
  <c r="E20" i="31"/>
  <c r="D47" i="24"/>
  <c r="D55"/>
  <c r="D63"/>
  <c r="D9"/>
  <c r="D20" i="31"/>
  <c r="C47" i="24"/>
  <c r="C55"/>
  <c r="C9"/>
  <c r="C20" i="31"/>
  <c r="B47" i="24"/>
  <c r="B9"/>
  <c r="B20" i="31"/>
  <c r="A538" i="24"/>
  <c r="A47"/>
  <c r="A9"/>
  <c r="A20" i="31"/>
  <c r="BI70" i="17"/>
  <c r="BI537" i="24"/>
  <c r="BI46"/>
  <c r="BH70" i="17"/>
  <c r="BH537" i="24"/>
  <c r="BI54"/>
  <c r="BI62"/>
  <c r="BF70" i="17"/>
  <c r="BF537" i="24"/>
  <c r="BI70"/>
  <c r="BI78"/>
  <c r="BI85"/>
  <c r="BI92"/>
  <c r="BB70" i="17"/>
  <c r="BB537" i="24"/>
  <c r="BI100"/>
  <c r="BI108"/>
  <c r="AZ70" i="17"/>
  <c r="AZ537" i="24"/>
  <c r="BI116"/>
  <c r="BI124"/>
  <c r="AX70" i="17"/>
  <c r="AX537" i="24"/>
  <c r="BI132"/>
  <c r="BI140"/>
  <c r="AV70" i="17"/>
  <c r="AV537" i="24"/>
  <c r="BI148"/>
  <c r="BI156"/>
  <c r="BI164"/>
  <c r="AS70" i="17"/>
  <c r="AS537" i="24"/>
  <c r="BI172"/>
  <c r="BI180"/>
  <c r="BI188"/>
  <c r="AP70" i="17"/>
  <c r="AP537" i="24"/>
  <c r="BI196"/>
  <c r="BI204"/>
  <c r="AN70" i="17"/>
  <c r="AN537" i="24"/>
  <c r="BI212"/>
  <c r="BI220"/>
  <c r="AL70" i="17"/>
  <c r="AL537" i="24"/>
  <c r="BI228"/>
  <c r="BI236"/>
  <c r="AJ70" i="17"/>
  <c r="AJ537" i="24"/>
  <c r="BI244"/>
  <c r="AI70" i="17"/>
  <c r="AI537" i="24"/>
  <c r="BI252"/>
  <c r="AH70" i="17"/>
  <c r="AH537" i="24"/>
  <c r="BI260"/>
  <c r="AG70" i="17"/>
  <c r="AG537" i="24"/>
  <c r="BI268"/>
  <c r="AF70" i="17"/>
  <c r="AF537" i="24"/>
  <c r="BI276"/>
  <c r="AE70" i="17"/>
  <c r="AE537" i="24"/>
  <c r="BI284"/>
  <c r="BI292"/>
  <c r="AC70" i="17"/>
  <c r="AC537" i="24"/>
  <c r="BI300"/>
  <c r="BI308"/>
  <c r="AA70" i="17"/>
  <c r="AA537" i="24"/>
  <c r="BI316"/>
  <c r="BI324"/>
  <c r="Y70" i="17"/>
  <c r="Y537" i="24"/>
  <c r="BI332"/>
  <c r="X70" i="17"/>
  <c r="X537" i="24"/>
  <c r="BI340"/>
  <c r="BI348"/>
  <c r="V70" i="17"/>
  <c r="V537" i="24"/>
  <c r="BI356"/>
  <c r="BI364"/>
  <c r="T70" i="17"/>
  <c r="T537" i="24"/>
  <c r="BI372"/>
  <c r="S70" i="17"/>
  <c r="S537" i="24"/>
  <c r="BI380"/>
  <c r="BI388"/>
  <c r="Q70" i="17"/>
  <c r="Q537" i="24"/>
  <c r="BI396"/>
  <c r="P70" i="17"/>
  <c r="P537" i="24"/>
  <c r="BI404"/>
  <c r="BI412"/>
  <c r="N70" i="17"/>
  <c r="N537" i="24"/>
  <c r="BI420"/>
  <c r="M70" i="17"/>
  <c r="M537" i="24"/>
  <c r="BI428"/>
  <c r="BI436"/>
  <c r="K70" i="17"/>
  <c r="K537" i="24"/>
  <c r="BI444"/>
  <c r="J70" i="17"/>
  <c r="J537" i="24"/>
  <c r="BI452"/>
  <c r="BI460"/>
  <c r="BI468"/>
  <c r="G70" i="17"/>
  <c r="G537" i="24"/>
  <c r="BI476"/>
  <c r="BI484"/>
  <c r="BI492"/>
  <c r="D70" i="17"/>
  <c r="D537" i="24"/>
  <c r="BI500"/>
  <c r="BI508"/>
  <c r="B70" i="17"/>
  <c r="B537" i="24"/>
  <c r="BI516"/>
  <c r="BI8"/>
  <c r="BI19" i="31"/>
  <c r="BH46" i="24"/>
  <c r="BG70" i="17"/>
  <c r="BG537" i="24"/>
  <c r="BH54"/>
  <c r="BH62"/>
  <c r="BE70" i="17"/>
  <c r="BE537" i="24"/>
  <c r="BH70"/>
  <c r="BH78"/>
  <c r="BH85"/>
  <c r="BH92"/>
  <c r="BA70" i="17"/>
  <c r="BA537" i="24"/>
  <c r="BH100"/>
  <c r="BH108"/>
  <c r="AY70" i="17"/>
  <c r="AY537" i="24"/>
  <c r="BH116"/>
  <c r="BH124"/>
  <c r="AW70" i="17"/>
  <c r="AW537" i="24"/>
  <c r="BH132"/>
  <c r="BH140"/>
  <c r="AU70" i="17"/>
  <c r="AU537" i="24"/>
  <c r="BH148"/>
  <c r="BH156"/>
  <c r="BH164"/>
  <c r="AR70" i="17"/>
  <c r="AR537" i="24"/>
  <c r="BH172"/>
  <c r="BH180"/>
  <c r="BH188"/>
  <c r="AO70" i="17"/>
  <c r="AO537" i="24"/>
  <c r="BH196"/>
  <c r="BH204"/>
  <c r="AM70" i="17"/>
  <c r="AM537" i="24"/>
  <c r="BH212"/>
  <c r="BH220"/>
  <c r="AK70" i="17"/>
  <c r="AK537" i="24"/>
  <c r="BH228"/>
  <c r="BH236"/>
  <c r="BH244"/>
  <c r="BH252"/>
  <c r="BH260"/>
  <c r="BH268"/>
  <c r="BH276"/>
  <c r="AD70" i="17"/>
  <c r="AD537" i="24"/>
  <c r="BH284"/>
  <c r="BH292"/>
  <c r="AB70" i="17"/>
  <c r="AB537" i="24"/>
  <c r="BH300"/>
  <c r="BH308"/>
  <c r="Z70" i="17"/>
  <c r="Z537" i="24"/>
  <c r="BH316"/>
  <c r="BH324"/>
  <c r="BH332"/>
  <c r="W70" i="17"/>
  <c r="W537" i="24"/>
  <c r="BH340"/>
  <c r="BH348"/>
  <c r="U70" i="17"/>
  <c r="U537" i="24"/>
  <c r="BH356"/>
  <c r="BH364"/>
  <c r="BH372"/>
  <c r="R70" i="17"/>
  <c r="R537" i="24"/>
  <c r="BH380"/>
  <c r="BH388"/>
  <c r="BH396"/>
  <c r="O70" i="17"/>
  <c r="O537" i="24"/>
  <c r="BH404"/>
  <c r="BH412"/>
  <c r="BH420"/>
  <c r="L70" i="17"/>
  <c r="L537" i="24"/>
  <c r="BH428"/>
  <c r="BH436"/>
  <c r="BH444"/>
  <c r="I70" i="17"/>
  <c r="I537" i="24"/>
  <c r="BH452"/>
  <c r="BH460"/>
  <c r="BH468"/>
  <c r="F70" i="17"/>
  <c r="F537" i="24"/>
  <c r="BH476"/>
  <c r="BH484"/>
  <c r="BH492"/>
  <c r="C70" i="17"/>
  <c r="C537" i="24"/>
  <c r="BH500"/>
  <c r="BH508"/>
  <c r="BH8"/>
  <c r="BH19" i="31"/>
  <c r="BG46" i="24"/>
  <c r="BG54"/>
  <c r="BG62"/>
  <c r="BD70" i="17"/>
  <c r="BD537" i="24"/>
  <c r="BG70"/>
  <c r="BG78"/>
  <c r="BG85"/>
  <c r="BG92"/>
  <c r="BG100"/>
  <c r="BG108"/>
  <c r="BG116"/>
  <c r="BG124"/>
  <c r="BG132"/>
  <c r="BG140"/>
  <c r="AT70" i="17"/>
  <c r="AT537" i="24"/>
  <c r="BG148"/>
  <c r="BG156"/>
  <c r="BG164"/>
  <c r="AQ70" i="17"/>
  <c r="AQ537" i="24"/>
  <c r="BG172"/>
  <c r="BG180"/>
  <c r="BG188"/>
  <c r="BG196"/>
  <c r="BG204"/>
  <c r="BG212"/>
  <c r="BG220"/>
  <c r="BG228"/>
  <c r="BG236"/>
  <c r="BG244"/>
  <c r="BG252"/>
  <c r="BG260"/>
  <c r="BG268"/>
  <c r="BG276"/>
  <c r="BG284"/>
  <c r="BG292"/>
  <c r="BG300"/>
  <c r="BG308"/>
  <c r="BG316"/>
  <c r="BG324"/>
  <c r="BG332"/>
  <c r="BG340"/>
  <c r="BG348"/>
  <c r="BG356"/>
  <c r="BG364"/>
  <c r="BG372"/>
  <c r="BG380"/>
  <c r="BG388"/>
  <c r="BG396"/>
  <c r="BG404"/>
  <c r="BG412"/>
  <c r="BG420"/>
  <c r="BG428"/>
  <c r="BG436"/>
  <c r="BG444"/>
  <c r="H70" i="17"/>
  <c r="H537" i="24"/>
  <c r="BG452"/>
  <c r="BG460"/>
  <c r="BG468"/>
  <c r="E70" i="17"/>
  <c r="E537" i="24"/>
  <c r="BG476"/>
  <c r="BG484"/>
  <c r="BG492"/>
  <c r="BG500"/>
  <c r="BG8"/>
  <c r="BG19" i="31"/>
  <c r="BF46" i="24"/>
  <c r="BF54"/>
  <c r="BF62"/>
  <c r="BC70" i="17"/>
  <c r="BC537" i="24"/>
  <c r="BF70"/>
  <c r="BF78"/>
  <c r="BF85"/>
  <c r="BF92"/>
  <c r="BF100"/>
  <c r="BF108"/>
  <c r="BF116"/>
  <c r="BF124"/>
  <c r="BF132"/>
  <c r="BF140"/>
  <c r="BF148"/>
  <c r="BF156"/>
  <c r="BF164"/>
  <c r="BF172"/>
  <c r="BF180"/>
  <c r="BF188"/>
  <c r="BF196"/>
  <c r="BF204"/>
  <c r="BF212"/>
  <c r="BF220"/>
  <c r="BF228"/>
  <c r="BF236"/>
  <c r="BF244"/>
  <c r="BF252"/>
  <c r="BF260"/>
  <c r="BF268"/>
  <c r="BF276"/>
  <c r="BF284"/>
  <c r="BF292"/>
  <c r="BF300"/>
  <c r="BF308"/>
  <c r="BF316"/>
  <c r="BF324"/>
  <c r="BF332"/>
  <c r="BF340"/>
  <c r="BF348"/>
  <c r="BF356"/>
  <c r="BF364"/>
  <c r="BF372"/>
  <c r="BF380"/>
  <c r="BF388"/>
  <c r="BF396"/>
  <c r="BF404"/>
  <c r="BF412"/>
  <c r="BF420"/>
  <c r="BF428"/>
  <c r="BF436"/>
  <c r="BF444"/>
  <c r="BF452"/>
  <c r="BF460"/>
  <c r="BF468"/>
  <c r="BF476"/>
  <c r="BF484"/>
  <c r="BF492"/>
  <c r="BF8"/>
  <c r="BF19" i="31"/>
  <c r="BE46" i="24"/>
  <c r="BE54"/>
  <c r="BE62"/>
  <c r="BE70"/>
  <c r="BE78"/>
  <c r="BE85"/>
  <c r="BE92"/>
  <c r="BE100"/>
  <c r="BE108"/>
  <c r="BE116"/>
  <c r="BE124"/>
  <c r="BE132"/>
  <c r="BE140"/>
  <c r="BE148"/>
  <c r="BE156"/>
  <c r="BE164"/>
  <c r="BE172"/>
  <c r="BE180"/>
  <c r="BE188"/>
  <c r="BE196"/>
  <c r="BE204"/>
  <c r="BE212"/>
  <c r="BE220"/>
  <c r="BE228"/>
  <c r="BE236"/>
  <c r="BE244"/>
  <c r="BE252"/>
  <c r="BE260"/>
  <c r="BE268"/>
  <c r="BE276"/>
  <c r="BE284"/>
  <c r="BE292"/>
  <c r="BE300"/>
  <c r="BE308"/>
  <c r="BE316"/>
  <c r="BE324"/>
  <c r="BE332"/>
  <c r="BE340"/>
  <c r="BE348"/>
  <c r="BE356"/>
  <c r="BE364"/>
  <c r="BE372"/>
  <c r="BE380"/>
  <c r="BE388"/>
  <c r="BE396"/>
  <c r="BE404"/>
  <c r="BE412"/>
  <c r="BE420"/>
  <c r="BE428"/>
  <c r="BE436"/>
  <c r="BE444"/>
  <c r="BE452"/>
  <c r="BE460"/>
  <c r="BE468"/>
  <c r="BE476"/>
  <c r="BE484"/>
  <c r="BE8"/>
  <c r="BE19" i="31"/>
  <c r="BD46" i="24"/>
  <c r="BD54"/>
  <c r="BD62"/>
  <c r="BD70"/>
  <c r="BD78"/>
  <c r="BD85"/>
  <c r="BD92"/>
  <c r="BD100"/>
  <c r="BD108"/>
  <c r="BD116"/>
  <c r="BD124"/>
  <c r="BD132"/>
  <c r="BD140"/>
  <c r="BD148"/>
  <c r="BD156"/>
  <c r="BD164"/>
  <c r="BD172"/>
  <c r="BD180"/>
  <c r="BD188"/>
  <c r="BD196"/>
  <c r="BD204"/>
  <c r="BD212"/>
  <c r="BD220"/>
  <c r="BD228"/>
  <c r="BD236"/>
  <c r="BD244"/>
  <c r="BD252"/>
  <c r="BD260"/>
  <c r="BD268"/>
  <c r="BD276"/>
  <c r="BD284"/>
  <c r="BD292"/>
  <c r="BD300"/>
  <c r="BD308"/>
  <c r="BD316"/>
  <c r="BD324"/>
  <c r="BD332"/>
  <c r="BD340"/>
  <c r="BD348"/>
  <c r="BD356"/>
  <c r="BD364"/>
  <c r="BD372"/>
  <c r="BD380"/>
  <c r="BD388"/>
  <c r="BD396"/>
  <c r="BD404"/>
  <c r="BD412"/>
  <c r="BD420"/>
  <c r="BD428"/>
  <c r="BD436"/>
  <c r="BD444"/>
  <c r="BD452"/>
  <c r="BD460"/>
  <c r="BD468"/>
  <c r="BD476"/>
  <c r="BD8"/>
  <c r="BD19" i="31"/>
  <c r="BC46" i="24"/>
  <c r="BC54"/>
  <c r="BC62"/>
  <c r="BC70"/>
  <c r="BC78"/>
  <c r="BC85"/>
  <c r="BC92"/>
  <c r="BC100"/>
  <c r="BC108"/>
  <c r="BC116"/>
  <c r="BC124"/>
  <c r="BC132"/>
  <c r="BC140"/>
  <c r="BC148"/>
  <c r="BC156"/>
  <c r="BC164"/>
  <c r="BC172"/>
  <c r="BC180"/>
  <c r="BC188"/>
  <c r="BC196"/>
  <c r="BC204"/>
  <c r="BC212"/>
  <c r="BC220"/>
  <c r="BC228"/>
  <c r="BC236"/>
  <c r="BC244"/>
  <c r="BC252"/>
  <c r="BC260"/>
  <c r="BC268"/>
  <c r="BC276"/>
  <c r="BC284"/>
  <c r="BC292"/>
  <c r="BC300"/>
  <c r="BC308"/>
  <c r="BC316"/>
  <c r="BC324"/>
  <c r="BC332"/>
  <c r="BC340"/>
  <c r="BC348"/>
  <c r="BC356"/>
  <c r="BC364"/>
  <c r="BC372"/>
  <c r="BC380"/>
  <c r="BC388"/>
  <c r="BC396"/>
  <c r="BC404"/>
  <c r="BC412"/>
  <c r="BC420"/>
  <c r="BC428"/>
  <c r="BC436"/>
  <c r="BC444"/>
  <c r="BC452"/>
  <c r="BC460"/>
  <c r="BC468"/>
  <c r="BC8"/>
  <c r="BC19" i="31"/>
  <c r="BB46" i="24"/>
  <c r="BB54"/>
  <c r="BB62"/>
  <c r="BB70"/>
  <c r="BB78"/>
  <c r="BB85"/>
  <c r="BB92"/>
  <c r="BB100"/>
  <c r="BB108"/>
  <c r="BB116"/>
  <c r="BB124"/>
  <c r="BB132"/>
  <c r="BB140"/>
  <c r="BB148"/>
  <c r="BB156"/>
  <c r="BB164"/>
  <c r="BB172"/>
  <c r="BB180"/>
  <c r="BB188"/>
  <c r="BB196"/>
  <c r="BB204"/>
  <c r="BB212"/>
  <c r="BB220"/>
  <c r="BB228"/>
  <c r="BB236"/>
  <c r="BB244"/>
  <c r="BB252"/>
  <c r="BB260"/>
  <c r="BB268"/>
  <c r="BB276"/>
  <c r="BB284"/>
  <c r="BB292"/>
  <c r="BB300"/>
  <c r="BB308"/>
  <c r="BB316"/>
  <c r="BB324"/>
  <c r="BB332"/>
  <c r="BB340"/>
  <c r="BB348"/>
  <c r="BB356"/>
  <c r="BB364"/>
  <c r="BB372"/>
  <c r="BB380"/>
  <c r="BB388"/>
  <c r="BB396"/>
  <c r="BB404"/>
  <c r="BB412"/>
  <c r="BB420"/>
  <c r="BB428"/>
  <c r="BB436"/>
  <c r="BB444"/>
  <c r="BB452"/>
  <c r="BB460"/>
  <c r="BB8"/>
  <c r="BB19" i="31"/>
  <c r="BA46" i="24"/>
  <c r="BA54"/>
  <c r="BA62"/>
  <c r="BA70"/>
  <c r="BA78"/>
  <c r="BA85"/>
  <c r="BA92"/>
  <c r="BA100"/>
  <c r="BA108"/>
  <c r="BA116"/>
  <c r="BA124"/>
  <c r="BA132"/>
  <c r="BA140"/>
  <c r="BA148"/>
  <c r="BA156"/>
  <c r="BA164"/>
  <c r="BA172"/>
  <c r="BA180"/>
  <c r="BA188"/>
  <c r="BA196"/>
  <c r="BA204"/>
  <c r="BA212"/>
  <c r="BA220"/>
  <c r="BA228"/>
  <c r="BA236"/>
  <c r="BA244"/>
  <c r="BA252"/>
  <c r="BA260"/>
  <c r="BA268"/>
  <c r="BA276"/>
  <c r="BA284"/>
  <c r="BA292"/>
  <c r="BA300"/>
  <c r="BA308"/>
  <c r="BA316"/>
  <c r="BA324"/>
  <c r="BA332"/>
  <c r="BA340"/>
  <c r="BA348"/>
  <c r="BA356"/>
  <c r="BA364"/>
  <c r="BA372"/>
  <c r="BA380"/>
  <c r="BA388"/>
  <c r="BA396"/>
  <c r="BA404"/>
  <c r="BA412"/>
  <c r="BA420"/>
  <c r="BA428"/>
  <c r="BA436"/>
  <c r="BA444"/>
  <c r="BA452"/>
  <c r="BA8"/>
  <c r="BA19" i="31"/>
  <c r="AZ46" i="24"/>
  <c r="AZ54"/>
  <c r="AZ62"/>
  <c r="AZ70"/>
  <c r="AZ78"/>
  <c r="AZ85"/>
  <c r="AZ92"/>
  <c r="AZ100"/>
  <c r="AZ108"/>
  <c r="AZ116"/>
  <c r="AZ124"/>
  <c r="AZ132"/>
  <c r="AZ140"/>
  <c r="AZ148"/>
  <c r="AZ156"/>
  <c r="AZ164"/>
  <c r="AZ172"/>
  <c r="AZ180"/>
  <c r="AZ188"/>
  <c r="AZ196"/>
  <c r="AZ204"/>
  <c r="AZ212"/>
  <c r="AZ220"/>
  <c r="AZ228"/>
  <c r="AZ236"/>
  <c r="AZ244"/>
  <c r="AZ252"/>
  <c r="AZ260"/>
  <c r="AZ268"/>
  <c r="AZ276"/>
  <c r="AZ284"/>
  <c r="AZ292"/>
  <c r="AZ300"/>
  <c r="AZ308"/>
  <c r="AZ316"/>
  <c r="AZ324"/>
  <c r="AZ332"/>
  <c r="AZ340"/>
  <c r="AZ348"/>
  <c r="AZ356"/>
  <c r="AZ364"/>
  <c r="AZ372"/>
  <c r="AZ380"/>
  <c r="AZ388"/>
  <c r="AZ396"/>
  <c r="AZ404"/>
  <c r="AZ412"/>
  <c r="AZ420"/>
  <c r="AZ428"/>
  <c r="AZ436"/>
  <c r="AZ444"/>
  <c r="AZ8"/>
  <c r="AZ19" i="31"/>
  <c r="AY46" i="24"/>
  <c r="AY54"/>
  <c r="AY62"/>
  <c r="AY70"/>
  <c r="AY78"/>
  <c r="AY85"/>
  <c r="AY92"/>
  <c r="AY100"/>
  <c r="AY108"/>
  <c r="AY116"/>
  <c r="AY124"/>
  <c r="AY132"/>
  <c r="AY140"/>
  <c r="AY148"/>
  <c r="AY156"/>
  <c r="AY164"/>
  <c r="AY172"/>
  <c r="AY180"/>
  <c r="AY188"/>
  <c r="AY196"/>
  <c r="AY204"/>
  <c r="AY212"/>
  <c r="AY220"/>
  <c r="AY228"/>
  <c r="AY236"/>
  <c r="AY244"/>
  <c r="AY252"/>
  <c r="AY260"/>
  <c r="AY268"/>
  <c r="AY276"/>
  <c r="AY284"/>
  <c r="AY292"/>
  <c r="AY300"/>
  <c r="AY308"/>
  <c r="AY316"/>
  <c r="AY324"/>
  <c r="AY332"/>
  <c r="AY340"/>
  <c r="AY348"/>
  <c r="AY356"/>
  <c r="AY364"/>
  <c r="AY372"/>
  <c r="AY380"/>
  <c r="AY388"/>
  <c r="AY396"/>
  <c r="AY404"/>
  <c r="AY412"/>
  <c r="AY420"/>
  <c r="AY428"/>
  <c r="AY436"/>
  <c r="AY8"/>
  <c r="AY19" i="31"/>
  <c r="AX46" i="24"/>
  <c r="AX54"/>
  <c r="AX62"/>
  <c r="AX70"/>
  <c r="AX78"/>
  <c r="AX85"/>
  <c r="AX92"/>
  <c r="AX100"/>
  <c r="AX108"/>
  <c r="AX116"/>
  <c r="AX124"/>
  <c r="AX132"/>
  <c r="AX140"/>
  <c r="AX148"/>
  <c r="AX156"/>
  <c r="AX164"/>
  <c r="AX172"/>
  <c r="AX180"/>
  <c r="AX188"/>
  <c r="AX196"/>
  <c r="AX204"/>
  <c r="AX212"/>
  <c r="AX220"/>
  <c r="AX228"/>
  <c r="AX236"/>
  <c r="AX244"/>
  <c r="AX252"/>
  <c r="AX260"/>
  <c r="AX268"/>
  <c r="AX276"/>
  <c r="AX284"/>
  <c r="AX292"/>
  <c r="AX300"/>
  <c r="AX308"/>
  <c r="AX316"/>
  <c r="AX324"/>
  <c r="AX332"/>
  <c r="AX340"/>
  <c r="AX348"/>
  <c r="AX356"/>
  <c r="AX364"/>
  <c r="AX372"/>
  <c r="AX380"/>
  <c r="AX388"/>
  <c r="AX396"/>
  <c r="AX404"/>
  <c r="AX412"/>
  <c r="AX420"/>
  <c r="AX428"/>
  <c r="AX8"/>
  <c r="AX19" i="31"/>
  <c r="AW46" i="24"/>
  <c r="AW54"/>
  <c r="AW62"/>
  <c r="AW70"/>
  <c r="AW78"/>
  <c r="AW85"/>
  <c r="AW92"/>
  <c r="AW100"/>
  <c r="AW108"/>
  <c r="AW116"/>
  <c r="AW124"/>
  <c r="AW132"/>
  <c r="AW140"/>
  <c r="AW148"/>
  <c r="AW156"/>
  <c r="AW164"/>
  <c r="AW172"/>
  <c r="AW180"/>
  <c r="AW188"/>
  <c r="AW196"/>
  <c r="AW204"/>
  <c r="AW212"/>
  <c r="AW220"/>
  <c r="AW228"/>
  <c r="AW236"/>
  <c r="AW244"/>
  <c r="AW252"/>
  <c r="AW260"/>
  <c r="AW268"/>
  <c r="AW276"/>
  <c r="AW284"/>
  <c r="AW292"/>
  <c r="AW300"/>
  <c r="AW308"/>
  <c r="AW316"/>
  <c r="AW324"/>
  <c r="AW332"/>
  <c r="AW340"/>
  <c r="AW348"/>
  <c r="AW356"/>
  <c r="AW364"/>
  <c r="AW372"/>
  <c r="AW380"/>
  <c r="AW388"/>
  <c r="AW396"/>
  <c r="AW404"/>
  <c r="AW412"/>
  <c r="AW420"/>
  <c r="AW8"/>
  <c r="AW19" i="31"/>
  <c r="AV46" i="24"/>
  <c r="AV54"/>
  <c r="AV62"/>
  <c r="AV70"/>
  <c r="AV78"/>
  <c r="AV85"/>
  <c r="AV92"/>
  <c r="AV100"/>
  <c r="AV108"/>
  <c r="AV116"/>
  <c r="AV124"/>
  <c r="AV132"/>
  <c r="AV140"/>
  <c r="AV148"/>
  <c r="AV156"/>
  <c r="AV164"/>
  <c r="AV172"/>
  <c r="AV180"/>
  <c r="AV188"/>
  <c r="AV196"/>
  <c r="AV204"/>
  <c r="AV212"/>
  <c r="AV220"/>
  <c r="AV228"/>
  <c r="AV236"/>
  <c r="AV244"/>
  <c r="AV252"/>
  <c r="AV260"/>
  <c r="AV268"/>
  <c r="AV276"/>
  <c r="AV284"/>
  <c r="AV292"/>
  <c r="AV300"/>
  <c r="AV308"/>
  <c r="AV316"/>
  <c r="AV324"/>
  <c r="AV332"/>
  <c r="AV340"/>
  <c r="AV348"/>
  <c r="AV356"/>
  <c r="AV364"/>
  <c r="AV372"/>
  <c r="AV380"/>
  <c r="AV388"/>
  <c r="AV396"/>
  <c r="AV404"/>
  <c r="AV412"/>
  <c r="AV8"/>
  <c r="AV19" i="31"/>
  <c r="AU46" i="24"/>
  <c r="AU54"/>
  <c r="AU62"/>
  <c r="AU70"/>
  <c r="AU78"/>
  <c r="AU85"/>
  <c r="AU92"/>
  <c r="AU100"/>
  <c r="AU108"/>
  <c r="AU116"/>
  <c r="AU124"/>
  <c r="AU132"/>
  <c r="AU140"/>
  <c r="AU148"/>
  <c r="AU156"/>
  <c r="AU164"/>
  <c r="AU172"/>
  <c r="AU180"/>
  <c r="AU188"/>
  <c r="AU196"/>
  <c r="AU204"/>
  <c r="AU212"/>
  <c r="AU220"/>
  <c r="AU228"/>
  <c r="AU236"/>
  <c r="AU244"/>
  <c r="AU252"/>
  <c r="AU260"/>
  <c r="AU268"/>
  <c r="AU276"/>
  <c r="AU284"/>
  <c r="AU292"/>
  <c r="AU300"/>
  <c r="AU308"/>
  <c r="AU316"/>
  <c r="AU324"/>
  <c r="AU332"/>
  <c r="AU340"/>
  <c r="AU348"/>
  <c r="AU356"/>
  <c r="AU364"/>
  <c r="AU372"/>
  <c r="AU380"/>
  <c r="AU388"/>
  <c r="AU396"/>
  <c r="AU404"/>
  <c r="AU8"/>
  <c r="AU19" i="31"/>
  <c r="AT46" i="24"/>
  <c r="AT54"/>
  <c r="AT62"/>
  <c r="AT70"/>
  <c r="AT78"/>
  <c r="AT85"/>
  <c r="AT92"/>
  <c r="AT100"/>
  <c r="AT108"/>
  <c r="AT116"/>
  <c r="AT124"/>
  <c r="AT132"/>
  <c r="AT140"/>
  <c r="AT148"/>
  <c r="AT156"/>
  <c r="AT164"/>
  <c r="AT172"/>
  <c r="AT180"/>
  <c r="AT188"/>
  <c r="AT196"/>
  <c r="AT204"/>
  <c r="AT212"/>
  <c r="AT220"/>
  <c r="AT228"/>
  <c r="AT236"/>
  <c r="AT244"/>
  <c r="AT252"/>
  <c r="AT260"/>
  <c r="AT268"/>
  <c r="AT276"/>
  <c r="AT284"/>
  <c r="AT292"/>
  <c r="AT300"/>
  <c r="AT308"/>
  <c r="AT316"/>
  <c r="AT324"/>
  <c r="AT332"/>
  <c r="AT340"/>
  <c r="AT348"/>
  <c r="AT356"/>
  <c r="AT364"/>
  <c r="AT372"/>
  <c r="AT380"/>
  <c r="AT388"/>
  <c r="AT396"/>
  <c r="AT8"/>
  <c r="AT19" i="31"/>
  <c r="AS46" i="24"/>
  <c r="AS54"/>
  <c r="AS62"/>
  <c r="AS70"/>
  <c r="AS78"/>
  <c r="AS85"/>
  <c r="AS92"/>
  <c r="AS100"/>
  <c r="AS108"/>
  <c r="AS116"/>
  <c r="AS124"/>
  <c r="AS132"/>
  <c r="AS140"/>
  <c r="AS148"/>
  <c r="AS156"/>
  <c r="AS164"/>
  <c r="AS172"/>
  <c r="AS180"/>
  <c r="AS188"/>
  <c r="AS196"/>
  <c r="AS204"/>
  <c r="AS212"/>
  <c r="AS220"/>
  <c r="AS228"/>
  <c r="AS236"/>
  <c r="AS244"/>
  <c r="AS252"/>
  <c r="AS260"/>
  <c r="AS268"/>
  <c r="AS276"/>
  <c r="AS284"/>
  <c r="AS292"/>
  <c r="AS300"/>
  <c r="AS308"/>
  <c r="AS316"/>
  <c r="AS324"/>
  <c r="AS332"/>
  <c r="AS340"/>
  <c r="AS348"/>
  <c r="AS356"/>
  <c r="AS364"/>
  <c r="AS372"/>
  <c r="AS380"/>
  <c r="AS388"/>
  <c r="AS8"/>
  <c r="AS19" i="31"/>
  <c r="AR46" i="24"/>
  <c r="AR54"/>
  <c r="AR62"/>
  <c r="AR70"/>
  <c r="AR78"/>
  <c r="AR85"/>
  <c r="AR92"/>
  <c r="AR100"/>
  <c r="AR108"/>
  <c r="AR116"/>
  <c r="AR124"/>
  <c r="AR132"/>
  <c r="AR140"/>
  <c r="AR148"/>
  <c r="AR156"/>
  <c r="AR164"/>
  <c r="AR172"/>
  <c r="AR180"/>
  <c r="AR188"/>
  <c r="AR196"/>
  <c r="AR204"/>
  <c r="AR212"/>
  <c r="AR220"/>
  <c r="AR228"/>
  <c r="AR236"/>
  <c r="AR244"/>
  <c r="AR252"/>
  <c r="AR260"/>
  <c r="AR268"/>
  <c r="AR276"/>
  <c r="AR284"/>
  <c r="AR292"/>
  <c r="AR300"/>
  <c r="AR308"/>
  <c r="AR316"/>
  <c r="AR324"/>
  <c r="AR332"/>
  <c r="AR340"/>
  <c r="AR348"/>
  <c r="AR356"/>
  <c r="AR364"/>
  <c r="AR372"/>
  <c r="AR380"/>
  <c r="AR8"/>
  <c r="AR19" i="31"/>
  <c r="AQ46" i="24"/>
  <c r="AQ54"/>
  <c r="AQ62"/>
  <c r="AQ70"/>
  <c r="AQ78"/>
  <c r="AQ85"/>
  <c r="AQ92"/>
  <c r="AQ100"/>
  <c r="AQ108"/>
  <c r="AQ116"/>
  <c r="AQ124"/>
  <c r="AQ132"/>
  <c r="AQ140"/>
  <c r="AQ148"/>
  <c r="AQ156"/>
  <c r="AQ164"/>
  <c r="AQ172"/>
  <c r="AQ180"/>
  <c r="AQ188"/>
  <c r="AQ196"/>
  <c r="AQ204"/>
  <c r="AQ212"/>
  <c r="AQ220"/>
  <c r="AQ228"/>
  <c r="AQ236"/>
  <c r="AQ244"/>
  <c r="AQ252"/>
  <c r="AQ260"/>
  <c r="AQ268"/>
  <c r="AQ276"/>
  <c r="AQ284"/>
  <c r="AQ292"/>
  <c r="AQ300"/>
  <c r="AQ308"/>
  <c r="AQ316"/>
  <c r="AQ324"/>
  <c r="AQ332"/>
  <c r="AQ340"/>
  <c r="AQ348"/>
  <c r="AQ356"/>
  <c r="AQ364"/>
  <c r="AQ372"/>
  <c r="AQ8"/>
  <c r="AQ19" i="31"/>
  <c r="AP46" i="24"/>
  <c r="AP54"/>
  <c r="AP62"/>
  <c r="AP70"/>
  <c r="AP78"/>
  <c r="AP85"/>
  <c r="AP92"/>
  <c r="AP100"/>
  <c r="AP108"/>
  <c r="AP116"/>
  <c r="AP124"/>
  <c r="AP132"/>
  <c r="AP140"/>
  <c r="AP148"/>
  <c r="AP156"/>
  <c r="AP164"/>
  <c r="AP172"/>
  <c r="AP180"/>
  <c r="AP188"/>
  <c r="AP196"/>
  <c r="AP204"/>
  <c r="AP212"/>
  <c r="AP220"/>
  <c r="AP228"/>
  <c r="AP236"/>
  <c r="AP244"/>
  <c r="AP252"/>
  <c r="AP260"/>
  <c r="AP268"/>
  <c r="AP276"/>
  <c r="AP284"/>
  <c r="AP292"/>
  <c r="AP300"/>
  <c r="AP308"/>
  <c r="AP316"/>
  <c r="AP324"/>
  <c r="AP332"/>
  <c r="AP340"/>
  <c r="AP348"/>
  <c r="AP356"/>
  <c r="AP364"/>
  <c r="AP8"/>
  <c r="AP19" i="31"/>
  <c r="AO46" i="24"/>
  <c r="AO54"/>
  <c r="AO62"/>
  <c r="AO70"/>
  <c r="AO78"/>
  <c r="AO85"/>
  <c r="AO92"/>
  <c r="AO100"/>
  <c r="AO108"/>
  <c r="AO116"/>
  <c r="AO124"/>
  <c r="AO132"/>
  <c r="AO140"/>
  <c r="AO148"/>
  <c r="AO156"/>
  <c r="AO164"/>
  <c r="AO172"/>
  <c r="AO180"/>
  <c r="AO188"/>
  <c r="AO196"/>
  <c r="AO204"/>
  <c r="AO212"/>
  <c r="AO220"/>
  <c r="AO228"/>
  <c r="AO236"/>
  <c r="AO244"/>
  <c r="AO252"/>
  <c r="AO260"/>
  <c r="AO268"/>
  <c r="AO276"/>
  <c r="AO284"/>
  <c r="AO292"/>
  <c r="AO300"/>
  <c r="AO308"/>
  <c r="AO316"/>
  <c r="AO324"/>
  <c r="AO332"/>
  <c r="AO340"/>
  <c r="AO348"/>
  <c r="AO356"/>
  <c r="AO8"/>
  <c r="AO19" i="31"/>
  <c r="AN46" i="24"/>
  <c r="AN54"/>
  <c r="AN62"/>
  <c r="AN70"/>
  <c r="AN78"/>
  <c r="AN85"/>
  <c r="AN92"/>
  <c r="AN100"/>
  <c r="AN108"/>
  <c r="AN116"/>
  <c r="AN124"/>
  <c r="AN132"/>
  <c r="AN140"/>
  <c r="AN148"/>
  <c r="AN156"/>
  <c r="AN164"/>
  <c r="AN172"/>
  <c r="AN180"/>
  <c r="AN188"/>
  <c r="AN196"/>
  <c r="AN204"/>
  <c r="AN212"/>
  <c r="AN220"/>
  <c r="AN228"/>
  <c r="AN236"/>
  <c r="AN244"/>
  <c r="AN252"/>
  <c r="AN260"/>
  <c r="AN268"/>
  <c r="AN276"/>
  <c r="AN284"/>
  <c r="AN292"/>
  <c r="AN300"/>
  <c r="AN308"/>
  <c r="AN316"/>
  <c r="AN324"/>
  <c r="AN332"/>
  <c r="AN340"/>
  <c r="AN348"/>
  <c r="AN8"/>
  <c r="AN19" i="31"/>
  <c r="AM46" i="24"/>
  <c r="AM54"/>
  <c r="AM62"/>
  <c r="AM70"/>
  <c r="AM78"/>
  <c r="AM85"/>
  <c r="AM92"/>
  <c r="AM100"/>
  <c r="AM108"/>
  <c r="AM116"/>
  <c r="AM124"/>
  <c r="AM132"/>
  <c r="AM140"/>
  <c r="AM148"/>
  <c r="AM156"/>
  <c r="AM164"/>
  <c r="AM172"/>
  <c r="AM180"/>
  <c r="AM188"/>
  <c r="AM196"/>
  <c r="AM204"/>
  <c r="AM212"/>
  <c r="AM220"/>
  <c r="AM228"/>
  <c r="AM236"/>
  <c r="AM244"/>
  <c r="AM252"/>
  <c r="AM260"/>
  <c r="AM268"/>
  <c r="AM276"/>
  <c r="AM284"/>
  <c r="AM292"/>
  <c r="AM300"/>
  <c r="AM308"/>
  <c r="AM316"/>
  <c r="AM324"/>
  <c r="AM332"/>
  <c r="AM340"/>
  <c r="AM8"/>
  <c r="AM19" i="31"/>
  <c r="AL46" i="24"/>
  <c r="AL54"/>
  <c r="AL62"/>
  <c r="AL70"/>
  <c r="AL78"/>
  <c r="AL85"/>
  <c r="AL92"/>
  <c r="AL100"/>
  <c r="AL108"/>
  <c r="AL116"/>
  <c r="AL124"/>
  <c r="AL132"/>
  <c r="AL140"/>
  <c r="AL148"/>
  <c r="AL156"/>
  <c r="AL164"/>
  <c r="AL172"/>
  <c r="AL180"/>
  <c r="AL188"/>
  <c r="AL196"/>
  <c r="AL204"/>
  <c r="AL212"/>
  <c r="AL220"/>
  <c r="AL228"/>
  <c r="AL236"/>
  <c r="AL244"/>
  <c r="AL252"/>
  <c r="AL260"/>
  <c r="AL268"/>
  <c r="AL276"/>
  <c r="AL284"/>
  <c r="AL292"/>
  <c r="AL300"/>
  <c r="AL308"/>
  <c r="AL316"/>
  <c r="AL324"/>
  <c r="AL332"/>
  <c r="AL8"/>
  <c r="AL19" i="31"/>
  <c r="AK46" i="24"/>
  <c r="AK54"/>
  <c r="AK62"/>
  <c r="AK70"/>
  <c r="AK78"/>
  <c r="AK85"/>
  <c r="AK92"/>
  <c r="AK100"/>
  <c r="AK108"/>
  <c r="AK116"/>
  <c r="AK124"/>
  <c r="AK132"/>
  <c r="AK140"/>
  <c r="AK148"/>
  <c r="AK156"/>
  <c r="AK164"/>
  <c r="AK172"/>
  <c r="AK180"/>
  <c r="AK188"/>
  <c r="AK196"/>
  <c r="AK204"/>
  <c r="AK212"/>
  <c r="AK220"/>
  <c r="AK228"/>
  <c r="AK236"/>
  <c r="AK244"/>
  <c r="AK252"/>
  <c r="AK260"/>
  <c r="AK268"/>
  <c r="AK276"/>
  <c r="AK284"/>
  <c r="AK292"/>
  <c r="AK300"/>
  <c r="AK308"/>
  <c r="AK316"/>
  <c r="AK324"/>
  <c r="AK8"/>
  <c r="AK19" i="31"/>
  <c r="AJ46" i="24"/>
  <c r="AJ54"/>
  <c r="AJ62"/>
  <c r="AJ70"/>
  <c r="AJ78"/>
  <c r="AJ85"/>
  <c r="AJ92"/>
  <c r="AJ100"/>
  <c r="AJ108"/>
  <c r="AJ116"/>
  <c r="AJ124"/>
  <c r="AJ132"/>
  <c r="AJ140"/>
  <c r="AJ148"/>
  <c r="AJ156"/>
  <c r="AJ164"/>
  <c r="AJ172"/>
  <c r="AJ180"/>
  <c r="AJ188"/>
  <c r="AJ196"/>
  <c r="AJ204"/>
  <c r="AJ212"/>
  <c r="AJ220"/>
  <c r="AJ228"/>
  <c r="AJ236"/>
  <c r="AJ244"/>
  <c r="AJ252"/>
  <c r="AJ260"/>
  <c r="AJ268"/>
  <c r="AJ276"/>
  <c r="AJ284"/>
  <c r="AJ292"/>
  <c r="AJ300"/>
  <c r="AJ308"/>
  <c r="AJ316"/>
  <c r="AJ8"/>
  <c r="AJ19" i="31"/>
  <c r="AI46" i="24"/>
  <c r="AI54"/>
  <c r="AI62"/>
  <c r="AI70"/>
  <c r="AI78"/>
  <c r="AI85"/>
  <c r="AI92"/>
  <c r="AI100"/>
  <c r="AI108"/>
  <c r="AI116"/>
  <c r="AI124"/>
  <c r="AI132"/>
  <c r="AI140"/>
  <c r="AI148"/>
  <c r="AI156"/>
  <c r="AI164"/>
  <c r="AI172"/>
  <c r="AI180"/>
  <c r="AI188"/>
  <c r="AI196"/>
  <c r="AI204"/>
  <c r="AI212"/>
  <c r="AI220"/>
  <c r="AI228"/>
  <c r="AI236"/>
  <c r="AI244"/>
  <c r="AI252"/>
  <c r="AI260"/>
  <c r="AI268"/>
  <c r="AI276"/>
  <c r="AI284"/>
  <c r="AI292"/>
  <c r="AI300"/>
  <c r="AI308"/>
  <c r="AI8"/>
  <c r="AI19" i="31"/>
  <c r="AH46" i="24"/>
  <c r="AH54"/>
  <c r="AH62"/>
  <c r="AH70"/>
  <c r="AH78"/>
  <c r="AH85"/>
  <c r="AH92"/>
  <c r="AH100"/>
  <c r="AH108"/>
  <c r="AH116"/>
  <c r="AH124"/>
  <c r="AH132"/>
  <c r="AH140"/>
  <c r="AH148"/>
  <c r="AH156"/>
  <c r="AH164"/>
  <c r="AH172"/>
  <c r="AH180"/>
  <c r="AH188"/>
  <c r="AH196"/>
  <c r="AH204"/>
  <c r="AH212"/>
  <c r="AH220"/>
  <c r="AH228"/>
  <c r="AH236"/>
  <c r="AH244"/>
  <c r="AH252"/>
  <c r="AH260"/>
  <c r="AH268"/>
  <c r="AH276"/>
  <c r="AH284"/>
  <c r="AH292"/>
  <c r="AH300"/>
  <c r="AH8"/>
  <c r="AH19" i="31"/>
  <c r="AG46" i="24"/>
  <c r="AG54"/>
  <c r="AG62"/>
  <c r="AG70"/>
  <c r="AG78"/>
  <c r="AG85"/>
  <c r="AG92"/>
  <c r="AG100"/>
  <c r="AG108"/>
  <c r="AG116"/>
  <c r="AG124"/>
  <c r="AG132"/>
  <c r="AG140"/>
  <c r="AG148"/>
  <c r="AG156"/>
  <c r="AG164"/>
  <c r="AG172"/>
  <c r="AG180"/>
  <c r="AG188"/>
  <c r="AG196"/>
  <c r="AG204"/>
  <c r="AG212"/>
  <c r="AG220"/>
  <c r="AG228"/>
  <c r="AG236"/>
  <c r="AG244"/>
  <c r="AG252"/>
  <c r="AG260"/>
  <c r="AG268"/>
  <c r="AG276"/>
  <c r="AG284"/>
  <c r="AG292"/>
  <c r="AG8"/>
  <c r="AG19" i="31"/>
  <c r="AF46" i="24"/>
  <c r="AF54"/>
  <c r="AF62"/>
  <c r="AF70"/>
  <c r="AF78"/>
  <c r="AF85"/>
  <c r="AF92"/>
  <c r="AF100"/>
  <c r="AF108"/>
  <c r="AF116"/>
  <c r="AF124"/>
  <c r="AF132"/>
  <c r="AF140"/>
  <c r="AF148"/>
  <c r="AF156"/>
  <c r="AF164"/>
  <c r="AF172"/>
  <c r="AF180"/>
  <c r="AF188"/>
  <c r="AF196"/>
  <c r="AF204"/>
  <c r="AF212"/>
  <c r="AF220"/>
  <c r="AF228"/>
  <c r="AF236"/>
  <c r="AF244"/>
  <c r="AF252"/>
  <c r="AF260"/>
  <c r="AF268"/>
  <c r="AF276"/>
  <c r="AF284"/>
  <c r="AF8"/>
  <c r="AF19" i="31"/>
  <c r="AE46" i="24"/>
  <c r="AE54"/>
  <c r="AE62"/>
  <c r="AE70"/>
  <c r="AE78"/>
  <c r="AE85"/>
  <c r="AE92"/>
  <c r="AE100"/>
  <c r="AE108"/>
  <c r="AE116"/>
  <c r="AE124"/>
  <c r="AE132"/>
  <c r="AE140"/>
  <c r="AE148"/>
  <c r="AE156"/>
  <c r="AE164"/>
  <c r="AE172"/>
  <c r="AE180"/>
  <c r="AE188"/>
  <c r="AE196"/>
  <c r="AE204"/>
  <c r="AE212"/>
  <c r="AE220"/>
  <c r="AE228"/>
  <c r="AE236"/>
  <c r="AE244"/>
  <c r="AE252"/>
  <c r="AE260"/>
  <c r="AE268"/>
  <c r="AE276"/>
  <c r="AE8"/>
  <c r="AE19" i="31"/>
  <c r="AD46" i="24"/>
  <c r="AD54"/>
  <c r="AD62"/>
  <c r="AD70"/>
  <c r="AD78"/>
  <c r="AD85"/>
  <c r="AD92"/>
  <c r="AD100"/>
  <c r="AD108"/>
  <c r="AD116"/>
  <c r="AD124"/>
  <c r="AD132"/>
  <c r="AD140"/>
  <c r="AD148"/>
  <c r="AD156"/>
  <c r="AD164"/>
  <c r="AD172"/>
  <c r="AD180"/>
  <c r="AD188"/>
  <c r="AD196"/>
  <c r="AD204"/>
  <c r="AD212"/>
  <c r="AD220"/>
  <c r="AD228"/>
  <c r="AD236"/>
  <c r="AD244"/>
  <c r="AD252"/>
  <c r="AD260"/>
  <c r="AD268"/>
  <c r="AD8"/>
  <c r="AD19" i="31"/>
  <c r="AC46" i="24"/>
  <c r="AC54"/>
  <c r="AC62"/>
  <c r="AC70"/>
  <c r="AC78"/>
  <c r="AC85"/>
  <c r="AC92"/>
  <c r="AC100"/>
  <c r="AC108"/>
  <c r="AC116"/>
  <c r="AC124"/>
  <c r="AC132"/>
  <c r="AC140"/>
  <c r="AC148"/>
  <c r="AC156"/>
  <c r="AC164"/>
  <c r="AC172"/>
  <c r="AC180"/>
  <c r="AC188"/>
  <c r="AC196"/>
  <c r="AC204"/>
  <c r="AC212"/>
  <c r="AC220"/>
  <c r="AC228"/>
  <c r="AC236"/>
  <c r="AC244"/>
  <c r="AC252"/>
  <c r="AC260"/>
  <c r="AC8"/>
  <c r="AC19" i="31"/>
  <c r="AB46" i="24"/>
  <c r="AB54"/>
  <c r="AB62"/>
  <c r="AB70"/>
  <c r="AB78"/>
  <c r="AB85"/>
  <c r="AB92"/>
  <c r="AB100"/>
  <c r="AB108"/>
  <c r="AB116"/>
  <c r="AB124"/>
  <c r="AB132"/>
  <c r="AB140"/>
  <c r="AB148"/>
  <c r="AB156"/>
  <c r="AB164"/>
  <c r="AB172"/>
  <c r="AB180"/>
  <c r="AB188"/>
  <c r="AB196"/>
  <c r="AB204"/>
  <c r="AB212"/>
  <c r="AB220"/>
  <c r="AB228"/>
  <c r="AB236"/>
  <c r="AB244"/>
  <c r="AB252"/>
  <c r="AB8"/>
  <c r="AB19" i="31"/>
  <c r="AA46" i="24"/>
  <c r="AA54"/>
  <c r="AA62"/>
  <c r="AA70"/>
  <c r="AA78"/>
  <c r="AA85"/>
  <c r="AA92"/>
  <c r="AA100"/>
  <c r="AA108"/>
  <c r="AA116"/>
  <c r="AA124"/>
  <c r="AA132"/>
  <c r="AA140"/>
  <c r="AA148"/>
  <c r="AA156"/>
  <c r="AA164"/>
  <c r="AA172"/>
  <c r="AA180"/>
  <c r="AA188"/>
  <c r="AA196"/>
  <c r="AA204"/>
  <c r="AA212"/>
  <c r="AA220"/>
  <c r="AA228"/>
  <c r="AA236"/>
  <c r="AA244"/>
  <c r="AA8"/>
  <c r="AA19" i="31"/>
  <c r="Z46" i="24"/>
  <c r="Z54"/>
  <c r="Z62"/>
  <c r="Z70"/>
  <c r="Z78"/>
  <c r="Z85"/>
  <c r="Z92"/>
  <c r="Z100"/>
  <c r="Z108"/>
  <c r="Z116"/>
  <c r="Z124"/>
  <c r="Z132"/>
  <c r="Z140"/>
  <c r="Z148"/>
  <c r="Z156"/>
  <c r="Z164"/>
  <c r="Z172"/>
  <c r="Z180"/>
  <c r="Z188"/>
  <c r="Z196"/>
  <c r="Z204"/>
  <c r="Z212"/>
  <c r="Z220"/>
  <c r="Z228"/>
  <c r="Z236"/>
  <c r="Z8"/>
  <c r="Z19" i="31"/>
  <c r="Y46" i="24"/>
  <c r="Y54"/>
  <c r="Y62"/>
  <c r="Y70"/>
  <c r="Y78"/>
  <c r="Y85"/>
  <c r="Y92"/>
  <c r="Y100"/>
  <c r="Y108"/>
  <c r="Y116"/>
  <c r="Y124"/>
  <c r="Y132"/>
  <c r="Y140"/>
  <c r="Y148"/>
  <c r="Y156"/>
  <c r="Y164"/>
  <c r="Y172"/>
  <c r="Y180"/>
  <c r="Y188"/>
  <c r="Y196"/>
  <c r="Y204"/>
  <c r="Y212"/>
  <c r="Y220"/>
  <c r="Y228"/>
  <c r="Y8"/>
  <c r="Y19" i="31"/>
  <c r="X46" i="24"/>
  <c r="X54"/>
  <c r="X62"/>
  <c r="X70"/>
  <c r="X78"/>
  <c r="X85"/>
  <c r="X92"/>
  <c r="X100"/>
  <c r="X108"/>
  <c r="X116"/>
  <c r="X124"/>
  <c r="X132"/>
  <c r="X140"/>
  <c r="X148"/>
  <c r="X156"/>
  <c r="X164"/>
  <c r="X172"/>
  <c r="X180"/>
  <c r="X188"/>
  <c r="X196"/>
  <c r="X204"/>
  <c r="X212"/>
  <c r="X220"/>
  <c r="X8"/>
  <c r="X19" i="31"/>
  <c r="W46" i="24"/>
  <c r="W54"/>
  <c r="W62"/>
  <c r="W70"/>
  <c r="W78"/>
  <c r="W85"/>
  <c r="W92"/>
  <c r="W100"/>
  <c r="W108"/>
  <c r="W116"/>
  <c r="W124"/>
  <c r="W132"/>
  <c r="W140"/>
  <c r="W148"/>
  <c r="W156"/>
  <c r="W164"/>
  <c r="W172"/>
  <c r="W180"/>
  <c r="W188"/>
  <c r="W196"/>
  <c r="W204"/>
  <c r="W212"/>
  <c r="W8"/>
  <c r="W19" i="31"/>
  <c r="V46" i="24"/>
  <c r="V54"/>
  <c r="V62"/>
  <c r="V70"/>
  <c r="V78"/>
  <c r="V85"/>
  <c r="V92"/>
  <c r="V100"/>
  <c r="V108"/>
  <c r="V116"/>
  <c r="V124"/>
  <c r="V132"/>
  <c r="V140"/>
  <c r="V148"/>
  <c r="V156"/>
  <c r="V164"/>
  <c r="V172"/>
  <c r="V180"/>
  <c r="V188"/>
  <c r="V196"/>
  <c r="V204"/>
  <c r="V8"/>
  <c r="V19" i="31"/>
  <c r="U46" i="24"/>
  <c r="U54"/>
  <c r="U62"/>
  <c r="U70"/>
  <c r="U78"/>
  <c r="U85"/>
  <c r="U92"/>
  <c r="U100"/>
  <c r="U108"/>
  <c r="U116"/>
  <c r="U124"/>
  <c r="U132"/>
  <c r="U140"/>
  <c r="U148"/>
  <c r="U156"/>
  <c r="U164"/>
  <c r="U172"/>
  <c r="U180"/>
  <c r="U188"/>
  <c r="U196"/>
  <c r="U8"/>
  <c r="U19" i="31"/>
  <c r="T46" i="24"/>
  <c r="T54"/>
  <c r="T62"/>
  <c r="T70"/>
  <c r="T78"/>
  <c r="T85"/>
  <c r="T92"/>
  <c r="T100"/>
  <c r="T108"/>
  <c r="T116"/>
  <c r="T124"/>
  <c r="T132"/>
  <c r="T140"/>
  <c r="T148"/>
  <c r="T156"/>
  <c r="T164"/>
  <c r="T172"/>
  <c r="T180"/>
  <c r="T188"/>
  <c r="T8"/>
  <c r="T19" i="31"/>
  <c r="S46" i="24"/>
  <c r="S54"/>
  <c r="S62"/>
  <c r="S70"/>
  <c r="S78"/>
  <c r="S85"/>
  <c r="S92"/>
  <c r="S100"/>
  <c r="S108"/>
  <c r="S116"/>
  <c r="S124"/>
  <c r="S132"/>
  <c r="S140"/>
  <c r="S148"/>
  <c r="S156"/>
  <c r="S164"/>
  <c r="S172"/>
  <c r="S180"/>
  <c r="S8"/>
  <c r="S19" i="31"/>
  <c r="R46" i="24"/>
  <c r="R54"/>
  <c r="R62"/>
  <c r="R70"/>
  <c r="R78"/>
  <c r="R85"/>
  <c r="R92"/>
  <c r="R100"/>
  <c r="R108"/>
  <c r="R116"/>
  <c r="R124"/>
  <c r="R132"/>
  <c r="R140"/>
  <c r="R148"/>
  <c r="R156"/>
  <c r="R164"/>
  <c r="R172"/>
  <c r="R8"/>
  <c r="R19" i="31"/>
  <c r="Q46" i="24"/>
  <c r="Q54"/>
  <c r="Q62"/>
  <c r="Q70"/>
  <c r="Q78"/>
  <c r="Q85"/>
  <c r="Q92"/>
  <c r="Q100"/>
  <c r="Q108"/>
  <c r="Q116"/>
  <c r="Q124"/>
  <c r="Q132"/>
  <c r="Q140"/>
  <c r="Q148"/>
  <c r="Q156"/>
  <c r="Q164"/>
  <c r="Q8"/>
  <c r="Q19" i="31"/>
  <c r="P46" i="24"/>
  <c r="P54"/>
  <c r="P62"/>
  <c r="P70"/>
  <c r="P78"/>
  <c r="P85"/>
  <c r="P92"/>
  <c r="P100"/>
  <c r="P108"/>
  <c r="P116"/>
  <c r="P124"/>
  <c r="P132"/>
  <c r="P140"/>
  <c r="P148"/>
  <c r="P156"/>
  <c r="P8"/>
  <c r="P19" i="31"/>
  <c r="O46" i="24"/>
  <c r="O54"/>
  <c r="O62"/>
  <c r="O70"/>
  <c r="O78"/>
  <c r="O85"/>
  <c r="O92"/>
  <c r="O100"/>
  <c r="O108"/>
  <c r="O116"/>
  <c r="O124"/>
  <c r="O132"/>
  <c r="O140"/>
  <c r="O148"/>
  <c r="O8"/>
  <c r="O19" i="31"/>
  <c r="N46" i="24"/>
  <c r="N54"/>
  <c r="N62"/>
  <c r="N70"/>
  <c r="N78"/>
  <c r="N85"/>
  <c r="N92"/>
  <c r="N100"/>
  <c r="N108"/>
  <c r="N116"/>
  <c r="N124"/>
  <c r="N132"/>
  <c r="N140"/>
  <c r="N8"/>
  <c r="N19" i="31"/>
  <c r="M46" i="24"/>
  <c r="M54"/>
  <c r="M62"/>
  <c r="M70"/>
  <c r="M78"/>
  <c r="M85"/>
  <c r="M92"/>
  <c r="M100"/>
  <c r="M108"/>
  <c r="M116"/>
  <c r="M124"/>
  <c r="M132"/>
  <c r="M8"/>
  <c r="M19" i="31"/>
  <c r="L46" i="24"/>
  <c r="L54"/>
  <c r="L62"/>
  <c r="L70"/>
  <c r="L78"/>
  <c r="L85"/>
  <c r="L92"/>
  <c r="L100"/>
  <c r="L108"/>
  <c r="L116"/>
  <c r="L124"/>
  <c r="L8"/>
  <c r="L19" i="31"/>
  <c r="K46" i="24"/>
  <c r="K54"/>
  <c r="K62"/>
  <c r="K70"/>
  <c r="K78"/>
  <c r="K85"/>
  <c r="K92"/>
  <c r="K100"/>
  <c r="K108"/>
  <c r="K116"/>
  <c r="K8"/>
  <c r="K19" i="31"/>
  <c r="J46" i="24"/>
  <c r="J54"/>
  <c r="J62"/>
  <c r="J70"/>
  <c r="J78"/>
  <c r="J85"/>
  <c r="J92"/>
  <c r="J100"/>
  <c r="J108"/>
  <c r="J8"/>
  <c r="J19" i="31"/>
  <c r="I46" i="24"/>
  <c r="I54"/>
  <c r="I62"/>
  <c r="I70"/>
  <c r="I78"/>
  <c r="I85"/>
  <c r="I92"/>
  <c r="I100"/>
  <c r="I8"/>
  <c r="I19" i="31"/>
  <c r="H46" i="24"/>
  <c r="H54"/>
  <c r="H62"/>
  <c r="H70"/>
  <c r="H78"/>
  <c r="H85"/>
  <c r="H92"/>
  <c r="H8"/>
  <c r="H19" i="31"/>
  <c r="G46" i="24"/>
  <c r="G54"/>
  <c r="G62"/>
  <c r="G70"/>
  <c r="G78"/>
  <c r="G85"/>
  <c r="G8"/>
  <c r="G19" i="31"/>
  <c r="F46" i="24"/>
  <c r="F54"/>
  <c r="F62"/>
  <c r="F70"/>
  <c r="F78"/>
  <c r="F8"/>
  <c r="F19" i="31"/>
  <c r="E46" i="24"/>
  <c r="E54"/>
  <c r="E62"/>
  <c r="E70"/>
  <c r="E8"/>
  <c r="E19" i="31"/>
  <c r="D46" i="24"/>
  <c r="D54"/>
  <c r="D62"/>
  <c r="D8"/>
  <c r="D19" i="31"/>
  <c r="C46" i="24"/>
  <c r="C54"/>
  <c r="C8"/>
  <c r="C19" i="31"/>
  <c r="B46" i="24"/>
  <c r="B8"/>
  <c r="B19" i="31"/>
  <c r="A537" i="24"/>
  <c r="A46"/>
  <c r="A8"/>
  <c r="A19" i="31"/>
  <c r="A7" i="24"/>
  <c r="A18" i="31"/>
  <c r="BI72" i="17"/>
  <c r="BI539" i="24"/>
  <c r="BI48"/>
  <c r="BH72" i="17"/>
  <c r="BH539" i="24"/>
  <c r="BI56"/>
  <c r="BI64"/>
  <c r="BF72" i="17"/>
  <c r="BF539" i="24"/>
  <c r="BI72"/>
  <c r="BI80"/>
  <c r="BI87"/>
  <c r="BI94"/>
  <c r="BB72" i="17"/>
  <c r="BB539" i="24"/>
  <c r="BI102"/>
  <c r="BI110"/>
  <c r="AZ72" i="17"/>
  <c r="AZ539" i="24"/>
  <c r="BI118"/>
  <c r="BI126"/>
  <c r="AX72" i="17"/>
  <c r="AX539" i="24"/>
  <c r="BI134"/>
  <c r="BI142"/>
  <c r="AV72" i="17"/>
  <c r="AV539" i="24"/>
  <c r="BI150"/>
  <c r="BI158"/>
  <c r="BI166"/>
  <c r="AS72" i="17"/>
  <c r="AS539" i="24"/>
  <c r="BI174"/>
  <c r="BI182"/>
  <c r="BI190"/>
  <c r="AP72" i="17"/>
  <c r="AP539" i="24"/>
  <c r="BI198"/>
  <c r="BI206"/>
  <c r="AN72" i="17"/>
  <c r="AN539" i="24"/>
  <c r="BI214"/>
  <c r="BI222"/>
  <c r="AL72" i="17"/>
  <c r="AL539" i="24"/>
  <c r="BI230"/>
  <c r="BI238"/>
  <c r="AJ72" i="17"/>
  <c r="AJ539" i="24"/>
  <c r="BI246"/>
  <c r="AI72" i="17"/>
  <c r="AI539" i="24"/>
  <c r="BI254"/>
  <c r="AH72" i="17"/>
  <c r="AH539" i="24"/>
  <c r="BI262"/>
  <c r="AG72" i="17"/>
  <c r="AG539" i="24"/>
  <c r="BI270"/>
  <c r="AF72" i="17"/>
  <c r="AF539" i="24"/>
  <c r="BI278"/>
  <c r="AE72" i="17"/>
  <c r="AE539" i="24"/>
  <c r="BI286"/>
  <c r="BI294"/>
  <c r="AC72" i="17"/>
  <c r="AC539" i="24"/>
  <c r="BI302"/>
  <c r="BI310"/>
  <c r="AA72" i="17"/>
  <c r="AA539" i="24"/>
  <c r="BI318"/>
  <c r="BI326"/>
  <c r="Y72" i="17"/>
  <c r="Y539" i="24"/>
  <c r="BI334"/>
  <c r="X72" i="17"/>
  <c r="X539" i="24"/>
  <c r="BI342"/>
  <c r="BI350"/>
  <c r="V72" i="17"/>
  <c r="V539" i="24"/>
  <c r="BI358"/>
  <c r="BI366"/>
  <c r="T72" i="17"/>
  <c r="T539" i="24"/>
  <c r="BI374"/>
  <c r="S72" i="17"/>
  <c r="S539" i="24"/>
  <c r="BI382"/>
  <c r="BI390"/>
  <c r="Q72" i="17"/>
  <c r="Q539" i="24"/>
  <c r="BI398"/>
  <c r="P72" i="17"/>
  <c r="P539" i="24"/>
  <c r="BI406"/>
  <c r="BI414"/>
  <c r="N72" i="17"/>
  <c r="N539" i="24"/>
  <c r="BI422"/>
  <c r="M72" i="17"/>
  <c r="M539" i="24"/>
  <c r="BI430"/>
  <c r="BI438"/>
  <c r="K72" i="17"/>
  <c r="K539" i="24"/>
  <c r="BI446"/>
  <c r="J72" i="17"/>
  <c r="J539" i="24"/>
  <c r="BI454"/>
  <c r="BI462"/>
  <c r="BI470"/>
  <c r="G72" i="17"/>
  <c r="G539" i="24"/>
  <c r="BI478"/>
  <c r="BI486"/>
  <c r="BI494"/>
  <c r="D72" i="17"/>
  <c r="D539" i="24"/>
  <c r="BI502"/>
  <c r="BI510"/>
  <c r="B72" i="17"/>
  <c r="B539" i="24"/>
  <c r="BI518"/>
  <c r="BI12"/>
  <c r="BI18"/>
  <c r="BL28" i="3"/>
  <c r="BI19" i="24"/>
  <c r="BI21"/>
  <c r="BI20"/>
  <c r="BI22"/>
  <c r="BI16" i="31"/>
  <c r="BH48" i="24"/>
  <c r="BG72" i="17"/>
  <c r="BG539" i="24"/>
  <c r="BH56"/>
  <c r="BH64"/>
  <c r="BE72" i="17"/>
  <c r="BE539" i="24"/>
  <c r="BH72"/>
  <c r="BH80"/>
  <c r="BH87"/>
  <c r="BH94"/>
  <c r="BA72" i="17"/>
  <c r="BA539" i="24"/>
  <c r="BH102"/>
  <c r="BH110"/>
  <c r="AY72" i="17"/>
  <c r="AY539" i="24"/>
  <c r="BH118"/>
  <c r="BH126"/>
  <c r="AW72" i="17"/>
  <c r="AW539" i="24"/>
  <c r="BH134"/>
  <c r="BH142"/>
  <c r="AU72" i="17"/>
  <c r="AU539" i="24"/>
  <c r="BH150"/>
  <c r="BH158"/>
  <c r="BH166"/>
  <c r="AR72" i="17"/>
  <c r="AR539" i="24"/>
  <c r="BH174"/>
  <c r="BH182"/>
  <c r="BH190"/>
  <c r="AO72" i="17"/>
  <c r="AO539" i="24"/>
  <c r="BH198"/>
  <c r="BH206"/>
  <c r="AM72" i="17"/>
  <c r="AM539" i="24"/>
  <c r="BH214"/>
  <c r="BH222"/>
  <c r="AK72" i="17"/>
  <c r="AK539" i="24"/>
  <c r="BH230"/>
  <c r="BH238"/>
  <c r="BH246"/>
  <c r="BH254"/>
  <c r="BH262"/>
  <c r="BH270"/>
  <c r="BH278"/>
  <c r="AD72" i="17"/>
  <c r="AD539" i="24"/>
  <c r="BH286"/>
  <c r="BH294"/>
  <c r="AB72" i="17"/>
  <c r="AB539" i="24"/>
  <c r="BH302"/>
  <c r="BH310"/>
  <c r="Z72" i="17"/>
  <c r="Z539" i="24"/>
  <c r="BH318"/>
  <c r="BH326"/>
  <c r="BH334"/>
  <c r="W72" i="17"/>
  <c r="W539" i="24"/>
  <c r="BH342"/>
  <c r="BH350"/>
  <c r="U72" i="17"/>
  <c r="U539" i="24"/>
  <c r="BH358"/>
  <c r="BH366"/>
  <c r="BH374"/>
  <c r="R72" i="17"/>
  <c r="R539" i="24"/>
  <c r="BH382"/>
  <c r="BH390"/>
  <c r="BH398"/>
  <c r="O72" i="17"/>
  <c r="O539" i="24"/>
  <c r="BH406"/>
  <c r="BH414"/>
  <c r="BH422"/>
  <c r="L72" i="17"/>
  <c r="L539" i="24"/>
  <c r="BH430"/>
  <c r="BH438"/>
  <c r="BH446"/>
  <c r="I72" i="17"/>
  <c r="I539" i="24"/>
  <c r="BH454"/>
  <c r="BH462"/>
  <c r="BH470"/>
  <c r="F72" i="17"/>
  <c r="F539" i="24"/>
  <c r="BH478"/>
  <c r="BH486"/>
  <c r="BH494"/>
  <c r="C72" i="17"/>
  <c r="C539" i="24"/>
  <c r="BH502"/>
  <c r="BH510"/>
  <c r="BH12"/>
  <c r="BH18"/>
  <c r="BH19"/>
  <c r="BH21"/>
  <c r="BH20"/>
  <c r="BH22"/>
  <c r="BH16" i="31"/>
  <c r="BG48" i="24"/>
  <c r="BG56"/>
  <c r="BG64"/>
  <c r="BD72" i="17"/>
  <c r="BD539" i="24"/>
  <c r="BG72"/>
  <c r="BG80"/>
  <c r="BG87"/>
  <c r="BG94"/>
  <c r="BG102"/>
  <c r="BG110"/>
  <c r="BG118"/>
  <c r="BG126"/>
  <c r="BG134"/>
  <c r="BG142"/>
  <c r="AT72" i="17"/>
  <c r="AT539" i="24"/>
  <c r="BG150"/>
  <c r="BG158"/>
  <c r="BG166"/>
  <c r="AQ72" i="17"/>
  <c r="AQ539" i="24"/>
  <c r="BG174"/>
  <c r="BG182"/>
  <c r="BG190"/>
  <c r="BG198"/>
  <c r="BG206"/>
  <c r="BG214"/>
  <c r="BG222"/>
  <c r="BG230"/>
  <c r="BG238"/>
  <c r="BG246"/>
  <c r="BG254"/>
  <c r="BG262"/>
  <c r="BG270"/>
  <c r="BG278"/>
  <c r="BG286"/>
  <c r="BG294"/>
  <c r="BG302"/>
  <c r="BG310"/>
  <c r="BG318"/>
  <c r="BG326"/>
  <c r="BG334"/>
  <c r="BG342"/>
  <c r="BG350"/>
  <c r="BG358"/>
  <c r="BG366"/>
  <c r="BG374"/>
  <c r="BG382"/>
  <c r="BG390"/>
  <c r="BG398"/>
  <c r="BG406"/>
  <c r="BG414"/>
  <c r="BG422"/>
  <c r="BG430"/>
  <c r="BG438"/>
  <c r="BG446"/>
  <c r="H72" i="17"/>
  <c r="H539" i="24"/>
  <c r="BG454"/>
  <c r="BG462"/>
  <c r="BG470"/>
  <c r="E72" i="17"/>
  <c r="E539" i="24"/>
  <c r="BG478"/>
  <c r="BG486"/>
  <c r="BG494"/>
  <c r="BG502"/>
  <c r="BG12"/>
  <c r="BG18"/>
  <c r="BG19"/>
  <c r="BG21"/>
  <c r="BG20"/>
  <c r="BG22"/>
  <c r="BG16" i="31"/>
  <c r="BF48" i="24"/>
  <c r="BF56"/>
  <c r="BF64"/>
  <c r="BC72" i="17"/>
  <c r="BC539" i="24"/>
  <c r="BF72"/>
  <c r="BF80"/>
  <c r="BF87"/>
  <c r="BF94"/>
  <c r="BF102"/>
  <c r="BF110"/>
  <c r="BF118"/>
  <c r="BF126"/>
  <c r="BF134"/>
  <c r="BF142"/>
  <c r="BF150"/>
  <c r="BF158"/>
  <c r="BF166"/>
  <c r="BF174"/>
  <c r="BF182"/>
  <c r="BF190"/>
  <c r="BF198"/>
  <c r="BF206"/>
  <c r="BF214"/>
  <c r="BF222"/>
  <c r="BF230"/>
  <c r="BF238"/>
  <c r="BF246"/>
  <c r="BF254"/>
  <c r="BF262"/>
  <c r="BF270"/>
  <c r="BF278"/>
  <c r="BF286"/>
  <c r="BF294"/>
  <c r="BF302"/>
  <c r="BF310"/>
  <c r="BF318"/>
  <c r="BF326"/>
  <c r="BF334"/>
  <c r="BF342"/>
  <c r="BF350"/>
  <c r="BF358"/>
  <c r="BF366"/>
  <c r="BF374"/>
  <c r="BF382"/>
  <c r="BF390"/>
  <c r="BF398"/>
  <c r="BF406"/>
  <c r="BF414"/>
  <c r="BF422"/>
  <c r="BF430"/>
  <c r="BF438"/>
  <c r="BF446"/>
  <c r="BF454"/>
  <c r="BF462"/>
  <c r="BF470"/>
  <c r="BF478"/>
  <c r="BF486"/>
  <c r="BF494"/>
  <c r="BF12"/>
  <c r="BF18"/>
  <c r="BF19"/>
  <c r="BF21"/>
  <c r="BF20"/>
  <c r="BF22"/>
  <c r="BF16" i="31"/>
  <c r="BE48" i="24"/>
  <c r="BE56"/>
  <c r="BE64"/>
  <c r="BE72"/>
  <c r="BE80"/>
  <c r="BE87"/>
  <c r="BE94"/>
  <c r="BE102"/>
  <c r="BE110"/>
  <c r="BE118"/>
  <c r="BE126"/>
  <c r="BE134"/>
  <c r="BE142"/>
  <c r="BE150"/>
  <c r="BE158"/>
  <c r="BE166"/>
  <c r="BE174"/>
  <c r="BE182"/>
  <c r="BE190"/>
  <c r="BE198"/>
  <c r="BE206"/>
  <c r="BE214"/>
  <c r="BE222"/>
  <c r="BE230"/>
  <c r="BE238"/>
  <c r="BE246"/>
  <c r="BE254"/>
  <c r="BE262"/>
  <c r="BE270"/>
  <c r="BE278"/>
  <c r="BE286"/>
  <c r="BE294"/>
  <c r="BE302"/>
  <c r="BE310"/>
  <c r="BE318"/>
  <c r="BE326"/>
  <c r="BE334"/>
  <c r="BE342"/>
  <c r="BE350"/>
  <c r="BE358"/>
  <c r="BE366"/>
  <c r="BE374"/>
  <c r="BE382"/>
  <c r="BE390"/>
  <c r="BE398"/>
  <c r="BE406"/>
  <c r="BE414"/>
  <c r="BE422"/>
  <c r="BE430"/>
  <c r="BE438"/>
  <c r="BE446"/>
  <c r="BE454"/>
  <c r="BE462"/>
  <c r="BE470"/>
  <c r="BE478"/>
  <c r="BE486"/>
  <c r="BE12"/>
  <c r="BE18"/>
  <c r="BE19"/>
  <c r="BE21"/>
  <c r="BE20"/>
  <c r="BE22"/>
  <c r="BE16" i="31"/>
  <c r="BD48" i="24"/>
  <c r="BD56"/>
  <c r="BD64"/>
  <c r="BD72"/>
  <c r="BD80"/>
  <c r="BD87"/>
  <c r="BD94"/>
  <c r="BD102"/>
  <c r="BD110"/>
  <c r="BD118"/>
  <c r="BD126"/>
  <c r="BD134"/>
  <c r="BD142"/>
  <c r="BD150"/>
  <c r="BD158"/>
  <c r="BD166"/>
  <c r="BD174"/>
  <c r="BD182"/>
  <c r="BD190"/>
  <c r="BD198"/>
  <c r="BD206"/>
  <c r="BD214"/>
  <c r="BD222"/>
  <c r="BD230"/>
  <c r="BD238"/>
  <c r="BD246"/>
  <c r="BD254"/>
  <c r="BD262"/>
  <c r="BD270"/>
  <c r="BD278"/>
  <c r="BD286"/>
  <c r="BD294"/>
  <c r="BD302"/>
  <c r="BD310"/>
  <c r="BD318"/>
  <c r="BD326"/>
  <c r="BD334"/>
  <c r="BD342"/>
  <c r="BD350"/>
  <c r="BD358"/>
  <c r="BD366"/>
  <c r="BD374"/>
  <c r="BD382"/>
  <c r="BD390"/>
  <c r="BD398"/>
  <c r="BD406"/>
  <c r="BD414"/>
  <c r="BD422"/>
  <c r="BD430"/>
  <c r="BD438"/>
  <c r="BD446"/>
  <c r="BD454"/>
  <c r="BD462"/>
  <c r="BD470"/>
  <c r="BD478"/>
  <c r="BD12"/>
  <c r="BD18"/>
  <c r="BD19"/>
  <c r="BD21"/>
  <c r="BD20"/>
  <c r="BD22"/>
  <c r="BD16" i="31"/>
  <c r="BC48" i="24"/>
  <c r="BC56"/>
  <c r="BC64"/>
  <c r="BC72"/>
  <c r="BC80"/>
  <c r="BC87"/>
  <c r="BC94"/>
  <c r="BC102"/>
  <c r="BC110"/>
  <c r="BC118"/>
  <c r="BC126"/>
  <c r="BC134"/>
  <c r="BC142"/>
  <c r="BC150"/>
  <c r="BC158"/>
  <c r="BC166"/>
  <c r="BC174"/>
  <c r="BC182"/>
  <c r="BC190"/>
  <c r="BC198"/>
  <c r="BC206"/>
  <c r="BC214"/>
  <c r="BC222"/>
  <c r="BC230"/>
  <c r="BC238"/>
  <c r="BC246"/>
  <c r="BC254"/>
  <c r="BC262"/>
  <c r="BC270"/>
  <c r="BC278"/>
  <c r="BC286"/>
  <c r="BC294"/>
  <c r="BC302"/>
  <c r="BC310"/>
  <c r="BC318"/>
  <c r="BC326"/>
  <c r="BC334"/>
  <c r="BC342"/>
  <c r="BC350"/>
  <c r="BC358"/>
  <c r="BC366"/>
  <c r="BC374"/>
  <c r="BC382"/>
  <c r="BC390"/>
  <c r="BC398"/>
  <c r="BC406"/>
  <c r="BC414"/>
  <c r="BC422"/>
  <c r="BC430"/>
  <c r="BC438"/>
  <c r="BC446"/>
  <c r="BC454"/>
  <c r="BC462"/>
  <c r="BC470"/>
  <c r="BC12"/>
  <c r="BC18"/>
  <c r="BC19"/>
  <c r="BC21"/>
  <c r="BC20"/>
  <c r="BC22"/>
  <c r="BC16" i="31"/>
  <c r="BB48" i="24"/>
  <c r="BB56"/>
  <c r="BB64"/>
  <c r="BB72"/>
  <c r="BB80"/>
  <c r="BB87"/>
  <c r="BB94"/>
  <c r="BB102"/>
  <c r="BB110"/>
  <c r="BB118"/>
  <c r="BB126"/>
  <c r="BB134"/>
  <c r="BB142"/>
  <c r="BB150"/>
  <c r="BB158"/>
  <c r="BB166"/>
  <c r="BB174"/>
  <c r="BB182"/>
  <c r="BB190"/>
  <c r="BB198"/>
  <c r="BB206"/>
  <c r="BB214"/>
  <c r="BB222"/>
  <c r="BB230"/>
  <c r="BB238"/>
  <c r="BB246"/>
  <c r="BB254"/>
  <c r="BB262"/>
  <c r="BB270"/>
  <c r="BB278"/>
  <c r="BB286"/>
  <c r="BB294"/>
  <c r="BB302"/>
  <c r="BB310"/>
  <c r="BB318"/>
  <c r="BB326"/>
  <c r="BB334"/>
  <c r="BB342"/>
  <c r="BB350"/>
  <c r="BB358"/>
  <c r="BB366"/>
  <c r="BB374"/>
  <c r="BB382"/>
  <c r="BB390"/>
  <c r="BB398"/>
  <c r="BB406"/>
  <c r="BB414"/>
  <c r="BB422"/>
  <c r="BB430"/>
  <c r="BB438"/>
  <c r="BB446"/>
  <c r="BB454"/>
  <c r="BB462"/>
  <c r="BB12"/>
  <c r="BB18"/>
  <c r="BB19"/>
  <c r="BB21"/>
  <c r="BB20"/>
  <c r="BB22"/>
  <c r="BB16" i="31"/>
  <c r="BA48" i="24"/>
  <c r="BA56"/>
  <c r="BA64"/>
  <c r="BA72"/>
  <c r="BA80"/>
  <c r="BA87"/>
  <c r="BA94"/>
  <c r="BA102"/>
  <c r="BA110"/>
  <c r="BA118"/>
  <c r="BA126"/>
  <c r="BA134"/>
  <c r="BA142"/>
  <c r="BA150"/>
  <c r="BA158"/>
  <c r="BA166"/>
  <c r="BA174"/>
  <c r="BA182"/>
  <c r="BA190"/>
  <c r="BA198"/>
  <c r="BA206"/>
  <c r="BA214"/>
  <c r="BA222"/>
  <c r="BA230"/>
  <c r="BA238"/>
  <c r="BA246"/>
  <c r="BA254"/>
  <c r="BA262"/>
  <c r="BA270"/>
  <c r="BA278"/>
  <c r="BA286"/>
  <c r="BA294"/>
  <c r="BA302"/>
  <c r="BA310"/>
  <c r="BA318"/>
  <c r="BA326"/>
  <c r="BA334"/>
  <c r="BA342"/>
  <c r="BA350"/>
  <c r="BA358"/>
  <c r="BA366"/>
  <c r="BA374"/>
  <c r="BA382"/>
  <c r="BA390"/>
  <c r="BA398"/>
  <c r="BA406"/>
  <c r="BA414"/>
  <c r="BA422"/>
  <c r="BA430"/>
  <c r="BA438"/>
  <c r="BA446"/>
  <c r="BA454"/>
  <c r="BA12"/>
  <c r="BA18"/>
  <c r="BA19"/>
  <c r="BA21"/>
  <c r="BA20"/>
  <c r="BA22"/>
  <c r="BA16" i="31"/>
  <c r="AZ48" i="24"/>
  <c r="AZ56"/>
  <c r="AZ64"/>
  <c r="AZ72"/>
  <c r="AZ80"/>
  <c r="AZ87"/>
  <c r="AZ94"/>
  <c r="AZ102"/>
  <c r="AZ110"/>
  <c r="AZ118"/>
  <c r="AZ126"/>
  <c r="AZ134"/>
  <c r="AZ142"/>
  <c r="AZ150"/>
  <c r="AZ158"/>
  <c r="AZ166"/>
  <c r="AZ174"/>
  <c r="AZ182"/>
  <c r="AZ190"/>
  <c r="AZ198"/>
  <c r="AZ206"/>
  <c r="AZ214"/>
  <c r="AZ222"/>
  <c r="AZ230"/>
  <c r="AZ238"/>
  <c r="AZ246"/>
  <c r="AZ254"/>
  <c r="AZ262"/>
  <c r="AZ270"/>
  <c r="AZ278"/>
  <c r="AZ286"/>
  <c r="AZ294"/>
  <c r="AZ302"/>
  <c r="AZ310"/>
  <c r="AZ318"/>
  <c r="AZ326"/>
  <c r="AZ334"/>
  <c r="AZ342"/>
  <c r="AZ350"/>
  <c r="AZ358"/>
  <c r="AZ366"/>
  <c r="AZ374"/>
  <c r="AZ382"/>
  <c r="AZ390"/>
  <c r="AZ398"/>
  <c r="AZ406"/>
  <c r="AZ414"/>
  <c r="AZ422"/>
  <c r="AZ430"/>
  <c r="AZ438"/>
  <c r="AZ446"/>
  <c r="AZ12"/>
  <c r="AZ18"/>
  <c r="AZ19"/>
  <c r="AZ21"/>
  <c r="AZ20"/>
  <c r="AZ22"/>
  <c r="AZ16" i="31"/>
  <c r="AY48" i="24"/>
  <c r="AY56"/>
  <c r="AY64"/>
  <c r="AY72"/>
  <c r="AY80"/>
  <c r="AY87"/>
  <c r="AY94"/>
  <c r="AY102"/>
  <c r="AY110"/>
  <c r="AY118"/>
  <c r="AY126"/>
  <c r="AY134"/>
  <c r="AY142"/>
  <c r="AY150"/>
  <c r="AY158"/>
  <c r="AY166"/>
  <c r="AY174"/>
  <c r="AY182"/>
  <c r="AY190"/>
  <c r="AY198"/>
  <c r="AY206"/>
  <c r="AY214"/>
  <c r="AY222"/>
  <c r="AY230"/>
  <c r="AY238"/>
  <c r="AY246"/>
  <c r="AY254"/>
  <c r="AY262"/>
  <c r="AY270"/>
  <c r="AY278"/>
  <c r="AY286"/>
  <c r="AY294"/>
  <c r="AY302"/>
  <c r="AY310"/>
  <c r="AY318"/>
  <c r="AY326"/>
  <c r="AY334"/>
  <c r="AY342"/>
  <c r="AY350"/>
  <c r="AY358"/>
  <c r="AY366"/>
  <c r="AY374"/>
  <c r="AY382"/>
  <c r="AY390"/>
  <c r="AY398"/>
  <c r="AY406"/>
  <c r="AY414"/>
  <c r="AY422"/>
  <c r="AY430"/>
  <c r="AY438"/>
  <c r="AY12"/>
  <c r="AY18"/>
  <c r="AY19"/>
  <c r="AY21"/>
  <c r="AY20"/>
  <c r="AY22"/>
  <c r="AY16" i="31"/>
  <c r="AX48" i="24"/>
  <c r="AX56"/>
  <c r="AX64"/>
  <c r="AX72"/>
  <c r="AX80"/>
  <c r="AX87"/>
  <c r="AX94"/>
  <c r="AX102"/>
  <c r="AX110"/>
  <c r="AX118"/>
  <c r="AX126"/>
  <c r="AX134"/>
  <c r="AX142"/>
  <c r="AX150"/>
  <c r="AX158"/>
  <c r="AX166"/>
  <c r="AX174"/>
  <c r="AX182"/>
  <c r="AX190"/>
  <c r="AX198"/>
  <c r="AX206"/>
  <c r="AX214"/>
  <c r="AX222"/>
  <c r="AX230"/>
  <c r="AX238"/>
  <c r="AX246"/>
  <c r="AX254"/>
  <c r="AX262"/>
  <c r="AX270"/>
  <c r="AX278"/>
  <c r="AX286"/>
  <c r="AX294"/>
  <c r="AX302"/>
  <c r="AX310"/>
  <c r="AX318"/>
  <c r="AX326"/>
  <c r="AX334"/>
  <c r="AX342"/>
  <c r="AX350"/>
  <c r="AX358"/>
  <c r="AX366"/>
  <c r="AX374"/>
  <c r="AX382"/>
  <c r="AX390"/>
  <c r="AX398"/>
  <c r="AX406"/>
  <c r="AX414"/>
  <c r="AX422"/>
  <c r="AX430"/>
  <c r="AX12"/>
  <c r="AX18"/>
  <c r="AX19"/>
  <c r="AX21"/>
  <c r="AX20"/>
  <c r="AX22"/>
  <c r="AX16" i="31"/>
  <c r="AW48" i="24"/>
  <c r="AW56"/>
  <c r="AW64"/>
  <c r="AW72"/>
  <c r="AW80"/>
  <c r="AW87"/>
  <c r="AW94"/>
  <c r="AW102"/>
  <c r="AW110"/>
  <c r="AW118"/>
  <c r="AW126"/>
  <c r="AW134"/>
  <c r="AW142"/>
  <c r="AW150"/>
  <c r="AW158"/>
  <c r="AW166"/>
  <c r="AW174"/>
  <c r="AW182"/>
  <c r="AW190"/>
  <c r="AW198"/>
  <c r="AW206"/>
  <c r="AW214"/>
  <c r="AW222"/>
  <c r="AW230"/>
  <c r="AW238"/>
  <c r="AW246"/>
  <c r="AW254"/>
  <c r="AW262"/>
  <c r="AW270"/>
  <c r="AW278"/>
  <c r="AW286"/>
  <c r="AW294"/>
  <c r="AW302"/>
  <c r="AW310"/>
  <c r="AW318"/>
  <c r="AW326"/>
  <c r="AW334"/>
  <c r="AW342"/>
  <c r="AW350"/>
  <c r="AW358"/>
  <c r="AW366"/>
  <c r="AW374"/>
  <c r="AW382"/>
  <c r="AW390"/>
  <c r="AW398"/>
  <c r="AW406"/>
  <c r="AW414"/>
  <c r="AW422"/>
  <c r="AW12"/>
  <c r="AW18"/>
  <c r="AW19"/>
  <c r="AW21"/>
  <c r="AW20"/>
  <c r="AW22"/>
  <c r="AW16" i="31"/>
  <c r="AV48" i="24"/>
  <c r="AV56"/>
  <c r="AV64"/>
  <c r="AV72"/>
  <c r="AV80"/>
  <c r="AV87"/>
  <c r="AV94"/>
  <c r="AV102"/>
  <c r="AV110"/>
  <c r="AV118"/>
  <c r="AV126"/>
  <c r="AV134"/>
  <c r="AV142"/>
  <c r="AV150"/>
  <c r="AV158"/>
  <c r="AV166"/>
  <c r="AV174"/>
  <c r="AV182"/>
  <c r="AV190"/>
  <c r="AV198"/>
  <c r="AV206"/>
  <c r="AV214"/>
  <c r="AV222"/>
  <c r="AV230"/>
  <c r="AV238"/>
  <c r="AV246"/>
  <c r="AV254"/>
  <c r="AV262"/>
  <c r="AV270"/>
  <c r="AV278"/>
  <c r="AV286"/>
  <c r="AV294"/>
  <c r="AV302"/>
  <c r="AV310"/>
  <c r="AV318"/>
  <c r="AV326"/>
  <c r="AV334"/>
  <c r="AV342"/>
  <c r="AV350"/>
  <c r="AV358"/>
  <c r="AV366"/>
  <c r="AV374"/>
  <c r="AV382"/>
  <c r="AV390"/>
  <c r="AV398"/>
  <c r="AV406"/>
  <c r="AV414"/>
  <c r="AV12"/>
  <c r="AV18"/>
  <c r="AV19"/>
  <c r="AV21"/>
  <c r="AV20"/>
  <c r="AV22"/>
  <c r="AV16" i="31"/>
  <c r="AU48" i="24"/>
  <c r="AU56"/>
  <c r="AU64"/>
  <c r="AU72"/>
  <c r="AU80"/>
  <c r="AU87"/>
  <c r="AU94"/>
  <c r="AU102"/>
  <c r="AU110"/>
  <c r="AU118"/>
  <c r="AU126"/>
  <c r="AU134"/>
  <c r="AU142"/>
  <c r="AU150"/>
  <c r="AU158"/>
  <c r="AU166"/>
  <c r="AU174"/>
  <c r="AU182"/>
  <c r="AU190"/>
  <c r="AU198"/>
  <c r="AU206"/>
  <c r="AU214"/>
  <c r="AU222"/>
  <c r="AU230"/>
  <c r="AU238"/>
  <c r="AU246"/>
  <c r="AU254"/>
  <c r="AU262"/>
  <c r="AU270"/>
  <c r="AU278"/>
  <c r="AU286"/>
  <c r="AU294"/>
  <c r="AU302"/>
  <c r="AU310"/>
  <c r="AU318"/>
  <c r="AU326"/>
  <c r="AU334"/>
  <c r="AU342"/>
  <c r="AU350"/>
  <c r="AU358"/>
  <c r="AU366"/>
  <c r="AU374"/>
  <c r="AU382"/>
  <c r="AU390"/>
  <c r="AU398"/>
  <c r="AU406"/>
  <c r="AU12"/>
  <c r="AU18"/>
  <c r="AU19"/>
  <c r="AU21"/>
  <c r="AU20"/>
  <c r="AU22"/>
  <c r="AU16" i="31"/>
  <c r="AT48" i="24"/>
  <c r="AT56"/>
  <c r="AT64"/>
  <c r="AT72"/>
  <c r="AT80"/>
  <c r="AT87"/>
  <c r="AT94"/>
  <c r="AT102"/>
  <c r="AT110"/>
  <c r="AT118"/>
  <c r="AT126"/>
  <c r="AT134"/>
  <c r="AT142"/>
  <c r="AT150"/>
  <c r="AT158"/>
  <c r="AT166"/>
  <c r="AT174"/>
  <c r="AT182"/>
  <c r="AT190"/>
  <c r="AT198"/>
  <c r="AT206"/>
  <c r="AT214"/>
  <c r="AT222"/>
  <c r="AT230"/>
  <c r="AT238"/>
  <c r="AT246"/>
  <c r="AT254"/>
  <c r="AT262"/>
  <c r="AT270"/>
  <c r="AT278"/>
  <c r="AT286"/>
  <c r="AT294"/>
  <c r="AT302"/>
  <c r="AT310"/>
  <c r="AT318"/>
  <c r="AT326"/>
  <c r="AT334"/>
  <c r="AT342"/>
  <c r="AT350"/>
  <c r="AT358"/>
  <c r="AT366"/>
  <c r="AT374"/>
  <c r="AT382"/>
  <c r="AT390"/>
  <c r="AT398"/>
  <c r="AT12"/>
  <c r="AT18"/>
  <c r="AT19"/>
  <c r="AT21"/>
  <c r="AT20"/>
  <c r="AT22"/>
  <c r="AT16" i="31"/>
  <c r="AS48" i="24"/>
  <c r="AS56"/>
  <c r="AS64"/>
  <c r="AS72"/>
  <c r="AS80"/>
  <c r="AS87"/>
  <c r="AS94"/>
  <c r="AS102"/>
  <c r="AS110"/>
  <c r="AS118"/>
  <c r="AS126"/>
  <c r="AS134"/>
  <c r="AS142"/>
  <c r="AS150"/>
  <c r="AS158"/>
  <c r="AS166"/>
  <c r="AS174"/>
  <c r="AS182"/>
  <c r="AS190"/>
  <c r="AS198"/>
  <c r="AS206"/>
  <c r="AS214"/>
  <c r="AS222"/>
  <c r="AS230"/>
  <c r="AS238"/>
  <c r="AS246"/>
  <c r="AS254"/>
  <c r="AS262"/>
  <c r="AS270"/>
  <c r="AS278"/>
  <c r="AS286"/>
  <c r="AS294"/>
  <c r="AS302"/>
  <c r="AS310"/>
  <c r="AS318"/>
  <c r="AS326"/>
  <c r="AS334"/>
  <c r="AS342"/>
  <c r="AS350"/>
  <c r="AS358"/>
  <c r="AS366"/>
  <c r="AS374"/>
  <c r="AS382"/>
  <c r="AS390"/>
  <c r="AS12"/>
  <c r="AS18"/>
  <c r="AS19"/>
  <c r="AS21"/>
  <c r="AS20"/>
  <c r="AS22"/>
  <c r="AS16" i="31"/>
  <c r="AR48" i="24"/>
  <c r="AR56"/>
  <c r="AR64"/>
  <c r="AR72"/>
  <c r="AR80"/>
  <c r="AR87"/>
  <c r="AR94"/>
  <c r="AR102"/>
  <c r="AR110"/>
  <c r="AR118"/>
  <c r="AR126"/>
  <c r="AR134"/>
  <c r="AR142"/>
  <c r="AR150"/>
  <c r="AR158"/>
  <c r="AR166"/>
  <c r="AR174"/>
  <c r="AR182"/>
  <c r="AR190"/>
  <c r="AR198"/>
  <c r="AR206"/>
  <c r="AR214"/>
  <c r="AR222"/>
  <c r="AR230"/>
  <c r="AR238"/>
  <c r="AR246"/>
  <c r="AR254"/>
  <c r="AR262"/>
  <c r="AR270"/>
  <c r="AR278"/>
  <c r="AR286"/>
  <c r="AR294"/>
  <c r="AR302"/>
  <c r="AR310"/>
  <c r="AR318"/>
  <c r="AR326"/>
  <c r="AR334"/>
  <c r="AR342"/>
  <c r="AR350"/>
  <c r="AR358"/>
  <c r="AR366"/>
  <c r="AR374"/>
  <c r="AR382"/>
  <c r="AR12"/>
  <c r="AR18"/>
  <c r="AR19"/>
  <c r="AR21"/>
  <c r="AR20"/>
  <c r="AR22"/>
  <c r="AR16" i="31"/>
  <c r="AQ48" i="24"/>
  <c r="AQ56"/>
  <c r="AQ64"/>
  <c r="AQ72"/>
  <c r="AQ80"/>
  <c r="AQ87"/>
  <c r="AQ94"/>
  <c r="AQ102"/>
  <c r="AQ110"/>
  <c r="AQ118"/>
  <c r="AQ126"/>
  <c r="AQ134"/>
  <c r="AQ142"/>
  <c r="AQ150"/>
  <c r="AQ158"/>
  <c r="AQ166"/>
  <c r="AQ174"/>
  <c r="AQ182"/>
  <c r="AQ190"/>
  <c r="AQ198"/>
  <c r="AQ206"/>
  <c r="AQ214"/>
  <c r="AQ222"/>
  <c r="AQ230"/>
  <c r="AQ238"/>
  <c r="AQ246"/>
  <c r="AQ254"/>
  <c r="AQ262"/>
  <c r="AQ270"/>
  <c r="AQ278"/>
  <c r="AQ286"/>
  <c r="AQ294"/>
  <c r="AQ302"/>
  <c r="AQ310"/>
  <c r="AQ318"/>
  <c r="AQ326"/>
  <c r="AQ334"/>
  <c r="AQ342"/>
  <c r="AQ350"/>
  <c r="AQ358"/>
  <c r="AQ366"/>
  <c r="AQ374"/>
  <c r="AQ12"/>
  <c r="AQ18"/>
  <c r="AQ19"/>
  <c r="AQ21"/>
  <c r="AQ20"/>
  <c r="AQ22"/>
  <c r="AQ16" i="31"/>
  <c r="AP48" i="24"/>
  <c r="AP56"/>
  <c r="AP64"/>
  <c r="AP72"/>
  <c r="AP80"/>
  <c r="AP87"/>
  <c r="AP94"/>
  <c r="AP102"/>
  <c r="AP110"/>
  <c r="AP118"/>
  <c r="AP126"/>
  <c r="AP134"/>
  <c r="AP142"/>
  <c r="AP150"/>
  <c r="AP158"/>
  <c r="AP166"/>
  <c r="AP174"/>
  <c r="AP182"/>
  <c r="AP190"/>
  <c r="AP198"/>
  <c r="AP206"/>
  <c r="AP214"/>
  <c r="AP222"/>
  <c r="AP230"/>
  <c r="AP238"/>
  <c r="AP246"/>
  <c r="AP254"/>
  <c r="AP262"/>
  <c r="AP270"/>
  <c r="AP278"/>
  <c r="AP286"/>
  <c r="AP294"/>
  <c r="AP302"/>
  <c r="AP310"/>
  <c r="AP318"/>
  <c r="AP326"/>
  <c r="AP334"/>
  <c r="AP342"/>
  <c r="AP350"/>
  <c r="AP358"/>
  <c r="AP366"/>
  <c r="AP12"/>
  <c r="AP18"/>
  <c r="AP19"/>
  <c r="AP21"/>
  <c r="AP20"/>
  <c r="AP22"/>
  <c r="AP16" i="31"/>
  <c r="AO48" i="24"/>
  <c r="AO56"/>
  <c r="AO64"/>
  <c r="AO72"/>
  <c r="AO80"/>
  <c r="AO87"/>
  <c r="AO94"/>
  <c r="AO102"/>
  <c r="AO110"/>
  <c r="AO118"/>
  <c r="AO126"/>
  <c r="AO134"/>
  <c r="AO142"/>
  <c r="AO150"/>
  <c r="AO158"/>
  <c r="AO166"/>
  <c r="AO174"/>
  <c r="AO182"/>
  <c r="AO190"/>
  <c r="AO198"/>
  <c r="AO206"/>
  <c r="AO214"/>
  <c r="AO222"/>
  <c r="AO230"/>
  <c r="AO238"/>
  <c r="AO246"/>
  <c r="AO254"/>
  <c r="AO262"/>
  <c r="AO270"/>
  <c r="AO278"/>
  <c r="AO286"/>
  <c r="AO294"/>
  <c r="AO302"/>
  <c r="AO310"/>
  <c r="AO318"/>
  <c r="AO326"/>
  <c r="AO334"/>
  <c r="AO342"/>
  <c r="AO350"/>
  <c r="AO358"/>
  <c r="AO12"/>
  <c r="AO18"/>
  <c r="AO19"/>
  <c r="AO21"/>
  <c r="AO20"/>
  <c r="AO22"/>
  <c r="AO16" i="31"/>
  <c r="AN48" i="24"/>
  <c r="AN56"/>
  <c r="AN64"/>
  <c r="AN72"/>
  <c r="AN80"/>
  <c r="AN87"/>
  <c r="AN94"/>
  <c r="AN102"/>
  <c r="AN110"/>
  <c r="AN118"/>
  <c r="AN126"/>
  <c r="AN134"/>
  <c r="AN142"/>
  <c r="AN150"/>
  <c r="AN158"/>
  <c r="AN166"/>
  <c r="AN174"/>
  <c r="AN182"/>
  <c r="AN190"/>
  <c r="AN198"/>
  <c r="AN206"/>
  <c r="AN214"/>
  <c r="AN222"/>
  <c r="AN230"/>
  <c r="AN238"/>
  <c r="AN246"/>
  <c r="AN254"/>
  <c r="AN262"/>
  <c r="AN270"/>
  <c r="AN278"/>
  <c r="AN286"/>
  <c r="AN294"/>
  <c r="AN302"/>
  <c r="AN310"/>
  <c r="AN318"/>
  <c r="AN326"/>
  <c r="AN334"/>
  <c r="AN342"/>
  <c r="AN350"/>
  <c r="AN12"/>
  <c r="AN18"/>
  <c r="AN19"/>
  <c r="AN21"/>
  <c r="AN20"/>
  <c r="AN22"/>
  <c r="AN16" i="31"/>
  <c r="AM48" i="24"/>
  <c r="AM56"/>
  <c r="AM64"/>
  <c r="AM72"/>
  <c r="AM80"/>
  <c r="AM87"/>
  <c r="AM94"/>
  <c r="AM102"/>
  <c r="AM110"/>
  <c r="AM118"/>
  <c r="AM126"/>
  <c r="AM134"/>
  <c r="AM142"/>
  <c r="AM150"/>
  <c r="AM158"/>
  <c r="AM166"/>
  <c r="AM174"/>
  <c r="AM182"/>
  <c r="AM190"/>
  <c r="AM198"/>
  <c r="AM206"/>
  <c r="AM214"/>
  <c r="AM222"/>
  <c r="AM230"/>
  <c r="AM238"/>
  <c r="AM246"/>
  <c r="AM254"/>
  <c r="AM262"/>
  <c r="AM270"/>
  <c r="AM278"/>
  <c r="AM286"/>
  <c r="AM294"/>
  <c r="AM302"/>
  <c r="AM310"/>
  <c r="AM318"/>
  <c r="AM326"/>
  <c r="AM334"/>
  <c r="AM342"/>
  <c r="AM12"/>
  <c r="AM18"/>
  <c r="AM19"/>
  <c r="AM21"/>
  <c r="AM20"/>
  <c r="AM22"/>
  <c r="AM16" i="31"/>
  <c r="AL48" i="24"/>
  <c r="AL56"/>
  <c r="AL64"/>
  <c r="AL72"/>
  <c r="AL80"/>
  <c r="AL87"/>
  <c r="AL94"/>
  <c r="AL102"/>
  <c r="AL110"/>
  <c r="AL118"/>
  <c r="AL126"/>
  <c r="AL134"/>
  <c r="AL142"/>
  <c r="AL150"/>
  <c r="AL158"/>
  <c r="AL166"/>
  <c r="AL174"/>
  <c r="AL182"/>
  <c r="AL190"/>
  <c r="AL198"/>
  <c r="AL206"/>
  <c r="AL214"/>
  <c r="AL222"/>
  <c r="AL230"/>
  <c r="AL238"/>
  <c r="AL246"/>
  <c r="AL254"/>
  <c r="AL262"/>
  <c r="AL270"/>
  <c r="AL278"/>
  <c r="AL286"/>
  <c r="AL294"/>
  <c r="AL302"/>
  <c r="AL310"/>
  <c r="AL318"/>
  <c r="AL326"/>
  <c r="AL334"/>
  <c r="AL12"/>
  <c r="AL18"/>
  <c r="AL19"/>
  <c r="AL21"/>
  <c r="AL20"/>
  <c r="AL22"/>
  <c r="AL16" i="31"/>
  <c r="AK48" i="24"/>
  <c r="AK56"/>
  <c r="AK64"/>
  <c r="AK72"/>
  <c r="AK80"/>
  <c r="AK87"/>
  <c r="AK94"/>
  <c r="AK102"/>
  <c r="AK110"/>
  <c r="AK118"/>
  <c r="AK126"/>
  <c r="AK134"/>
  <c r="AK142"/>
  <c r="AK150"/>
  <c r="AK158"/>
  <c r="AK166"/>
  <c r="AK174"/>
  <c r="AK182"/>
  <c r="AK190"/>
  <c r="AK198"/>
  <c r="AK206"/>
  <c r="AK214"/>
  <c r="AK222"/>
  <c r="AK230"/>
  <c r="AK238"/>
  <c r="AK246"/>
  <c r="AK254"/>
  <c r="AK262"/>
  <c r="AK270"/>
  <c r="AK278"/>
  <c r="AK286"/>
  <c r="AK294"/>
  <c r="AK302"/>
  <c r="AK310"/>
  <c r="AK318"/>
  <c r="AK326"/>
  <c r="AK12"/>
  <c r="AK18"/>
  <c r="AK19"/>
  <c r="AK21"/>
  <c r="AK20"/>
  <c r="AK22"/>
  <c r="AK16" i="31"/>
  <c r="AJ48" i="24"/>
  <c r="AJ56"/>
  <c r="AJ64"/>
  <c r="AJ72"/>
  <c r="AJ80"/>
  <c r="AJ87"/>
  <c r="AJ94"/>
  <c r="AJ102"/>
  <c r="AJ110"/>
  <c r="AJ118"/>
  <c r="AJ126"/>
  <c r="AJ134"/>
  <c r="AJ142"/>
  <c r="AJ150"/>
  <c r="AJ158"/>
  <c r="AJ166"/>
  <c r="AJ174"/>
  <c r="AJ182"/>
  <c r="AJ190"/>
  <c r="AJ198"/>
  <c r="AJ206"/>
  <c r="AJ214"/>
  <c r="AJ222"/>
  <c r="AJ230"/>
  <c r="AJ238"/>
  <c r="AJ246"/>
  <c r="AJ254"/>
  <c r="AJ262"/>
  <c r="AJ270"/>
  <c r="AJ278"/>
  <c r="AJ286"/>
  <c r="AJ294"/>
  <c r="AJ302"/>
  <c r="AJ310"/>
  <c r="AJ318"/>
  <c r="AJ12"/>
  <c r="AJ18"/>
  <c r="AJ19"/>
  <c r="AJ21"/>
  <c r="AJ20"/>
  <c r="AJ22"/>
  <c r="AJ16" i="31"/>
  <c r="AI48" i="24"/>
  <c r="AI56"/>
  <c r="AI64"/>
  <c r="AI72"/>
  <c r="AI80"/>
  <c r="AI87"/>
  <c r="AI94"/>
  <c r="AI102"/>
  <c r="AI110"/>
  <c r="AI118"/>
  <c r="AI126"/>
  <c r="AI134"/>
  <c r="AI142"/>
  <c r="AI150"/>
  <c r="AI158"/>
  <c r="AI166"/>
  <c r="AI174"/>
  <c r="AI182"/>
  <c r="AI190"/>
  <c r="AI198"/>
  <c r="AI206"/>
  <c r="AI214"/>
  <c r="AI222"/>
  <c r="AI230"/>
  <c r="AI238"/>
  <c r="AI246"/>
  <c r="AI254"/>
  <c r="AI262"/>
  <c r="AI270"/>
  <c r="AI278"/>
  <c r="AI286"/>
  <c r="AI294"/>
  <c r="AI302"/>
  <c r="AI310"/>
  <c r="AI12"/>
  <c r="AI18"/>
  <c r="AI19"/>
  <c r="AI21"/>
  <c r="AI20"/>
  <c r="AI22"/>
  <c r="AI16" i="31"/>
  <c r="AH48" i="24"/>
  <c r="AH56"/>
  <c r="AH64"/>
  <c r="AH72"/>
  <c r="AH80"/>
  <c r="AH87"/>
  <c r="AH94"/>
  <c r="AH102"/>
  <c r="AH110"/>
  <c r="AH118"/>
  <c r="AH126"/>
  <c r="AH134"/>
  <c r="AH142"/>
  <c r="AH150"/>
  <c r="AH158"/>
  <c r="AH166"/>
  <c r="AH174"/>
  <c r="AH182"/>
  <c r="AH190"/>
  <c r="AH198"/>
  <c r="AH206"/>
  <c r="AH214"/>
  <c r="AH222"/>
  <c r="AH230"/>
  <c r="AH238"/>
  <c r="AH246"/>
  <c r="AH254"/>
  <c r="AH262"/>
  <c r="AH270"/>
  <c r="AH278"/>
  <c r="AH286"/>
  <c r="AH294"/>
  <c r="AH302"/>
  <c r="AH12"/>
  <c r="AH18"/>
  <c r="AH19"/>
  <c r="AH21"/>
  <c r="AH20"/>
  <c r="AH22"/>
  <c r="AH16" i="31"/>
  <c r="AG48" i="24"/>
  <c r="AG56"/>
  <c r="AG64"/>
  <c r="AG72"/>
  <c r="AG80"/>
  <c r="AG87"/>
  <c r="AG94"/>
  <c r="AG102"/>
  <c r="AG110"/>
  <c r="AG118"/>
  <c r="AG126"/>
  <c r="AG134"/>
  <c r="AG142"/>
  <c r="AG150"/>
  <c r="AG158"/>
  <c r="AG166"/>
  <c r="AG174"/>
  <c r="AG182"/>
  <c r="AG190"/>
  <c r="AG198"/>
  <c r="AG206"/>
  <c r="AG214"/>
  <c r="AG222"/>
  <c r="AG230"/>
  <c r="AG238"/>
  <c r="AG246"/>
  <c r="AG254"/>
  <c r="AG262"/>
  <c r="AG270"/>
  <c r="AG278"/>
  <c r="AG286"/>
  <c r="AG294"/>
  <c r="AG12"/>
  <c r="AG18"/>
  <c r="AG19"/>
  <c r="AG21"/>
  <c r="AG20"/>
  <c r="AG22"/>
  <c r="AG16" i="31"/>
  <c r="AF48" i="24"/>
  <c r="AF56"/>
  <c r="AF64"/>
  <c r="AF72"/>
  <c r="AF80"/>
  <c r="AF87"/>
  <c r="AF94"/>
  <c r="AF102"/>
  <c r="AF110"/>
  <c r="AF118"/>
  <c r="AF126"/>
  <c r="AF134"/>
  <c r="AF142"/>
  <c r="AF150"/>
  <c r="AF158"/>
  <c r="AF166"/>
  <c r="AF174"/>
  <c r="AF182"/>
  <c r="AF190"/>
  <c r="AF198"/>
  <c r="AF206"/>
  <c r="AF214"/>
  <c r="AF222"/>
  <c r="AF230"/>
  <c r="AF238"/>
  <c r="AF246"/>
  <c r="AF254"/>
  <c r="AF262"/>
  <c r="AF270"/>
  <c r="AF278"/>
  <c r="AF286"/>
  <c r="AF12"/>
  <c r="AF18"/>
  <c r="AF19"/>
  <c r="AF21"/>
  <c r="AF20"/>
  <c r="AF22"/>
  <c r="AF16" i="31"/>
  <c r="AE48" i="24"/>
  <c r="AE56"/>
  <c r="AE64"/>
  <c r="AE72"/>
  <c r="AE80"/>
  <c r="AE87"/>
  <c r="AE94"/>
  <c r="AE102"/>
  <c r="AE110"/>
  <c r="AE118"/>
  <c r="AE126"/>
  <c r="AE134"/>
  <c r="AE142"/>
  <c r="AE150"/>
  <c r="AE158"/>
  <c r="AE166"/>
  <c r="AE174"/>
  <c r="AE182"/>
  <c r="AE190"/>
  <c r="AE198"/>
  <c r="AE206"/>
  <c r="AE214"/>
  <c r="AE222"/>
  <c r="AE230"/>
  <c r="AE238"/>
  <c r="AE246"/>
  <c r="AE254"/>
  <c r="AE262"/>
  <c r="AE270"/>
  <c r="AE278"/>
  <c r="AE12"/>
  <c r="AE18"/>
  <c r="AE19"/>
  <c r="AE21"/>
  <c r="AE20"/>
  <c r="AE22"/>
  <c r="AE16" i="31"/>
  <c r="AD48" i="24"/>
  <c r="AD56"/>
  <c r="AD64"/>
  <c r="AD72"/>
  <c r="AD80"/>
  <c r="AD87"/>
  <c r="AD94"/>
  <c r="AD102"/>
  <c r="AD110"/>
  <c r="AD118"/>
  <c r="AD126"/>
  <c r="AD134"/>
  <c r="AD142"/>
  <c r="AD150"/>
  <c r="AD158"/>
  <c r="AD166"/>
  <c r="AD174"/>
  <c r="AD182"/>
  <c r="AD190"/>
  <c r="AD198"/>
  <c r="AD206"/>
  <c r="AD214"/>
  <c r="AD222"/>
  <c r="AD230"/>
  <c r="AD238"/>
  <c r="AD246"/>
  <c r="AD254"/>
  <c r="AD262"/>
  <c r="AD270"/>
  <c r="AD12"/>
  <c r="AD18"/>
  <c r="AD19"/>
  <c r="AD21"/>
  <c r="AD20"/>
  <c r="AD22"/>
  <c r="AD16" i="31"/>
  <c r="AC48" i="24"/>
  <c r="AC56"/>
  <c r="AC64"/>
  <c r="AC72"/>
  <c r="AC80"/>
  <c r="AC87"/>
  <c r="AC94"/>
  <c r="AC102"/>
  <c r="AC110"/>
  <c r="AC118"/>
  <c r="AC126"/>
  <c r="AC134"/>
  <c r="AC142"/>
  <c r="AC150"/>
  <c r="AC158"/>
  <c r="AC166"/>
  <c r="AC174"/>
  <c r="AC182"/>
  <c r="AC190"/>
  <c r="AC198"/>
  <c r="AC206"/>
  <c r="AC214"/>
  <c r="AC222"/>
  <c r="AC230"/>
  <c r="AC238"/>
  <c r="AC246"/>
  <c r="AC254"/>
  <c r="AC262"/>
  <c r="AC12"/>
  <c r="AC18"/>
  <c r="AC19"/>
  <c r="AC21"/>
  <c r="AC20"/>
  <c r="AC22"/>
  <c r="AC16" i="31"/>
  <c r="AB48" i="24"/>
  <c r="AB56"/>
  <c r="AB64"/>
  <c r="AB72"/>
  <c r="AB80"/>
  <c r="AB87"/>
  <c r="AB94"/>
  <c r="AB102"/>
  <c r="AB110"/>
  <c r="AB118"/>
  <c r="AB126"/>
  <c r="AB134"/>
  <c r="AB142"/>
  <c r="AB150"/>
  <c r="AB158"/>
  <c r="AB166"/>
  <c r="AB174"/>
  <c r="AB182"/>
  <c r="AB190"/>
  <c r="AB198"/>
  <c r="AB206"/>
  <c r="AB214"/>
  <c r="AB222"/>
  <c r="AB230"/>
  <c r="AB238"/>
  <c r="AB246"/>
  <c r="AB254"/>
  <c r="AB12"/>
  <c r="AB18"/>
  <c r="AB19"/>
  <c r="AB21"/>
  <c r="AB20"/>
  <c r="AB22"/>
  <c r="AB16" i="31"/>
  <c r="AA48" i="24"/>
  <c r="AA56"/>
  <c r="AA64"/>
  <c r="AA72"/>
  <c r="AA80"/>
  <c r="AA87"/>
  <c r="AA94"/>
  <c r="AA102"/>
  <c r="AA110"/>
  <c r="AA118"/>
  <c r="AA126"/>
  <c r="AA134"/>
  <c r="AA142"/>
  <c r="AA150"/>
  <c r="AA158"/>
  <c r="AA166"/>
  <c r="AA174"/>
  <c r="AA182"/>
  <c r="AA190"/>
  <c r="AA198"/>
  <c r="AA206"/>
  <c r="AA214"/>
  <c r="AA222"/>
  <c r="AA230"/>
  <c r="AA238"/>
  <c r="AA246"/>
  <c r="AA12"/>
  <c r="AA18"/>
  <c r="AA19"/>
  <c r="AA21"/>
  <c r="AA20"/>
  <c r="AA22"/>
  <c r="AA16" i="31"/>
  <c r="Z48" i="24"/>
  <c r="Z56"/>
  <c r="Z64"/>
  <c r="Z72"/>
  <c r="Z80"/>
  <c r="Z87"/>
  <c r="Z94"/>
  <c r="Z102"/>
  <c r="Z110"/>
  <c r="Z118"/>
  <c r="Z126"/>
  <c r="Z134"/>
  <c r="Z142"/>
  <c r="Z150"/>
  <c r="Z158"/>
  <c r="Z166"/>
  <c r="Z174"/>
  <c r="Z182"/>
  <c r="Z190"/>
  <c r="Z198"/>
  <c r="Z206"/>
  <c r="Z214"/>
  <c r="Z222"/>
  <c r="Z230"/>
  <c r="Z238"/>
  <c r="Z12"/>
  <c r="Z18"/>
  <c r="Z19"/>
  <c r="Z21"/>
  <c r="Z20"/>
  <c r="Z22"/>
  <c r="Z16" i="31"/>
  <c r="Y48" i="24"/>
  <c r="Y56"/>
  <c r="Y64"/>
  <c r="Y72"/>
  <c r="Y80"/>
  <c r="Y87"/>
  <c r="Y94"/>
  <c r="Y102"/>
  <c r="Y110"/>
  <c r="Y118"/>
  <c r="Y126"/>
  <c r="Y134"/>
  <c r="Y142"/>
  <c r="Y150"/>
  <c r="Y158"/>
  <c r="Y166"/>
  <c r="Y174"/>
  <c r="Y182"/>
  <c r="Y190"/>
  <c r="Y198"/>
  <c r="Y206"/>
  <c r="Y214"/>
  <c r="Y222"/>
  <c r="Y230"/>
  <c r="Y12"/>
  <c r="Y18"/>
  <c r="Y19"/>
  <c r="Y21"/>
  <c r="Y20"/>
  <c r="Y22"/>
  <c r="Y16" i="31"/>
  <c r="X48" i="24"/>
  <c r="X56"/>
  <c r="X64"/>
  <c r="X72"/>
  <c r="X80"/>
  <c r="X87"/>
  <c r="X94"/>
  <c r="X102"/>
  <c r="X110"/>
  <c r="X118"/>
  <c r="X126"/>
  <c r="X134"/>
  <c r="X142"/>
  <c r="X150"/>
  <c r="X158"/>
  <c r="X166"/>
  <c r="X174"/>
  <c r="X182"/>
  <c r="X190"/>
  <c r="X198"/>
  <c r="X206"/>
  <c r="X214"/>
  <c r="X222"/>
  <c r="X12"/>
  <c r="X18"/>
  <c r="X19"/>
  <c r="X21"/>
  <c r="X20"/>
  <c r="X22"/>
  <c r="X16" i="31"/>
  <c r="W48" i="24"/>
  <c r="W56"/>
  <c r="W64"/>
  <c r="W72"/>
  <c r="W80"/>
  <c r="W87"/>
  <c r="W94"/>
  <c r="W102"/>
  <c r="W110"/>
  <c r="W118"/>
  <c r="W126"/>
  <c r="W134"/>
  <c r="W142"/>
  <c r="W150"/>
  <c r="W158"/>
  <c r="W166"/>
  <c r="W174"/>
  <c r="W182"/>
  <c r="W190"/>
  <c r="W198"/>
  <c r="W206"/>
  <c r="W214"/>
  <c r="W12"/>
  <c r="W18"/>
  <c r="W19"/>
  <c r="W21"/>
  <c r="W20"/>
  <c r="W22"/>
  <c r="W16" i="31"/>
  <c r="V48" i="24"/>
  <c r="V56"/>
  <c r="V64"/>
  <c r="V72"/>
  <c r="V80"/>
  <c r="V87"/>
  <c r="V94"/>
  <c r="V102"/>
  <c r="V110"/>
  <c r="V118"/>
  <c r="V126"/>
  <c r="V134"/>
  <c r="V142"/>
  <c r="V150"/>
  <c r="V158"/>
  <c r="V166"/>
  <c r="V174"/>
  <c r="V182"/>
  <c r="V190"/>
  <c r="V198"/>
  <c r="V206"/>
  <c r="V12"/>
  <c r="V18"/>
  <c r="V19"/>
  <c r="V21"/>
  <c r="V20"/>
  <c r="V22"/>
  <c r="V16" i="31"/>
  <c r="U48" i="24"/>
  <c r="U56"/>
  <c r="U64"/>
  <c r="U72"/>
  <c r="U80"/>
  <c r="U87"/>
  <c r="U94"/>
  <c r="U102"/>
  <c r="U110"/>
  <c r="U118"/>
  <c r="U126"/>
  <c r="U134"/>
  <c r="U142"/>
  <c r="U150"/>
  <c r="U158"/>
  <c r="U166"/>
  <c r="U174"/>
  <c r="U182"/>
  <c r="U190"/>
  <c r="U198"/>
  <c r="U12"/>
  <c r="U18"/>
  <c r="U19"/>
  <c r="U21"/>
  <c r="U20"/>
  <c r="U22"/>
  <c r="U16" i="31"/>
  <c r="T48" i="24"/>
  <c r="T56"/>
  <c r="T64"/>
  <c r="T72"/>
  <c r="T80"/>
  <c r="T87"/>
  <c r="T94"/>
  <c r="T102"/>
  <c r="T110"/>
  <c r="T118"/>
  <c r="T126"/>
  <c r="T134"/>
  <c r="T142"/>
  <c r="T150"/>
  <c r="T158"/>
  <c r="T166"/>
  <c r="T174"/>
  <c r="T182"/>
  <c r="T190"/>
  <c r="T12"/>
  <c r="T18"/>
  <c r="T19"/>
  <c r="T21"/>
  <c r="T20"/>
  <c r="T22"/>
  <c r="T16" i="31"/>
  <c r="S48" i="24"/>
  <c r="S56"/>
  <c r="S64"/>
  <c r="S72"/>
  <c r="S80"/>
  <c r="S87"/>
  <c r="S94"/>
  <c r="S102"/>
  <c r="S110"/>
  <c r="S118"/>
  <c r="S126"/>
  <c r="S134"/>
  <c r="S142"/>
  <c r="S150"/>
  <c r="S158"/>
  <c r="S166"/>
  <c r="S174"/>
  <c r="S182"/>
  <c r="S12"/>
  <c r="S18"/>
  <c r="S19"/>
  <c r="S21"/>
  <c r="S20"/>
  <c r="S22"/>
  <c r="S16" i="31"/>
  <c r="R48" i="24"/>
  <c r="R56"/>
  <c r="R64"/>
  <c r="R72"/>
  <c r="R80"/>
  <c r="R87"/>
  <c r="R94"/>
  <c r="R102"/>
  <c r="R110"/>
  <c r="R118"/>
  <c r="R126"/>
  <c r="R134"/>
  <c r="R142"/>
  <c r="R150"/>
  <c r="R158"/>
  <c r="R166"/>
  <c r="R174"/>
  <c r="R12"/>
  <c r="R18"/>
  <c r="R19"/>
  <c r="R21"/>
  <c r="R20"/>
  <c r="R22"/>
  <c r="R16" i="31"/>
  <c r="Q48" i="24"/>
  <c r="Q56"/>
  <c r="Q64"/>
  <c r="Q72"/>
  <c r="Q80"/>
  <c r="Q87"/>
  <c r="Q94"/>
  <c r="Q102"/>
  <c r="Q110"/>
  <c r="Q118"/>
  <c r="Q126"/>
  <c r="Q134"/>
  <c r="Q142"/>
  <c r="Q150"/>
  <c r="Q158"/>
  <c r="Q166"/>
  <c r="Q12"/>
  <c r="Q18"/>
  <c r="Q19"/>
  <c r="Q21"/>
  <c r="Q20"/>
  <c r="Q22"/>
  <c r="Q16" i="31"/>
  <c r="P48" i="24"/>
  <c r="P56"/>
  <c r="P64"/>
  <c r="P72"/>
  <c r="P80"/>
  <c r="P87"/>
  <c r="P94"/>
  <c r="P102"/>
  <c r="P110"/>
  <c r="P118"/>
  <c r="P126"/>
  <c r="P134"/>
  <c r="P142"/>
  <c r="P150"/>
  <c r="P158"/>
  <c r="P12"/>
  <c r="P18"/>
  <c r="P19"/>
  <c r="P21"/>
  <c r="P20"/>
  <c r="P22"/>
  <c r="P16" i="31"/>
  <c r="O48" i="24"/>
  <c r="O56"/>
  <c r="O64"/>
  <c r="O72"/>
  <c r="O80"/>
  <c r="O87"/>
  <c r="O94"/>
  <c r="O102"/>
  <c r="O110"/>
  <c r="O118"/>
  <c r="O126"/>
  <c r="O134"/>
  <c r="O142"/>
  <c r="O150"/>
  <c r="O12"/>
  <c r="O18"/>
  <c r="O19"/>
  <c r="O21"/>
  <c r="O20"/>
  <c r="O22"/>
  <c r="O16" i="31"/>
  <c r="N48" i="24"/>
  <c r="N56"/>
  <c r="N64"/>
  <c r="N72"/>
  <c r="N80"/>
  <c r="N87"/>
  <c r="N94"/>
  <c r="N102"/>
  <c r="N110"/>
  <c r="N118"/>
  <c r="N126"/>
  <c r="N134"/>
  <c r="N142"/>
  <c r="N12"/>
  <c r="N18"/>
  <c r="N19"/>
  <c r="N21"/>
  <c r="N20"/>
  <c r="N22"/>
  <c r="N16" i="31"/>
  <c r="M48" i="24"/>
  <c r="M56"/>
  <c r="M64"/>
  <c r="M72"/>
  <c r="M80"/>
  <c r="M87"/>
  <c r="M94"/>
  <c r="M102"/>
  <c r="M110"/>
  <c r="M118"/>
  <c r="M126"/>
  <c r="M134"/>
  <c r="M12"/>
  <c r="M18"/>
  <c r="M19"/>
  <c r="M21"/>
  <c r="M20"/>
  <c r="M22"/>
  <c r="M16" i="31"/>
  <c r="L48" i="24"/>
  <c r="L56"/>
  <c r="L64"/>
  <c r="L72"/>
  <c r="L80"/>
  <c r="L87"/>
  <c r="L94"/>
  <c r="L102"/>
  <c r="L110"/>
  <c r="L118"/>
  <c r="L126"/>
  <c r="L12"/>
  <c r="L18"/>
  <c r="L19"/>
  <c r="L21"/>
  <c r="L20"/>
  <c r="L22"/>
  <c r="L16" i="31"/>
  <c r="K48" i="24"/>
  <c r="K56"/>
  <c r="K64"/>
  <c r="K72"/>
  <c r="K80"/>
  <c r="K87"/>
  <c r="K94"/>
  <c r="K102"/>
  <c r="K110"/>
  <c r="K118"/>
  <c r="K12"/>
  <c r="K18"/>
  <c r="K19"/>
  <c r="K21"/>
  <c r="K20"/>
  <c r="K22"/>
  <c r="K16" i="31"/>
  <c r="J48" i="24"/>
  <c r="J56"/>
  <c r="J64"/>
  <c r="J72"/>
  <c r="J80"/>
  <c r="J87"/>
  <c r="J94"/>
  <c r="J102"/>
  <c r="J110"/>
  <c r="J12"/>
  <c r="J18"/>
  <c r="J19"/>
  <c r="J21"/>
  <c r="J20"/>
  <c r="J22"/>
  <c r="J16" i="31"/>
  <c r="I48" i="24"/>
  <c r="I56"/>
  <c r="I64"/>
  <c r="I72"/>
  <c r="I80"/>
  <c r="I87"/>
  <c r="I94"/>
  <c r="I102"/>
  <c r="I12"/>
  <c r="I18"/>
  <c r="I19"/>
  <c r="I21"/>
  <c r="I20"/>
  <c r="I22"/>
  <c r="I16" i="31"/>
  <c r="H48" i="24"/>
  <c r="H56"/>
  <c r="H64"/>
  <c r="H72"/>
  <c r="H80"/>
  <c r="H87"/>
  <c r="H94"/>
  <c r="H12"/>
  <c r="H18"/>
  <c r="H19"/>
  <c r="H21"/>
  <c r="H20"/>
  <c r="H22"/>
  <c r="H16" i="31"/>
  <c r="G48" i="24"/>
  <c r="G56"/>
  <c r="G64"/>
  <c r="G72"/>
  <c r="G80"/>
  <c r="G87"/>
  <c r="G12"/>
  <c r="G18"/>
  <c r="G19"/>
  <c r="G21"/>
  <c r="G20"/>
  <c r="G22"/>
  <c r="G16" i="31"/>
  <c r="F48" i="24"/>
  <c r="F56"/>
  <c r="F64"/>
  <c r="F72"/>
  <c r="F80"/>
  <c r="F12"/>
  <c r="F18"/>
  <c r="F19"/>
  <c r="F21"/>
  <c r="F20"/>
  <c r="F22"/>
  <c r="F16" i="31"/>
  <c r="E48" i="24"/>
  <c r="E56"/>
  <c r="E64"/>
  <c r="E72"/>
  <c r="E12"/>
  <c r="E18"/>
  <c r="E19"/>
  <c r="E21"/>
  <c r="E20"/>
  <c r="E22"/>
  <c r="E16" i="31"/>
  <c r="D48" i="24"/>
  <c r="D56"/>
  <c r="D64"/>
  <c r="D12"/>
  <c r="D18"/>
  <c r="D19"/>
  <c r="D21"/>
  <c r="D20"/>
  <c r="D22"/>
  <c r="D16" i="31"/>
  <c r="C48" i="24"/>
  <c r="C56"/>
  <c r="C12"/>
  <c r="C18"/>
  <c r="C19"/>
  <c r="C21"/>
  <c r="C20"/>
  <c r="C22"/>
  <c r="C16" i="31"/>
  <c r="B48" i="24"/>
  <c r="B12"/>
  <c r="B18"/>
  <c r="B19"/>
  <c r="B21"/>
  <c r="B20"/>
  <c r="B22"/>
  <c r="B16" i="31"/>
  <c r="A16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A10"/>
  <c r="BI31" i="24"/>
  <c r="BI9" i="31"/>
  <c r="BH31" i="24"/>
  <c r="BH9" i="31"/>
  <c r="BG31" i="24"/>
  <c r="BG9" i="31"/>
  <c r="BF31" i="24"/>
  <c r="BF9" i="31"/>
  <c r="BE31" i="24"/>
  <c r="BE9" i="31"/>
  <c r="BD31" i="24"/>
  <c r="BD9" i="31"/>
  <c r="BC31" i="24"/>
  <c r="BC9" i="31"/>
  <c r="BB31" i="24"/>
  <c r="BB9" i="31"/>
  <c r="BA31" i="24"/>
  <c r="BA9" i="31"/>
  <c r="AZ31" i="24"/>
  <c r="AZ9" i="31"/>
  <c r="AY31" i="24"/>
  <c r="AY9" i="31"/>
  <c r="AX31" i="24"/>
  <c r="AX9" i="31"/>
  <c r="AW31" i="24"/>
  <c r="AW9" i="31"/>
  <c r="AV31" i="24"/>
  <c r="AV9" i="31"/>
  <c r="AU31" i="24"/>
  <c r="AU9" i="31"/>
  <c r="AT31" i="24"/>
  <c r="AT9" i="31"/>
  <c r="AS31" i="24"/>
  <c r="AS9" i="31"/>
  <c r="AR31" i="24"/>
  <c r="AR9" i="31"/>
  <c r="AQ31" i="24"/>
  <c r="AQ9" i="31"/>
  <c r="AP31" i="24"/>
  <c r="AP9" i="31"/>
  <c r="AO31" i="24"/>
  <c r="AO9" i="31"/>
  <c r="AN31" i="24"/>
  <c r="AN9" i="31"/>
  <c r="AM31" i="24"/>
  <c r="AM9" i="31"/>
  <c r="AL31" i="24"/>
  <c r="AL9" i="31"/>
  <c r="AK31" i="24"/>
  <c r="AK9" i="31"/>
  <c r="AJ31" i="24"/>
  <c r="AJ9" i="31"/>
  <c r="AI31" i="24"/>
  <c r="AI9" i="31"/>
  <c r="AH31" i="24"/>
  <c r="AH9" i="31"/>
  <c r="AG31" i="24"/>
  <c r="AG9" i="31"/>
  <c r="AF31" i="24"/>
  <c r="AF9" i="31"/>
  <c r="AE31" i="24"/>
  <c r="AE9" i="31"/>
  <c r="AD31" i="24"/>
  <c r="AD9" i="31"/>
  <c r="AC31" i="24"/>
  <c r="AC9" i="31"/>
  <c r="AB31" i="24"/>
  <c r="AB9" i="31"/>
  <c r="AA31" i="24"/>
  <c r="AA9" i="31"/>
  <c r="Z31" i="24"/>
  <c r="Z9" i="31"/>
  <c r="Y31" i="24"/>
  <c r="Y9" i="31"/>
  <c r="X31" i="24"/>
  <c r="X9" i="31"/>
  <c r="W31" i="24"/>
  <c r="W9" i="31"/>
  <c r="V31" i="24"/>
  <c r="V9" i="31"/>
  <c r="U31" i="24"/>
  <c r="U9" i="31"/>
  <c r="T31" i="24"/>
  <c r="T9" i="31"/>
  <c r="S31" i="24"/>
  <c r="S9" i="31"/>
  <c r="R31" i="24"/>
  <c r="R9" i="31"/>
  <c r="Q31" i="24"/>
  <c r="Q9" i="31"/>
  <c r="P31" i="24"/>
  <c r="P9" i="31"/>
  <c r="O31" i="24"/>
  <c r="O9" i="31"/>
  <c r="N31" i="24"/>
  <c r="N9" i="31"/>
  <c r="M31" i="24"/>
  <c r="M9" i="31"/>
  <c r="L31" i="24"/>
  <c r="L9" i="31"/>
  <c r="K31" i="24"/>
  <c r="K9" i="31"/>
  <c r="J31" i="24"/>
  <c r="J9" i="31"/>
  <c r="I31" i="24"/>
  <c r="I9" i="31"/>
  <c r="H31" i="24"/>
  <c r="H9" i="31"/>
  <c r="G31" i="24"/>
  <c r="G9" i="31"/>
  <c r="F31" i="24"/>
  <c r="F9" i="31"/>
  <c r="E31" i="24"/>
  <c r="E9" i="31"/>
  <c r="D31" i="24"/>
  <c r="D9" i="31"/>
  <c r="C31" i="24"/>
  <c r="C9" i="31"/>
  <c r="B31" i="24"/>
  <c r="B9" i="31"/>
  <c r="A9"/>
  <c r="B50" i="24"/>
  <c r="B24"/>
  <c r="B8" i="31"/>
  <c r="J85" i="4"/>
  <c r="J86"/>
  <c r="J41" i="25"/>
  <c r="J87" i="4"/>
  <c r="J88"/>
  <c r="J89"/>
  <c r="J91"/>
  <c r="C541" i="24"/>
  <c r="C50"/>
  <c r="C58"/>
  <c r="C24"/>
  <c r="C8" i="31"/>
  <c r="D50" i="24"/>
  <c r="D58"/>
  <c r="D66"/>
  <c r="D24"/>
  <c r="D8" i="31"/>
  <c r="L85" i="4"/>
  <c r="L86"/>
  <c r="L41" i="25"/>
  <c r="L87" i="4"/>
  <c r="L88"/>
  <c r="L89"/>
  <c r="L91"/>
  <c r="E541" i="24"/>
  <c r="E50"/>
  <c r="E58"/>
  <c r="E66"/>
  <c r="E74"/>
  <c r="E24"/>
  <c r="E8" i="31"/>
  <c r="M85" i="4"/>
  <c r="M86"/>
  <c r="M41" i="25"/>
  <c r="M87" i="4"/>
  <c r="M88"/>
  <c r="M89"/>
  <c r="M91"/>
  <c r="F541" i="24"/>
  <c r="F50"/>
  <c r="F58"/>
  <c r="F66"/>
  <c r="F74"/>
  <c r="F82"/>
  <c r="F24"/>
  <c r="F8" i="31"/>
  <c r="G50" i="24"/>
  <c r="G58"/>
  <c r="G66"/>
  <c r="G74"/>
  <c r="G82"/>
  <c r="G89"/>
  <c r="G24"/>
  <c r="G8" i="31"/>
  <c r="O85" i="4"/>
  <c r="O86"/>
  <c r="O41" i="25"/>
  <c r="O87" i="4"/>
  <c r="O88"/>
  <c r="O89"/>
  <c r="O91"/>
  <c r="H541" i="24"/>
  <c r="H50"/>
  <c r="H58"/>
  <c r="H66"/>
  <c r="H74"/>
  <c r="H82"/>
  <c r="H89"/>
  <c r="H96"/>
  <c r="H24"/>
  <c r="H8" i="31"/>
  <c r="P85" i="4"/>
  <c r="P86"/>
  <c r="P41" i="25"/>
  <c r="P87" i="4"/>
  <c r="P88"/>
  <c r="P89"/>
  <c r="P91"/>
  <c r="I541" i="24"/>
  <c r="I50"/>
  <c r="I58"/>
  <c r="I66"/>
  <c r="I74"/>
  <c r="I82"/>
  <c r="I89"/>
  <c r="I96"/>
  <c r="I104"/>
  <c r="I24"/>
  <c r="I8" i="31"/>
  <c r="J50" i="24"/>
  <c r="J58"/>
  <c r="J66"/>
  <c r="J74"/>
  <c r="J82"/>
  <c r="J89"/>
  <c r="J96"/>
  <c r="J104"/>
  <c r="J112"/>
  <c r="J24"/>
  <c r="J8" i="31"/>
  <c r="K50" i="24"/>
  <c r="K58"/>
  <c r="K66"/>
  <c r="K74"/>
  <c r="K82"/>
  <c r="K89"/>
  <c r="K96"/>
  <c r="K104"/>
  <c r="K112"/>
  <c r="K120"/>
  <c r="K24"/>
  <c r="K8" i="31"/>
  <c r="S85" i="4"/>
  <c r="S86"/>
  <c r="S41" i="25"/>
  <c r="S87" i="4"/>
  <c r="S88"/>
  <c r="S89"/>
  <c r="S91"/>
  <c r="L541" i="24"/>
  <c r="L50"/>
  <c r="L58"/>
  <c r="L66"/>
  <c r="L74"/>
  <c r="L82"/>
  <c r="L89"/>
  <c r="L96"/>
  <c r="L104"/>
  <c r="L112"/>
  <c r="L120"/>
  <c r="L128"/>
  <c r="L24"/>
  <c r="L8" i="31"/>
  <c r="M50" i="24"/>
  <c r="M58"/>
  <c r="M66"/>
  <c r="M74"/>
  <c r="M82"/>
  <c r="M89"/>
  <c r="M96"/>
  <c r="M104"/>
  <c r="M112"/>
  <c r="M120"/>
  <c r="M128"/>
  <c r="M136"/>
  <c r="M24"/>
  <c r="M8" i="31"/>
  <c r="N50" i="24"/>
  <c r="N58"/>
  <c r="N66"/>
  <c r="N74"/>
  <c r="N82"/>
  <c r="N89"/>
  <c r="N96"/>
  <c r="N104"/>
  <c r="N112"/>
  <c r="N120"/>
  <c r="N128"/>
  <c r="N136"/>
  <c r="N144"/>
  <c r="N24"/>
  <c r="N8" i="31"/>
  <c r="V91" i="4"/>
  <c r="O541" i="24"/>
  <c r="O50"/>
  <c r="O58"/>
  <c r="O66"/>
  <c r="O74"/>
  <c r="O82"/>
  <c r="O89"/>
  <c r="O96"/>
  <c r="O104"/>
  <c r="O112"/>
  <c r="O120"/>
  <c r="O128"/>
  <c r="O136"/>
  <c r="O144"/>
  <c r="O152"/>
  <c r="O24"/>
  <c r="O8" i="31"/>
  <c r="P50" i="24"/>
  <c r="P58"/>
  <c r="P66"/>
  <c r="P74"/>
  <c r="P82"/>
  <c r="P89"/>
  <c r="P96"/>
  <c r="P104"/>
  <c r="P112"/>
  <c r="P120"/>
  <c r="P128"/>
  <c r="P136"/>
  <c r="P144"/>
  <c r="P152"/>
  <c r="P160"/>
  <c r="P24"/>
  <c r="P8" i="31"/>
  <c r="Q50" i="24"/>
  <c r="Q58"/>
  <c r="Q66"/>
  <c r="Q74"/>
  <c r="Q82"/>
  <c r="Q89"/>
  <c r="Q96"/>
  <c r="Q104"/>
  <c r="Q112"/>
  <c r="Q120"/>
  <c r="Q128"/>
  <c r="Q136"/>
  <c r="Q144"/>
  <c r="Q152"/>
  <c r="Q160"/>
  <c r="Q168"/>
  <c r="Q24"/>
  <c r="Q8" i="31"/>
  <c r="Y91" i="4"/>
  <c r="R541" i="24"/>
  <c r="R50"/>
  <c r="R58"/>
  <c r="R66"/>
  <c r="R74"/>
  <c r="R82"/>
  <c r="R89"/>
  <c r="R96"/>
  <c r="R104"/>
  <c r="R112"/>
  <c r="R120"/>
  <c r="R128"/>
  <c r="R136"/>
  <c r="R144"/>
  <c r="R152"/>
  <c r="R160"/>
  <c r="R168"/>
  <c r="R176"/>
  <c r="R24"/>
  <c r="R8" i="31"/>
  <c r="S50" i="24"/>
  <c r="S58"/>
  <c r="S66"/>
  <c r="S74"/>
  <c r="S82"/>
  <c r="S89"/>
  <c r="S96"/>
  <c r="S104"/>
  <c r="S112"/>
  <c r="S120"/>
  <c r="S128"/>
  <c r="S136"/>
  <c r="S144"/>
  <c r="S152"/>
  <c r="S160"/>
  <c r="S168"/>
  <c r="S176"/>
  <c r="S184"/>
  <c r="S24"/>
  <c r="S8" i="31"/>
  <c r="T50" i="24"/>
  <c r="T58"/>
  <c r="T66"/>
  <c r="T74"/>
  <c r="T82"/>
  <c r="T89"/>
  <c r="T96"/>
  <c r="T104"/>
  <c r="T112"/>
  <c r="T120"/>
  <c r="T128"/>
  <c r="T136"/>
  <c r="T144"/>
  <c r="T152"/>
  <c r="T160"/>
  <c r="T168"/>
  <c r="T176"/>
  <c r="T184"/>
  <c r="T192"/>
  <c r="T24"/>
  <c r="T8" i="31"/>
  <c r="AB91" i="4"/>
  <c r="U541" i="24"/>
  <c r="U50"/>
  <c r="U58"/>
  <c r="U66"/>
  <c r="U74"/>
  <c r="U82"/>
  <c r="U89"/>
  <c r="U96"/>
  <c r="U104"/>
  <c r="U112"/>
  <c r="U120"/>
  <c r="U128"/>
  <c r="U136"/>
  <c r="U144"/>
  <c r="U152"/>
  <c r="U160"/>
  <c r="U168"/>
  <c r="U176"/>
  <c r="U184"/>
  <c r="U192"/>
  <c r="U200"/>
  <c r="U24"/>
  <c r="U8" i="31"/>
  <c r="V50" i="24"/>
  <c r="V58"/>
  <c r="V66"/>
  <c r="V74"/>
  <c r="V82"/>
  <c r="V89"/>
  <c r="V96"/>
  <c r="V104"/>
  <c r="V112"/>
  <c r="V120"/>
  <c r="V128"/>
  <c r="V136"/>
  <c r="V144"/>
  <c r="V152"/>
  <c r="V160"/>
  <c r="V168"/>
  <c r="V176"/>
  <c r="V184"/>
  <c r="V192"/>
  <c r="V200"/>
  <c r="V208"/>
  <c r="V24"/>
  <c r="V8" i="31"/>
  <c r="AD91" i="4"/>
  <c r="W541" i="24"/>
  <c r="W50"/>
  <c r="W58"/>
  <c r="W66"/>
  <c r="W74"/>
  <c r="W82"/>
  <c r="W89"/>
  <c r="W96"/>
  <c r="W104"/>
  <c r="W112"/>
  <c r="W120"/>
  <c r="W128"/>
  <c r="W136"/>
  <c r="W144"/>
  <c r="W152"/>
  <c r="W160"/>
  <c r="W168"/>
  <c r="W176"/>
  <c r="W184"/>
  <c r="W192"/>
  <c r="W200"/>
  <c r="W208"/>
  <c r="W216"/>
  <c r="W24"/>
  <c r="W8" i="31"/>
  <c r="X50" i="24"/>
  <c r="X58"/>
  <c r="X66"/>
  <c r="X74"/>
  <c r="X82"/>
  <c r="X89"/>
  <c r="X96"/>
  <c r="X104"/>
  <c r="X112"/>
  <c r="X120"/>
  <c r="X128"/>
  <c r="X136"/>
  <c r="X144"/>
  <c r="X152"/>
  <c r="X160"/>
  <c r="X168"/>
  <c r="X176"/>
  <c r="X184"/>
  <c r="X192"/>
  <c r="X200"/>
  <c r="X208"/>
  <c r="X216"/>
  <c r="X224"/>
  <c r="X24"/>
  <c r="X8" i="31"/>
  <c r="Y50" i="24"/>
  <c r="Y58"/>
  <c r="Y66"/>
  <c r="Y74"/>
  <c r="Y82"/>
  <c r="Y89"/>
  <c r="Y96"/>
  <c r="Y104"/>
  <c r="Y112"/>
  <c r="Y120"/>
  <c r="Y128"/>
  <c r="Y136"/>
  <c r="Y144"/>
  <c r="Y152"/>
  <c r="Y160"/>
  <c r="Y168"/>
  <c r="Y176"/>
  <c r="Y184"/>
  <c r="Y192"/>
  <c r="Y200"/>
  <c r="Y208"/>
  <c r="Y216"/>
  <c r="Y224"/>
  <c r="Y232"/>
  <c r="Y24"/>
  <c r="Y8" i="31"/>
  <c r="AG91" i="4"/>
  <c r="Z541" i="24"/>
  <c r="Z50"/>
  <c r="Z58"/>
  <c r="Z66"/>
  <c r="Z74"/>
  <c r="Z82"/>
  <c r="Z89"/>
  <c r="Z96"/>
  <c r="Z104"/>
  <c r="Z112"/>
  <c r="Z120"/>
  <c r="Z128"/>
  <c r="Z136"/>
  <c r="Z144"/>
  <c r="Z152"/>
  <c r="Z160"/>
  <c r="Z168"/>
  <c r="Z176"/>
  <c r="Z184"/>
  <c r="Z192"/>
  <c r="Z200"/>
  <c r="Z208"/>
  <c r="Z216"/>
  <c r="Z224"/>
  <c r="Z232"/>
  <c r="Z240"/>
  <c r="Z24"/>
  <c r="Z8" i="31"/>
  <c r="AA50" i="24"/>
  <c r="AA58"/>
  <c r="AA66"/>
  <c r="AA74"/>
  <c r="AA82"/>
  <c r="AA89"/>
  <c r="AA96"/>
  <c r="AA104"/>
  <c r="AA112"/>
  <c r="AA120"/>
  <c r="AA128"/>
  <c r="AA136"/>
  <c r="AA144"/>
  <c r="AA152"/>
  <c r="AA160"/>
  <c r="AA168"/>
  <c r="AA176"/>
  <c r="AA184"/>
  <c r="AA192"/>
  <c r="AA200"/>
  <c r="AA208"/>
  <c r="AA216"/>
  <c r="AA224"/>
  <c r="AA232"/>
  <c r="AA240"/>
  <c r="AA248"/>
  <c r="AA24"/>
  <c r="AA8" i="31"/>
  <c r="AI91" i="4"/>
  <c r="AB541" i="24"/>
  <c r="AB50"/>
  <c r="AB58"/>
  <c r="AB66"/>
  <c r="AB74"/>
  <c r="AB82"/>
  <c r="AB89"/>
  <c r="AB96"/>
  <c r="AB104"/>
  <c r="AB112"/>
  <c r="AB120"/>
  <c r="AB128"/>
  <c r="AB136"/>
  <c r="AB144"/>
  <c r="AB152"/>
  <c r="AB160"/>
  <c r="AB168"/>
  <c r="AB176"/>
  <c r="AB184"/>
  <c r="AB192"/>
  <c r="AB200"/>
  <c r="AB208"/>
  <c r="AB216"/>
  <c r="AB224"/>
  <c r="AB232"/>
  <c r="AB240"/>
  <c r="AB248"/>
  <c r="AB256"/>
  <c r="AB24"/>
  <c r="AB8" i="31"/>
  <c r="AC50" i="24"/>
  <c r="AC58"/>
  <c r="AC66"/>
  <c r="AC74"/>
  <c r="AC82"/>
  <c r="AC89"/>
  <c r="AC96"/>
  <c r="AC104"/>
  <c r="AC112"/>
  <c r="AC120"/>
  <c r="AC128"/>
  <c r="AC136"/>
  <c r="AC144"/>
  <c r="AC152"/>
  <c r="AC160"/>
  <c r="AC168"/>
  <c r="AC176"/>
  <c r="AC184"/>
  <c r="AC192"/>
  <c r="AC200"/>
  <c r="AC208"/>
  <c r="AC216"/>
  <c r="AC224"/>
  <c r="AC232"/>
  <c r="AC240"/>
  <c r="AC248"/>
  <c r="AC256"/>
  <c r="AC264"/>
  <c r="AC24"/>
  <c r="AC8" i="31"/>
  <c r="AK91" i="4"/>
  <c r="AD541" i="24"/>
  <c r="AD50"/>
  <c r="AD58"/>
  <c r="AD66"/>
  <c r="AD74"/>
  <c r="AD82"/>
  <c r="AD89"/>
  <c r="AD96"/>
  <c r="AD104"/>
  <c r="AD112"/>
  <c r="AD120"/>
  <c r="AD128"/>
  <c r="AD136"/>
  <c r="AD144"/>
  <c r="AD152"/>
  <c r="AD160"/>
  <c r="AD168"/>
  <c r="AD176"/>
  <c r="AD184"/>
  <c r="AD192"/>
  <c r="AD200"/>
  <c r="AD208"/>
  <c r="AD216"/>
  <c r="AD224"/>
  <c r="AD232"/>
  <c r="AD240"/>
  <c r="AD248"/>
  <c r="AD256"/>
  <c r="AD264"/>
  <c r="AD272"/>
  <c r="AD24"/>
  <c r="AD8" i="31"/>
  <c r="AE50" i="24"/>
  <c r="AE58"/>
  <c r="AE66"/>
  <c r="AE74"/>
  <c r="AE82"/>
  <c r="AE89"/>
  <c r="AE96"/>
  <c r="AE104"/>
  <c r="AE112"/>
  <c r="AE120"/>
  <c r="AE128"/>
  <c r="AE136"/>
  <c r="AE144"/>
  <c r="AE152"/>
  <c r="AE160"/>
  <c r="AE168"/>
  <c r="AE176"/>
  <c r="AE184"/>
  <c r="AE192"/>
  <c r="AE200"/>
  <c r="AE208"/>
  <c r="AE216"/>
  <c r="AE224"/>
  <c r="AE232"/>
  <c r="AE240"/>
  <c r="AE248"/>
  <c r="AE256"/>
  <c r="AE264"/>
  <c r="AE272"/>
  <c r="AE280"/>
  <c r="AE24"/>
  <c r="AE8" i="31"/>
  <c r="AF50" i="24"/>
  <c r="AF58"/>
  <c r="AF66"/>
  <c r="AF74"/>
  <c r="AF82"/>
  <c r="AF89"/>
  <c r="AF96"/>
  <c r="AF104"/>
  <c r="AF112"/>
  <c r="AF120"/>
  <c r="AF128"/>
  <c r="AF136"/>
  <c r="AF144"/>
  <c r="AF152"/>
  <c r="AF160"/>
  <c r="AF168"/>
  <c r="AF176"/>
  <c r="AF184"/>
  <c r="AF192"/>
  <c r="AF200"/>
  <c r="AF208"/>
  <c r="AF216"/>
  <c r="AF224"/>
  <c r="AF232"/>
  <c r="AF240"/>
  <c r="AF248"/>
  <c r="AF256"/>
  <c r="AF264"/>
  <c r="AF272"/>
  <c r="AF280"/>
  <c r="AF288"/>
  <c r="AF24"/>
  <c r="AF8" i="31"/>
  <c r="AG50" i="24"/>
  <c r="AG58"/>
  <c r="AG66"/>
  <c r="AG74"/>
  <c r="AG82"/>
  <c r="AG89"/>
  <c r="AG96"/>
  <c r="AG104"/>
  <c r="AG112"/>
  <c r="AG120"/>
  <c r="AG128"/>
  <c r="AG136"/>
  <c r="AG144"/>
  <c r="AG152"/>
  <c r="AG160"/>
  <c r="AG168"/>
  <c r="AG176"/>
  <c r="AG184"/>
  <c r="AG192"/>
  <c r="AG200"/>
  <c r="AG208"/>
  <c r="AG216"/>
  <c r="AG224"/>
  <c r="AG232"/>
  <c r="AG240"/>
  <c r="AG248"/>
  <c r="AG256"/>
  <c r="AG264"/>
  <c r="AG272"/>
  <c r="AG280"/>
  <c r="AG288"/>
  <c r="AG296"/>
  <c r="AG24"/>
  <c r="AG8" i="31"/>
  <c r="AH50" i="24"/>
  <c r="AH58"/>
  <c r="AH66"/>
  <c r="AH74"/>
  <c r="AH82"/>
  <c r="AH89"/>
  <c r="AH96"/>
  <c r="AH104"/>
  <c r="AH112"/>
  <c r="AH120"/>
  <c r="AH128"/>
  <c r="AH136"/>
  <c r="AH144"/>
  <c r="AH152"/>
  <c r="AH160"/>
  <c r="AH168"/>
  <c r="AH176"/>
  <c r="AH184"/>
  <c r="AH192"/>
  <c r="AH200"/>
  <c r="AH208"/>
  <c r="AH216"/>
  <c r="AH224"/>
  <c r="AH232"/>
  <c r="AH240"/>
  <c r="AH248"/>
  <c r="AH256"/>
  <c r="AH264"/>
  <c r="AH272"/>
  <c r="AH280"/>
  <c r="AH288"/>
  <c r="AH296"/>
  <c r="AH304"/>
  <c r="AH24"/>
  <c r="AH8" i="31"/>
  <c r="AI50" i="24"/>
  <c r="AI58"/>
  <c r="AI66"/>
  <c r="AI74"/>
  <c r="AI82"/>
  <c r="AI89"/>
  <c r="AI96"/>
  <c r="AI104"/>
  <c r="AI112"/>
  <c r="AI120"/>
  <c r="AI128"/>
  <c r="AI136"/>
  <c r="AI144"/>
  <c r="AI152"/>
  <c r="AI160"/>
  <c r="AI168"/>
  <c r="AI176"/>
  <c r="AI184"/>
  <c r="AI192"/>
  <c r="AI200"/>
  <c r="AI208"/>
  <c r="AI216"/>
  <c r="AI224"/>
  <c r="AI232"/>
  <c r="AI240"/>
  <c r="AI248"/>
  <c r="AI256"/>
  <c r="AI264"/>
  <c r="AI272"/>
  <c r="AI280"/>
  <c r="AI288"/>
  <c r="AI296"/>
  <c r="AI304"/>
  <c r="AI312"/>
  <c r="AI24"/>
  <c r="AI8" i="31"/>
  <c r="AJ50" i="24"/>
  <c r="AJ58"/>
  <c r="AJ66"/>
  <c r="AJ74"/>
  <c r="AJ82"/>
  <c r="AJ89"/>
  <c r="AJ96"/>
  <c r="AJ104"/>
  <c r="AJ112"/>
  <c r="AJ120"/>
  <c r="AJ128"/>
  <c r="AJ136"/>
  <c r="AJ144"/>
  <c r="AJ152"/>
  <c r="AJ160"/>
  <c r="AJ168"/>
  <c r="AJ176"/>
  <c r="AJ184"/>
  <c r="AJ192"/>
  <c r="AJ200"/>
  <c r="AJ208"/>
  <c r="AJ216"/>
  <c r="AJ224"/>
  <c r="AJ232"/>
  <c r="AJ240"/>
  <c r="AJ248"/>
  <c r="AJ256"/>
  <c r="AJ264"/>
  <c r="AJ272"/>
  <c r="AJ280"/>
  <c r="AJ288"/>
  <c r="AJ296"/>
  <c r="AJ304"/>
  <c r="AJ312"/>
  <c r="AJ320"/>
  <c r="AJ24"/>
  <c r="AJ8" i="31"/>
  <c r="AR91" i="4"/>
  <c r="AK541" i="24"/>
  <c r="AK50"/>
  <c r="AK58"/>
  <c r="AK66"/>
  <c r="AK74"/>
  <c r="AK82"/>
  <c r="AK89"/>
  <c r="AK96"/>
  <c r="AK104"/>
  <c r="AK112"/>
  <c r="AK120"/>
  <c r="AK128"/>
  <c r="AK136"/>
  <c r="AK144"/>
  <c r="AK152"/>
  <c r="AK160"/>
  <c r="AK168"/>
  <c r="AK176"/>
  <c r="AK184"/>
  <c r="AK192"/>
  <c r="AK200"/>
  <c r="AK208"/>
  <c r="AK216"/>
  <c r="AK224"/>
  <c r="AK232"/>
  <c r="AK240"/>
  <c r="AK248"/>
  <c r="AK256"/>
  <c r="AK264"/>
  <c r="AK272"/>
  <c r="AK280"/>
  <c r="AK288"/>
  <c r="AK296"/>
  <c r="AK304"/>
  <c r="AK312"/>
  <c r="AK320"/>
  <c r="AK328"/>
  <c r="AK24"/>
  <c r="AK8" i="31"/>
  <c r="AL50" i="24"/>
  <c r="AL58"/>
  <c r="AL66"/>
  <c r="AL74"/>
  <c r="AL82"/>
  <c r="AL89"/>
  <c r="AL96"/>
  <c r="AL104"/>
  <c r="AL112"/>
  <c r="AL120"/>
  <c r="AL128"/>
  <c r="AL136"/>
  <c r="AL144"/>
  <c r="AL152"/>
  <c r="AL160"/>
  <c r="AL168"/>
  <c r="AL176"/>
  <c r="AL184"/>
  <c r="AL192"/>
  <c r="AL200"/>
  <c r="AL208"/>
  <c r="AL216"/>
  <c r="AL224"/>
  <c r="AL232"/>
  <c r="AL240"/>
  <c r="AL248"/>
  <c r="AL256"/>
  <c r="AL264"/>
  <c r="AL272"/>
  <c r="AL280"/>
  <c r="AL288"/>
  <c r="AL296"/>
  <c r="AL304"/>
  <c r="AL312"/>
  <c r="AL320"/>
  <c r="AL328"/>
  <c r="AL336"/>
  <c r="AL24"/>
  <c r="AL8" i="31"/>
  <c r="AT91" i="4"/>
  <c r="AM541" i="24"/>
  <c r="AM50"/>
  <c r="AM58"/>
  <c r="AM66"/>
  <c r="AM74"/>
  <c r="AM82"/>
  <c r="AM89"/>
  <c r="AM96"/>
  <c r="AM104"/>
  <c r="AM112"/>
  <c r="AM120"/>
  <c r="AM128"/>
  <c r="AM136"/>
  <c r="AM144"/>
  <c r="AM152"/>
  <c r="AM160"/>
  <c r="AM168"/>
  <c r="AM176"/>
  <c r="AM184"/>
  <c r="AM192"/>
  <c r="AM200"/>
  <c r="AM208"/>
  <c r="AM216"/>
  <c r="AM224"/>
  <c r="AM232"/>
  <c r="AM240"/>
  <c r="AM248"/>
  <c r="AM256"/>
  <c r="AM264"/>
  <c r="AM272"/>
  <c r="AM280"/>
  <c r="AM288"/>
  <c r="AM296"/>
  <c r="AM304"/>
  <c r="AM312"/>
  <c r="AM320"/>
  <c r="AM328"/>
  <c r="AM336"/>
  <c r="AM344"/>
  <c r="AM24"/>
  <c r="AM8" i="31"/>
  <c r="AN50" i="24"/>
  <c r="AN58"/>
  <c r="AN66"/>
  <c r="AN74"/>
  <c r="AN82"/>
  <c r="AN89"/>
  <c r="AN96"/>
  <c r="AN104"/>
  <c r="AN112"/>
  <c r="AN120"/>
  <c r="AN128"/>
  <c r="AN136"/>
  <c r="AN144"/>
  <c r="AN152"/>
  <c r="AN160"/>
  <c r="AN168"/>
  <c r="AN176"/>
  <c r="AN184"/>
  <c r="AN192"/>
  <c r="AN200"/>
  <c r="AN208"/>
  <c r="AN216"/>
  <c r="AN224"/>
  <c r="AN232"/>
  <c r="AN240"/>
  <c r="AN248"/>
  <c r="AN256"/>
  <c r="AN264"/>
  <c r="AN272"/>
  <c r="AN280"/>
  <c r="AN288"/>
  <c r="AN296"/>
  <c r="AN304"/>
  <c r="AN312"/>
  <c r="AN320"/>
  <c r="AN328"/>
  <c r="AN336"/>
  <c r="AN344"/>
  <c r="AN352"/>
  <c r="AN24"/>
  <c r="AN8" i="31"/>
  <c r="AV91" i="4"/>
  <c r="AO541" i="24"/>
  <c r="AO50"/>
  <c r="AO58"/>
  <c r="AO66"/>
  <c r="AO74"/>
  <c r="AO82"/>
  <c r="AO89"/>
  <c r="AO96"/>
  <c r="AO104"/>
  <c r="AO112"/>
  <c r="AO120"/>
  <c r="AO128"/>
  <c r="AO136"/>
  <c r="AO144"/>
  <c r="AO152"/>
  <c r="AO160"/>
  <c r="AO168"/>
  <c r="AO176"/>
  <c r="AO184"/>
  <c r="AO192"/>
  <c r="AO200"/>
  <c r="AO208"/>
  <c r="AO216"/>
  <c r="AO224"/>
  <c r="AO232"/>
  <c r="AO240"/>
  <c r="AO248"/>
  <c r="AO256"/>
  <c r="AO264"/>
  <c r="AO272"/>
  <c r="AO280"/>
  <c r="AO288"/>
  <c r="AO296"/>
  <c r="AO304"/>
  <c r="AO312"/>
  <c r="AO320"/>
  <c r="AO328"/>
  <c r="AO336"/>
  <c r="AO344"/>
  <c r="AO352"/>
  <c r="AO360"/>
  <c r="AO24"/>
  <c r="AO8" i="31"/>
  <c r="AP50" i="24"/>
  <c r="AP58"/>
  <c r="AP66"/>
  <c r="AP74"/>
  <c r="AP82"/>
  <c r="AP89"/>
  <c r="AP96"/>
  <c r="AP104"/>
  <c r="AP112"/>
  <c r="AP120"/>
  <c r="AP128"/>
  <c r="AP136"/>
  <c r="AP144"/>
  <c r="AP152"/>
  <c r="AP160"/>
  <c r="AP168"/>
  <c r="AP176"/>
  <c r="AP184"/>
  <c r="AP192"/>
  <c r="AP200"/>
  <c r="AP208"/>
  <c r="AP216"/>
  <c r="AP224"/>
  <c r="AP232"/>
  <c r="AP240"/>
  <c r="AP248"/>
  <c r="AP256"/>
  <c r="AP264"/>
  <c r="AP272"/>
  <c r="AP280"/>
  <c r="AP288"/>
  <c r="AP296"/>
  <c r="AP304"/>
  <c r="AP312"/>
  <c r="AP320"/>
  <c r="AP328"/>
  <c r="AP336"/>
  <c r="AP344"/>
  <c r="AP352"/>
  <c r="AP360"/>
  <c r="AP368"/>
  <c r="AP24"/>
  <c r="AP8" i="31"/>
  <c r="AX91" i="4"/>
  <c r="AQ541" i="24"/>
  <c r="AQ50"/>
  <c r="AQ58"/>
  <c r="AQ66"/>
  <c r="AQ74"/>
  <c r="AQ82"/>
  <c r="AQ89"/>
  <c r="AQ96"/>
  <c r="AQ104"/>
  <c r="AQ112"/>
  <c r="AQ120"/>
  <c r="AQ128"/>
  <c r="AQ136"/>
  <c r="AQ144"/>
  <c r="AQ152"/>
  <c r="AQ160"/>
  <c r="AQ168"/>
  <c r="AQ176"/>
  <c r="AQ184"/>
  <c r="AQ192"/>
  <c r="AQ200"/>
  <c r="AQ208"/>
  <c r="AQ216"/>
  <c r="AQ224"/>
  <c r="AQ232"/>
  <c r="AQ240"/>
  <c r="AQ248"/>
  <c r="AQ256"/>
  <c r="AQ264"/>
  <c r="AQ272"/>
  <c r="AQ280"/>
  <c r="AQ288"/>
  <c r="AQ296"/>
  <c r="AQ304"/>
  <c r="AQ312"/>
  <c r="AQ320"/>
  <c r="AQ328"/>
  <c r="AQ336"/>
  <c r="AQ344"/>
  <c r="AQ352"/>
  <c r="AQ360"/>
  <c r="AQ368"/>
  <c r="AQ376"/>
  <c r="AQ24"/>
  <c r="AQ8" i="31"/>
  <c r="AY91" i="4"/>
  <c r="AR541" i="24"/>
  <c r="AR50"/>
  <c r="AR58"/>
  <c r="AR66"/>
  <c r="AR74"/>
  <c r="AR82"/>
  <c r="AR89"/>
  <c r="AR96"/>
  <c r="AR104"/>
  <c r="AR112"/>
  <c r="AR120"/>
  <c r="AR128"/>
  <c r="AR136"/>
  <c r="AR144"/>
  <c r="AR152"/>
  <c r="AR160"/>
  <c r="AR168"/>
  <c r="AR176"/>
  <c r="AR184"/>
  <c r="AR192"/>
  <c r="AR200"/>
  <c r="AR208"/>
  <c r="AR216"/>
  <c r="AR224"/>
  <c r="AR232"/>
  <c r="AR240"/>
  <c r="AR248"/>
  <c r="AR256"/>
  <c r="AR264"/>
  <c r="AR272"/>
  <c r="AR280"/>
  <c r="AR288"/>
  <c r="AR296"/>
  <c r="AR304"/>
  <c r="AR312"/>
  <c r="AR320"/>
  <c r="AR328"/>
  <c r="AR336"/>
  <c r="AR344"/>
  <c r="AR352"/>
  <c r="AR360"/>
  <c r="AR368"/>
  <c r="AR376"/>
  <c r="AR384"/>
  <c r="AR24"/>
  <c r="AR8" i="31"/>
  <c r="AS50" i="24"/>
  <c r="AS58"/>
  <c r="AS66"/>
  <c r="AS74"/>
  <c r="AS82"/>
  <c r="AS89"/>
  <c r="AS96"/>
  <c r="AS104"/>
  <c r="AS112"/>
  <c r="AS120"/>
  <c r="AS128"/>
  <c r="AS136"/>
  <c r="AS144"/>
  <c r="AS152"/>
  <c r="AS160"/>
  <c r="AS168"/>
  <c r="AS176"/>
  <c r="AS184"/>
  <c r="AS192"/>
  <c r="AS200"/>
  <c r="AS208"/>
  <c r="AS216"/>
  <c r="AS224"/>
  <c r="AS232"/>
  <c r="AS240"/>
  <c r="AS248"/>
  <c r="AS256"/>
  <c r="AS264"/>
  <c r="AS272"/>
  <c r="AS280"/>
  <c r="AS288"/>
  <c r="AS296"/>
  <c r="AS304"/>
  <c r="AS312"/>
  <c r="AS320"/>
  <c r="AS328"/>
  <c r="AS336"/>
  <c r="AS344"/>
  <c r="AS352"/>
  <c r="AS360"/>
  <c r="AS368"/>
  <c r="AS376"/>
  <c r="AS384"/>
  <c r="AS392"/>
  <c r="AS24"/>
  <c r="AS8" i="31"/>
  <c r="BA91" i="4"/>
  <c r="AT541" i="24"/>
  <c r="AT50"/>
  <c r="AT58"/>
  <c r="AT66"/>
  <c r="AT74"/>
  <c r="AT82"/>
  <c r="AT89"/>
  <c r="AT96"/>
  <c r="AT104"/>
  <c r="AT112"/>
  <c r="AT120"/>
  <c r="AT128"/>
  <c r="AT136"/>
  <c r="AT144"/>
  <c r="AT152"/>
  <c r="AT160"/>
  <c r="AT168"/>
  <c r="AT176"/>
  <c r="AT184"/>
  <c r="AT192"/>
  <c r="AT200"/>
  <c r="AT208"/>
  <c r="AT216"/>
  <c r="AT224"/>
  <c r="AT232"/>
  <c r="AT240"/>
  <c r="AT248"/>
  <c r="AT256"/>
  <c r="AT264"/>
  <c r="AT272"/>
  <c r="AT280"/>
  <c r="AT288"/>
  <c r="AT296"/>
  <c r="AT304"/>
  <c r="AT312"/>
  <c r="AT320"/>
  <c r="AT328"/>
  <c r="AT336"/>
  <c r="AT344"/>
  <c r="AT352"/>
  <c r="AT360"/>
  <c r="AT368"/>
  <c r="AT376"/>
  <c r="AT384"/>
  <c r="AT392"/>
  <c r="AT400"/>
  <c r="AT24"/>
  <c r="AT8" i="31"/>
  <c r="BB91" i="4"/>
  <c r="AU541" i="24"/>
  <c r="AU50"/>
  <c r="AU58"/>
  <c r="AU66"/>
  <c r="AU74"/>
  <c r="AU82"/>
  <c r="AU89"/>
  <c r="AU96"/>
  <c r="AU104"/>
  <c r="AU112"/>
  <c r="AU120"/>
  <c r="AU128"/>
  <c r="AU136"/>
  <c r="AU144"/>
  <c r="AU152"/>
  <c r="AU160"/>
  <c r="AU168"/>
  <c r="AU176"/>
  <c r="AU184"/>
  <c r="AU192"/>
  <c r="AU200"/>
  <c r="AU208"/>
  <c r="AU216"/>
  <c r="AU224"/>
  <c r="AU232"/>
  <c r="AU240"/>
  <c r="AU248"/>
  <c r="AU256"/>
  <c r="AU264"/>
  <c r="AU272"/>
  <c r="AU280"/>
  <c r="AU288"/>
  <c r="AU296"/>
  <c r="AU304"/>
  <c r="AU312"/>
  <c r="AU320"/>
  <c r="AU328"/>
  <c r="AU336"/>
  <c r="AU344"/>
  <c r="AU352"/>
  <c r="AU360"/>
  <c r="AU368"/>
  <c r="AU376"/>
  <c r="AU384"/>
  <c r="AU392"/>
  <c r="AU400"/>
  <c r="AU408"/>
  <c r="AU24"/>
  <c r="AU8" i="31"/>
  <c r="AV50" i="24"/>
  <c r="AV58"/>
  <c r="AV66"/>
  <c r="AV74"/>
  <c r="AV82"/>
  <c r="AV89"/>
  <c r="AV96"/>
  <c r="AV104"/>
  <c r="AV112"/>
  <c r="AV120"/>
  <c r="AV128"/>
  <c r="AV136"/>
  <c r="AV144"/>
  <c r="AV152"/>
  <c r="AV160"/>
  <c r="AV168"/>
  <c r="AV176"/>
  <c r="AV184"/>
  <c r="AV192"/>
  <c r="AV200"/>
  <c r="AV208"/>
  <c r="AV216"/>
  <c r="AV224"/>
  <c r="AV232"/>
  <c r="AV240"/>
  <c r="AV248"/>
  <c r="AV256"/>
  <c r="AV264"/>
  <c r="AV272"/>
  <c r="AV280"/>
  <c r="AV288"/>
  <c r="AV296"/>
  <c r="AV304"/>
  <c r="AV312"/>
  <c r="AV320"/>
  <c r="AV328"/>
  <c r="AV336"/>
  <c r="AV344"/>
  <c r="AV352"/>
  <c r="AV360"/>
  <c r="AV368"/>
  <c r="AV376"/>
  <c r="AV384"/>
  <c r="AV392"/>
  <c r="AV400"/>
  <c r="AV408"/>
  <c r="AV416"/>
  <c r="AV24"/>
  <c r="AV8" i="31"/>
  <c r="BD91" i="4"/>
  <c r="AW541" i="24"/>
  <c r="AW50"/>
  <c r="AW58"/>
  <c r="AW66"/>
  <c r="AW74"/>
  <c r="AW82"/>
  <c r="AW89"/>
  <c r="AW96"/>
  <c r="AW104"/>
  <c r="AW112"/>
  <c r="AW120"/>
  <c r="AW128"/>
  <c r="AW136"/>
  <c r="AW144"/>
  <c r="AW152"/>
  <c r="AW160"/>
  <c r="AW168"/>
  <c r="AW176"/>
  <c r="AW184"/>
  <c r="AW192"/>
  <c r="AW200"/>
  <c r="AW208"/>
  <c r="AW216"/>
  <c r="AW224"/>
  <c r="AW232"/>
  <c r="AW240"/>
  <c r="AW248"/>
  <c r="AW256"/>
  <c r="AW264"/>
  <c r="AW272"/>
  <c r="AW280"/>
  <c r="AW288"/>
  <c r="AW296"/>
  <c r="AW304"/>
  <c r="AW312"/>
  <c r="AW320"/>
  <c r="AW328"/>
  <c r="AW336"/>
  <c r="AW344"/>
  <c r="AW352"/>
  <c r="AW360"/>
  <c r="AW368"/>
  <c r="AW376"/>
  <c r="AW384"/>
  <c r="AW392"/>
  <c r="AW400"/>
  <c r="AW408"/>
  <c r="AW416"/>
  <c r="AW424"/>
  <c r="AW24"/>
  <c r="AW8" i="31"/>
  <c r="AX50" i="24"/>
  <c r="AX58"/>
  <c r="AX66"/>
  <c r="AX74"/>
  <c r="AX82"/>
  <c r="AX89"/>
  <c r="AX96"/>
  <c r="AX104"/>
  <c r="AX112"/>
  <c r="AX120"/>
  <c r="AX128"/>
  <c r="AX136"/>
  <c r="AX144"/>
  <c r="AX152"/>
  <c r="AX160"/>
  <c r="AX168"/>
  <c r="AX176"/>
  <c r="AX184"/>
  <c r="AX192"/>
  <c r="AX200"/>
  <c r="AX208"/>
  <c r="AX216"/>
  <c r="AX224"/>
  <c r="AX232"/>
  <c r="AX240"/>
  <c r="AX248"/>
  <c r="AX256"/>
  <c r="AX264"/>
  <c r="AX272"/>
  <c r="AX280"/>
  <c r="AX288"/>
  <c r="AX296"/>
  <c r="AX304"/>
  <c r="AX312"/>
  <c r="AX320"/>
  <c r="AX328"/>
  <c r="AX336"/>
  <c r="AX344"/>
  <c r="AX352"/>
  <c r="AX360"/>
  <c r="AX368"/>
  <c r="AX376"/>
  <c r="AX384"/>
  <c r="AX392"/>
  <c r="AX400"/>
  <c r="AX408"/>
  <c r="AX416"/>
  <c r="AX424"/>
  <c r="AX432"/>
  <c r="AX24"/>
  <c r="AX8" i="31"/>
  <c r="BF91" i="4"/>
  <c r="AY541" i="24"/>
  <c r="AY50"/>
  <c r="AY58"/>
  <c r="AY66"/>
  <c r="AY74"/>
  <c r="AY82"/>
  <c r="AY89"/>
  <c r="AY96"/>
  <c r="AY104"/>
  <c r="AY112"/>
  <c r="AY120"/>
  <c r="AY128"/>
  <c r="AY136"/>
  <c r="AY144"/>
  <c r="AY152"/>
  <c r="AY160"/>
  <c r="AY168"/>
  <c r="AY176"/>
  <c r="AY184"/>
  <c r="AY192"/>
  <c r="AY200"/>
  <c r="AY208"/>
  <c r="AY216"/>
  <c r="AY224"/>
  <c r="AY232"/>
  <c r="AY240"/>
  <c r="AY248"/>
  <c r="AY256"/>
  <c r="AY264"/>
  <c r="AY272"/>
  <c r="AY280"/>
  <c r="AY288"/>
  <c r="AY296"/>
  <c r="AY304"/>
  <c r="AY312"/>
  <c r="AY320"/>
  <c r="AY328"/>
  <c r="AY336"/>
  <c r="AY344"/>
  <c r="AY352"/>
  <c r="AY360"/>
  <c r="AY368"/>
  <c r="AY376"/>
  <c r="AY384"/>
  <c r="AY392"/>
  <c r="AY400"/>
  <c r="AY408"/>
  <c r="AY416"/>
  <c r="AY424"/>
  <c r="AY432"/>
  <c r="AY440"/>
  <c r="AY24"/>
  <c r="AY8" i="31"/>
  <c r="AZ50" i="24"/>
  <c r="AZ58"/>
  <c r="AZ66"/>
  <c r="AZ74"/>
  <c r="AZ82"/>
  <c r="AZ89"/>
  <c r="AZ96"/>
  <c r="AZ104"/>
  <c r="AZ112"/>
  <c r="AZ120"/>
  <c r="AZ128"/>
  <c r="AZ136"/>
  <c r="AZ144"/>
  <c r="AZ152"/>
  <c r="AZ160"/>
  <c r="AZ168"/>
  <c r="AZ176"/>
  <c r="AZ184"/>
  <c r="AZ192"/>
  <c r="AZ200"/>
  <c r="AZ208"/>
  <c r="AZ216"/>
  <c r="AZ224"/>
  <c r="AZ232"/>
  <c r="AZ240"/>
  <c r="AZ248"/>
  <c r="AZ256"/>
  <c r="AZ264"/>
  <c r="AZ272"/>
  <c r="AZ280"/>
  <c r="AZ288"/>
  <c r="AZ296"/>
  <c r="AZ304"/>
  <c r="AZ312"/>
  <c r="AZ320"/>
  <c r="AZ328"/>
  <c r="AZ336"/>
  <c r="AZ344"/>
  <c r="AZ352"/>
  <c r="AZ360"/>
  <c r="AZ368"/>
  <c r="AZ376"/>
  <c r="AZ384"/>
  <c r="AZ392"/>
  <c r="AZ400"/>
  <c r="AZ408"/>
  <c r="AZ416"/>
  <c r="AZ424"/>
  <c r="AZ432"/>
  <c r="AZ440"/>
  <c r="AZ448"/>
  <c r="AZ24"/>
  <c r="AZ8" i="31"/>
  <c r="BH91" i="4"/>
  <c r="BA541" i="24"/>
  <c r="BA50"/>
  <c r="BA58"/>
  <c r="BA66"/>
  <c r="BA74"/>
  <c r="BA82"/>
  <c r="BA89"/>
  <c r="BA96"/>
  <c r="BA104"/>
  <c r="BA112"/>
  <c r="BA120"/>
  <c r="BA128"/>
  <c r="BA136"/>
  <c r="BA144"/>
  <c r="BA152"/>
  <c r="BA160"/>
  <c r="BA168"/>
  <c r="BA176"/>
  <c r="BA184"/>
  <c r="BA192"/>
  <c r="BA200"/>
  <c r="BA208"/>
  <c r="BA216"/>
  <c r="BA224"/>
  <c r="BA232"/>
  <c r="BA240"/>
  <c r="BA248"/>
  <c r="BA256"/>
  <c r="BA264"/>
  <c r="BA272"/>
  <c r="BA280"/>
  <c r="BA288"/>
  <c r="BA296"/>
  <c r="BA304"/>
  <c r="BA312"/>
  <c r="BA320"/>
  <c r="BA328"/>
  <c r="BA336"/>
  <c r="BA344"/>
  <c r="BA352"/>
  <c r="BA360"/>
  <c r="BA368"/>
  <c r="BA376"/>
  <c r="BA384"/>
  <c r="BA392"/>
  <c r="BA400"/>
  <c r="BA408"/>
  <c r="BA416"/>
  <c r="BA424"/>
  <c r="BA432"/>
  <c r="BA440"/>
  <c r="BA448"/>
  <c r="BA456"/>
  <c r="BA24"/>
  <c r="BA8" i="31"/>
  <c r="BB50" i="24"/>
  <c r="BB58"/>
  <c r="BB66"/>
  <c r="BB74"/>
  <c r="BB82"/>
  <c r="BB89"/>
  <c r="BB96"/>
  <c r="BB104"/>
  <c r="BB112"/>
  <c r="BB120"/>
  <c r="BB128"/>
  <c r="BB136"/>
  <c r="BB144"/>
  <c r="BB152"/>
  <c r="BB160"/>
  <c r="BB168"/>
  <c r="BB176"/>
  <c r="BB184"/>
  <c r="BB192"/>
  <c r="BB200"/>
  <c r="BB208"/>
  <c r="BB216"/>
  <c r="BB224"/>
  <c r="BB232"/>
  <c r="BB240"/>
  <c r="BB248"/>
  <c r="BB256"/>
  <c r="BB264"/>
  <c r="BB272"/>
  <c r="BB280"/>
  <c r="BB288"/>
  <c r="BB296"/>
  <c r="BB304"/>
  <c r="BB312"/>
  <c r="BB320"/>
  <c r="BB328"/>
  <c r="BB336"/>
  <c r="BB344"/>
  <c r="BB352"/>
  <c r="BB360"/>
  <c r="BB368"/>
  <c r="BB376"/>
  <c r="BB384"/>
  <c r="BB392"/>
  <c r="BB400"/>
  <c r="BB408"/>
  <c r="BB416"/>
  <c r="BB424"/>
  <c r="BB432"/>
  <c r="BB440"/>
  <c r="BB448"/>
  <c r="BB456"/>
  <c r="BB464"/>
  <c r="BB24"/>
  <c r="BB8" i="31"/>
  <c r="BJ91" i="4"/>
  <c r="BC541" i="24"/>
  <c r="BC50"/>
  <c r="BC58"/>
  <c r="BC66"/>
  <c r="BC74"/>
  <c r="BC82"/>
  <c r="BC89"/>
  <c r="BC96"/>
  <c r="BC104"/>
  <c r="BC112"/>
  <c r="BC120"/>
  <c r="BC128"/>
  <c r="BC136"/>
  <c r="BC144"/>
  <c r="BC152"/>
  <c r="BC160"/>
  <c r="BC168"/>
  <c r="BC176"/>
  <c r="BC184"/>
  <c r="BC192"/>
  <c r="BC200"/>
  <c r="BC208"/>
  <c r="BC216"/>
  <c r="BC224"/>
  <c r="BC232"/>
  <c r="BC240"/>
  <c r="BC248"/>
  <c r="BC256"/>
  <c r="BC264"/>
  <c r="BC272"/>
  <c r="BC280"/>
  <c r="BC288"/>
  <c r="BC296"/>
  <c r="BC304"/>
  <c r="BC312"/>
  <c r="BC320"/>
  <c r="BC328"/>
  <c r="BC336"/>
  <c r="BC344"/>
  <c r="BC352"/>
  <c r="BC360"/>
  <c r="BC368"/>
  <c r="BC376"/>
  <c r="BC384"/>
  <c r="BC392"/>
  <c r="BC400"/>
  <c r="BC408"/>
  <c r="BC416"/>
  <c r="BC424"/>
  <c r="BC432"/>
  <c r="BC440"/>
  <c r="BC448"/>
  <c r="BC456"/>
  <c r="BC464"/>
  <c r="BC472"/>
  <c r="BC24"/>
  <c r="BC8" i="31"/>
  <c r="BK91" i="4"/>
  <c r="BD541" i="24"/>
  <c r="BD50"/>
  <c r="BD58"/>
  <c r="BD66"/>
  <c r="BD74"/>
  <c r="BD82"/>
  <c r="BD89"/>
  <c r="BD96"/>
  <c r="BD104"/>
  <c r="BD112"/>
  <c r="BD120"/>
  <c r="BD128"/>
  <c r="BD136"/>
  <c r="BD144"/>
  <c r="BD152"/>
  <c r="BD160"/>
  <c r="BD168"/>
  <c r="BD176"/>
  <c r="BD184"/>
  <c r="BD192"/>
  <c r="BD200"/>
  <c r="BD208"/>
  <c r="BD216"/>
  <c r="BD224"/>
  <c r="BD232"/>
  <c r="BD240"/>
  <c r="BD248"/>
  <c r="BD256"/>
  <c r="BD264"/>
  <c r="BD272"/>
  <c r="BD280"/>
  <c r="BD288"/>
  <c r="BD296"/>
  <c r="BD304"/>
  <c r="BD312"/>
  <c r="BD320"/>
  <c r="BD328"/>
  <c r="BD336"/>
  <c r="BD344"/>
  <c r="BD352"/>
  <c r="BD360"/>
  <c r="BD368"/>
  <c r="BD376"/>
  <c r="BD384"/>
  <c r="BD392"/>
  <c r="BD400"/>
  <c r="BD408"/>
  <c r="BD416"/>
  <c r="BD424"/>
  <c r="BD432"/>
  <c r="BD440"/>
  <c r="BD448"/>
  <c r="BD456"/>
  <c r="BD464"/>
  <c r="BD472"/>
  <c r="BD480"/>
  <c r="BD24"/>
  <c r="BD8" i="31"/>
  <c r="BL91" i="4"/>
  <c r="BE541" i="24"/>
  <c r="BE50"/>
  <c r="BE58"/>
  <c r="BE66"/>
  <c r="BE74"/>
  <c r="BE82"/>
  <c r="BE89"/>
  <c r="BE96"/>
  <c r="BE104"/>
  <c r="BE112"/>
  <c r="BE120"/>
  <c r="BE128"/>
  <c r="BE136"/>
  <c r="BE144"/>
  <c r="BE152"/>
  <c r="BE160"/>
  <c r="BE168"/>
  <c r="BE176"/>
  <c r="BE184"/>
  <c r="BE192"/>
  <c r="BE200"/>
  <c r="BE208"/>
  <c r="BE216"/>
  <c r="BE224"/>
  <c r="BE232"/>
  <c r="BE240"/>
  <c r="BE248"/>
  <c r="BE256"/>
  <c r="BE264"/>
  <c r="BE272"/>
  <c r="BE280"/>
  <c r="BE288"/>
  <c r="BE296"/>
  <c r="BE304"/>
  <c r="BE312"/>
  <c r="BE320"/>
  <c r="BE328"/>
  <c r="BE336"/>
  <c r="BE344"/>
  <c r="BE352"/>
  <c r="BE360"/>
  <c r="BE368"/>
  <c r="BE376"/>
  <c r="BE384"/>
  <c r="BE392"/>
  <c r="BE400"/>
  <c r="BE408"/>
  <c r="BE416"/>
  <c r="BE424"/>
  <c r="BE432"/>
  <c r="BE440"/>
  <c r="BE448"/>
  <c r="BE456"/>
  <c r="BE464"/>
  <c r="BE472"/>
  <c r="BE480"/>
  <c r="BE488"/>
  <c r="BE24"/>
  <c r="BE8" i="31"/>
  <c r="BF50" i="24"/>
  <c r="BF58"/>
  <c r="BF66"/>
  <c r="BF74"/>
  <c r="BF82"/>
  <c r="BF89"/>
  <c r="BF96"/>
  <c r="BF104"/>
  <c r="BF112"/>
  <c r="BF120"/>
  <c r="BF128"/>
  <c r="BF136"/>
  <c r="BF144"/>
  <c r="BF152"/>
  <c r="BF160"/>
  <c r="BF168"/>
  <c r="BF176"/>
  <c r="BF184"/>
  <c r="BF192"/>
  <c r="BF200"/>
  <c r="BF208"/>
  <c r="BF216"/>
  <c r="BF224"/>
  <c r="BF232"/>
  <c r="BF240"/>
  <c r="BF248"/>
  <c r="BF256"/>
  <c r="BF264"/>
  <c r="BF272"/>
  <c r="BF280"/>
  <c r="BF288"/>
  <c r="BF296"/>
  <c r="BF304"/>
  <c r="BF312"/>
  <c r="BF320"/>
  <c r="BF328"/>
  <c r="BF336"/>
  <c r="BF344"/>
  <c r="BF352"/>
  <c r="BF360"/>
  <c r="BF368"/>
  <c r="BF376"/>
  <c r="BF384"/>
  <c r="BF392"/>
  <c r="BF400"/>
  <c r="BF408"/>
  <c r="BF416"/>
  <c r="BF424"/>
  <c r="BF432"/>
  <c r="BF440"/>
  <c r="BF448"/>
  <c r="BF456"/>
  <c r="BF464"/>
  <c r="BF472"/>
  <c r="BF480"/>
  <c r="BF488"/>
  <c r="BF496"/>
  <c r="BF24"/>
  <c r="BF8" i="31"/>
  <c r="BN91" i="4"/>
  <c r="BG541" i="24"/>
  <c r="BG50"/>
  <c r="BG58"/>
  <c r="BG66"/>
  <c r="BG74"/>
  <c r="BG82"/>
  <c r="BG89"/>
  <c r="BG96"/>
  <c r="BG104"/>
  <c r="BG112"/>
  <c r="BG120"/>
  <c r="BG128"/>
  <c r="BG136"/>
  <c r="BG144"/>
  <c r="BG152"/>
  <c r="BG160"/>
  <c r="BG168"/>
  <c r="BG176"/>
  <c r="BG184"/>
  <c r="BG192"/>
  <c r="BG200"/>
  <c r="BG208"/>
  <c r="BG216"/>
  <c r="BG224"/>
  <c r="BG232"/>
  <c r="BG240"/>
  <c r="BG248"/>
  <c r="BG256"/>
  <c r="BG264"/>
  <c r="BG272"/>
  <c r="BG280"/>
  <c r="BG288"/>
  <c r="BG296"/>
  <c r="BG304"/>
  <c r="BG312"/>
  <c r="BG320"/>
  <c r="BG328"/>
  <c r="BG336"/>
  <c r="BG344"/>
  <c r="BG352"/>
  <c r="BG360"/>
  <c r="BG368"/>
  <c r="BG376"/>
  <c r="BG384"/>
  <c r="BG392"/>
  <c r="BG400"/>
  <c r="BG408"/>
  <c r="BG416"/>
  <c r="BG424"/>
  <c r="BG432"/>
  <c r="BG440"/>
  <c r="BG448"/>
  <c r="BG456"/>
  <c r="BG464"/>
  <c r="BG472"/>
  <c r="BG480"/>
  <c r="BG488"/>
  <c r="BG496"/>
  <c r="BG504"/>
  <c r="BG24"/>
  <c r="BG8" i="31"/>
  <c r="BH50" i="24"/>
  <c r="BH58"/>
  <c r="BH66"/>
  <c r="BH74"/>
  <c r="BH82"/>
  <c r="BH89"/>
  <c r="BH96"/>
  <c r="BH104"/>
  <c r="BH112"/>
  <c r="BH120"/>
  <c r="BH128"/>
  <c r="BH136"/>
  <c r="BH144"/>
  <c r="BH152"/>
  <c r="BH160"/>
  <c r="BH168"/>
  <c r="BH176"/>
  <c r="BH184"/>
  <c r="BH192"/>
  <c r="BH200"/>
  <c r="BH208"/>
  <c r="BH216"/>
  <c r="BH224"/>
  <c r="BH232"/>
  <c r="BH240"/>
  <c r="BH248"/>
  <c r="BH256"/>
  <c r="BH264"/>
  <c r="BH272"/>
  <c r="BH280"/>
  <c r="BH288"/>
  <c r="BH296"/>
  <c r="BH304"/>
  <c r="BH312"/>
  <c r="BH320"/>
  <c r="BH328"/>
  <c r="BH336"/>
  <c r="BH344"/>
  <c r="BH352"/>
  <c r="BH360"/>
  <c r="BH368"/>
  <c r="BH376"/>
  <c r="BH384"/>
  <c r="BH392"/>
  <c r="BH400"/>
  <c r="BH408"/>
  <c r="BH416"/>
  <c r="BH424"/>
  <c r="BH432"/>
  <c r="BH440"/>
  <c r="BH448"/>
  <c r="BH456"/>
  <c r="BH464"/>
  <c r="BH472"/>
  <c r="BH480"/>
  <c r="BH488"/>
  <c r="BH496"/>
  <c r="BH504"/>
  <c r="BH512"/>
  <c r="BH24"/>
  <c r="BH8" i="31"/>
  <c r="BI8"/>
  <c r="A8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I32" i="24"/>
  <c r="BP65" i="25"/>
  <c r="BP66"/>
  <c r="BP67"/>
  <c r="BP68"/>
  <c r="BP52"/>
  <c r="BP69"/>
  <c r="BP70"/>
  <c r="BP72"/>
  <c r="BP73"/>
  <c r="BP74"/>
  <c r="BP75"/>
  <c r="BP55"/>
  <c r="BP56"/>
  <c r="BP57"/>
  <c r="BP58"/>
  <c r="BP59"/>
  <c r="BP60"/>
  <c r="BP61"/>
  <c r="BP46"/>
  <c r="BO52"/>
  <c r="BP47"/>
  <c r="BP48"/>
  <c r="BP49"/>
  <c r="BP50"/>
  <c r="BP51"/>
  <c r="BP77"/>
  <c r="BI33" i="24"/>
  <c r="BI34"/>
  <c r="BI38"/>
  <c r="BI41"/>
  <c r="BI3" i="31"/>
  <c r="BH32" i="24"/>
  <c r="BO65" i="25"/>
  <c r="BO66"/>
  <c r="BO67"/>
  <c r="BO68"/>
  <c r="BO69"/>
  <c r="BO70"/>
  <c r="BO72"/>
  <c r="BO73"/>
  <c r="BO74"/>
  <c r="BO75"/>
  <c r="BO55"/>
  <c r="BO56"/>
  <c r="BO57"/>
  <c r="BO58"/>
  <c r="BO59"/>
  <c r="BO60"/>
  <c r="BO61"/>
  <c r="BO46"/>
  <c r="BN52"/>
  <c r="BO47"/>
  <c r="BO48"/>
  <c r="BO49"/>
  <c r="BO50"/>
  <c r="BO51"/>
  <c r="BO77"/>
  <c r="BH33" i="24"/>
  <c r="BH34"/>
  <c r="BH38"/>
  <c r="BH41"/>
  <c r="BH3" i="31"/>
  <c r="BG32" i="24"/>
  <c r="BN65" i="25"/>
  <c r="BN66"/>
  <c r="BN67"/>
  <c r="BN68"/>
  <c r="BN69"/>
  <c r="BN70"/>
  <c r="BN72"/>
  <c r="BN73"/>
  <c r="BN74"/>
  <c r="BN75"/>
  <c r="BN55"/>
  <c r="BN56"/>
  <c r="BN57"/>
  <c r="BN58"/>
  <c r="BN59"/>
  <c r="BN60"/>
  <c r="BN61"/>
  <c r="BN46"/>
  <c r="BM52"/>
  <c r="BN47"/>
  <c r="BN48"/>
  <c r="BN49"/>
  <c r="BN50"/>
  <c r="BN51"/>
  <c r="BN77"/>
  <c r="BG33" i="24"/>
  <c r="BG34"/>
  <c r="BG38"/>
  <c r="BG41"/>
  <c r="BG3" i="31"/>
  <c r="BF32" i="24"/>
  <c r="BM65" i="25"/>
  <c r="BM66"/>
  <c r="BM67"/>
  <c r="BM68"/>
  <c r="BM69"/>
  <c r="BM70"/>
  <c r="BM72"/>
  <c r="BM73"/>
  <c r="BM74"/>
  <c r="BM75"/>
  <c r="BM55"/>
  <c r="BM56"/>
  <c r="BM57"/>
  <c r="BM58"/>
  <c r="BM59"/>
  <c r="BM60"/>
  <c r="BM61"/>
  <c r="BM46"/>
  <c r="BL52"/>
  <c r="BM47"/>
  <c r="BM48"/>
  <c r="BM49"/>
  <c r="BM50"/>
  <c r="BM51"/>
  <c r="BM77"/>
  <c r="BF33" i="24"/>
  <c r="BF34"/>
  <c r="BF38"/>
  <c r="BF41"/>
  <c r="BF3" i="31"/>
  <c r="BE32" i="24"/>
  <c r="BL65" i="25"/>
  <c r="BL66"/>
  <c r="BL67"/>
  <c r="BL68"/>
  <c r="BL69"/>
  <c r="BL70"/>
  <c r="BL72"/>
  <c r="BL73"/>
  <c r="BL74"/>
  <c r="BL75"/>
  <c r="BL55"/>
  <c r="BL56"/>
  <c r="BL57"/>
  <c r="BL58"/>
  <c r="BL59"/>
  <c r="BL60"/>
  <c r="BL61"/>
  <c r="BL46"/>
  <c r="BK52"/>
  <c r="BL47"/>
  <c r="BL48"/>
  <c r="BL49"/>
  <c r="BL50"/>
  <c r="BL51"/>
  <c r="BL77"/>
  <c r="BE33" i="24"/>
  <c r="BE34"/>
  <c r="BE38"/>
  <c r="BE41"/>
  <c r="BE3" i="31"/>
  <c r="BD32" i="24"/>
  <c r="BK65" i="25"/>
  <c r="BK66"/>
  <c r="BK67"/>
  <c r="BK68"/>
  <c r="BK69"/>
  <c r="BK70"/>
  <c r="BK72"/>
  <c r="BK73"/>
  <c r="BK74"/>
  <c r="BK75"/>
  <c r="BK55"/>
  <c r="BK56"/>
  <c r="BK57"/>
  <c r="BK58"/>
  <c r="BK59"/>
  <c r="BK60"/>
  <c r="BK61"/>
  <c r="BK46"/>
  <c r="BJ52"/>
  <c r="BK47"/>
  <c r="BK48"/>
  <c r="BK49"/>
  <c r="BK50"/>
  <c r="BK51"/>
  <c r="BK77"/>
  <c r="BD33" i="24"/>
  <c r="BD34"/>
  <c r="BD38"/>
  <c r="BD41"/>
  <c r="BD3" i="31"/>
  <c r="BC32" i="24"/>
  <c r="BJ65" i="25"/>
  <c r="BJ66"/>
  <c r="BJ67"/>
  <c r="BJ68"/>
  <c r="BJ69"/>
  <c r="BJ70"/>
  <c r="BJ72"/>
  <c r="BJ73"/>
  <c r="BJ74"/>
  <c r="BJ75"/>
  <c r="BJ55"/>
  <c r="BJ56"/>
  <c r="BJ57"/>
  <c r="BJ58"/>
  <c r="BJ59"/>
  <c r="BJ60"/>
  <c r="BJ61"/>
  <c r="BJ46"/>
  <c r="BI52"/>
  <c r="BJ47"/>
  <c r="BJ48"/>
  <c r="BJ49"/>
  <c r="BJ50"/>
  <c r="BJ51"/>
  <c r="BJ77"/>
  <c r="BC33" i="24"/>
  <c r="BC34"/>
  <c r="BC38"/>
  <c r="BC41"/>
  <c r="BC3" i="31"/>
  <c r="BB32" i="24"/>
  <c r="BI65" i="25"/>
  <c r="BI66"/>
  <c r="BI67"/>
  <c r="BI68"/>
  <c r="BI69"/>
  <c r="BI70"/>
  <c r="BI72"/>
  <c r="BI73"/>
  <c r="BI74"/>
  <c r="BI75"/>
  <c r="BI55"/>
  <c r="BI56"/>
  <c r="BI57"/>
  <c r="BI58"/>
  <c r="BI59"/>
  <c r="BI60"/>
  <c r="BI61"/>
  <c r="BI46"/>
  <c r="BH52"/>
  <c r="BI47"/>
  <c r="BI48"/>
  <c r="BI49"/>
  <c r="BI50"/>
  <c r="BI51"/>
  <c r="BI77"/>
  <c r="BB33" i="24"/>
  <c r="BB34"/>
  <c r="BB38"/>
  <c r="BB41"/>
  <c r="BB3" i="31"/>
  <c r="BA32" i="24"/>
  <c r="BH65" i="25"/>
  <c r="BH66"/>
  <c r="BH67"/>
  <c r="BH68"/>
  <c r="BH69"/>
  <c r="BH70"/>
  <c r="BH72"/>
  <c r="BH73"/>
  <c r="BH74"/>
  <c r="BH75"/>
  <c r="BH55"/>
  <c r="BH56"/>
  <c r="BH57"/>
  <c r="BH58"/>
  <c r="BH59"/>
  <c r="BH60"/>
  <c r="BH61"/>
  <c r="BH46"/>
  <c r="BG52"/>
  <c r="BH47"/>
  <c r="BH48"/>
  <c r="BH49"/>
  <c r="BH50"/>
  <c r="BH51"/>
  <c r="BH77"/>
  <c r="BA33" i="24"/>
  <c r="BA34"/>
  <c r="BA38"/>
  <c r="BA41"/>
  <c r="BA3" i="31"/>
  <c r="AZ32" i="24"/>
  <c r="BG65" i="25"/>
  <c r="BG66"/>
  <c r="BG67"/>
  <c r="BG68"/>
  <c r="BG69"/>
  <c r="BG70"/>
  <c r="BG72"/>
  <c r="BG73"/>
  <c r="BG74"/>
  <c r="BG75"/>
  <c r="BG55"/>
  <c r="BG56"/>
  <c r="BG57"/>
  <c r="BG58"/>
  <c r="BG59"/>
  <c r="BG60"/>
  <c r="BG61"/>
  <c r="BG46"/>
  <c r="BF52"/>
  <c r="BG47"/>
  <c r="BG48"/>
  <c r="BG49"/>
  <c r="BG50"/>
  <c r="BG51"/>
  <c r="BG77"/>
  <c r="AZ33" i="24"/>
  <c r="AZ34"/>
  <c r="AZ38"/>
  <c r="AZ41"/>
  <c r="AZ3" i="31"/>
  <c r="AY32" i="24"/>
  <c r="BF65" i="25"/>
  <c r="BF66"/>
  <c r="BF67"/>
  <c r="BF68"/>
  <c r="BF69"/>
  <c r="BF70"/>
  <c r="BF72"/>
  <c r="BF73"/>
  <c r="BF74"/>
  <c r="BF75"/>
  <c r="BF55"/>
  <c r="BF56"/>
  <c r="BF57"/>
  <c r="BF58"/>
  <c r="BF59"/>
  <c r="BF60"/>
  <c r="BF61"/>
  <c r="BF46"/>
  <c r="BE52"/>
  <c r="BF47"/>
  <c r="BF48"/>
  <c r="BF49"/>
  <c r="BF50"/>
  <c r="BF51"/>
  <c r="BF77"/>
  <c r="AY33" i="24"/>
  <c r="AY34"/>
  <c r="AY38"/>
  <c r="AY41"/>
  <c r="AY3" i="31"/>
  <c r="AX32" i="24"/>
  <c r="BE65" i="25"/>
  <c r="BE66"/>
  <c r="BE67"/>
  <c r="BE68"/>
  <c r="BE69"/>
  <c r="BE70"/>
  <c r="BE72"/>
  <c r="BE73"/>
  <c r="BE74"/>
  <c r="BE75"/>
  <c r="BE55"/>
  <c r="BE56"/>
  <c r="BE57"/>
  <c r="BE58"/>
  <c r="BE59"/>
  <c r="BE60"/>
  <c r="BE61"/>
  <c r="BE46"/>
  <c r="BD52"/>
  <c r="BE47"/>
  <c r="BE48"/>
  <c r="BE49"/>
  <c r="BE50"/>
  <c r="BE51"/>
  <c r="BE77"/>
  <c r="AX33" i="24"/>
  <c r="AX34"/>
  <c r="AX38"/>
  <c r="AX41"/>
  <c r="AX3" i="31"/>
  <c r="AW32" i="24"/>
  <c r="BD65" i="25"/>
  <c r="BD66"/>
  <c r="BD67"/>
  <c r="BD68"/>
  <c r="BD69"/>
  <c r="BD70"/>
  <c r="BD72"/>
  <c r="BD73"/>
  <c r="BD74"/>
  <c r="BD75"/>
  <c r="BD55"/>
  <c r="BD56"/>
  <c r="BD57"/>
  <c r="BD58"/>
  <c r="BD59"/>
  <c r="BD60"/>
  <c r="BD61"/>
  <c r="BD46"/>
  <c r="BC52"/>
  <c r="BD47"/>
  <c r="BD48"/>
  <c r="BD49"/>
  <c r="BD50"/>
  <c r="BD51"/>
  <c r="BD77"/>
  <c r="AW33" i="24"/>
  <c r="AW34"/>
  <c r="AW38"/>
  <c r="AW41"/>
  <c r="AW3" i="31"/>
  <c r="AV32" i="24"/>
  <c r="BC65" i="25"/>
  <c r="BC66"/>
  <c r="BC67"/>
  <c r="BC68"/>
  <c r="BC69"/>
  <c r="BC70"/>
  <c r="BC72"/>
  <c r="BC73"/>
  <c r="BC74"/>
  <c r="BC75"/>
  <c r="BC55"/>
  <c r="BC56"/>
  <c r="BC57"/>
  <c r="BC58"/>
  <c r="BC59"/>
  <c r="BC60"/>
  <c r="BC61"/>
  <c r="BC46"/>
  <c r="BB52"/>
  <c r="BC47"/>
  <c r="BC48"/>
  <c r="BC49"/>
  <c r="BC50"/>
  <c r="BC51"/>
  <c r="BC77"/>
  <c r="AV33" i="24"/>
  <c r="AV34"/>
  <c r="AV38"/>
  <c r="AV41"/>
  <c r="AV3" i="31"/>
  <c r="AU32" i="24"/>
  <c r="BB65" i="25"/>
  <c r="BB66"/>
  <c r="BB67"/>
  <c r="BB68"/>
  <c r="BB69"/>
  <c r="BB70"/>
  <c r="BB72"/>
  <c r="BB73"/>
  <c r="BB74"/>
  <c r="BB75"/>
  <c r="BB55"/>
  <c r="BB56"/>
  <c r="BB57"/>
  <c r="BB58"/>
  <c r="BB59"/>
  <c r="BB60"/>
  <c r="BB61"/>
  <c r="BB46"/>
  <c r="BA52"/>
  <c r="BB47"/>
  <c r="BB48"/>
  <c r="BB49"/>
  <c r="BB50"/>
  <c r="BB51"/>
  <c r="BB77"/>
  <c r="AU33" i="24"/>
  <c r="AU34"/>
  <c r="AU38"/>
  <c r="AU41"/>
  <c r="AU3" i="31"/>
  <c r="AT32" i="24"/>
  <c r="BA65" i="25"/>
  <c r="BA66"/>
  <c r="BA67"/>
  <c r="BA68"/>
  <c r="BA69"/>
  <c r="BA70"/>
  <c r="BA72"/>
  <c r="BA73"/>
  <c r="BA74"/>
  <c r="BA75"/>
  <c r="BA55"/>
  <c r="BA56"/>
  <c r="BA57"/>
  <c r="BA58"/>
  <c r="BA59"/>
  <c r="BA60"/>
  <c r="BA61"/>
  <c r="BA46"/>
  <c r="AZ52"/>
  <c r="BA47"/>
  <c r="BA48"/>
  <c r="BA49"/>
  <c r="BA50"/>
  <c r="BA51"/>
  <c r="BA77"/>
  <c r="AT33" i="24"/>
  <c r="AT34"/>
  <c r="AT38"/>
  <c r="AT41"/>
  <c r="AT3" i="31"/>
  <c r="AS32" i="24"/>
  <c r="AZ65" i="25"/>
  <c r="AZ66"/>
  <c r="AZ67"/>
  <c r="AZ68"/>
  <c r="AZ69"/>
  <c r="AZ70"/>
  <c r="AZ72"/>
  <c r="AZ73"/>
  <c r="AZ74"/>
  <c r="AZ75"/>
  <c r="AZ55"/>
  <c r="AZ56"/>
  <c r="AZ57"/>
  <c r="AZ58"/>
  <c r="AZ59"/>
  <c r="AZ60"/>
  <c r="AZ61"/>
  <c r="AZ46"/>
  <c r="AY52"/>
  <c r="AZ47"/>
  <c r="AZ48"/>
  <c r="AZ49"/>
  <c r="AZ50"/>
  <c r="AZ51"/>
  <c r="AZ77"/>
  <c r="AS33" i="24"/>
  <c r="AS34"/>
  <c r="AS38"/>
  <c r="AS41"/>
  <c r="AS3" i="31"/>
  <c r="AR32" i="24"/>
  <c r="AY65" i="25"/>
  <c r="AY66"/>
  <c r="AY67"/>
  <c r="AY68"/>
  <c r="AY69"/>
  <c r="AY70"/>
  <c r="AY72"/>
  <c r="AY73"/>
  <c r="AY74"/>
  <c r="AY75"/>
  <c r="AY55"/>
  <c r="AY56"/>
  <c r="AY57"/>
  <c r="AY58"/>
  <c r="AY59"/>
  <c r="AY60"/>
  <c r="AY61"/>
  <c r="AY46"/>
  <c r="AX52"/>
  <c r="AY47"/>
  <c r="AY48"/>
  <c r="AY49"/>
  <c r="AY50"/>
  <c r="AY51"/>
  <c r="AY77"/>
  <c r="AR33" i="24"/>
  <c r="AR34"/>
  <c r="AR38"/>
  <c r="AR41"/>
  <c r="AR3" i="31"/>
  <c r="AQ32" i="24"/>
  <c r="AX65" i="25"/>
  <c r="AX66"/>
  <c r="AX67"/>
  <c r="AX68"/>
  <c r="AX69"/>
  <c r="AX70"/>
  <c r="AX72"/>
  <c r="AX73"/>
  <c r="AX74"/>
  <c r="AX75"/>
  <c r="AX55"/>
  <c r="AX56"/>
  <c r="AX57"/>
  <c r="AX58"/>
  <c r="AX59"/>
  <c r="AX60"/>
  <c r="AX61"/>
  <c r="AX46"/>
  <c r="AW52"/>
  <c r="AX47"/>
  <c r="AX48"/>
  <c r="AX49"/>
  <c r="AX50"/>
  <c r="AX51"/>
  <c r="AX77"/>
  <c r="AQ33" i="24"/>
  <c r="AQ34"/>
  <c r="AQ38"/>
  <c r="AQ41"/>
  <c r="AQ3" i="31"/>
  <c r="AP32" i="24"/>
  <c r="AW65" i="25"/>
  <c r="AW66"/>
  <c r="AW67"/>
  <c r="AW68"/>
  <c r="AW69"/>
  <c r="AW70"/>
  <c r="AW72"/>
  <c r="AW73"/>
  <c r="AW74"/>
  <c r="AW75"/>
  <c r="AW55"/>
  <c r="AW56"/>
  <c r="AW57"/>
  <c r="AW58"/>
  <c r="AW59"/>
  <c r="AW60"/>
  <c r="AW61"/>
  <c r="AW46"/>
  <c r="AV52"/>
  <c r="AW47"/>
  <c r="AW48"/>
  <c r="AW49"/>
  <c r="AW50"/>
  <c r="AW51"/>
  <c r="AW77"/>
  <c r="AP33" i="24"/>
  <c r="AP34"/>
  <c r="AP38"/>
  <c r="AP41"/>
  <c r="AP3" i="31"/>
  <c r="AO32" i="24"/>
  <c r="AV65" i="25"/>
  <c r="AV66"/>
  <c r="AV67"/>
  <c r="AV68"/>
  <c r="AV69"/>
  <c r="AV70"/>
  <c r="AV72"/>
  <c r="AV73"/>
  <c r="AV74"/>
  <c r="AV75"/>
  <c r="AV55"/>
  <c r="AV56"/>
  <c r="AV57"/>
  <c r="AV58"/>
  <c r="AV59"/>
  <c r="AV60"/>
  <c r="AV61"/>
  <c r="AV46"/>
  <c r="AU52"/>
  <c r="AV47"/>
  <c r="AV48"/>
  <c r="AV49"/>
  <c r="AV50"/>
  <c r="AV51"/>
  <c r="AV77"/>
  <c r="AO33" i="24"/>
  <c r="AO34"/>
  <c r="AO38"/>
  <c r="AO41"/>
  <c r="AO3" i="31"/>
  <c r="AN32" i="24"/>
  <c r="AU65" i="25"/>
  <c r="AU66"/>
  <c r="AU67"/>
  <c r="AU68"/>
  <c r="AU69"/>
  <c r="AU70"/>
  <c r="AU72"/>
  <c r="AU73"/>
  <c r="AU74"/>
  <c r="AU75"/>
  <c r="AU55"/>
  <c r="AU56"/>
  <c r="AU57"/>
  <c r="AU58"/>
  <c r="AU59"/>
  <c r="AU60"/>
  <c r="AU61"/>
  <c r="AU46"/>
  <c r="AT52"/>
  <c r="AU47"/>
  <c r="AU48"/>
  <c r="AU49"/>
  <c r="AU50"/>
  <c r="AU51"/>
  <c r="AU77"/>
  <c r="AN33" i="24"/>
  <c r="AN34"/>
  <c r="AN38"/>
  <c r="AN41"/>
  <c r="AN3" i="31"/>
  <c r="AM32" i="24"/>
  <c r="AT65" i="25"/>
  <c r="AT66"/>
  <c r="AT67"/>
  <c r="AT68"/>
  <c r="AT69"/>
  <c r="AT70"/>
  <c r="AT72"/>
  <c r="AT73"/>
  <c r="AT74"/>
  <c r="AT75"/>
  <c r="AT55"/>
  <c r="AT56"/>
  <c r="AT57"/>
  <c r="AT58"/>
  <c r="AT59"/>
  <c r="AT60"/>
  <c r="AT61"/>
  <c r="AT46"/>
  <c r="AS52"/>
  <c r="AT47"/>
  <c r="AT48"/>
  <c r="AT49"/>
  <c r="AT50"/>
  <c r="AT51"/>
  <c r="AT77"/>
  <c r="AM33" i="24"/>
  <c r="AM34"/>
  <c r="AM38"/>
  <c r="AM41"/>
  <c r="AM3" i="31"/>
  <c r="AL32" i="24"/>
  <c r="AS65" i="25"/>
  <c r="AS66"/>
  <c r="AS67"/>
  <c r="AS68"/>
  <c r="AS69"/>
  <c r="AS70"/>
  <c r="AS72"/>
  <c r="AS73"/>
  <c r="AS74"/>
  <c r="AS75"/>
  <c r="AS55"/>
  <c r="AS56"/>
  <c r="AS57"/>
  <c r="AS58"/>
  <c r="AS59"/>
  <c r="AS60"/>
  <c r="AS61"/>
  <c r="AS46"/>
  <c r="AR52"/>
  <c r="AS47"/>
  <c r="AS48"/>
  <c r="AS49"/>
  <c r="AS50"/>
  <c r="AS51"/>
  <c r="AS77"/>
  <c r="AL33" i="24"/>
  <c r="AL34"/>
  <c r="AL38"/>
  <c r="AL41"/>
  <c r="AL3" i="31"/>
  <c r="AK32" i="24"/>
  <c r="AR65" i="25"/>
  <c r="AR66"/>
  <c r="AR67"/>
  <c r="AR68"/>
  <c r="AR69"/>
  <c r="AR70"/>
  <c r="AR72"/>
  <c r="AR73"/>
  <c r="AR74"/>
  <c r="AR75"/>
  <c r="AR55"/>
  <c r="AR56"/>
  <c r="AR57"/>
  <c r="AR58"/>
  <c r="AR59"/>
  <c r="AR60"/>
  <c r="AR61"/>
  <c r="AR46"/>
  <c r="AQ52"/>
  <c r="AR47"/>
  <c r="AR48"/>
  <c r="AR49"/>
  <c r="AR50"/>
  <c r="AR51"/>
  <c r="AR77"/>
  <c r="AK33" i="24"/>
  <c r="AK34"/>
  <c r="AK38"/>
  <c r="AK41"/>
  <c r="AK3" i="31"/>
  <c r="AJ32" i="24"/>
  <c r="AQ65" i="25"/>
  <c r="AQ66"/>
  <c r="AQ67"/>
  <c r="AQ68"/>
  <c r="AQ69"/>
  <c r="AQ70"/>
  <c r="AQ72"/>
  <c r="AQ73"/>
  <c r="AQ74"/>
  <c r="AQ75"/>
  <c r="AQ55"/>
  <c r="AQ56"/>
  <c r="AQ57"/>
  <c r="AQ58"/>
  <c r="AQ59"/>
  <c r="AQ60"/>
  <c r="AQ61"/>
  <c r="AQ46"/>
  <c r="AP52"/>
  <c r="AQ47"/>
  <c r="AQ48"/>
  <c r="AQ49"/>
  <c r="AQ50"/>
  <c r="AQ51"/>
  <c r="AQ77"/>
  <c r="AJ33" i="24"/>
  <c r="AJ34"/>
  <c r="AJ38"/>
  <c r="AJ41"/>
  <c r="AJ3" i="31"/>
  <c r="AI32" i="24"/>
  <c r="AP65" i="25"/>
  <c r="AP66"/>
  <c r="AP67"/>
  <c r="AP68"/>
  <c r="AP69"/>
  <c r="AP70"/>
  <c r="AP72"/>
  <c r="AP73"/>
  <c r="AP74"/>
  <c r="AP75"/>
  <c r="AP55"/>
  <c r="AP56"/>
  <c r="AP57"/>
  <c r="AP58"/>
  <c r="AP59"/>
  <c r="AP60"/>
  <c r="AP61"/>
  <c r="AP46"/>
  <c r="AO52"/>
  <c r="AP47"/>
  <c r="AP48"/>
  <c r="AP49"/>
  <c r="AP50"/>
  <c r="AP51"/>
  <c r="AP77"/>
  <c r="AI33" i="24"/>
  <c r="AI34"/>
  <c r="AI38"/>
  <c r="AI41"/>
  <c r="AI3" i="31"/>
  <c r="AH32" i="24"/>
  <c r="AO65" i="25"/>
  <c r="AO66"/>
  <c r="AO67"/>
  <c r="AO68"/>
  <c r="AO69"/>
  <c r="AO70"/>
  <c r="AO72"/>
  <c r="AO73"/>
  <c r="AO74"/>
  <c r="AO75"/>
  <c r="AO55"/>
  <c r="AO56"/>
  <c r="AO57"/>
  <c r="AO58"/>
  <c r="AO59"/>
  <c r="AO60"/>
  <c r="AO61"/>
  <c r="AO46"/>
  <c r="AN52"/>
  <c r="AO47"/>
  <c r="AO48"/>
  <c r="AO49"/>
  <c r="AO50"/>
  <c r="AO51"/>
  <c r="AO77"/>
  <c r="AH33" i="24"/>
  <c r="AH34"/>
  <c r="AH38"/>
  <c r="AH41"/>
  <c r="AH3" i="31"/>
  <c r="AG32" i="24"/>
  <c r="AN65" i="25"/>
  <c r="AN66"/>
  <c r="AN67"/>
  <c r="AN68"/>
  <c r="AN69"/>
  <c r="AN70"/>
  <c r="AN72"/>
  <c r="AN73"/>
  <c r="AN74"/>
  <c r="AN75"/>
  <c r="AN55"/>
  <c r="AN56"/>
  <c r="AN57"/>
  <c r="AN58"/>
  <c r="AN59"/>
  <c r="AN60"/>
  <c r="AN61"/>
  <c r="AN46"/>
  <c r="AM52"/>
  <c r="AN47"/>
  <c r="AN48"/>
  <c r="AN49"/>
  <c r="AN50"/>
  <c r="AN51"/>
  <c r="AN77"/>
  <c r="AG33" i="24"/>
  <c r="AG34"/>
  <c r="AG38"/>
  <c r="AG41"/>
  <c r="AG3" i="31"/>
  <c r="AF32" i="24"/>
  <c r="AM65" i="25"/>
  <c r="AM66"/>
  <c r="AM67"/>
  <c r="AM68"/>
  <c r="AM69"/>
  <c r="AM70"/>
  <c r="AM72"/>
  <c r="AM73"/>
  <c r="AM74"/>
  <c r="AM75"/>
  <c r="AM55"/>
  <c r="AM56"/>
  <c r="AM57"/>
  <c r="AM58"/>
  <c r="AM59"/>
  <c r="AM60"/>
  <c r="AM61"/>
  <c r="AM46"/>
  <c r="AL52"/>
  <c r="AM47"/>
  <c r="AM48"/>
  <c r="AM49"/>
  <c r="AM50"/>
  <c r="AM51"/>
  <c r="AM77"/>
  <c r="AF33" i="24"/>
  <c r="AF34"/>
  <c r="AF38"/>
  <c r="AF41"/>
  <c r="AF3" i="31"/>
  <c r="AE32" i="24"/>
  <c r="AL65" i="25"/>
  <c r="AL66"/>
  <c r="AL67"/>
  <c r="AL68"/>
  <c r="AL69"/>
  <c r="AL70"/>
  <c r="AL72"/>
  <c r="AL73"/>
  <c r="AL74"/>
  <c r="AL75"/>
  <c r="AL55"/>
  <c r="AL56"/>
  <c r="AL57"/>
  <c r="AL58"/>
  <c r="AL59"/>
  <c r="AL60"/>
  <c r="AL61"/>
  <c r="AL46"/>
  <c r="AK52"/>
  <c r="AL47"/>
  <c r="AL48"/>
  <c r="AL49"/>
  <c r="AL50"/>
  <c r="AL51"/>
  <c r="AL77"/>
  <c r="AE33" i="24"/>
  <c r="AE34"/>
  <c r="AE38"/>
  <c r="AE41"/>
  <c r="AE3" i="31"/>
  <c r="AD32" i="24"/>
  <c r="AK65" i="25"/>
  <c r="AK66"/>
  <c r="AK67"/>
  <c r="AK68"/>
  <c r="AK69"/>
  <c r="AK70"/>
  <c r="AK72"/>
  <c r="AK73"/>
  <c r="AK74"/>
  <c r="AK75"/>
  <c r="AK55"/>
  <c r="AK56"/>
  <c r="AK57"/>
  <c r="AK58"/>
  <c r="AK59"/>
  <c r="AK60"/>
  <c r="AK61"/>
  <c r="AK46"/>
  <c r="AJ52"/>
  <c r="AK47"/>
  <c r="AK48"/>
  <c r="AK49"/>
  <c r="AK50"/>
  <c r="AK51"/>
  <c r="AK77"/>
  <c r="AD33" i="24"/>
  <c r="AD34"/>
  <c r="AD38"/>
  <c r="AD41"/>
  <c r="AD3" i="31"/>
  <c r="AC32" i="24"/>
  <c r="AJ65" i="25"/>
  <c r="AJ66"/>
  <c r="AJ67"/>
  <c r="AJ68"/>
  <c r="AJ69"/>
  <c r="AJ70"/>
  <c r="AJ72"/>
  <c r="AJ73"/>
  <c r="AJ74"/>
  <c r="AJ75"/>
  <c r="AJ55"/>
  <c r="AJ56"/>
  <c r="AJ57"/>
  <c r="AJ58"/>
  <c r="AJ59"/>
  <c r="AJ60"/>
  <c r="AJ61"/>
  <c r="AJ46"/>
  <c r="AI52"/>
  <c r="AJ47"/>
  <c r="AJ48"/>
  <c r="AJ49"/>
  <c r="AJ50"/>
  <c r="AJ51"/>
  <c r="AJ77"/>
  <c r="AC33" i="24"/>
  <c r="AC34"/>
  <c r="AC38"/>
  <c r="AC41"/>
  <c r="AC3" i="31"/>
  <c r="AB32" i="24"/>
  <c r="AI65" i="25"/>
  <c r="AI66"/>
  <c r="AI67"/>
  <c r="AI68"/>
  <c r="AI69"/>
  <c r="AI70"/>
  <c r="AI72"/>
  <c r="AI73"/>
  <c r="AI74"/>
  <c r="AI75"/>
  <c r="AI55"/>
  <c r="AI56"/>
  <c r="AI57"/>
  <c r="AI58"/>
  <c r="AI59"/>
  <c r="AI60"/>
  <c r="AI61"/>
  <c r="AI46"/>
  <c r="AH52"/>
  <c r="AI47"/>
  <c r="AI48"/>
  <c r="AI49"/>
  <c r="AI50"/>
  <c r="AI51"/>
  <c r="AI77"/>
  <c r="AB33" i="24"/>
  <c r="AB34"/>
  <c r="AB38"/>
  <c r="AB41"/>
  <c r="AB3" i="31"/>
  <c r="AA32" i="24"/>
  <c r="AH65" i="25"/>
  <c r="AH66"/>
  <c r="AH67"/>
  <c r="AH68"/>
  <c r="AH69"/>
  <c r="AH70"/>
  <c r="AH72"/>
  <c r="AH73"/>
  <c r="AH74"/>
  <c r="AH75"/>
  <c r="AH55"/>
  <c r="AH56"/>
  <c r="AH57"/>
  <c r="AH58"/>
  <c r="AH59"/>
  <c r="AH60"/>
  <c r="AH61"/>
  <c r="AH46"/>
  <c r="AG52"/>
  <c r="AH47"/>
  <c r="AH48"/>
  <c r="AH49"/>
  <c r="AH50"/>
  <c r="AH51"/>
  <c r="AH77"/>
  <c r="AA33" i="24"/>
  <c r="AA34"/>
  <c r="AA38"/>
  <c r="AA41"/>
  <c r="AA3" i="31"/>
  <c r="Z32" i="24"/>
  <c r="AG65" i="25"/>
  <c r="AG66"/>
  <c r="AG67"/>
  <c r="AG68"/>
  <c r="AG69"/>
  <c r="AG70"/>
  <c r="AG72"/>
  <c r="AG73"/>
  <c r="AG74"/>
  <c r="AG75"/>
  <c r="AG55"/>
  <c r="AG56"/>
  <c r="AG57"/>
  <c r="AG58"/>
  <c r="AG59"/>
  <c r="AG60"/>
  <c r="AG61"/>
  <c r="AG46"/>
  <c r="AF52"/>
  <c r="AG47"/>
  <c r="AG48"/>
  <c r="AG49"/>
  <c r="AG50"/>
  <c r="AG51"/>
  <c r="AG77"/>
  <c r="Z33" i="24"/>
  <c r="Z34"/>
  <c r="Z38"/>
  <c r="Z41"/>
  <c r="Z3" i="31"/>
  <c r="Y32" i="24"/>
  <c r="AF65" i="25"/>
  <c r="AF66"/>
  <c r="AF67"/>
  <c r="AF68"/>
  <c r="AF69"/>
  <c r="AF70"/>
  <c r="AF72"/>
  <c r="AF73"/>
  <c r="AF74"/>
  <c r="AF75"/>
  <c r="AF55"/>
  <c r="AF56"/>
  <c r="AF57"/>
  <c r="AF58"/>
  <c r="AF59"/>
  <c r="AF60"/>
  <c r="AF61"/>
  <c r="AF46"/>
  <c r="AE52"/>
  <c r="AF47"/>
  <c r="AF48"/>
  <c r="AF49"/>
  <c r="AF50"/>
  <c r="AF51"/>
  <c r="AF77"/>
  <c r="Y33" i="24"/>
  <c r="Y34"/>
  <c r="Y38"/>
  <c r="Y41"/>
  <c r="Y3" i="31"/>
  <c r="X32" i="24"/>
  <c r="AE65" i="25"/>
  <c r="AE66"/>
  <c r="AE67"/>
  <c r="AE68"/>
  <c r="AE69"/>
  <c r="AE70"/>
  <c r="AE72"/>
  <c r="AE73"/>
  <c r="AE74"/>
  <c r="AE75"/>
  <c r="AE55"/>
  <c r="AE56"/>
  <c r="AE57"/>
  <c r="AE58"/>
  <c r="AE59"/>
  <c r="AE60"/>
  <c r="AE61"/>
  <c r="AE46"/>
  <c r="AD52"/>
  <c r="AE47"/>
  <c r="AE48"/>
  <c r="AE49"/>
  <c r="AE50"/>
  <c r="AE51"/>
  <c r="AE77"/>
  <c r="X33" i="24"/>
  <c r="X34"/>
  <c r="X38"/>
  <c r="X41"/>
  <c r="X3" i="31"/>
  <c r="W32" i="24"/>
  <c r="AD65" i="25"/>
  <c r="AD66"/>
  <c r="AD67"/>
  <c r="AD68"/>
  <c r="AD69"/>
  <c r="AD70"/>
  <c r="AD72"/>
  <c r="AD73"/>
  <c r="AD74"/>
  <c r="AD75"/>
  <c r="AD55"/>
  <c r="AD56"/>
  <c r="AD57"/>
  <c r="AD58"/>
  <c r="AD59"/>
  <c r="AD60"/>
  <c r="AD61"/>
  <c r="AD46"/>
  <c r="AC52"/>
  <c r="AD47"/>
  <c r="AD48"/>
  <c r="AD49"/>
  <c r="AD50"/>
  <c r="AD51"/>
  <c r="AD77"/>
  <c r="W33" i="24"/>
  <c r="W34"/>
  <c r="W38"/>
  <c r="W41"/>
  <c r="W3" i="31"/>
  <c r="V32" i="24"/>
  <c r="AC65" i="25"/>
  <c r="AC66"/>
  <c r="AC67"/>
  <c r="AC68"/>
  <c r="AC69"/>
  <c r="AC70"/>
  <c r="AC72"/>
  <c r="AC73"/>
  <c r="AC74"/>
  <c r="AC75"/>
  <c r="AC55"/>
  <c r="AC56"/>
  <c r="AC57"/>
  <c r="AC58"/>
  <c r="AC59"/>
  <c r="AC60"/>
  <c r="AC61"/>
  <c r="AC46"/>
  <c r="AB52"/>
  <c r="AC47"/>
  <c r="AC48"/>
  <c r="AC49"/>
  <c r="AC50"/>
  <c r="AC51"/>
  <c r="AC77"/>
  <c r="V33" i="24"/>
  <c r="V34"/>
  <c r="V38"/>
  <c r="V41"/>
  <c r="V3" i="31"/>
  <c r="U32" i="24"/>
  <c r="AB65" i="25"/>
  <c r="AB66"/>
  <c r="AB67"/>
  <c r="AB68"/>
  <c r="AB69"/>
  <c r="AB70"/>
  <c r="AB72"/>
  <c r="AB73"/>
  <c r="AB74"/>
  <c r="AB75"/>
  <c r="AB55"/>
  <c r="AB56"/>
  <c r="AB57"/>
  <c r="AB58"/>
  <c r="AB59"/>
  <c r="AB60"/>
  <c r="AB61"/>
  <c r="AB46"/>
  <c r="AA52"/>
  <c r="AB47"/>
  <c r="AB48"/>
  <c r="AB49"/>
  <c r="AB50"/>
  <c r="AB51"/>
  <c r="AB77"/>
  <c r="U33" i="24"/>
  <c r="U34"/>
  <c r="U38"/>
  <c r="U41"/>
  <c r="U3" i="31"/>
  <c r="T32" i="24"/>
  <c r="AA65" i="25"/>
  <c r="AA66"/>
  <c r="AA67"/>
  <c r="AA68"/>
  <c r="AA69"/>
  <c r="AA70"/>
  <c r="AA72"/>
  <c r="AA73"/>
  <c r="AA74"/>
  <c r="AA75"/>
  <c r="AA55"/>
  <c r="AA56"/>
  <c r="AA57"/>
  <c r="AA58"/>
  <c r="AA59"/>
  <c r="AA60"/>
  <c r="AA61"/>
  <c r="AA46"/>
  <c r="Z52"/>
  <c r="AA47"/>
  <c r="AA48"/>
  <c r="AA49"/>
  <c r="AA50"/>
  <c r="AA51"/>
  <c r="AA77"/>
  <c r="T33" i="24"/>
  <c r="T34"/>
  <c r="T38"/>
  <c r="T41"/>
  <c r="T3" i="31"/>
  <c r="S32" i="24"/>
  <c r="Z65" i="25"/>
  <c r="Z66"/>
  <c r="Z67"/>
  <c r="Z68"/>
  <c r="Z69"/>
  <c r="Z70"/>
  <c r="Z72"/>
  <c r="Z73"/>
  <c r="Z74"/>
  <c r="Z75"/>
  <c r="Z55"/>
  <c r="Z56"/>
  <c r="Z57"/>
  <c r="Z58"/>
  <c r="Z59"/>
  <c r="Z60"/>
  <c r="Z61"/>
  <c r="Z46"/>
  <c r="Y52"/>
  <c r="Z47"/>
  <c r="Z48"/>
  <c r="Z49"/>
  <c r="Z50"/>
  <c r="Z51"/>
  <c r="Z77"/>
  <c r="S33" i="24"/>
  <c r="S34"/>
  <c r="S38"/>
  <c r="S41"/>
  <c r="S3" i="31"/>
  <c r="R32" i="24"/>
  <c r="Y65" i="25"/>
  <c r="Y66"/>
  <c r="Y67"/>
  <c r="Y68"/>
  <c r="Y69"/>
  <c r="Y70"/>
  <c r="Y72"/>
  <c r="Y73"/>
  <c r="Y74"/>
  <c r="Y75"/>
  <c r="Y55"/>
  <c r="Y56"/>
  <c r="Y57"/>
  <c r="Y58"/>
  <c r="Y59"/>
  <c r="Y60"/>
  <c r="Y61"/>
  <c r="Y46"/>
  <c r="X52"/>
  <c r="Y47"/>
  <c r="Y48"/>
  <c r="Y49"/>
  <c r="Y50"/>
  <c r="Y51"/>
  <c r="Y77"/>
  <c r="R33" i="24"/>
  <c r="R34"/>
  <c r="R38"/>
  <c r="R41"/>
  <c r="R3" i="31"/>
  <c r="Q32" i="24"/>
  <c r="X65" i="25"/>
  <c r="X66"/>
  <c r="X67"/>
  <c r="X68"/>
  <c r="X69"/>
  <c r="X70"/>
  <c r="X72"/>
  <c r="X73"/>
  <c r="X74"/>
  <c r="X75"/>
  <c r="X55"/>
  <c r="X56"/>
  <c r="X57"/>
  <c r="X58"/>
  <c r="X59"/>
  <c r="X60"/>
  <c r="X61"/>
  <c r="X46"/>
  <c r="W52"/>
  <c r="X47"/>
  <c r="X48"/>
  <c r="X49"/>
  <c r="X50"/>
  <c r="X51"/>
  <c r="X77"/>
  <c r="Q33" i="24"/>
  <c r="Q34"/>
  <c r="Q38"/>
  <c r="Q41"/>
  <c r="Q3" i="31"/>
  <c r="P32" i="24"/>
  <c r="W65" i="25"/>
  <c r="W66"/>
  <c r="W67"/>
  <c r="W68"/>
  <c r="W69"/>
  <c r="W70"/>
  <c r="W72"/>
  <c r="W73"/>
  <c r="W74"/>
  <c r="W75"/>
  <c r="W55"/>
  <c r="W56"/>
  <c r="W57"/>
  <c r="W58"/>
  <c r="W59"/>
  <c r="W60"/>
  <c r="W61"/>
  <c r="W46"/>
  <c r="V52"/>
  <c r="W47"/>
  <c r="W48"/>
  <c r="W49"/>
  <c r="W50"/>
  <c r="W51"/>
  <c r="W77"/>
  <c r="P33" i="24"/>
  <c r="P34"/>
  <c r="P38"/>
  <c r="P41"/>
  <c r="P3" i="31"/>
  <c r="O32" i="24"/>
  <c r="V65" i="25"/>
  <c r="V66"/>
  <c r="V67"/>
  <c r="V68"/>
  <c r="V69"/>
  <c r="V70"/>
  <c r="V72"/>
  <c r="V73"/>
  <c r="V74"/>
  <c r="V75"/>
  <c r="V55"/>
  <c r="V56"/>
  <c r="V57"/>
  <c r="V58"/>
  <c r="V59"/>
  <c r="V60"/>
  <c r="V61"/>
  <c r="V46"/>
  <c r="U52"/>
  <c r="V47"/>
  <c r="V48"/>
  <c r="V49"/>
  <c r="V50"/>
  <c r="V51"/>
  <c r="V77"/>
  <c r="O33" i="24"/>
  <c r="O34"/>
  <c r="O38"/>
  <c r="O41"/>
  <c r="O3" i="31"/>
  <c r="N32" i="24"/>
  <c r="U65" i="25"/>
  <c r="U66"/>
  <c r="U67"/>
  <c r="U68"/>
  <c r="U69"/>
  <c r="U70"/>
  <c r="U72"/>
  <c r="U73"/>
  <c r="U74"/>
  <c r="U75"/>
  <c r="U55"/>
  <c r="U56"/>
  <c r="U57"/>
  <c r="U58"/>
  <c r="U59"/>
  <c r="U60"/>
  <c r="U61"/>
  <c r="U46"/>
  <c r="T52"/>
  <c r="U47"/>
  <c r="U48"/>
  <c r="U49"/>
  <c r="U50"/>
  <c r="U51"/>
  <c r="U77"/>
  <c r="N33" i="24"/>
  <c r="N34"/>
  <c r="N38"/>
  <c r="N41"/>
  <c r="N3" i="31"/>
  <c r="M32" i="24"/>
  <c r="T65" i="25"/>
  <c r="T66"/>
  <c r="T67"/>
  <c r="T68"/>
  <c r="T69"/>
  <c r="T70"/>
  <c r="T72"/>
  <c r="T73"/>
  <c r="T74"/>
  <c r="T75"/>
  <c r="T55"/>
  <c r="T56"/>
  <c r="T57"/>
  <c r="T58"/>
  <c r="T59"/>
  <c r="T60"/>
  <c r="T61"/>
  <c r="T46"/>
  <c r="S52"/>
  <c r="T47"/>
  <c r="T48"/>
  <c r="T49"/>
  <c r="T50"/>
  <c r="T51"/>
  <c r="T77"/>
  <c r="M33" i="24"/>
  <c r="M34"/>
  <c r="M38"/>
  <c r="M41"/>
  <c r="M3" i="31"/>
  <c r="L32" i="24"/>
  <c r="S65" i="25"/>
  <c r="S66"/>
  <c r="S67"/>
  <c r="S68"/>
  <c r="S69"/>
  <c r="S70"/>
  <c r="S72"/>
  <c r="S73"/>
  <c r="S74"/>
  <c r="S75"/>
  <c r="S55"/>
  <c r="S56"/>
  <c r="S57"/>
  <c r="S58"/>
  <c r="S59"/>
  <c r="S60"/>
  <c r="S61"/>
  <c r="S46"/>
  <c r="R52"/>
  <c r="S47"/>
  <c r="S48"/>
  <c r="S49"/>
  <c r="S50"/>
  <c r="S51"/>
  <c r="S77"/>
  <c r="L33" i="24"/>
  <c r="L34"/>
  <c r="L38"/>
  <c r="L41"/>
  <c r="L3" i="31"/>
  <c r="K32" i="24"/>
  <c r="R65" i="25"/>
  <c r="R66"/>
  <c r="R67"/>
  <c r="R68"/>
  <c r="R69"/>
  <c r="R70"/>
  <c r="R72"/>
  <c r="R73"/>
  <c r="R74"/>
  <c r="R75"/>
  <c r="R55"/>
  <c r="R56"/>
  <c r="R57"/>
  <c r="R58"/>
  <c r="R59"/>
  <c r="R60"/>
  <c r="R61"/>
  <c r="R46"/>
  <c r="Q52"/>
  <c r="R47"/>
  <c r="R48"/>
  <c r="R49"/>
  <c r="R50"/>
  <c r="R51"/>
  <c r="R77"/>
  <c r="K33" i="24"/>
  <c r="K34"/>
  <c r="K38"/>
  <c r="K41"/>
  <c r="K3" i="31"/>
  <c r="J32" i="24"/>
  <c r="Q65" i="25"/>
  <c r="Q66"/>
  <c r="Q67"/>
  <c r="Q68"/>
  <c r="Q69"/>
  <c r="Q70"/>
  <c r="Q72"/>
  <c r="Q73"/>
  <c r="Q74"/>
  <c r="Q75"/>
  <c r="Q55"/>
  <c r="Q56"/>
  <c r="Q57"/>
  <c r="Q58"/>
  <c r="Q59"/>
  <c r="Q60"/>
  <c r="Q61"/>
  <c r="Q46"/>
  <c r="P52"/>
  <c r="Q47"/>
  <c r="Q48"/>
  <c r="Q49"/>
  <c r="Q50"/>
  <c r="Q51"/>
  <c r="Q77"/>
  <c r="J33" i="24"/>
  <c r="J34"/>
  <c r="J38"/>
  <c r="J41"/>
  <c r="J3" i="31"/>
  <c r="I32" i="24"/>
  <c r="P65" i="25"/>
  <c r="P66"/>
  <c r="P67"/>
  <c r="P68"/>
  <c r="P69"/>
  <c r="P70"/>
  <c r="P72"/>
  <c r="P73"/>
  <c r="P74"/>
  <c r="P75"/>
  <c r="P55"/>
  <c r="P56"/>
  <c r="P57"/>
  <c r="P58"/>
  <c r="P59"/>
  <c r="P60"/>
  <c r="P61"/>
  <c r="P46"/>
  <c r="O52"/>
  <c r="P47"/>
  <c r="P48"/>
  <c r="P49"/>
  <c r="P50"/>
  <c r="P51"/>
  <c r="P77"/>
  <c r="I33" i="24"/>
  <c r="I34"/>
  <c r="I38"/>
  <c r="I41"/>
  <c r="I3" i="31"/>
  <c r="H32" i="24"/>
  <c r="O65" i="25"/>
  <c r="O66"/>
  <c r="O67"/>
  <c r="O68"/>
  <c r="O69"/>
  <c r="O70"/>
  <c r="O72"/>
  <c r="O73"/>
  <c r="O74"/>
  <c r="O75"/>
  <c r="O55"/>
  <c r="O56"/>
  <c r="O57"/>
  <c r="O58"/>
  <c r="O59"/>
  <c r="O60"/>
  <c r="O61"/>
  <c r="O46"/>
  <c r="N52"/>
  <c r="O47"/>
  <c r="O48"/>
  <c r="O49"/>
  <c r="O50"/>
  <c r="O51"/>
  <c r="O77"/>
  <c r="H33" i="24"/>
  <c r="H34"/>
  <c r="H38"/>
  <c r="H41"/>
  <c r="H3" i="31"/>
  <c r="G32" i="24"/>
  <c r="N65" i="25"/>
  <c r="N66"/>
  <c r="N67"/>
  <c r="N68"/>
  <c r="N69"/>
  <c r="N70"/>
  <c r="N72"/>
  <c r="N73"/>
  <c r="N74"/>
  <c r="N75"/>
  <c r="N55"/>
  <c r="N56"/>
  <c r="N57"/>
  <c r="N58"/>
  <c r="N59"/>
  <c r="N60"/>
  <c r="N61"/>
  <c r="N46"/>
  <c r="M52"/>
  <c r="N47"/>
  <c r="N48"/>
  <c r="N49"/>
  <c r="N50"/>
  <c r="N51"/>
  <c r="N77"/>
  <c r="G33" i="24"/>
  <c r="G34"/>
  <c r="G38"/>
  <c r="G41"/>
  <c r="G3" i="31"/>
  <c r="F32" i="24"/>
  <c r="M65" i="25"/>
  <c r="M66"/>
  <c r="M67"/>
  <c r="M68"/>
  <c r="M69"/>
  <c r="M70"/>
  <c r="M72"/>
  <c r="M73"/>
  <c r="M74"/>
  <c r="M75"/>
  <c r="M55"/>
  <c r="M56"/>
  <c r="M57"/>
  <c r="M58"/>
  <c r="M59"/>
  <c r="M60"/>
  <c r="M61"/>
  <c r="M46"/>
  <c r="L52"/>
  <c r="M47"/>
  <c r="M48"/>
  <c r="M49"/>
  <c r="M50"/>
  <c r="M51"/>
  <c r="M77"/>
  <c r="F33" i="24"/>
  <c r="F34"/>
  <c r="F38"/>
  <c r="F41"/>
  <c r="F3" i="31"/>
  <c r="E32" i="24"/>
  <c r="L65" i="25"/>
  <c r="L66"/>
  <c r="L67"/>
  <c r="L68"/>
  <c r="L69"/>
  <c r="L70"/>
  <c r="L72"/>
  <c r="L73"/>
  <c r="L74"/>
  <c r="L75"/>
  <c r="L55"/>
  <c r="L56"/>
  <c r="L57"/>
  <c r="L58"/>
  <c r="L59"/>
  <c r="L60"/>
  <c r="L61"/>
  <c r="L46"/>
  <c r="K52"/>
  <c r="L47"/>
  <c r="L48"/>
  <c r="L49"/>
  <c r="L50"/>
  <c r="L51"/>
  <c r="L77"/>
  <c r="E33" i="24"/>
  <c r="E34"/>
  <c r="E38"/>
  <c r="E41"/>
  <c r="E3" i="31"/>
  <c r="D32" i="24"/>
  <c r="K65" i="25"/>
  <c r="K66"/>
  <c r="K67"/>
  <c r="K68"/>
  <c r="K69"/>
  <c r="K70"/>
  <c r="K72"/>
  <c r="K73"/>
  <c r="K74"/>
  <c r="K75"/>
  <c r="K55"/>
  <c r="K56"/>
  <c r="K57"/>
  <c r="K58"/>
  <c r="K59"/>
  <c r="K60"/>
  <c r="K61"/>
  <c r="K46"/>
  <c r="J52"/>
  <c r="K47"/>
  <c r="K48"/>
  <c r="K49"/>
  <c r="K50"/>
  <c r="K51"/>
  <c r="K77"/>
  <c r="D33" i="24"/>
  <c r="D34"/>
  <c r="D38"/>
  <c r="D41"/>
  <c r="D3" i="31"/>
  <c r="C32" i="24"/>
  <c r="J65" i="25"/>
  <c r="J66"/>
  <c r="J67"/>
  <c r="J68"/>
  <c r="J69"/>
  <c r="J70"/>
  <c r="J72"/>
  <c r="J73"/>
  <c r="J74"/>
  <c r="J75"/>
  <c r="J55"/>
  <c r="J56"/>
  <c r="J57"/>
  <c r="J58"/>
  <c r="J59"/>
  <c r="J60"/>
  <c r="J61"/>
  <c r="J46"/>
  <c r="I52"/>
  <c r="J47"/>
  <c r="J48"/>
  <c r="J49"/>
  <c r="J50"/>
  <c r="J51"/>
  <c r="J77"/>
  <c r="C33" i="24"/>
  <c r="C34"/>
  <c r="C38"/>
  <c r="C41"/>
  <c r="C3" i="31"/>
  <c r="B32" i="24"/>
  <c r="I65" i="25"/>
  <c r="I66"/>
  <c r="I67"/>
  <c r="I68"/>
  <c r="I69"/>
  <c r="I70"/>
  <c r="I72"/>
  <c r="I73"/>
  <c r="I74"/>
  <c r="I75"/>
  <c r="I55"/>
  <c r="I56"/>
  <c r="I58"/>
  <c r="I59"/>
  <c r="I60"/>
  <c r="I61"/>
  <c r="I46"/>
  <c r="I47"/>
  <c r="I48"/>
  <c r="I49"/>
  <c r="I50"/>
  <c r="I51"/>
  <c r="I77"/>
  <c r="B33" i="24"/>
  <c r="B34"/>
  <c r="B38"/>
  <c r="B41"/>
  <c r="B3" i="31"/>
  <c r="B6"/>
  <c r="C26" i="26"/>
  <c r="BK26"/>
  <c r="C15"/>
  <c r="BK15"/>
  <c r="BK37"/>
  <c r="BK39"/>
  <c r="BI35" i="24"/>
  <c r="BJ26" i="26"/>
  <c r="BJ15"/>
  <c r="BJ37"/>
  <c r="BJ39"/>
  <c r="BH35" i="24"/>
  <c r="BI26" i="26"/>
  <c r="BI15"/>
  <c r="BI37"/>
  <c r="BI39"/>
  <c r="BG35" i="24"/>
  <c r="BH26" i="26"/>
  <c r="BH15"/>
  <c r="BH37"/>
  <c r="BH39"/>
  <c r="BF35" i="24"/>
  <c r="BG26" i="26"/>
  <c r="BG15"/>
  <c r="BG37"/>
  <c r="BG39"/>
  <c r="BE35" i="24"/>
  <c r="BF26" i="26"/>
  <c r="BF15"/>
  <c r="BF37"/>
  <c r="BF39"/>
  <c r="BD35" i="24"/>
  <c r="BE26" i="26"/>
  <c r="BE15"/>
  <c r="BE37"/>
  <c r="BE39"/>
  <c r="BC35" i="24"/>
  <c r="BD26" i="26"/>
  <c r="BD15"/>
  <c r="BD37"/>
  <c r="BD39"/>
  <c r="BB35" i="24"/>
  <c r="BC26" i="26"/>
  <c r="BC15"/>
  <c r="BC37"/>
  <c r="BC39"/>
  <c r="BA35" i="24"/>
  <c r="BB26" i="26"/>
  <c r="BB15"/>
  <c r="BB37"/>
  <c r="BB39"/>
  <c r="AZ35" i="24"/>
  <c r="BA26" i="26"/>
  <c r="BA15"/>
  <c r="BA37"/>
  <c r="BA39"/>
  <c r="AY35" i="24"/>
  <c r="AZ26" i="26"/>
  <c r="AZ15"/>
  <c r="AZ37"/>
  <c r="AZ39"/>
  <c r="AX35" i="24"/>
  <c r="AY26" i="26"/>
  <c r="AY15"/>
  <c r="AY37"/>
  <c r="AY39"/>
  <c r="AW35" i="24"/>
  <c r="AX26" i="26"/>
  <c r="AX15"/>
  <c r="AX37"/>
  <c r="AX39"/>
  <c r="AV35" i="24"/>
  <c r="AW26" i="26"/>
  <c r="AW15"/>
  <c r="AW37"/>
  <c r="AW39"/>
  <c r="AU35" i="24"/>
  <c r="AV26" i="26"/>
  <c r="AV15"/>
  <c r="AV37"/>
  <c r="AV39"/>
  <c r="AT35" i="24"/>
  <c r="AU26" i="26"/>
  <c r="AU15"/>
  <c r="AU37"/>
  <c r="AU39"/>
  <c r="AS35" i="24"/>
  <c r="AT26" i="26"/>
  <c r="AT15"/>
  <c r="AT37"/>
  <c r="AT39"/>
  <c r="AR35" i="24"/>
  <c r="AS26" i="26"/>
  <c r="AS15"/>
  <c r="AS37"/>
  <c r="AS39"/>
  <c r="AQ35" i="24"/>
  <c r="AR26" i="26"/>
  <c r="AR15"/>
  <c r="AR37"/>
  <c r="AR39"/>
  <c r="AP35" i="24"/>
  <c r="AQ26" i="26"/>
  <c r="AQ15"/>
  <c r="AQ37"/>
  <c r="AQ39"/>
  <c r="AO35" i="24"/>
  <c r="AP26" i="26"/>
  <c r="AP15"/>
  <c r="AP37"/>
  <c r="AP39"/>
  <c r="AN35" i="24"/>
  <c r="AO26" i="26"/>
  <c r="AO15"/>
  <c r="AO37"/>
  <c r="AO39"/>
  <c r="AM35" i="24"/>
  <c r="AN26" i="26"/>
  <c r="AN15"/>
  <c r="AN37"/>
  <c r="AN39"/>
  <c r="AL35" i="24"/>
  <c r="AM26" i="26"/>
  <c r="AM15"/>
  <c r="AM37"/>
  <c r="AM39"/>
  <c r="AK35" i="24"/>
  <c r="AL26" i="26"/>
  <c r="AL15"/>
  <c r="AL37"/>
  <c r="AL39"/>
  <c r="AJ35" i="24"/>
  <c r="AK26" i="26"/>
  <c r="AK15"/>
  <c r="AK37"/>
  <c r="AK39"/>
  <c r="AI35" i="24"/>
  <c r="AJ26" i="26"/>
  <c r="AJ15"/>
  <c r="AJ37"/>
  <c r="AJ39"/>
  <c r="AH35" i="24"/>
  <c r="AI26" i="26"/>
  <c r="AI15"/>
  <c r="AI37"/>
  <c r="AI39"/>
  <c r="AG35" i="24"/>
  <c r="AH26" i="26"/>
  <c r="AH15"/>
  <c r="AH37"/>
  <c r="AH39"/>
  <c r="AF35" i="24"/>
  <c r="AG26" i="26"/>
  <c r="AG15"/>
  <c r="AG37"/>
  <c r="AG39"/>
  <c r="AE35" i="24"/>
  <c r="AF26" i="26"/>
  <c r="AF15"/>
  <c r="AF37"/>
  <c r="AF39"/>
  <c r="AD35" i="24"/>
  <c r="AE26" i="26"/>
  <c r="AE15"/>
  <c r="AE37"/>
  <c r="AE39"/>
  <c r="AC35" i="24"/>
  <c r="AD26" i="26"/>
  <c r="AD15"/>
  <c r="AD37"/>
  <c r="AD39"/>
  <c r="AB35" i="24"/>
  <c r="AC26" i="26"/>
  <c r="AC15"/>
  <c r="AC37"/>
  <c r="AC39"/>
  <c r="AA35" i="24"/>
  <c r="AB26" i="26"/>
  <c r="AB15"/>
  <c r="AB37"/>
  <c r="AB39"/>
  <c r="Z35" i="24"/>
  <c r="AA26" i="26"/>
  <c r="AA15"/>
  <c r="AA37"/>
  <c r="AA39"/>
  <c r="Y35" i="24"/>
  <c r="Z26" i="26"/>
  <c r="Z15"/>
  <c r="Z37"/>
  <c r="Z39"/>
  <c r="X35" i="24"/>
  <c r="Y26" i="26"/>
  <c r="Y15"/>
  <c r="Y37"/>
  <c r="Y39"/>
  <c r="W35" i="24"/>
  <c r="X26" i="26"/>
  <c r="X15"/>
  <c r="X37"/>
  <c r="X39"/>
  <c r="V35" i="24"/>
  <c r="W26" i="26"/>
  <c r="W15"/>
  <c r="W37"/>
  <c r="W39"/>
  <c r="U35" i="24"/>
  <c r="V26" i="26"/>
  <c r="V15"/>
  <c r="V37"/>
  <c r="V39"/>
  <c r="T35" i="24"/>
  <c r="U26" i="26"/>
  <c r="U15"/>
  <c r="U37"/>
  <c r="U39"/>
  <c r="S35" i="24"/>
  <c r="T26" i="26"/>
  <c r="T15"/>
  <c r="T37"/>
  <c r="T39"/>
  <c r="R35" i="24"/>
  <c r="S26" i="26"/>
  <c r="S15"/>
  <c r="S37"/>
  <c r="S39"/>
  <c r="Q35" i="24"/>
  <c r="R26" i="26"/>
  <c r="R15"/>
  <c r="R37"/>
  <c r="R39"/>
  <c r="P35" i="24"/>
  <c r="Q26" i="26"/>
  <c r="Q15"/>
  <c r="Q37"/>
  <c r="Q39"/>
  <c r="O35" i="24"/>
  <c r="P26" i="26"/>
  <c r="P15"/>
  <c r="P37"/>
  <c r="P39"/>
  <c r="N35" i="24"/>
  <c r="O26" i="26"/>
  <c r="O15"/>
  <c r="O37"/>
  <c r="O39"/>
  <c r="M35" i="24"/>
  <c r="N26" i="26"/>
  <c r="N15"/>
  <c r="N37"/>
  <c r="N39"/>
  <c r="L35" i="24"/>
  <c r="M26" i="26"/>
  <c r="M15"/>
  <c r="M37"/>
  <c r="M39"/>
  <c r="K35" i="24"/>
  <c r="L26" i="26"/>
  <c r="L15"/>
  <c r="L37"/>
  <c r="L39"/>
  <c r="J35" i="24"/>
  <c r="K26" i="26"/>
  <c r="K15"/>
  <c r="K37"/>
  <c r="K39"/>
  <c r="I35" i="24"/>
  <c r="J26" i="26"/>
  <c r="J15"/>
  <c r="J37"/>
  <c r="J39"/>
  <c r="H35" i="24"/>
  <c r="I26" i="26"/>
  <c r="I15"/>
  <c r="I37"/>
  <c r="I39"/>
  <c r="G35" i="24"/>
  <c r="H26" i="26"/>
  <c r="H15"/>
  <c r="H37"/>
  <c r="H39"/>
  <c r="F35" i="24"/>
  <c r="G26" i="26"/>
  <c r="G15"/>
  <c r="G37"/>
  <c r="G39"/>
  <c r="E35" i="24"/>
  <c r="F26" i="26"/>
  <c r="F15"/>
  <c r="F37"/>
  <c r="F39"/>
  <c r="D35" i="24"/>
  <c r="E26" i="26"/>
  <c r="E15"/>
  <c r="E37"/>
  <c r="E39"/>
  <c r="C35" i="24"/>
  <c r="D26" i="26"/>
  <c r="D15"/>
  <c r="D37"/>
  <c r="D39"/>
  <c r="B35" i="24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D11" i="3"/>
  <c r="D14"/>
  <c r="D16"/>
  <c r="D18"/>
  <c r="D21"/>
  <c r="D24"/>
  <c r="D28"/>
  <c r="I53" i="4"/>
  <c r="D30" i="3"/>
  <c r="D33"/>
  <c r="E8" i="1"/>
  <c r="E10"/>
  <c r="E11"/>
  <c r="E12"/>
  <c r="E15"/>
  <c r="I38" i="4"/>
  <c r="I32"/>
  <c r="I33"/>
  <c r="I34"/>
  <c r="I35"/>
  <c r="I36"/>
  <c r="I37"/>
  <c r="E16" i="1"/>
  <c r="I27" i="4"/>
  <c r="I42"/>
  <c r="I43"/>
  <c r="I44"/>
  <c r="I45"/>
  <c r="I46"/>
  <c r="I47"/>
  <c r="I48"/>
  <c r="I49"/>
  <c r="E17" i="1"/>
  <c r="E18"/>
  <c r="E20"/>
  <c r="I56" i="4"/>
  <c r="I57"/>
  <c r="I59"/>
  <c r="I60"/>
  <c r="I61"/>
  <c r="I62"/>
  <c r="E21" i="1"/>
  <c r="I51" i="4"/>
  <c r="I64"/>
  <c r="I67"/>
  <c r="I68"/>
  <c r="I70"/>
  <c r="E22" i="1"/>
  <c r="I78" i="4"/>
  <c r="I72"/>
  <c r="I73"/>
  <c r="I74"/>
  <c r="I75"/>
  <c r="I76"/>
  <c r="I77"/>
  <c r="I80"/>
  <c r="I93"/>
  <c r="E24" i="1"/>
  <c r="E25"/>
  <c r="E27"/>
  <c r="I96" i="4"/>
  <c r="E28" i="1"/>
  <c r="E30"/>
  <c r="E31"/>
  <c r="I103" i="4"/>
  <c r="E32" i="1"/>
  <c r="I104" i="4"/>
  <c r="I105"/>
  <c r="E33" i="1"/>
  <c r="I82" i="4"/>
  <c r="I98"/>
  <c r="I101"/>
  <c r="E34" i="1"/>
  <c r="E35"/>
  <c r="E36"/>
  <c r="E37"/>
  <c r="B40" i="17"/>
  <c r="B43"/>
  <c r="E11" i="3"/>
  <c r="E14"/>
  <c r="E16"/>
  <c r="E18"/>
  <c r="E21"/>
  <c r="E24"/>
  <c r="E28"/>
  <c r="J53" i="4"/>
  <c r="E30" i="3"/>
  <c r="E33"/>
  <c r="E44"/>
  <c r="F8" i="1"/>
  <c r="F10"/>
  <c r="F11"/>
  <c r="F12"/>
  <c r="F15"/>
  <c r="J38" i="4"/>
  <c r="J32"/>
  <c r="J33"/>
  <c r="J34"/>
  <c r="J35"/>
  <c r="J36"/>
  <c r="J37"/>
  <c r="F16" i="1"/>
  <c r="J27" i="4"/>
  <c r="J42"/>
  <c r="J43"/>
  <c r="J44"/>
  <c r="J45"/>
  <c r="J46"/>
  <c r="J47"/>
  <c r="J48"/>
  <c r="J49"/>
  <c r="F17" i="1"/>
  <c r="F18"/>
  <c r="F20"/>
  <c r="J56" i="4"/>
  <c r="J57"/>
  <c r="J58"/>
  <c r="J59"/>
  <c r="J60"/>
  <c r="J61"/>
  <c r="J62"/>
  <c r="F21" i="1"/>
  <c r="J51" i="4"/>
  <c r="J64"/>
  <c r="J65"/>
  <c r="J66"/>
  <c r="J67"/>
  <c r="J68"/>
  <c r="J70"/>
  <c r="F22" i="1"/>
  <c r="J78" i="4"/>
  <c r="J72"/>
  <c r="J73"/>
  <c r="J74"/>
  <c r="J75"/>
  <c r="J76"/>
  <c r="J77"/>
  <c r="J80"/>
  <c r="J93"/>
  <c r="F24" i="1"/>
  <c r="F25"/>
  <c r="F27"/>
  <c r="J96" i="4"/>
  <c r="F28" i="1"/>
  <c r="J82" i="4"/>
  <c r="J97"/>
  <c r="F29" i="1"/>
  <c r="F30"/>
  <c r="F31"/>
  <c r="J103" i="4"/>
  <c r="F32" i="1"/>
  <c r="J104" i="4"/>
  <c r="J105"/>
  <c r="F33" i="1"/>
  <c r="J98" i="4"/>
  <c r="J101"/>
  <c r="F34" i="1"/>
  <c r="F35"/>
  <c r="F36"/>
  <c r="F37"/>
  <c r="C40" i="17"/>
  <c r="C43"/>
  <c r="F11" i="3"/>
  <c r="F14"/>
  <c r="F16"/>
  <c r="F18"/>
  <c r="F21"/>
  <c r="F24"/>
  <c r="F28"/>
  <c r="K53" i="4"/>
  <c r="F30" i="3"/>
  <c r="F33"/>
  <c r="F44"/>
  <c r="G8" i="1"/>
  <c r="G10"/>
  <c r="G11"/>
  <c r="G12"/>
  <c r="G15"/>
  <c r="K38" i="4"/>
  <c r="K32"/>
  <c r="K33"/>
  <c r="K34"/>
  <c r="K35"/>
  <c r="K36"/>
  <c r="K37"/>
  <c r="G16" i="1"/>
  <c r="K27" i="4"/>
  <c r="K42"/>
  <c r="K43"/>
  <c r="K44"/>
  <c r="K45"/>
  <c r="K46"/>
  <c r="K47"/>
  <c r="K48"/>
  <c r="K49"/>
  <c r="G17" i="1"/>
  <c r="G18"/>
  <c r="G20"/>
  <c r="K56" i="4"/>
  <c r="K57"/>
  <c r="K58"/>
  <c r="K59"/>
  <c r="K60"/>
  <c r="K61"/>
  <c r="K62"/>
  <c r="G21" i="1"/>
  <c r="K51" i="4"/>
  <c r="K64"/>
  <c r="K65"/>
  <c r="K66"/>
  <c r="K67"/>
  <c r="K68"/>
  <c r="K70"/>
  <c r="G22" i="1"/>
  <c r="K78" i="4"/>
  <c r="K72"/>
  <c r="K73"/>
  <c r="K74"/>
  <c r="K75"/>
  <c r="K76"/>
  <c r="K77"/>
  <c r="K80"/>
  <c r="K93"/>
  <c r="G24" i="1"/>
  <c r="G25"/>
  <c r="G27"/>
  <c r="K96" i="4"/>
  <c r="G28" i="1"/>
  <c r="K82" i="4"/>
  <c r="K97"/>
  <c r="G29" i="1"/>
  <c r="G30"/>
  <c r="G31"/>
  <c r="K103" i="4"/>
  <c r="G32" i="1"/>
  <c r="K104" i="4"/>
  <c r="K105"/>
  <c r="G33" i="1"/>
  <c r="K98" i="4"/>
  <c r="K101"/>
  <c r="G34" i="1"/>
  <c r="G35"/>
  <c r="G36"/>
  <c r="G37"/>
  <c r="D40" i="17"/>
  <c r="D43"/>
  <c r="G11" i="3"/>
  <c r="G14"/>
  <c r="G16"/>
  <c r="G18"/>
  <c r="G21"/>
  <c r="G24"/>
  <c r="G28"/>
  <c r="L53" i="4"/>
  <c r="G30" i="3"/>
  <c r="G33"/>
  <c r="G44"/>
  <c r="H8" i="1"/>
  <c r="H10"/>
  <c r="H11"/>
  <c r="H12"/>
  <c r="H15"/>
  <c r="L38" i="4"/>
  <c r="L32"/>
  <c r="L33"/>
  <c r="L34"/>
  <c r="L35"/>
  <c r="L36"/>
  <c r="L37"/>
  <c r="H16" i="1"/>
  <c r="L27" i="4"/>
  <c r="L42"/>
  <c r="L43"/>
  <c r="L44"/>
  <c r="L45"/>
  <c r="L46"/>
  <c r="L47"/>
  <c r="L48"/>
  <c r="L49"/>
  <c r="H17" i="1"/>
  <c r="H18"/>
  <c r="H20"/>
  <c r="L56" i="4"/>
  <c r="L57"/>
  <c r="L58"/>
  <c r="L59"/>
  <c r="L60"/>
  <c r="L61"/>
  <c r="L62"/>
  <c r="H21" i="1"/>
  <c r="L51" i="4"/>
  <c r="L64"/>
  <c r="L65"/>
  <c r="L66"/>
  <c r="L67"/>
  <c r="L68"/>
  <c r="L70"/>
  <c r="H22" i="1"/>
  <c r="L78" i="4"/>
  <c r="L72"/>
  <c r="L73"/>
  <c r="L74"/>
  <c r="L75"/>
  <c r="L76"/>
  <c r="L77"/>
  <c r="L80"/>
  <c r="L93"/>
  <c r="H24" i="1"/>
  <c r="H25"/>
  <c r="H27"/>
  <c r="L96" i="4"/>
  <c r="H28" i="1"/>
  <c r="L82" i="4"/>
  <c r="L97"/>
  <c r="H29" i="1"/>
  <c r="H30"/>
  <c r="H31"/>
  <c r="L103" i="4"/>
  <c r="H32" i="1"/>
  <c r="L104" i="4"/>
  <c r="L105"/>
  <c r="H33" i="1"/>
  <c r="L98" i="4"/>
  <c r="L101"/>
  <c r="H34" i="1"/>
  <c r="H35"/>
  <c r="H36"/>
  <c r="H37"/>
  <c r="E40" i="17"/>
  <c r="E43"/>
  <c r="H11" i="3"/>
  <c r="H14"/>
  <c r="H16"/>
  <c r="H18"/>
  <c r="H21"/>
  <c r="H24"/>
  <c r="H28"/>
  <c r="M53" i="4"/>
  <c r="H30" i="3"/>
  <c r="H33"/>
  <c r="H44"/>
  <c r="I8" i="1"/>
  <c r="I10"/>
  <c r="I11"/>
  <c r="I12"/>
  <c r="I15"/>
  <c r="M38" i="4"/>
  <c r="M32"/>
  <c r="M33"/>
  <c r="M34"/>
  <c r="M35"/>
  <c r="M36"/>
  <c r="M37"/>
  <c r="I16" i="1"/>
  <c r="M27" i="4"/>
  <c r="M42"/>
  <c r="M43"/>
  <c r="M44"/>
  <c r="M45"/>
  <c r="M46"/>
  <c r="M47"/>
  <c r="M48"/>
  <c r="M49"/>
  <c r="I17" i="1"/>
  <c r="I18"/>
  <c r="I20"/>
  <c r="M56" i="4"/>
  <c r="M57"/>
  <c r="M58"/>
  <c r="M59"/>
  <c r="M60"/>
  <c r="M61"/>
  <c r="M62"/>
  <c r="I21" i="1"/>
  <c r="M51" i="4"/>
  <c r="M64"/>
  <c r="M65"/>
  <c r="M66"/>
  <c r="M67"/>
  <c r="M68"/>
  <c r="M70"/>
  <c r="I22" i="1"/>
  <c r="M78" i="4"/>
  <c r="M72"/>
  <c r="M73"/>
  <c r="M74"/>
  <c r="M75"/>
  <c r="M76"/>
  <c r="M77"/>
  <c r="M80"/>
  <c r="M93"/>
  <c r="I24" i="1"/>
  <c r="I25"/>
  <c r="I27"/>
  <c r="M96" i="4"/>
  <c r="I28" i="1"/>
  <c r="M82" i="4"/>
  <c r="M97"/>
  <c r="I29" i="1"/>
  <c r="I30"/>
  <c r="I31"/>
  <c r="M103" i="4"/>
  <c r="I32" i="1"/>
  <c r="M104" i="4"/>
  <c r="M105"/>
  <c r="I33" i="1"/>
  <c r="M98" i="4"/>
  <c r="M101"/>
  <c r="I34" i="1"/>
  <c r="I35"/>
  <c r="I36"/>
  <c r="I37"/>
  <c r="F40" i="17"/>
  <c r="F43"/>
  <c r="I11" i="3"/>
  <c r="I14"/>
  <c r="I16"/>
  <c r="I18"/>
  <c r="I21"/>
  <c r="I24"/>
  <c r="I28"/>
  <c r="N53" i="4"/>
  <c r="I30" i="3"/>
  <c r="I33"/>
  <c r="I44"/>
  <c r="J8" i="1"/>
  <c r="J10"/>
  <c r="J11"/>
  <c r="J12"/>
  <c r="J15"/>
  <c r="N38" i="4"/>
  <c r="N32"/>
  <c r="N33"/>
  <c r="N34"/>
  <c r="N35"/>
  <c r="N36"/>
  <c r="N37"/>
  <c r="J16" i="1"/>
  <c r="N27" i="4"/>
  <c r="N42"/>
  <c r="N43"/>
  <c r="N44"/>
  <c r="N45"/>
  <c r="N46"/>
  <c r="N47"/>
  <c r="N48"/>
  <c r="N49"/>
  <c r="J17" i="1"/>
  <c r="J18"/>
  <c r="J20"/>
  <c r="N56" i="4"/>
  <c r="N57"/>
  <c r="N58"/>
  <c r="N59"/>
  <c r="N60"/>
  <c r="N61"/>
  <c r="N62"/>
  <c r="J21" i="1"/>
  <c r="N51" i="4"/>
  <c r="N64"/>
  <c r="N65"/>
  <c r="N66"/>
  <c r="N67"/>
  <c r="N68"/>
  <c r="N70"/>
  <c r="J22" i="1"/>
  <c r="N78" i="4"/>
  <c r="N72"/>
  <c r="N73"/>
  <c r="N74"/>
  <c r="N75"/>
  <c r="N76"/>
  <c r="N77"/>
  <c r="N80"/>
  <c r="N93"/>
  <c r="J24" i="1"/>
  <c r="J25"/>
  <c r="J27"/>
  <c r="N96" i="4"/>
  <c r="J28" i="1"/>
  <c r="N82" i="4"/>
  <c r="N97"/>
  <c r="J29" i="1"/>
  <c r="J30"/>
  <c r="J31"/>
  <c r="N103" i="4"/>
  <c r="J32" i="1"/>
  <c r="N104" i="4"/>
  <c r="N105"/>
  <c r="J33" i="1"/>
  <c r="N98" i="4"/>
  <c r="N101"/>
  <c r="J34" i="1"/>
  <c r="J35"/>
  <c r="J36"/>
  <c r="J37"/>
  <c r="G40" i="17"/>
  <c r="G43"/>
  <c r="J11" i="3"/>
  <c r="J14"/>
  <c r="J16"/>
  <c r="J18"/>
  <c r="J21"/>
  <c r="J24"/>
  <c r="J28"/>
  <c r="O53" i="4"/>
  <c r="J30" i="3"/>
  <c r="J33"/>
  <c r="J44"/>
  <c r="K8" i="1"/>
  <c r="K10"/>
  <c r="K11"/>
  <c r="K12"/>
  <c r="K15"/>
  <c r="O38" i="4"/>
  <c r="O32"/>
  <c r="O33"/>
  <c r="O34"/>
  <c r="O35"/>
  <c r="O36"/>
  <c r="O37"/>
  <c r="K16" i="1"/>
  <c r="O27" i="4"/>
  <c r="O42"/>
  <c r="O43"/>
  <c r="O44"/>
  <c r="O45"/>
  <c r="O46"/>
  <c r="O47"/>
  <c r="O48"/>
  <c r="O49"/>
  <c r="K17" i="1"/>
  <c r="K18"/>
  <c r="K20"/>
  <c r="O56" i="4"/>
  <c r="O57"/>
  <c r="O58"/>
  <c r="O59"/>
  <c r="O60"/>
  <c r="O61"/>
  <c r="O62"/>
  <c r="K21" i="1"/>
  <c r="O51" i="4"/>
  <c r="O64"/>
  <c r="O65"/>
  <c r="O66"/>
  <c r="O67"/>
  <c r="O68"/>
  <c r="O70"/>
  <c r="K22" i="1"/>
  <c r="O78" i="4"/>
  <c r="O72"/>
  <c r="O73"/>
  <c r="O74"/>
  <c r="O75"/>
  <c r="O76"/>
  <c r="O77"/>
  <c r="O80"/>
  <c r="O93"/>
  <c r="K24" i="1"/>
  <c r="K25"/>
  <c r="K27"/>
  <c r="O96" i="4"/>
  <c r="K28" i="1"/>
  <c r="O82" i="4"/>
  <c r="O97"/>
  <c r="K29" i="1"/>
  <c r="K30"/>
  <c r="K31"/>
  <c r="O103" i="4"/>
  <c r="K32" i="1"/>
  <c r="O104" i="4"/>
  <c r="O105"/>
  <c r="K33" i="1"/>
  <c r="O98" i="4"/>
  <c r="O101"/>
  <c r="K34" i="1"/>
  <c r="K35"/>
  <c r="K36"/>
  <c r="K37"/>
  <c r="H40" i="17"/>
  <c r="H43"/>
  <c r="K11" i="3"/>
  <c r="K14"/>
  <c r="K16"/>
  <c r="K18"/>
  <c r="K21"/>
  <c r="K24"/>
  <c r="K28"/>
  <c r="P53" i="4"/>
  <c r="K30" i="3"/>
  <c r="K33"/>
  <c r="K44"/>
  <c r="L8" i="1"/>
  <c r="L10"/>
  <c r="L11"/>
  <c r="L12"/>
  <c r="L15"/>
  <c r="P38" i="4"/>
  <c r="P32"/>
  <c r="P33"/>
  <c r="P34"/>
  <c r="P35"/>
  <c r="P36"/>
  <c r="P37"/>
  <c r="L16" i="1"/>
  <c r="P27" i="4"/>
  <c r="P42"/>
  <c r="P43"/>
  <c r="P44"/>
  <c r="P45"/>
  <c r="P46"/>
  <c r="P47"/>
  <c r="P48"/>
  <c r="P49"/>
  <c r="L17" i="1"/>
  <c r="L18"/>
  <c r="L20"/>
  <c r="P56" i="4"/>
  <c r="P57"/>
  <c r="P58"/>
  <c r="P59"/>
  <c r="P60"/>
  <c r="P61"/>
  <c r="P62"/>
  <c r="L21" i="1"/>
  <c r="P51" i="4"/>
  <c r="P64"/>
  <c r="P65"/>
  <c r="P66"/>
  <c r="P67"/>
  <c r="P68"/>
  <c r="P70"/>
  <c r="L22" i="1"/>
  <c r="P78" i="4"/>
  <c r="P72"/>
  <c r="P73"/>
  <c r="P74"/>
  <c r="P75"/>
  <c r="P76"/>
  <c r="P77"/>
  <c r="P80"/>
  <c r="P93"/>
  <c r="L24" i="1"/>
  <c r="L25"/>
  <c r="L27"/>
  <c r="P96" i="4"/>
  <c r="L28" i="1"/>
  <c r="P82" i="4"/>
  <c r="P97"/>
  <c r="L29" i="1"/>
  <c r="L30"/>
  <c r="L31"/>
  <c r="P103" i="4"/>
  <c r="L32" i="1"/>
  <c r="P104" i="4"/>
  <c r="P105"/>
  <c r="L33" i="1"/>
  <c r="P98" i="4"/>
  <c r="P101"/>
  <c r="L34" i="1"/>
  <c r="L35"/>
  <c r="L36"/>
  <c r="L37"/>
  <c r="I40" i="17"/>
  <c r="I43"/>
  <c r="L11" i="3"/>
  <c r="L14"/>
  <c r="L16"/>
  <c r="L18"/>
  <c r="L21"/>
  <c r="L24"/>
  <c r="L28"/>
  <c r="Q53" i="4"/>
  <c r="L30" i="3"/>
  <c r="L33"/>
  <c r="L44"/>
  <c r="M8" i="1"/>
  <c r="M10"/>
  <c r="M11"/>
  <c r="M12"/>
  <c r="M15"/>
  <c r="Q38" i="4"/>
  <c r="Q32"/>
  <c r="Q33"/>
  <c r="Q34"/>
  <c r="Q35"/>
  <c r="Q36"/>
  <c r="Q37"/>
  <c r="M16" i="1"/>
  <c r="Q27" i="4"/>
  <c r="Q42"/>
  <c r="Q43"/>
  <c r="Q44"/>
  <c r="Q45"/>
  <c r="Q46"/>
  <c r="Q47"/>
  <c r="Q48"/>
  <c r="Q49"/>
  <c r="M17" i="1"/>
  <c r="M18"/>
  <c r="M20"/>
  <c r="Q56" i="4"/>
  <c r="Q57"/>
  <c r="Q58"/>
  <c r="Q59"/>
  <c r="Q60"/>
  <c r="Q61"/>
  <c r="Q62"/>
  <c r="M21" i="1"/>
  <c r="Q51" i="4"/>
  <c r="Q64"/>
  <c r="Q65"/>
  <c r="Q66"/>
  <c r="Q67"/>
  <c r="Q68"/>
  <c r="Q70"/>
  <c r="M22" i="1"/>
  <c r="Q78" i="4"/>
  <c r="Q72"/>
  <c r="Q73"/>
  <c r="Q74"/>
  <c r="Q75"/>
  <c r="Q76"/>
  <c r="Q77"/>
  <c r="Q80"/>
  <c r="Q93"/>
  <c r="M24" i="1"/>
  <c r="M25"/>
  <c r="M27"/>
  <c r="Q96" i="4"/>
  <c r="M28" i="1"/>
  <c r="Q82" i="4"/>
  <c r="Q97"/>
  <c r="M29" i="1"/>
  <c r="M30"/>
  <c r="M31"/>
  <c r="Q103" i="4"/>
  <c r="M32" i="1"/>
  <c r="Q104" i="4"/>
  <c r="Q105"/>
  <c r="M33" i="1"/>
  <c r="Q98" i="4"/>
  <c r="Q101"/>
  <c r="M34" i="1"/>
  <c r="M35"/>
  <c r="M36"/>
  <c r="M37"/>
  <c r="J40" i="17"/>
  <c r="J43"/>
  <c r="M11" i="3"/>
  <c r="M14"/>
  <c r="M16"/>
  <c r="M18"/>
  <c r="M21"/>
  <c r="M24"/>
  <c r="M28"/>
  <c r="R53" i="4"/>
  <c r="M30" i="3"/>
  <c r="M33"/>
  <c r="M44"/>
  <c r="N8" i="1"/>
  <c r="N10"/>
  <c r="N11"/>
  <c r="N12"/>
  <c r="N15"/>
  <c r="R38" i="4"/>
  <c r="R32"/>
  <c r="R33"/>
  <c r="R34"/>
  <c r="R35"/>
  <c r="R36"/>
  <c r="R37"/>
  <c r="N16" i="1"/>
  <c r="R27" i="4"/>
  <c r="R42"/>
  <c r="R43"/>
  <c r="R44"/>
  <c r="R45"/>
  <c r="R46"/>
  <c r="R47"/>
  <c r="R48"/>
  <c r="R49"/>
  <c r="N17" i="1"/>
  <c r="N18"/>
  <c r="N20"/>
  <c r="R56" i="4"/>
  <c r="R57"/>
  <c r="R58"/>
  <c r="R59"/>
  <c r="R60"/>
  <c r="R61"/>
  <c r="R62"/>
  <c r="N21" i="1"/>
  <c r="R51" i="4"/>
  <c r="R64"/>
  <c r="R65"/>
  <c r="R66"/>
  <c r="R67"/>
  <c r="R68"/>
  <c r="R70"/>
  <c r="N22" i="1"/>
  <c r="R78" i="4"/>
  <c r="R72"/>
  <c r="R73"/>
  <c r="R74"/>
  <c r="R75"/>
  <c r="R76"/>
  <c r="R77"/>
  <c r="R80"/>
  <c r="R93"/>
  <c r="N24" i="1"/>
  <c r="N25"/>
  <c r="N27"/>
  <c r="R96" i="4"/>
  <c r="N28" i="1"/>
  <c r="R82" i="4"/>
  <c r="R97"/>
  <c r="N29" i="1"/>
  <c r="N30"/>
  <c r="N31"/>
  <c r="R103" i="4"/>
  <c r="N32" i="1"/>
  <c r="R104" i="4"/>
  <c r="R105"/>
  <c r="N33" i="1"/>
  <c r="R98" i="4"/>
  <c r="R101"/>
  <c r="N34" i="1"/>
  <c r="N35"/>
  <c r="N36"/>
  <c r="N37"/>
  <c r="K40" i="17"/>
  <c r="K43"/>
  <c r="N11" i="3"/>
  <c r="N14"/>
  <c r="N16"/>
  <c r="N18"/>
  <c r="N21"/>
  <c r="N24"/>
  <c r="N28"/>
  <c r="S53" i="4"/>
  <c r="N30" i="3"/>
  <c r="N33"/>
  <c r="N44"/>
  <c r="O8" i="1"/>
  <c r="O10"/>
  <c r="O11"/>
  <c r="O12"/>
  <c r="O15"/>
  <c r="S38" i="4"/>
  <c r="S32"/>
  <c r="S33"/>
  <c r="S34"/>
  <c r="S35"/>
  <c r="S36"/>
  <c r="S37"/>
  <c r="O16" i="1"/>
  <c r="S27" i="4"/>
  <c r="S42"/>
  <c r="S43"/>
  <c r="S44"/>
  <c r="S45"/>
  <c r="S46"/>
  <c r="S47"/>
  <c r="S48"/>
  <c r="S49"/>
  <c r="O17" i="1"/>
  <c r="O18"/>
  <c r="O20"/>
  <c r="S56" i="4"/>
  <c r="S57"/>
  <c r="S58"/>
  <c r="S59"/>
  <c r="S60"/>
  <c r="S61"/>
  <c r="S62"/>
  <c r="O21" i="1"/>
  <c r="S51" i="4"/>
  <c r="S64"/>
  <c r="S65"/>
  <c r="S66"/>
  <c r="S67"/>
  <c r="S68"/>
  <c r="S70"/>
  <c r="O22" i="1"/>
  <c r="S78" i="4"/>
  <c r="S72"/>
  <c r="S73"/>
  <c r="S74"/>
  <c r="S75"/>
  <c r="S76"/>
  <c r="S77"/>
  <c r="S80"/>
  <c r="S93"/>
  <c r="O24" i="1"/>
  <c r="O25"/>
  <c r="O27"/>
  <c r="S96" i="4"/>
  <c r="O28" i="1"/>
  <c r="S82" i="4"/>
  <c r="S97"/>
  <c r="O29" i="1"/>
  <c r="O30"/>
  <c r="O31"/>
  <c r="S103" i="4"/>
  <c r="O32" i="1"/>
  <c r="S104" i="4"/>
  <c r="S105"/>
  <c r="O33" i="1"/>
  <c r="S98" i="4"/>
  <c r="S101"/>
  <c r="O34" i="1"/>
  <c r="O35"/>
  <c r="O36"/>
  <c r="O37"/>
  <c r="L40" i="17"/>
  <c r="L43"/>
  <c r="O11" i="3"/>
  <c r="O14"/>
  <c r="O16"/>
  <c r="O18"/>
  <c r="O21"/>
  <c r="O24"/>
  <c r="O28"/>
  <c r="T53" i="4"/>
  <c r="O30" i="3"/>
  <c r="O33"/>
  <c r="O44"/>
  <c r="P8" i="1"/>
  <c r="P10"/>
  <c r="P11"/>
  <c r="P12"/>
  <c r="P15"/>
  <c r="T38" i="4"/>
  <c r="T32"/>
  <c r="T33"/>
  <c r="T34"/>
  <c r="T35"/>
  <c r="T36"/>
  <c r="T37"/>
  <c r="P16" i="1"/>
  <c r="T27" i="4"/>
  <c r="T42"/>
  <c r="T43"/>
  <c r="T44"/>
  <c r="T45"/>
  <c r="T46"/>
  <c r="T47"/>
  <c r="T48"/>
  <c r="T49"/>
  <c r="P17" i="1"/>
  <c r="P18"/>
  <c r="P20"/>
  <c r="T56" i="4"/>
  <c r="T57"/>
  <c r="T58"/>
  <c r="T59"/>
  <c r="T60"/>
  <c r="T61"/>
  <c r="T62"/>
  <c r="P21" i="1"/>
  <c r="T51" i="4"/>
  <c r="T64"/>
  <c r="T65"/>
  <c r="T66"/>
  <c r="T67"/>
  <c r="T68"/>
  <c r="T70"/>
  <c r="P22" i="1"/>
  <c r="T78" i="4"/>
  <c r="T72"/>
  <c r="T73"/>
  <c r="T74"/>
  <c r="T75"/>
  <c r="T76"/>
  <c r="T77"/>
  <c r="T80"/>
  <c r="T93"/>
  <c r="P24" i="1"/>
  <c r="P25"/>
  <c r="P27"/>
  <c r="T96" i="4"/>
  <c r="P28" i="1"/>
  <c r="T82" i="4"/>
  <c r="T97"/>
  <c r="P29" i="1"/>
  <c r="P30"/>
  <c r="P31"/>
  <c r="T103" i="4"/>
  <c r="P32" i="1"/>
  <c r="T104" i="4"/>
  <c r="T105"/>
  <c r="P33" i="1"/>
  <c r="T98" i="4"/>
  <c r="T101"/>
  <c r="P34" i="1"/>
  <c r="P35"/>
  <c r="P36"/>
  <c r="P37"/>
  <c r="M40" i="17"/>
  <c r="M43"/>
  <c r="P11" i="3"/>
  <c r="P14"/>
  <c r="P16"/>
  <c r="P18"/>
  <c r="P21"/>
  <c r="P24"/>
  <c r="P28"/>
  <c r="U53" i="4"/>
  <c r="P30" i="3"/>
  <c r="P33"/>
  <c r="P44"/>
  <c r="Q8" i="1"/>
  <c r="Q10"/>
  <c r="Q11"/>
  <c r="Q12"/>
  <c r="Q15"/>
  <c r="U38" i="4"/>
  <c r="U32"/>
  <c r="U33"/>
  <c r="U34"/>
  <c r="U35"/>
  <c r="U36"/>
  <c r="U37"/>
  <c r="Q16" i="1"/>
  <c r="U27" i="4"/>
  <c r="U42"/>
  <c r="U44"/>
  <c r="U45"/>
  <c r="U46"/>
  <c r="U47"/>
  <c r="U48"/>
  <c r="U49"/>
  <c r="Q17" i="1"/>
  <c r="Q18"/>
  <c r="Q20"/>
  <c r="U56" i="4"/>
  <c r="U57"/>
  <c r="U58"/>
  <c r="U59"/>
  <c r="U60"/>
  <c r="U61"/>
  <c r="U62"/>
  <c r="Q21" i="1"/>
  <c r="U51" i="4"/>
  <c r="U64"/>
  <c r="U67"/>
  <c r="U68"/>
  <c r="U70"/>
  <c r="Q22" i="1"/>
  <c r="U78" i="4"/>
  <c r="U72"/>
  <c r="U73"/>
  <c r="U74"/>
  <c r="U75"/>
  <c r="U76"/>
  <c r="U77"/>
  <c r="U80"/>
  <c r="U93"/>
  <c r="Q24" i="1"/>
  <c r="Q25"/>
  <c r="Q27"/>
  <c r="BN31" i="3"/>
  <c r="BN25"/>
  <c r="U96" i="4"/>
  <c r="Q28" i="1"/>
  <c r="Q30"/>
  <c r="Q31"/>
  <c r="U103" i="4"/>
  <c r="Q32" i="1"/>
  <c r="U104" i="4"/>
  <c r="U105"/>
  <c r="Q33" i="1"/>
  <c r="BN35" i="3"/>
  <c r="BN36"/>
  <c r="BN38"/>
  <c r="BN39"/>
  <c r="BN43"/>
  <c r="U82" i="4"/>
  <c r="U98"/>
  <c r="U101"/>
  <c r="Q34" i="1"/>
  <c r="Q35"/>
  <c r="Q36"/>
  <c r="Q37"/>
  <c r="N40" i="17"/>
  <c r="N43"/>
  <c r="Q11" i="3"/>
  <c r="Q14"/>
  <c r="Q16"/>
  <c r="Q18"/>
  <c r="Q21"/>
  <c r="Q24"/>
  <c r="Q28"/>
  <c r="V53" i="4"/>
  <c r="Q30" i="3"/>
  <c r="Q33"/>
  <c r="Q44"/>
  <c r="R8" i="1"/>
  <c r="R10"/>
  <c r="R11"/>
  <c r="R12"/>
  <c r="R15"/>
  <c r="V38" i="4"/>
  <c r="V32"/>
  <c r="V33"/>
  <c r="V34"/>
  <c r="V35"/>
  <c r="V36"/>
  <c r="V37"/>
  <c r="R16" i="1"/>
  <c r="BO21" i="3"/>
  <c r="BO22"/>
  <c r="BO25"/>
  <c r="V27" i="4"/>
  <c r="V42"/>
  <c r="V43"/>
  <c r="V44"/>
  <c r="V45"/>
  <c r="V46"/>
  <c r="V47"/>
  <c r="V48"/>
  <c r="V49"/>
  <c r="R17" i="1"/>
  <c r="R18"/>
  <c r="R20"/>
  <c r="V56" i="4"/>
  <c r="V57"/>
  <c r="V58"/>
  <c r="V59"/>
  <c r="V61"/>
  <c r="V62"/>
  <c r="R21" i="1"/>
  <c r="V51" i="4"/>
  <c r="V64"/>
  <c r="V65"/>
  <c r="V66"/>
  <c r="V67"/>
  <c r="V68"/>
  <c r="V70"/>
  <c r="R22" i="1"/>
  <c r="V78" i="4"/>
  <c r="V72"/>
  <c r="V73"/>
  <c r="V74"/>
  <c r="V75"/>
  <c r="V76"/>
  <c r="V77"/>
  <c r="V80"/>
  <c r="V93"/>
  <c r="R24" i="1"/>
  <c r="R25"/>
  <c r="R27"/>
  <c r="BO31" i="3"/>
  <c r="V96" i="4"/>
  <c r="R28" i="1"/>
  <c r="BO35" i="3"/>
  <c r="BO36"/>
  <c r="BO38"/>
  <c r="BO39"/>
  <c r="BO43"/>
  <c r="V82" i="4"/>
  <c r="V97"/>
  <c r="R29" i="1"/>
  <c r="R30"/>
  <c r="R31"/>
  <c r="V103" i="4"/>
  <c r="R32" i="1"/>
  <c r="V104" i="4"/>
  <c r="V105"/>
  <c r="R33" i="1"/>
  <c r="V98" i="4"/>
  <c r="V101"/>
  <c r="R34" i="1"/>
  <c r="R35"/>
  <c r="R36"/>
  <c r="R37"/>
  <c r="O40" i="17"/>
  <c r="O43"/>
  <c r="R11" i="3"/>
  <c r="R14"/>
  <c r="R16"/>
  <c r="R18"/>
  <c r="R21"/>
  <c r="R24"/>
  <c r="R28"/>
  <c r="W53" i="4"/>
  <c r="R30" i="3"/>
  <c r="R33"/>
  <c r="R44"/>
  <c r="S8" i="1"/>
  <c r="S10"/>
  <c r="S11"/>
  <c r="S12"/>
  <c r="S15"/>
  <c r="W38" i="4"/>
  <c r="W32"/>
  <c r="W33"/>
  <c r="W34"/>
  <c r="W35"/>
  <c r="W36"/>
  <c r="W37"/>
  <c r="S16" i="1"/>
  <c r="BP21" i="3"/>
  <c r="BP22"/>
  <c r="BP25"/>
  <c r="W27" i="4"/>
  <c r="W42"/>
  <c r="W43"/>
  <c r="W44"/>
  <c r="W45"/>
  <c r="W46"/>
  <c r="W47"/>
  <c r="W48"/>
  <c r="W49"/>
  <c r="S17" i="1"/>
  <c r="S18"/>
  <c r="S20"/>
  <c r="W56" i="4"/>
  <c r="W57"/>
  <c r="W58"/>
  <c r="W59"/>
  <c r="W60"/>
  <c r="W61"/>
  <c r="W62"/>
  <c r="S21" i="1"/>
  <c r="W51" i="4"/>
  <c r="W64"/>
  <c r="W65"/>
  <c r="W66"/>
  <c r="W67"/>
  <c r="W68"/>
  <c r="W70"/>
  <c r="S22" i="1"/>
  <c r="W78" i="4"/>
  <c r="W72"/>
  <c r="W73"/>
  <c r="W74"/>
  <c r="W75"/>
  <c r="W76"/>
  <c r="W77"/>
  <c r="W80"/>
  <c r="W93"/>
  <c r="S24" i="1"/>
  <c r="S25"/>
  <c r="S27"/>
  <c r="BP31" i="3"/>
  <c r="W96" i="4"/>
  <c r="S28" i="1"/>
  <c r="BP35" i="3"/>
  <c r="BP36"/>
  <c r="BP38"/>
  <c r="BP39"/>
  <c r="BP43"/>
  <c r="W82" i="4"/>
  <c r="W97"/>
  <c r="S29" i="1"/>
  <c r="S30"/>
  <c r="S31"/>
  <c r="W103" i="4"/>
  <c r="S32" i="1"/>
  <c r="W104" i="4"/>
  <c r="W105"/>
  <c r="S33" i="1"/>
  <c r="W98" i="4"/>
  <c r="W101"/>
  <c r="S34" i="1"/>
  <c r="S35"/>
  <c r="S36"/>
  <c r="S37"/>
  <c r="P40" i="17"/>
  <c r="P43"/>
  <c r="S11" i="3"/>
  <c r="S14"/>
  <c r="S16"/>
  <c r="S18"/>
  <c r="S21"/>
  <c r="S24"/>
  <c r="S28"/>
  <c r="X53" i="4"/>
  <c r="S30" i="3"/>
  <c r="S33"/>
  <c r="S44"/>
  <c r="T8" i="1"/>
  <c r="T10"/>
  <c r="T11"/>
  <c r="T12"/>
  <c r="T15"/>
  <c r="X38" i="4"/>
  <c r="X32"/>
  <c r="X33"/>
  <c r="X34"/>
  <c r="X35"/>
  <c r="X36"/>
  <c r="X37"/>
  <c r="T16" i="1"/>
  <c r="BQ21" i="3"/>
  <c r="BQ22"/>
  <c r="BQ25"/>
  <c r="X27" i="4"/>
  <c r="X42"/>
  <c r="X43"/>
  <c r="X44"/>
  <c r="X45"/>
  <c r="X46"/>
  <c r="X47"/>
  <c r="X48"/>
  <c r="X49"/>
  <c r="T17" i="1"/>
  <c r="T18"/>
  <c r="T20"/>
  <c r="X56" i="4"/>
  <c r="X57"/>
  <c r="X58"/>
  <c r="X59"/>
  <c r="X60"/>
  <c r="X61"/>
  <c r="X62"/>
  <c r="T21" i="1"/>
  <c r="X51" i="4"/>
  <c r="X64"/>
  <c r="X65"/>
  <c r="X66"/>
  <c r="X67"/>
  <c r="X68"/>
  <c r="X70"/>
  <c r="T22" i="1"/>
  <c r="X78" i="4"/>
  <c r="X72"/>
  <c r="X73"/>
  <c r="X74"/>
  <c r="X75"/>
  <c r="X76"/>
  <c r="X77"/>
  <c r="X80"/>
  <c r="X93"/>
  <c r="T24" i="1"/>
  <c r="T25"/>
  <c r="T27"/>
  <c r="BQ31" i="3"/>
  <c r="X96" i="4"/>
  <c r="T28" i="1"/>
  <c r="BQ35" i="3"/>
  <c r="BQ36"/>
  <c r="BQ38"/>
  <c r="BQ39"/>
  <c r="BQ43"/>
  <c r="X82" i="4"/>
  <c r="X97"/>
  <c r="T29" i="1"/>
  <c r="T30"/>
  <c r="T31"/>
  <c r="X103" i="4"/>
  <c r="T32" i="1"/>
  <c r="X104" i="4"/>
  <c r="X105"/>
  <c r="T33" i="1"/>
  <c r="X98" i="4"/>
  <c r="X101"/>
  <c r="T34" i="1"/>
  <c r="T35"/>
  <c r="T36"/>
  <c r="T37"/>
  <c r="Q40" i="17"/>
  <c r="Q43"/>
  <c r="T11" i="3"/>
  <c r="T14"/>
  <c r="T16"/>
  <c r="T18"/>
  <c r="T21"/>
  <c r="T24"/>
  <c r="T28"/>
  <c r="Y53" i="4"/>
  <c r="T30" i="3"/>
  <c r="T33"/>
  <c r="T44"/>
  <c r="U8" i="1"/>
  <c r="U10"/>
  <c r="U11"/>
  <c r="U12"/>
  <c r="U15"/>
  <c r="Y38" i="4"/>
  <c r="Y32"/>
  <c r="Y33"/>
  <c r="Y34"/>
  <c r="Y35"/>
  <c r="Y36"/>
  <c r="Y37"/>
  <c r="U16" i="1"/>
  <c r="BR21" i="3"/>
  <c r="BR22"/>
  <c r="BR25"/>
  <c r="Y27" i="4"/>
  <c r="Y42"/>
  <c r="Y43"/>
  <c r="Y44"/>
  <c r="Y45"/>
  <c r="Y46"/>
  <c r="Y47"/>
  <c r="Y48"/>
  <c r="Y49"/>
  <c r="U17" i="1"/>
  <c r="U18"/>
  <c r="U20"/>
  <c r="Y56" i="4"/>
  <c r="Y57"/>
  <c r="Y58"/>
  <c r="Y59"/>
  <c r="Y60"/>
  <c r="Y61"/>
  <c r="Y62"/>
  <c r="U21" i="1"/>
  <c r="Y51" i="4"/>
  <c r="Y64"/>
  <c r="Y65"/>
  <c r="Y66"/>
  <c r="Y67"/>
  <c r="Y68"/>
  <c r="Y70"/>
  <c r="U22" i="1"/>
  <c r="Y78" i="4"/>
  <c r="Y72"/>
  <c r="Y73"/>
  <c r="Y74"/>
  <c r="Y75"/>
  <c r="Y76"/>
  <c r="Y77"/>
  <c r="Y80"/>
  <c r="Y93"/>
  <c r="U24" i="1"/>
  <c r="U25"/>
  <c r="U27"/>
  <c r="BR31" i="3"/>
  <c r="Y96" i="4"/>
  <c r="U28" i="1"/>
  <c r="BR35" i="3"/>
  <c r="BR36"/>
  <c r="BR38"/>
  <c r="BR39"/>
  <c r="BR43"/>
  <c r="Y82" i="4"/>
  <c r="Y97"/>
  <c r="U29" i="1"/>
  <c r="U30"/>
  <c r="U31"/>
  <c r="Y103" i="4"/>
  <c r="U32" i="1"/>
  <c r="Y104" i="4"/>
  <c r="Y105"/>
  <c r="U33" i="1"/>
  <c r="Y98" i="4"/>
  <c r="Y101"/>
  <c r="U34" i="1"/>
  <c r="U35"/>
  <c r="U36"/>
  <c r="U37"/>
  <c r="R40" i="17"/>
  <c r="R43"/>
  <c r="U11" i="3"/>
  <c r="U14"/>
  <c r="U16"/>
  <c r="U18"/>
  <c r="U21"/>
  <c r="U24"/>
  <c r="U28"/>
  <c r="Z53" i="4"/>
  <c r="U30" i="3"/>
  <c r="U33"/>
  <c r="U44"/>
  <c r="V8" i="1"/>
  <c r="V10"/>
  <c r="V11"/>
  <c r="V12"/>
  <c r="V15"/>
  <c r="Z38" i="4"/>
  <c r="Z32"/>
  <c r="Z33"/>
  <c r="Z34"/>
  <c r="Z35"/>
  <c r="Z36"/>
  <c r="Z37"/>
  <c r="V16" i="1"/>
  <c r="BS21" i="3"/>
  <c r="BS22"/>
  <c r="BS25"/>
  <c r="Z27" i="4"/>
  <c r="Z42"/>
  <c r="Z43"/>
  <c r="Z44"/>
  <c r="Z45"/>
  <c r="Z46"/>
  <c r="Z47"/>
  <c r="Z48"/>
  <c r="Z49"/>
  <c r="V17" i="1"/>
  <c r="V18"/>
  <c r="V20"/>
  <c r="Z56" i="4"/>
  <c r="Z57"/>
  <c r="Z58"/>
  <c r="Z59"/>
  <c r="Z60"/>
  <c r="Z61"/>
  <c r="Z62"/>
  <c r="V21" i="1"/>
  <c r="Z51" i="4"/>
  <c r="Z64"/>
  <c r="Z65"/>
  <c r="Z66"/>
  <c r="Z67"/>
  <c r="Z68"/>
  <c r="Z70"/>
  <c r="V22" i="1"/>
  <c r="Z78" i="4"/>
  <c r="Z72"/>
  <c r="Z73"/>
  <c r="Z74"/>
  <c r="Z75"/>
  <c r="Z76"/>
  <c r="Z77"/>
  <c r="Z80"/>
  <c r="Z93"/>
  <c r="V24" i="1"/>
  <c r="V25"/>
  <c r="V27"/>
  <c r="BS31" i="3"/>
  <c r="Z96" i="4"/>
  <c r="V28" i="1"/>
  <c r="BS35" i="3"/>
  <c r="BS36"/>
  <c r="BS38"/>
  <c r="BS39"/>
  <c r="BS43"/>
  <c r="Z82" i="4"/>
  <c r="Z97"/>
  <c r="V29" i="1"/>
  <c r="V30"/>
  <c r="V31"/>
  <c r="Z103" i="4"/>
  <c r="V32" i="1"/>
  <c r="Z104" i="4"/>
  <c r="Z105"/>
  <c r="V33" i="1"/>
  <c r="Z98" i="4"/>
  <c r="Z101"/>
  <c r="V34" i="1"/>
  <c r="V35"/>
  <c r="V36"/>
  <c r="V37"/>
  <c r="S40" i="17"/>
  <c r="S43"/>
  <c r="V11" i="3"/>
  <c r="V14"/>
  <c r="V16"/>
  <c r="V18"/>
  <c r="V21"/>
  <c r="V24"/>
  <c r="V28"/>
  <c r="AA53" i="4"/>
  <c r="V30" i="3"/>
  <c r="V33"/>
  <c r="V44"/>
  <c r="W8" i="1"/>
  <c r="W10"/>
  <c r="W11"/>
  <c r="W12"/>
  <c r="W15"/>
  <c r="AA38" i="4"/>
  <c r="AA32"/>
  <c r="AA33"/>
  <c r="AA34"/>
  <c r="AA35"/>
  <c r="AA36"/>
  <c r="AA37"/>
  <c r="W16" i="1"/>
  <c r="BT21" i="3"/>
  <c r="BT22"/>
  <c r="BT25"/>
  <c r="AA27" i="4"/>
  <c r="AA42"/>
  <c r="AA43"/>
  <c r="AA44"/>
  <c r="AA45"/>
  <c r="AA46"/>
  <c r="AA47"/>
  <c r="AA48"/>
  <c r="AA49"/>
  <c r="W17" i="1"/>
  <c r="W18"/>
  <c r="W20"/>
  <c r="AA56" i="4"/>
  <c r="AA57"/>
  <c r="AA58"/>
  <c r="AA59"/>
  <c r="AA60"/>
  <c r="AA61"/>
  <c r="AA62"/>
  <c r="W21" i="1"/>
  <c r="AA51" i="4"/>
  <c r="AA64"/>
  <c r="AA65"/>
  <c r="AA66"/>
  <c r="AA67"/>
  <c r="AA68"/>
  <c r="AA70"/>
  <c r="W22" i="1"/>
  <c r="AA78" i="4"/>
  <c r="AA72"/>
  <c r="AA73"/>
  <c r="AA74"/>
  <c r="AA75"/>
  <c r="AA76"/>
  <c r="AA77"/>
  <c r="AA80"/>
  <c r="AA93"/>
  <c r="W24" i="1"/>
  <c r="W25"/>
  <c r="W27"/>
  <c r="BT31" i="3"/>
  <c r="AA96" i="4"/>
  <c r="W28" i="1"/>
  <c r="BT35" i="3"/>
  <c r="BT36"/>
  <c r="BT38"/>
  <c r="BT39"/>
  <c r="BT43"/>
  <c r="AA82" i="4"/>
  <c r="AA97"/>
  <c r="W29" i="1"/>
  <c r="W30"/>
  <c r="W31"/>
  <c r="AA103" i="4"/>
  <c r="W32" i="1"/>
  <c r="AA104" i="4"/>
  <c r="AA105"/>
  <c r="W33" i="1"/>
  <c r="AA98" i="4"/>
  <c r="AA101"/>
  <c r="W34" i="1"/>
  <c r="W35"/>
  <c r="W36"/>
  <c r="W37"/>
  <c r="T40" i="17"/>
  <c r="T43"/>
  <c r="W11" i="3"/>
  <c r="W14"/>
  <c r="W16"/>
  <c r="W18"/>
  <c r="W21"/>
  <c r="W24"/>
  <c r="W28"/>
  <c r="AB53" i="4"/>
  <c r="W30" i="3"/>
  <c r="W33"/>
  <c r="W44"/>
  <c r="X8" i="1"/>
  <c r="X10"/>
  <c r="X11"/>
  <c r="X12"/>
  <c r="X15"/>
  <c r="AB38" i="4"/>
  <c r="AB32"/>
  <c r="AB33"/>
  <c r="AB34"/>
  <c r="AB35"/>
  <c r="AB36"/>
  <c r="AB37"/>
  <c r="X16" i="1"/>
  <c r="BU21" i="3"/>
  <c r="BU22"/>
  <c r="BU25"/>
  <c r="AB27" i="4"/>
  <c r="AB42"/>
  <c r="AB43"/>
  <c r="AB44"/>
  <c r="AB45"/>
  <c r="AB46"/>
  <c r="AB47"/>
  <c r="AB48"/>
  <c r="AB49"/>
  <c r="X17" i="1"/>
  <c r="X18"/>
  <c r="X20"/>
  <c r="AB56" i="4"/>
  <c r="AB57"/>
  <c r="AB58"/>
  <c r="AB59"/>
  <c r="AB60"/>
  <c r="AB61"/>
  <c r="AB62"/>
  <c r="X21" i="1"/>
  <c r="AB51" i="4"/>
  <c r="AB64"/>
  <c r="AB65"/>
  <c r="AB66"/>
  <c r="AB67"/>
  <c r="AB68"/>
  <c r="AB70"/>
  <c r="X22" i="1"/>
  <c r="AB78" i="4"/>
  <c r="AB72"/>
  <c r="AB73"/>
  <c r="AB74"/>
  <c r="AB75"/>
  <c r="AB76"/>
  <c r="AB77"/>
  <c r="AB80"/>
  <c r="AB93"/>
  <c r="X24" i="1"/>
  <c r="X25"/>
  <c r="X27"/>
  <c r="BU31" i="3"/>
  <c r="AB96" i="4"/>
  <c r="X28" i="1"/>
  <c r="BU35" i="3"/>
  <c r="BU36"/>
  <c r="BU38"/>
  <c r="BU39"/>
  <c r="BU43"/>
  <c r="AB82" i="4"/>
  <c r="AB97"/>
  <c r="X29" i="1"/>
  <c r="X30"/>
  <c r="X31"/>
  <c r="AB103" i="4"/>
  <c r="X32" i="1"/>
  <c r="AB104" i="4"/>
  <c r="AB105"/>
  <c r="X33" i="1"/>
  <c r="AB98" i="4"/>
  <c r="AB101"/>
  <c r="X34" i="1"/>
  <c r="X35"/>
  <c r="X36"/>
  <c r="X37"/>
  <c r="U40" i="17"/>
  <c r="U43"/>
  <c r="X11" i="3"/>
  <c r="X14"/>
  <c r="X16"/>
  <c r="X18"/>
  <c r="X21"/>
  <c r="X24"/>
  <c r="X28"/>
  <c r="AC53" i="4"/>
  <c r="X30" i="3"/>
  <c r="X33"/>
  <c r="X44"/>
  <c r="Y8" i="1"/>
  <c r="Y10"/>
  <c r="Y11"/>
  <c r="Y12"/>
  <c r="Y15"/>
  <c r="AC38" i="4"/>
  <c r="AC32"/>
  <c r="AC33"/>
  <c r="AC34"/>
  <c r="AC35"/>
  <c r="AC36"/>
  <c r="AC37"/>
  <c r="Y16" i="1"/>
  <c r="BV21" i="3"/>
  <c r="BV22"/>
  <c r="BV25"/>
  <c r="AC27" i="4"/>
  <c r="AC42"/>
  <c r="AC43"/>
  <c r="AC44"/>
  <c r="AC45"/>
  <c r="AC46"/>
  <c r="AC47"/>
  <c r="AC48"/>
  <c r="AC49"/>
  <c r="Y17" i="1"/>
  <c r="Y18"/>
  <c r="Y20"/>
  <c r="AC56" i="4"/>
  <c r="AC57"/>
  <c r="AC58"/>
  <c r="AC59"/>
  <c r="AC60"/>
  <c r="AC61"/>
  <c r="AC62"/>
  <c r="Y21" i="1"/>
  <c r="AC51" i="4"/>
  <c r="AC64"/>
  <c r="AC65"/>
  <c r="AC66"/>
  <c r="AC67"/>
  <c r="AC68"/>
  <c r="AC70"/>
  <c r="Y22" i="1"/>
  <c r="AC78" i="4"/>
  <c r="AC72"/>
  <c r="AC73"/>
  <c r="AC74"/>
  <c r="AC75"/>
  <c r="AC76"/>
  <c r="AC77"/>
  <c r="AC80"/>
  <c r="AC93"/>
  <c r="Y24" i="1"/>
  <c r="Y25"/>
  <c r="Y27"/>
  <c r="BV31" i="3"/>
  <c r="AC96" i="4"/>
  <c r="Y28" i="1"/>
  <c r="BV35" i="3"/>
  <c r="BV36"/>
  <c r="BV38"/>
  <c r="BV39"/>
  <c r="BV43"/>
  <c r="AC82" i="4"/>
  <c r="AC97"/>
  <c r="Y29" i="1"/>
  <c r="Y30"/>
  <c r="Y31"/>
  <c r="AC103" i="4"/>
  <c r="Y32" i="1"/>
  <c r="AC104" i="4"/>
  <c r="AC105"/>
  <c r="Y33" i="1"/>
  <c r="AC98" i="4"/>
  <c r="AC101"/>
  <c r="Y34" i="1"/>
  <c r="Y35"/>
  <c r="Y36"/>
  <c r="Y37"/>
  <c r="V40" i="17"/>
  <c r="V43"/>
  <c r="Y11" i="3"/>
  <c r="Y14"/>
  <c r="Y16"/>
  <c r="Y18"/>
  <c r="Y21"/>
  <c r="Y24"/>
  <c r="Y28"/>
  <c r="AD53" i="4"/>
  <c r="Y30" i="3"/>
  <c r="Y33"/>
  <c r="Y44"/>
  <c r="Z8" i="1"/>
  <c r="Z10"/>
  <c r="Z11"/>
  <c r="Z12"/>
  <c r="Z15"/>
  <c r="AD38" i="4"/>
  <c r="AD32"/>
  <c r="AD33"/>
  <c r="AD34"/>
  <c r="AD35"/>
  <c r="AD36"/>
  <c r="AD37"/>
  <c r="Z16" i="1"/>
  <c r="BW21" i="3"/>
  <c r="BW22"/>
  <c r="BW25"/>
  <c r="AD27" i="4"/>
  <c r="AD42"/>
  <c r="AD43"/>
  <c r="AD44"/>
  <c r="AD45"/>
  <c r="AD46"/>
  <c r="AD47"/>
  <c r="AD48"/>
  <c r="AD49"/>
  <c r="Z17" i="1"/>
  <c r="Z18"/>
  <c r="Z20"/>
  <c r="AD56" i="4"/>
  <c r="AD57"/>
  <c r="AD58"/>
  <c r="AD59"/>
  <c r="AD60"/>
  <c r="AD61"/>
  <c r="AD62"/>
  <c r="Z21" i="1"/>
  <c r="AD51" i="4"/>
  <c r="AD64"/>
  <c r="AD65"/>
  <c r="AD66"/>
  <c r="AD67"/>
  <c r="AD68"/>
  <c r="AD70"/>
  <c r="Z22" i="1"/>
  <c r="AD78" i="4"/>
  <c r="AD72"/>
  <c r="AD73"/>
  <c r="AD74"/>
  <c r="AD75"/>
  <c r="AD76"/>
  <c r="AD77"/>
  <c r="AD80"/>
  <c r="AD93"/>
  <c r="Z24" i="1"/>
  <c r="Z25"/>
  <c r="Z27"/>
  <c r="BW31" i="3"/>
  <c r="AD96" i="4"/>
  <c r="Z28" i="1"/>
  <c r="BW35" i="3"/>
  <c r="BW36"/>
  <c r="BW38"/>
  <c r="BW39"/>
  <c r="BW43"/>
  <c r="AD82" i="4"/>
  <c r="AD97"/>
  <c r="Z29" i="1"/>
  <c r="Z30"/>
  <c r="Z31"/>
  <c r="AD103" i="4"/>
  <c r="Z32" i="1"/>
  <c r="AD104" i="4"/>
  <c r="AD105"/>
  <c r="Z33" i="1"/>
  <c r="AD98" i="4"/>
  <c r="AD101"/>
  <c r="Z34" i="1"/>
  <c r="Z35"/>
  <c r="Z36"/>
  <c r="Z37"/>
  <c r="W40" i="17"/>
  <c r="W43"/>
  <c r="Z11" i="3"/>
  <c r="Z14"/>
  <c r="Z16"/>
  <c r="Z18"/>
  <c r="Z21"/>
  <c r="Z24"/>
  <c r="Z28"/>
  <c r="AE53" i="4"/>
  <c r="Z30" i="3"/>
  <c r="Z33"/>
  <c r="Z44"/>
  <c r="AA8" i="1"/>
  <c r="AA10"/>
  <c r="AA11"/>
  <c r="AA12"/>
  <c r="AA15"/>
  <c r="AE38" i="4"/>
  <c r="AE32"/>
  <c r="AE33"/>
  <c r="AE34"/>
  <c r="AE35"/>
  <c r="AE36"/>
  <c r="AE37"/>
  <c r="AA16" i="1"/>
  <c r="BX21" i="3"/>
  <c r="BX22"/>
  <c r="BX25"/>
  <c r="AE27" i="4"/>
  <c r="AE42"/>
  <c r="AE43"/>
  <c r="AE44"/>
  <c r="AE45"/>
  <c r="AE46"/>
  <c r="AE47"/>
  <c r="AE48"/>
  <c r="AE49"/>
  <c r="AA17" i="1"/>
  <c r="AA18"/>
  <c r="AA20"/>
  <c r="AE56" i="4"/>
  <c r="AE57"/>
  <c r="AE58"/>
  <c r="AE59"/>
  <c r="AE60"/>
  <c r="AE61"/>
  <c r="AE62"/>
  <c r="AA21" i="1"/>
  <c r="AE51" i="4"/>
  <c r="AE64"/>
  <c r="AE65"/>
  <c r="AE66"/>
  <c r="AE67"/>
  <c r="AE68"/>
  <c r="AE70"/>
  <c r="AA22" i="1"/>
  <c r="AE78" i="4"/>
  <c r="AE72"/>
  <c r="AE73"/>
  <c r="AE74"/>
  <c r="AE75"/>
  <c r="AE76"/>
  <c r="AE77"/>
  <c r="AE80"/>
  <c r="AE93"/>
  <c r="AA24" i="1"/>
  <c r="AA25"/>
  <c r="AA27"/>
  <c r="BX31" i="3"/>
  <c r="AE96" i="4"/>
  <c r="AA28" i="1"/>
  <c r="BX35" i="3"/>
  <c r="BX36"/>
  <c r="BX38"/>
  <c r="BX39"/>
  <c r="BX43"/>
  <c r="AE82" i="4"/>
  <c r="AE97"/>
  <c r="AA29" i="1"/>
  <c r="AA30"/>
  <c r="AA31"/>
  <c r="AE103" i="4"/>
  <c r="AA32" i="1"/>
  <c r="AE104" i="4"/>
  <c r="AE105"/>
  <c r="AA33" i="1"/>
  <c r="AE98" i="4"/>
  <c r="AE101"/>
  <c r="AA34" i="1"/>
  <c r="AA35"/>
  <c r="AA36"/>
  <c r="AA37"/>
  <c r="X40" i="17"/>
  <c r="X43"/>
  <c r="AA11" i="3"/>
  <c r="AA14"/>
  <c r="AA16"/>
  <c r="AF53" i="4"/>
  <c r="AA30" i="3"/>
  <c r="AA33"/>
  <c r="AA44"/>
  <c r="AB8" i="1"/>
  <c r="AB10"/>
  <c r="AB11"/>
  <c r="AB12"/>
  <c r="AB15"/>
  <c r="AF38" i="4"/>
  <c r="AF32"/>
  <c r="AF33"/>
  <c r="AF34"/>
  <c r="AF35"/>
  <c r="AF36"/>
  <c r="AF37"/>
  <c r="AB16" i="1"/>
  <c r="BY21" i="3"/>
  <c r="BY22"/>
  <c r="BY25"/>
  <c r="AF27" i="4"/>
  <c r="AF42"/>
  <c r="AF43"/>
  <c r="AF44"/>
  <c r="AF45"/>
  <c r="AF46"/>
  <c r="AF47"/>
  <c r="AF48"/>
  <c r="AF49"/>
  <c r="AB17" i="1"/>
  <c r="AB18"/>
  <c r="AB20"/>
  <c r="AF56" i="4"/>
  <c r="AF57"/>
  <c r="AF58"/>
  <c r="AF59"/>
  <c r="AF60"/>
  <c r="AF61"/>
  <c r="AF62"/>
  <c r="AB21" i="1"/>
  <c r="AF51" i="4"/>
  <c r="AF64"/>
  <c r="AF65"/>
  <c r="AF66"/>
  <c r="AF67"/>
  <c r="AF68"/>
  <c r="AF70"/>
  <c r="AB22" i="1"/>
  <c r="AF78" i="4"/>
  <c r="AF72"/>
  <c r="AF73"/>
  <c r="AF74"/>
  <c r="AF75"/>
  <c r="AF76"/>
  <c r="AF77"/>
  <c r="AF80"/>
  <c r="AF93"/>
  <c r="AB24" i="1"/>
  <c r="AB25"/>
  <c r="AB27"/>
  <c r="BY31" i="3"/>
  <c r="AF96" i="4"/>
  <c r="AB28" i="1"/>
  <c r="BY35" i="3"/>
  <c r="BY36"/>
  <c r="BY38"/>
  <c r="BY39"/>
  <c r="BY43"/>
  <c r="AF82" i="4"/>
  <c r="AF97"/>
  <c r="AB29" i="1"/>
  <c r="AB30"/>
  <c r="AB31"/>
  <c r="AF103" i="4"/>
  <c r="AB32" i="1"/>
  <c r="AF104" i="4"/>
  <c r="AF105"/>
  <c r="AB33" i="1"/>
  <c r="AF98" i="4"/>
  <c r="AF101"/>
  <c r="AB34" i="1"/>
  <c r="AB35"/>
  <c r="AB36"/>
  <c r="AB37"/>
  <c r="Y40" i="17"/>
  <c r="Y43"/>
  <c r="AB11" i="3"/>
  <c r="AB14"/>
  <c r="AB16"/>
  <c r="AB18"/>
  <c r="AB21"/>
  <c r="AB24"/>
  <c r="AB28"/>
  <c r="AG53" i="4"/>
  <c r="AB30" i="3"/>
  <c r="AB33"/>
  <c r="AB44"/>
  <c r="AC8" i="1"/>
  <c r="AC10"/>
  <c r="AC11"/>
  <c r="AC12"/>
  <c r="AC15"/>
  <c r="AG38" i="4"/>
  <c r="AG32"/>
  <c r="AG33"/>
  <c r="AG34"/>
  <c r="AG35"/>
  <c r="AG36"/>
  <c r="AG37"/>
  <c r="AC16" i="1"/>
  <c r="BZ21" i="3"/>
  <c r="BZ22"/>
  <c r="BZ25"/>
  <c r="AG27" i="4"/>
  <c r="AG42"/>
  <c r="AG44"/>
  <c r="AG45"/>
  <c r="AG46"/>
  <c r="AG47"/>
  <c r="AG48"/>
  <c r="AG49"/>
  <c r="AC17" i="1"/>
  <c r="AC18"/>
  <c r="AC20"/>
  <c r="AG56" i="4"/>
  <c r="AG57"/>
  <c r="AG58"/>
  <c r="AG59"/>
  <c r="AG60"/>
  <c r="AG61"/>
  <c r="AG62"/>
  <c r="AC21" i="1"/>
  <c r="AG51" i="4"/>
  <c r="AG64"/>
  <c r="AG67"/>
  <c r="AG68"/>
  <c r="AG70"/>
  <c r="AC22" i="1"/>
  <c r="AG78" i="4"/>
  <c r="AG72"/>
  <c r="AG73"/>
  <c r="AG74"/>
  <c r="AG75"/>
  <c r="AG76"/>
  <c r="AG77"/>
  <c r="AG80"/>
  <c r="AG93"/>
  <c r="AC24" i="1"/>
  <c r="AC25"/>
  <c r="AC27"/>
  <c r="BZ31" i="3"/>
  <c r="AG96" i="4"/>
  <c r="AC28" i="1"/>
  <c r="AC30"/>
  <c r="AC31"/>
  <c r="AG103" i="4"/>
  <c r="AC32" i="1"/>
  <c r="AG104" i="4"/>
  <c r="AG105"/>
  <c r="AC33" i="1"/>
  <c r="BZ35" i="3"/>
  <c r="BZ36"/>
  <c r="BZ38"/>
  <c r="BZ39"/>
  <c r="BZ43"/>
  <c r="AG82" i="4"/>
  <c r="AG98"/>
  <c r="AG101"/>
  <c r="AC34" i="1"/>
  <c r="AC35"/>
  <c r="AC36"/>
  <c r="AC37"/>
  <c r="Z40" i="17"/>
  <c r="Z43"/>
  <c r="AC11" i="3"/>
  <c r="AC14"/>
  <c r="AC16"/>
  <c r="AC18"/>
  <c r="AC21"/>
  <c r="AC24"/>
  <c r="AC28"/>
  <c r="AH53" i="4"/>
  <c r="AC30" i="3"/>
  <c r="AC33"/>
  <c r="AC44"/>
  <c r="AD8" i="1"/>
  <c r="AD10"/>
  <c r="AD11"/>
  <c r="AD12"/>
  <c r="AD15"/>
  <c r="AH38" i="4"/>
  <c r="AH32"/>
  <c r="AH33"/>
  <c r="AH34"/>
  <c r="AH35"/>
  <c r="AH36"/>
  <c r="AH37"/>
  <c r="AD16" i="1"/>
  <c r="AH27" i="4"/>
  <c r="AH42"/>
  <c r="AH43"/>
  <c r="AH44"/>
  <c r="AH45"/>
  <c r="AH46"/>
  <c r="AH47"/>
  <c r="AH48"/>
  <c r="AH49"/>
  <c r="AD17" i="1"/>
  <c r="AD18"/>
  <c r="AD20"/>
  <c r="AH56" i="4"/>
  <c r="AH57"/>
  <c r="AH58"/>
  <c r="AH59"/>
  <c r="AH60"/>
  <c r="AH61"/>
  <c r="AH62"/>
  <c r="AD21" i="1"/>
  <c r="AH51" i="4"/>
  <c r="AH64"/>
  <c r="AH65"/>
  <c r="AH66"/>
  <c r="AH67"/>
  <c r="AH68"/>
  <c r="AH70"/>
  <c r="AD22" i="1"/>
  <c r="AH78" i="4"/>
  <c r="AH72"/>
  <c r="AH73"/>
  <c r="AH74"/>
  <c r="AH75"/>
  <c r="AH76"/>
  <c r="AH77"/>
  <c r="AH80"/>
  <c r="AH93"/>
  <c r="AD24" i="1"/>
  <c r="AD25"/>
  <c r="AD27"/>
  <c r="AH96" i="4"/>
  <c r="AD28" i="1"/>
  <c r="AH82" i="4"/>
  <c r="AH97"/>
  <c r="AD29" i="1"/>
  <c r="AD30"/>
  <c r="AD31"/>
  <c r="AH103" i="4"/>
  <c r="AD32" i="1"/>
  <c r="AH104" i="4"/>
  <c r="AH105"/>
  <c r="AD33" i="1"/>
  <c r="AH98" i="4"/>
  <c r="AH101"/>
  <c r="AD34" i="1"/>
  <c r="AD35"/>
  <c r="AD36"/>
  <c r="AD37"/>
  <c r="AA40" i="17"/>
  <c r="AA43"/>
  <c r="AD11" i="3"/>
  <c r="AD14"/>
  <c r="AD16"/>
  <c r="AD18"/>
  <c r="AD21"/>
  <c r="AD24"/>
  <c r="AD28"/>
  <c r="AI53" i="4"/>
  <c r="AD30" i="3"/>
  <c r="AD33"/>
  <c r="AD44"/>
  <c r="AE8" i="1"/>
  <c r="AE10"/>
  <c r="AE11"/>
  <c r="AE12"/>
  <c r="AE15"/>
  <c r="AI38" i="4"/>
  <c r="AI32"/>
  <c r="AI33"/>
  <c r="AI34"/>
  <c r="AI35"/>
  <c r="AI36"/>
  <c r="AI37"/>
  <c r="AE16" i="1"/>
  <c r="AI27" i="4"/>
  <c r="AI42"/>
  <c r="AI43"/>
  <c r="AI44"/>
  <c r="AI45"/>
  <c r="AI46"/>
  <c r="AI47"/>
  <c r="AI48"/>
  <c r="AI49"/>
  <c r="AE17" i="1"/>
  <c r="AE18"/>
  <c r="AE20"/>
  <c r="AI56" i="4"/>
  <c r="AI57"/>
  <c r="AI58"/>
  <c r="AI59"/>
  <c r="AI60"/>
  <c r="AI61"/>
  <c r="AI62"/>
  <c r="AE21" i="1"/>
  <c r="AI51" i="4"/>
  <c r="AI64"/>
  <c r="AI65"/>
  <c r="AI66"/>
  <c r="AI67"/>
  <c r="AI68"/>
  <c r="AI70"/>
  <c r="AE22" i="1"/>
  <c r="AI78" i="4"/>
  <c r="AI72"/>
  <c r="AI73"/>
  <c r="AI74"/>
  <c r="AI75"/>
  <c r="AI76"/>
  <c r="AI77"/>
  <c r="AI80"/>
  <c r="AI93"/>
  <c r="AE24" i="1"/>
  <c r="AE25"/>
  <c r="AE27"/>
  <c r="AI96" i="4"/>
  <c r="AE28" i="1"/>
  <c r="AI82" i="4"/>
  <c r="AI97"/>
  <c r="AE29" i="1"/>
  <c r="AE30"/>
  <c r="AE31"/>
  <c r="AI103" i="4"/>
  <c r="AE32" i="1"/>
  <c r="AI104" i="4"/>
  <c r="AI105"/>
  <c r="AE33" i="1"/>
  <c r="AI98" i="4"/>
  <c r="AI101"/>
  <c r="AE34" i="1"/>
  <c r="AE35"/>
  <c r="AE36"/>
  <c r="AE37"/>
  <c r="AB40" i="17"/>
  <c r="AB43"/>
  <c r="AE11" i="3"/>
  <c r="AE14"/>
  <c r="AE16"/>
  <c r="AE18"/>
  <c r="AE21"/>
  <c r="AE24"/>
  <c r="AE28"/>
  <c r="AJ53" i="4"/>
  <c r="AE30" i="3"/>
  <c r="AE33"/>
  <c r="AE44"/>
  <c r="AF8" i="1"/>
  <c r="AF10"/>
  <c r="AF11"/>
  <c r="AF12"/>
  <c r="AF15"/>
  <c r="AJ38" i="4"/>
  <c r="AJ32"/>
  <c r="AJ33"/>
  <c r="AJ34"/>
  <c r="AJ35"/>
  <c r="AJ36"/>
  <c r="AJ37"/>
  <c r="AF16" i="1"/>
  <c r="AJ27" i="4"/>
  <c r="AJ42"/>
  <c r="AJ43"/>
  <c r="AJ44"/>
  <c r="AJ45"/>
  <c r="AJ46"/>
  <c r="AJ47"/>
  <c r="AJ48"/>
  <c r="AJ49"/>
  <c r="AF17" i="1"/>
  <c r="AF18"/>
  <c r="AF20"/>
  <c r="AJ56" i="4"/>
  <c r="AJ57"/>
  <c r="AJ58"/>
  <c r="AJ59"/>
  <c r="AJ60"/>
  <c r="AJ61"/>
  <c r="AJ62"/>
  <c r="AF21" i="1"/>
  <c r="AJ51" i="4"/>
  <c r="AJ64"/>
  <c r="AJ65"/>
  <c r="AJ66"/>
  <c r="AJ67"/>
  <c r="AJ68"/>
  <c r="AJ70"/>
  <c r="AF22" i="1"/>
  <c r="AJ78" i="4"/>
  <c r="AJ72"/>
  <c r="AJ73"/>
  <c r="AJ74"/>
  <c r="AJ75"/>
  <c r="AJ76"/>
  <c r="AJ77"/>
  <c r="AJ80"/>
  <c r="AJ93"/>
  <c r="AF24" i="1"/>
  <c r="AF25"/>
  <c r="AF27"/>
  <c r="AJ96" i="4"/>
  <c r="AF28" i="1"/>
  <c r="AJ82" i="4"/>
  <c r="AJ97"/>
  <c r="AF29" i="1"/>
  <c r="AF30"/>
  <c r="AF31"/>
  <c r="AJ103" i="4"/>
  <c r="AF32" i="1"/>
  <c r="AJ104" i="4"/>
  <c r="AJ105"/>
  <c r="AF33" i="1"/>
  <c r="AJ98" i="4"/>
  <c r="AJ101"/>
  <c r="AF34" i="1"/>
  <c r="AF35"/>
  <c r="AF36"/>
  <c r="AF37"/>
  <c r="AC40" i="17"/>
  <c r="AC43"/>
  <c r="AF11" i="3"/>
  <c r="AF14"/>
  <c r="AF16"/>
  <c r="AF18"/>
  <c r="AF21"/>
  <c r="AF24"/>
  <c r="AF28"/>
  <c r="AK53" i="4"/>
  <c r="AF30" i="3"/>
  <c r="AF33"/>
  <c r="AF44"/>
  <c r="AG8" i="1"/>
  <c r="AG10"/>
  <c r="AG11"/>
  <c r="AG12"/>
  <c r="AG15"/>
  <c r="AK38" i="4"/>
  <c r="AK32"/>
  <c r="AK33"/>
  <c r="AK34"/>
  <c r="AK35"/>
  <c r="AK36"/>
  <c r="AK37"/>
  <c r="AG16" i="1"/>
  <c r="AK27" i="4"/>
  <c r="AK42"/>
  <c r="AK43"/>
  <c r="AK44"/>
  <c r="AK45"/>
  <c r="AK46"/>
  <c r="AK47"/>
  <c r="AK48"/>
  <c r="AK49"/>
  <c r="AG17" i="1"/>
  <c r="AG18"/>
  <c r="AG20"/>
  <c r="AK56" i="4"/>
  <c r="AK57"/>
  <c r="AK58"/>
  <c r="AK59"/>
  <c r="AK60"/>
  <c r="AK61"/>
  <c r="AK62"/>
  <c r="AG21" i="1"/>
  <c r="AK51" i="4"/>
  <c r="AK64"/>
  <c r="AK65"/>
  <c r="AK66"/>
  <c r="AK67"/>
  <c r="AK68"/>
  <c r="AK70"/>
  <c r="AG22" i="1"/>
  <c r="AK78" i="4"/>
  <c r="AK72"/>
  <c r="AK73"/>
  <c r="AK74"/>
  <c r="AK75"/>
  <c r="AK76"/>
  <c r="AK77"/>
  <c r="AK80"/>
  <c r="AK93"/>
  <c r="AG24" i="1"/>
  <c r="AG25"/>
  <c r="AG27"/>
  <c r="AK96" i="4"/>
  <c r="AG28" i="1"/>
  <c r="AK82" i="4"/>
  <c r="AK97"/>
  <c r="AG29" i="1"/>
  <c r="AG30"/>
  <c r="AG31"/>
  <c r="AK103" i="4"/>
  <c r="AG32" i="1"/>
  <c r="AK104" i="4"/>
  <c r="AK105"/>
  <c r="AG33" i="1"/>
  <c r="AK98" i="4"/>
  <c r="AK101"/>
  <c r="AG34" i="1"/>
  <c r="AG35"/>
  <c r="AG36"/>
  <c r="AG37"/>
  <c r="AD40" i="17"/>
  <c r="AD43"/>
  <c r="AG11" i="3"/>
  <c r="AG14"/>
  <c r="AG16"/>
  <c r="AG18"/>
  <c r="AG21"/>
  <c r="AG24"/>
  <c r="AG28"/>
  <c r="AL53" i="4"/>
  <c r="AG30" i="3"/>
  <c r="AG33"/>
  <c r="AG44"/>
  <c r="AH8" i="1"/>
  <c r="AH10"/>
  <c r="AH11"/>
  <c r="AH12"/>
  <c r="AH15"/>
  <c r="AL38" i="4"/>
  <c r="AL32"/>
  <c r="AL33"/>
  <c r="AL34"/>
  <c r="AL35"/>
  <c r="AL36"/>
  <c r="AL37"/>
  <c r="AH16" i="1"/>
  <c r="AL27" i="4"/>
  <c r="AL42"/>
  <c r="AL43"/>
  <c r="AL44"/>
  <c r="AL45"/>
  <c r="AL46"/>
  <c r="AL47"/>
  <c r="AL48"/>
  <c r="AL49"/>
  <c r="AH17" i="1"/>
  <c r="AH18"/>
  <c r="AH20"/>
  <c r="AL56" i="4"/>
  <c r="AL57"/>
  <c r="AL58"/>
  <c r="AL59"/>
  <c r="AL60"/>
  <c r="AL61"/>
  <c r="AL62"/>
  <c r="AH21" i="1"/>
  <c r="AL51" i="4"/>
  <c r="AL64"/>
  <c r="AL65"/>
  <c r="AL66"/>
  <c r="AL67"/>
  <c r="AL68"/>
  <c r="AL70"/>
  <c r="AH22" i="1"/>
  <c r="AL78" i="4"/>
  <c r="AL72"/>
  <c r="AL73"/>
  <c r="AL74"/>
  <c r="AL75"/>
  <c r="AL76"/>
  <c r="AL77"/>
  <c r="AL80"/>
  <c r="AL93"/>
  <c r="AH24" i="1"/>
  <c r="AH25"/>
  <c r="AH27"/>
  <c r="AL96" i="4"/>
  <c r="AH28" i="1"/>
  <c r="AL82" i="4"/>
  <c r="AL97"/>
  <c r="AH29" i="1"/>
  <c r="AH30"/>
  <c r="AH31"/>
  <c r="AL103" i="4"/>
  <c r="AH32" i="1"/>
  <c r="AL104" i="4"/>
  <c r="AL105"/>
  <c r="AH33" i="1"/>
  <c r="AL98" i="4"/>
  <c r="AL101"/>
  <c r="AH34" i="1"/>
  <c r="AH35"/>
  <c r="AH36"/>
  <c r="AH37"/>
  <c r="AE40" i="17"/>
  <c r="AE43"/>
  <c r="AH11" i="3"/>
  <c r="AH14"/>
  <c r="AH16"/>
  <c r="AH18"/>
  <c r="AH21"/>
  <c r="AH24"/>
  <c r="AH28"/>
  <c r="AM53" i="4"/>
  <c r="AH30" i="3"/>
  <c r="AH33"/>
  <c r="AH44"/>
  <c r="AI8" i="1"/>
  <c r="AI10"/>
  <c r="AI11"/>
  <c r="AI12"/>
  <c r="AI15"/>
  <c r="AM38" i="4"/>
  <c r="AM32"/>
  <c r="AM33"/>
  <c r="AM34"/>
  <c r="AM35"/>
  <c r="AM36"/>
  <c r="AM37"/>
  <c r="AI16" i="1"/>
  <c r="AM27" i="4"/>
  <c r="AM42"/>
  <c r="AM43"/>
  <c r="AM44"/>
  <c r="AM45"/>
  <c r="AM46"/>
  <c r="AM47"/>
  <c r="AM48"/>
  <c r="AM49"/>
  <c r="AI17" i="1"/>
  <c r="AI18"/>
  <c r="AI20"/>
  <c r="AM56" i="4"/>
  <c r="AM57"/>
  <c r="AM58"/>
  <c r="AM59"/>
  <c r="AM60"/>
  <c r="AM61"/>
  <c r="AM62"/>
  <c r="AI21" i="1"/>
  <c r="AM51" i="4"/>
  <c r="AM64"/>
  <c r="AM65"/>
  <c r="AM66"/>
  <c r="AM67"/>
  <c r="AM68"/>
  <c r="AM70"/>
  <c r="AI22" i="1"/>
  <c r="AM78" i="4"/>
  <c r="AM72"/>
  <c r="AM73"/>
  <c r="AM74"/>
  <c r="AM75"/>
  <c r="AM76"/>
  <c r="AM77"/>
  <c r="AM80"/>
  <c r="AM93"/>
  <c r="AI24" i="1"/>
  <c r="AI25"/>
  <c r="AI27"/>
  <c r="AM96" i="4"/>
  <c r="AI28" i="1"/>
  <c r="AM82" i="4"/>
  <c r="AM97"/>
  <c r="AI29" i="1"/>
  <c r="AI30"/>
  <c r="AI31"/>
  <c r="AM103" i="4"/>
  <c r="AI32" i="1"/>
  <c r="AM104" i="4"/>
  <c r="AM105"/>
  <c r="AI33" i="1"/>
  <c r="AM98" i="4"/>
  <c r="AM101"/>
  <c r="AI34" i="1"/>
  <c r="AI35"/>
  <c r="AI36"/>
  <c r="AI37"/>
  <c r="AF40" i="17"/>
  <c r="AF43"/>
  <c r="AI11" i="3"/>
  <c r="AI14"/>
  <c r="AI16"/>
  <c r="AI18"/>
  <c r="AI21"/>
  <c r="AI24"/>
  <c r="AI28"/>
  <c r="AN53" i="4"/>
  <c r="AI30" i="3"/>
  <c r="AI33"/>
  <c r="AI44"/>
  <c r="AJ8" i="1"/>
  <c r="AJ10"/>
  <c r="AJ11"/>
  <c r="AJ12"/>
  <c r="AJ15"/>
  <c r="AN38" i="4"/>
  <c r="AN32"/>
  <c r="AN33"/>
  <c r="AN34"/>
  <c r="AN35"/>
  <c r="AN36"/>
  <c r="AN37"/>
  <c r="AJ16" i="1"/>
  <c r="AN27" i="4"/>
  <c r="AN42"/>
  <c r="AN43"/>
  <c r="AN44"/>
  <c r="AN45"/>
  <c r="AN46"/>
  <c r="AN47"/>
  <c r="AN48"/>
  <c r="AN49"/>
  <c r="AJ17" i="1"/>
  <c r="AJ18"/>
  <c r="AJ20"/>
  <c r="AN56" i="4"/>
  <c r="AN57"/>
  <c r="AN58"/>
  <c r="AN59"/>
  <c r="AN60"/>
  <c r="AN61"/>
  <c r="AN62"/>
  <c r="AJ21" i="1"/>
  <c r="AN51" i="4"/>
  <c r="AN64"/>
  <c r="AN65"/>
  <c r="AN66"/>
  <c r="AN67"/>
  <c r="AN68"/>
  <c r="AN70"/>
  <c r="AJ22" i="1"/>
  <c r="AN78" i="4"/>
  <c r="AN72"/>
  <c r="AN73"/>
  <c r="AN74"/>
  <c r="AN75"/>
  <c r="AN76"/>
  <c r="AN77"/>
  <c r="AN80"/>
  <c r="AN93"/>
  <c r="AJ24" i="1"/>
  <c r="AJ25"/>
  <c r="AJ27"/>
  <c r="AN96" i="4"/>
  <c r="AJ28" i="1"/>
  <c r="AN82" i="4"/>
  <c r="AN97"/>
  <c r="AJ29" i="1"/>
  <c r="AJ30"/>
  <c r="AJ31"/>
  <c r="AN103" i="4"/>
  <c r="AJ32" i="1"/>
  <c r="AN104" i="4"/>
  <c r="AN105"/>
  <c r="AJ33" i="1"/>
  <c r="AN98" i="4"/>
  <c r="AN101"/>
  <c r="AJ34" i="1"/>
  <c r="AJ35"/>
  <c r="AJ36"/>
  <c r="AJ37"/>
  <c r="AG40" i="17"/>
  <c r="AG43"/>
  <c r="AJ11" i="3"/>
  <c r="AJ14"/>
  <c r="AJ16"/>
  <c r="AJ18"/>
  <c r="AJ21"/>
  <c r="AJ24"/>
  <c r="AJ28"/>
  <c r="AO53" i="4"/>
  <c r="AJ30" i="3"/>
  <c r="AJ33"/>
  <c r="AJ44"/>
  <c r="AK8" i="1"/>
  <c r="AK10"/>
  <c r="AK11"/>
  <c r="AK12"/>
  <c r="AK15"/>
  <c r="AO38" i="4"/>
  <c r="AO32"/>
  <c r="AO33"/>
  <c r="AO34"/>
  <c r="AO35"/>
  <c r="AO36"/>
  <c r="AO37"/>
  <c r="AK16" i="1"/>
  <c r="AO27" i="4"/>
  <c r="AO42"/>
  <c r="AO43"/>
  <c r="AO44"/>
  <c r="AO45"/>
  <c r="AO46"/>
  <c r="AO47"/>
  <c r="AO48"/>
  <c r="AO49"/>
  <c r="AK17" i="1"/>
  <c r="AK18"/>
  <c r="AK20"/>
  <c r="AO56" i="4"/>
  <c r="AO57"/>
  <c r="AO58"/>
  <c r="AO59"/>
  <c r="AO60"/>
  <c r="AO61"/>
  <c r="AO62"/>
  <c r="AK21" i="1"/>
  <c r="AO51" i="4"/>
  <c r="AO64"/>
  <c r="AO65"/>
  <c r="AO66"/>
  <c r="AO67"/>
  <c r="AO68"/>
  <c r="AO70"/>
  <c r="AK22" i="1"/>
  <c r="AO78" i="4"/>
  <c r="AO72"/>
  <c r="AO73"/>
  <c r="AO74"/>
  <c r="AO75"/>
  <c r="AO76"/>
  <c r="AO77"/>
  <c r="AO80"/>
  <c r="AO93"/>
  <c r="AK24" i="1"/>
  <c r="AK25"/>
  <c r="AK27"/>
  <c r="AO96" i="4"/>
  <c r="AK28" i="1"/>
  <c r="AO82" i="4"/>
  <c r="AO97"/>
  <c r="AK29" i="1"/>
  <c r="AK30"/>
  <c r="AK31"/>
  <c r="AO103" i="4"/>
  <c r="AK32" i="1"/>
  <c r="AO104" i="4"/>
  <c r="AO105"/>
  <c r="AK33" i="1"/>
  <c r="AO98" i="4"/>
  <c r="AO101"/>
  <c r="AK34" i="1"/>
  <c r="AK35"/>
  <c r="AK36"/>
  <c r="AK37"/>
  <c r="AH40" i="17"/>
  <c r="AH43"/>
  <c r="AK11" i="3"/>
  <c r="AK14"/>
  <c r="AK16"/>
  <c r="AK18"/>
  <c r="AK21"/>
  <c r="AK24"/>
  <c r="AK28"/>
  <c r="AP53" i="4"/>
  <c r="AK30" i="3"/>
  <c r="AK33"/>
  <c r="AK44"/>
  <c r="AL8" i="1"/>
  <c r="AL10"/>
  <c r="AL11"/>
  <c r="AL12"/>
  <c r="AL15"/>
  <c r="AP38" i="4"/>
  <c r="AP32"/>
  <c r="AP33"/>
  <c r="AP34"/>
  <c r="AP35"/>
  <c r="AP36"/>
  <c r="AP37"/>
  <c r="AL16" i="1"/>
  <c r="AP27" i="4"/>
  <c r="AP42"/>
  <c r="AP43"/>
  <c r="AP44"/>
  <c r="AP45"/>
  <c r="AP46"/>
  <c r="AP47"/>
  <c r="AP48"/>
  <c r="AP49"/>
  <c r="AL17" i="1"/>
  <c r="AL18"/>
  <c r="AL20"/>
  <c r="AP56" i="4"/>
  <c r="AP57"/>
  <c r="AP58"/>
  <c r="AP59"/>
  <c r="AP60"/>
  <c r="AP61"/>
  <c r="AP62"/>
  <c r="AL21" i="1"/>
  <c r="AP51" i="4"/>
  <c r="AP64"/>
  <c r="AP65"/>
  <c r="AP66"/>
  <c r="AP67"/>
  <c r="AP68"/>
  <c r="AP70"/>
  <c r="AL22" i="1"/>
  <c r="AP78" i="4"/>
  <c r="AP72"/>
  <c r="AP73"/>
  <c r="AP74"/>
  <c r="AP75"/>
  <c r="AP76"/>
  <c r="AP77"/>
  <c r="AP80"/>
  <c r="AP93"/>
  <c r="AL24" i="1"/>
  <c r="AL25"/>
  <c r="AL27"/>
  <c r="AP96" i="4"/>
  <c r="AL28" i="1"/>
  <c r="AP82" i="4"/>
  <c r="AP97"/>
  <c r="AL29" i="1"/>
  <c r="AL30"/>
  <c r="AL31"/>
  <c r="AP103" i="4"/>
  <c r="AL32" i="1"/>
  <c r="AP104" i="4"/>
  <c r="AP105"/>
  <c r="AL33" i="1"/>
  <c r="AP98" i="4"/>
  <c r="AP101"/>
  <c r="AL34" i="1"/>
  <c r="AL35"/>
  <c r="AL36"/>
  <c r="AL37"/>
  <c r="AI40" i="17"/>
  <c r="AI43"/>
  <c r="AL11" i="3"/>
  <c r="AL14"/>
  <c r="AL16"/>
  <c r="AL18"/>
  <c r="AL21"/>
  <c r="AL24"/>
  <c r="AL28"/>
  <c r="AQ53" i="4"/>
  <c r="AL30" i="3"/>
  <c r="AL33"/>
  <c r="AL44"/>
  <c r="AM8" i="1"/>
  <c r="AM10"/>
  <c r="AM11"/>
  <c r="AM12"/>
  <c r="AM15"/>
  <c r="AQ38" i="4"/>
  <c r="AQ32"/>
  <c r="AQ33"/>
  <c r="AQ34"/>
  <c r="AQ35"/>
  <c r="AQ36"/>
  <c r="AQ37"/>
  <c r="AM16" i="1"/>
  <c r="AQ27" i="4"/>
  <c r="AQ42"/>
  <c r="AQ43"/>
  <c r="AQ44"/>
  <c r="AQ45"/>
  <c r="AQ46"/>
  <c r="AQ47"/>
  <c r="AQ48"/>
  <c r="AQ49"/>
  <c r="AM17" i="1"/>
  <c r="AM18"/>
  <c r="AM20"/>
  <c r="AQ56" i="4"/>
  <c r="AQ57"/>
  <c r="AQ58"/>
  <c r="AQ59"/>
  <c r="AQ60"/>
  <c r="AQ61"/>
  <c r="AQ62"/>
  <c r="AM21" i="1"/>
  <c r="AQ51" i="4"/>
  <c r="AQ64"/>
  <c r="AQ65"/>
  <c r="AQ66"/>
  <c r="AQ67"/>
  <c r="AQ68"/>
  <c r="AQ70"/>
  <c r="AM22" i="1"/>
  <c r="AQ78" i="4"/>
  <c r="AQ72"/>
  <c r="AQ73"/>
  <c r="AQ74"/>
  <c r="AQ75"/>
  <c r="AQ76"/>
  <c r="AQ77"/>
  <c r="AQ80"/>
  <c r="AQ93"/>
  <c r="AM24" i="1"/>
  <c r="AM25"/>
  <c r="AM27"/>
  <c r="AQ96" i="4"/>
  <c r="AM28" i="1"/>
  <c r="AQ82" i="4"/>
  <c r="AQ97"/>
  <c r="AM29" i="1"/>
  <c r="AM30"/>
  <c r="AM31"/>
  <c r="AQ103" i="4"/>
  <c r="AM32" i="1"/>
  <c r="AQ104" i="4"/>
  <c r="AQ105"/>
  <c r="AM33" i="1"/>
  <c r="AQ98" i="4"/>
  <c r="AQ101"/>
  <c r="AM34" i="1"/>
  <c r="AM35"/>
  <c r="AM36"/>
  <c r="AM37"/>
  <c r="AJ40" i="17"/>
  <c r="AJ43"/>
  <c r="AM11" i="3"/>
  <c r="AM14"/>
  <c r="AM16"/>
  <c r="AM18"/>
  <c r="AM28"/>
  <c r="AR53" i="4"/>
  <c r="AM30" i="3"/>
  <c r="AM33"/>
  <c r="AM44"/>
  <c r="AN8" i="1"/>
  <c r="AN10"/>
  <c r="AN11"/>
  <c r="AN12"/>
  <c r="AN15"/>
  <c r="AR38" i="4"/>
  <c r="AR32"/>
  <c r="AR33"/>
  <c r="AR34"/>
  <c r="AR35"/>
  <c r="AR36"/>
  <c r="AR37"/>
  <c r="AN16" i="1"/>
  <c r="AR27" i="4"/>
  <c r="AR42"/>
  <c r="AR43"/>
  <c r="AR44"/>
  <c r="AR45"/>
  <c r="AR46"/>
  <c r="AR47"/>
  <c r="AR48"/>
  <c r="AR49"/>
  <c r="AN17" i="1"/>
  <c r="AN18"/>
  <c r="AN20"/>
  <c r="AR56" i="4"/>
  <c r="AR57"/>
  <c r="AR58"/>
  <c r="AR59"/>
  <c r="AR60"/>
  <c r="AR61"/>
  <c r="AR62"/>
  <c r="AN21" i="1"/>
  <c r="AR51" i="4"/>
  <c r="AR64"/>
  <c r="AR65"/>
  <c r="AR66"/>
  <c r="AR67"/>
  <c r="AR68"/>
  <c r="AR70"/>
  <c r="AN22" i="1"/>
  <c r="AR78" i="4"/>
  <c r="AR72"/>
  <c r="AR73"/>
  <c r="AR74"/>
  <c r="AR75"/>
  <c r="AR76"/>
  <c r="AR77"/>
  <c r="AR80"/>
  <c r="AR93"/>
  <c r="AN24" i="1"/>
  <c r="AN25"/>
  <c r="AN27"/>
  <c r="AR96" i="4"/>
  <c r="AN28" i="1"/>
  <c r="AR82" i="4"/>
  <c r="AR97"/>
  <c r="AN29" i="1"/>
  <c r="AN30"/>
  <c r="AN31"/>
  <c r="AR103" i="4"/>
  <c r="AN32" i="1"/>
  <c r="AR104" i="4"/>
  <c r="AR105"/>
  <c r="AN33" i="1"/>
  <c r="AR98" i="4"/>
  <c r="AR101"/>
  <c r="AN34" i="1"/>
  <c r="AN35"/>
  <c r="AN36"/>
  <c r="AN37"/>
  <c r="AK40" i="17"/>
  <c r="AK43"/>
  <c r="AN11" i="3"/>
  <c r="AN14"/>
  <c r="AN16"/>
  <c r="AN18"/>
  <c r="AN21"/>
  <c r="AN24"/>
  <c r="AN28"/>
  <c r="AS53" i="4"/>
  <c r="AN30" i="3"/>
  <c r="AN33"/>
  <c r="AN44"/>
  <c r="AO8" i="1"/>
  <c r="AO10"/>
  <c r="AO11"/>
  <c r="AO12"/>
  <c r="AO15"/>
  <c r="AS38" i="4"/>
  <c r="AS32"/>
  <c r="AS33"/>
  <c r="AS34"/>
  <c r="AS35"/>
  <c r="AS36"/>
  <c r="AS37"/>
  <c r="AO16" i="1"/>
  <c r="AS27" i="4"/>
  <c r="AS42"/>
  <c r="AS44"/>
  <c r="AS45"/>
  <c r="AS46"/>
  <c r="AS47"/>
  <c r="AS48"/>
  <c r="AS49"/>
  <c r="AO17" i="1"/>
  <c r="AO18"/>
  <c r="AO20"/>
  <c r="AS56" i="4"/>
  <c r="AS57"/>
  <c r="AS58"/>
  <c r="AS59"/>
  <c r="AS60"/>
  <c r="AS61"/>
  <c r="AS62"/>
  <c r="AO21" i="1"/>
  <c r="AS51" i="4"/>
  <c r="AS64"/>
  <c r="AS67"/>
  <c r="AS68"/>
  <c r="AS70"/>
  <c r="AO22" i="1"/>
  <c r="AS78" i="4"/>
  <c r="AS72"/>
  <c r="AS73"/>
  <c r="AS74"/>
  <c r="AS75"/>
  <c r="AS76"/>
  <c r="AS77"/>
  <c r="AS80"/>
  <c r="AS93"/>
  <c r="AO24" i="1"/>
  <c r="AO25"/>
  <c r="AO27"/>
  <c r="AS96" i="4"/>
  <c r="AO28" i="1"/>
  <c r="AO30"/>
  <c r="AO31"/>
  <c r="AS103" i="4"/>
  <c r="AO32" i="1"/>
  <c r="AS104" i="4"/>
  <c r="AS105"/>
  <c r="AO33" i="1"/>
  <c r="AS82" i="4"/>
  <c r="AS98"/>
  <c r="AS101"/>
  <c r="AO34" i="1"/>
  <c r="AO35"/>
  <c r="AO36"/>
  <c r="AO37"/>
  <c r="AL40" i="17"/>
  <c r="AL43"/>
  <c r="AO11" i="3"/>
  <c r="AO14"/>
  <c r="AO16"/>
  <c r="AO18"/>
  <c r="AO21"/>
  <c r="AO24"/>
  <c r="AO28"/>
  <c r="AT53" i="4"/>
  <c r="AO30" i="3"/>
  <c r="AO33"/>
  <c r="AO44"/>
  <c r="AP8" i="1"/>
  <c r="AP10"/>
  <c r="AP11"/>
  <c r="AP12"/>
  <c r="AP15"/>
  <c r="AT38" i="4"/>
  <c r="AT32"/>
  <c r="AT33"/>
  <c r="AT34"/>
  <c r="AT35"/>
  <c r="AT36"/>
  <c r="AT37"/>
  <c r="AP16" i="1"/>
  <c r="AT27" i="4"/>
  <c r="AT42"/>
  <c r="AT43"/>
  <c r="AT44"/>
  <c r="AT45"/>
  <c r="AT46"/>
  <c r="AT47"/>
  <c r="AT48"/>
  <c r="AT49"/>
  <c r="AP17" i="1"/>
  <c r="AP18"/>
  <c r="AP20"/>
  <c r="AT56" i="4"/>
  <c r="AT57"/>
  <c r="AT58"/>
  <c r="AT59"/>
  <c r="AT60"/>
  <c r="AT61"/>
  <c r="AT62"/>
  <c r="AP21" i="1"/>
  <c r="AT51" i="4"/>
  <c r="AT64"/>
  <c r="AT65"/>
  <c r="AT66"/>
  <c r="AT67"/>
  <c r="AT68"/>
  <c r="AT70"/>
  <c r="AP22" i="1"/>
  <c r="AT78" i="4"/>
  <c r="AT72"/>
  <c r="AT73"/>
  <c r="AT74"/>
  <c r="AT75"/>
  <c r="AT76"/>
  <c r="AT77"/>
  <c r="AT80"/>
  <c r="AT93"/>
  <c r="AP24" i="1"/>
  <c r="AP25"/>
  <c r="AP27"/>
  <c r="AT96" i="4"/>
  <c r="AP28" i="1"/>
  <c r="AT82" i="4"/>
  <c r="AT97"/>
  <c r="AP29" i="1"/>
  <c r="AP30"/>
  <c r="AP31"/>
  <c r="AT103" i="4"/>
  <c r="AP32" i="1"/>
  <c r="AT104" i="4"/>
  <c r="AT105"/>
  <c r="AP33" i="1"/>
  <c r="AT98" i="4"/>
  <c r="AT101"/>
  <c r="AP34" i="1"/>
  <c r="AP35"/>
  <c r="AP36"/>
  <c r="AP37"/>
  <c r="AM40" i="17"/>
  <c r="AM43"/>
  <c r="AP11" i="3"/>
  <c r="AP14"/>
  <c r="AP16"/>
  <c r="AP18"/>
  <c r="AP21"/>
  <c r="AP24"/>
  <c r="AP28"/>
  <c r="AU53" i="4"/>
  <c r="AP30" i="3"/>
  <c r="AP33"/>
  <c r="AP44"/>
  <c r="AQ8" i="1"/>
  <c r="AQ10"/>
  <c r="AQ11"/>
  <c r="AQ12"/>
  <c r="AQ15"/>
  <c r="AU38" i="4"/>
  <c r="AU32"/>
  <c r="AU33"/>
  <c r="AU34"/>
  <c r="AU35"/>
  <c r="AU36"/>
  <c r="AU37"/>
  <c r="AQ16" i="1"/>
  <c r="AU27" i="4"/>
  <c r="AU42"/>
  <c r="AU43"/>
  <c r="AU44"/>
  <c r="AU45"/>
  <c r="AU46"/>
  <c r="AU47"/>
  <c r="AU48"/>
  <c r="AU49"/>
  <c r="AQ17" i="1"/>
  <c r="AQ18"/>
  <c r="AQ20"/>
  <c r="AU56" i="4"/>
  <c r="AU57"/>
  <c r="AU58"/>
  <c r="AU59"/>
  <c r="AU60"/>
  <c r="AU61"/>
  <c r="AU62"/>
  <c r="AQ21" i="1"/>
  <c r="AU51" i="4"/>
  <c r="AU64"/>
  <c r="AU65"/>
  <c r="AU66"/>
  <c r="AU67"/>
  <c r="AU68"/>
  <c r="AU70"/>
  <c r="AQ22" i="1"/>
  <c r="AU78" i="4"/>
  <c r="AU72"/>
  <c r="AU73"/>
  <c r="AU74"/>
  <c r="AU75"/>
  <c r="AU76"/>
  <c r="AU77"/>
  <c r="AU80"/>
  <c r="AU93"/>
  <c r="AQ24" i="1"/>
  <c r="AQ25"/>
  <c r="AQ27"/>
  <c r="AU96" i="4"/>
  <c r="AQ28" i="1"/>
  <c r="AU82" i="4"/>
  <c r="AU97"/>
  <c r="AQ29" i="1"/>
  <c r="AQ30"/>
  <c r="AQ31"/>
  <c r="AU103" i="4"/>
  <c r="AQ32" i="1"/>
  <c r="AU104" i="4"/>
  <c r="AU105"/>
  <c r="AQ33" i="1"/>
  <c r="AU98" i="4"/>
  <c r="AU101"/>
  <c r="AQ34" i="1"/>
  <c r="AQ35"/>
  <c r="AQ36"/>
  <c r="AQ37"/>
  <c r="AN40" i="17"/>
  <c r="AN43"/>
  <c r="AQ11" i="3"/>
  <c r="AQ14"/>
  <c r="AQ16"/>
  <c r="AQ18"/>
  <c r="AQ21"/>
  <c r="AQ24"/>
  <c r="AQ28"/>
  <c r="AV53" i="4"/>
  <c r="AQ30" i="3"/>
  <c r="AQ33"/>
  <c r="AQ44"/>
  <c r="AR8" i="1"/>
  <c r="AR10"/>
  <c r="AR11"/>
  <c r="AR12"/>
  <c r="AR15"/>
  <c r="AV38" i="4"/>
  <c r="AV32"/>
  <c r="AV33"/>
  <c r="AV34"/>
  <c r="AV35"/>
  <c r="AV36"/>
  <c r="AV37"/>
  <c r="AR16" i="1"/>
  <c r="AV27" i="4"/>
  <c r="AV42"/>
  <c r="AV43"/>
  <c r="AV44"/>
  <c r="AV45"/>
  <c r="AV46"/>
  <c r="AV47"/>
  <c r="AV48"/>
  <c r="AV49"/>
  <c r="AR17" i="1"/>
  <c r="AR18"/>
  <c r="AR20"/>
  <c r="AV56" i="4"/>
  <c r="AV57"/>
  <c r="AV58"/>
  <c r="AV59"/>
  <c r="AV60"/>
  <c r="AV61"/>
  <c r="AV62"/>
  <c r="AR21" i="1"/>
  <c r="AV51" i="4"/>
  <c r="AV64"/>
  <c r="AV65"/>
  <c r="AV66"/>
  <c r="AV67"/>
  <c r="AV68"/>
  <c r="AV70"/>
  <c r="AR22" i="1"/>
  <c r="AV78" i="4"/>
  <c r="AV72"/>
  <c r="AV73"/>
  <c r="AV74"/>
  <c r="AV75"/>
  <c r="AV76"/>
  <c r="AV77"/>
  <c r="AV80"/>
  <c r="AV93"/>
  <c r="AR24" i="1"/>
  <c r="AR25"/>
  <c r="AR27"/>
  <c r="AV96" i="4"/>
  <c r="AR28" i="1"/>
  <c r="AV82" i="4"/>
  <c r="AV97"/>
  <c r="AR29" i="1"/>
  <c r="AR30"/>
  <c r="AR31"/>
  <c r="AV103" i="4"/>
  <c r="AR32" i="1"/>
  <c r="AV104" i="4"/>
  <c r="AV105"/>
  <c r="AR33" i="1"/>
  <c r="AV98" i="4"/>
  <c r="AV101"/>
  <c r="AR34" i="1"/>
  <c r="AR35"/>
  <c r="AR36"/>
  <c r="AR37"/>
  <c r="AO40" i="17"/>
  <c r="AO43"/>
  <c r="AR11" i="3"/>
  <c r="AR14"/>
  <c r="AR16"/>
  <c r="AR18"/>
  <c r="AR21"/>
  <c r="AR24"/>
  <c r="AR28"/>
  <c r="AW53" i="4"/>
  <c r="AR30" i="3"/>
  <c r="AR33"/>
  <c r="AR44"/>
  <c r="AS8" i="1"/>
  <c r="AS10"/>
  <c r="AS11"/>
  <c r="AS12"/>
  <c r="AS15"/>
  <c r="AW38" i="4"/>
  <c r="AW32"/>
  <c r="AW33"/>
  <c r="AW34"/>
  <c r="AW35"/>
  <c r="AW36"/>
  <c r="AW37"/>
  <c r="AS16" i="1"/>
  <c r="AW27" i="4"/>
  <c r="AW42"/>
  <c r="AW43"/>
  <c r="AW44"/>
  <c r="AW45"/>
  <c r="AW46"/>
  <c r="AW47"/>
  <c r="AW48"/>
  <c r="AW49"/>
  <c r="AS17" i="1"/>
  <c r="AS18"/>
  <c r="AS20"/>
  <c r="AW56" i="4"/>
  <c r="AW57"/>
  <c r="AW58"/>
  <c r="AW59"/>
  <c r="AW60"/>
  <c r="AW61"/>
  <c r="AW62"/>
  <c r="AS21" i="1"/>
  <c r="AW51" i="4"/>
  <c r="AW64"/>
  <c r="AW65"/>
  <c r="AW66"/>
  <c r="AW67"/>
  <c r="AW68"/>
  <c r="AW70"/>
  <c r="AS22" i="1"/>
  <c r="AW78" i="4"/>
  <c r="AW72"/>
  <c r="AW73"/>
  <c r="AW74"/>
  <c r="AW75"/>
  <c r="AW76"/>
  <c r="AW77"/>
  <c r="AW80"/>
  <c r="AW93"/>
  <c r="AS24" i="1"/>
  <c r="AS25"/>
  <c r="AS27"/>
  <c r="AW96" i="4"/>
  <c r="AS28" i="1"/>
  <c r="AW82" i="4"/>
  <c r="AW97"/>
  <c r="AS29" i="1"/>
  <c r="AS30"/>
  <c r="AS31"/>
  <c r="AW103" i="4"/>
  <c r="AS32" i="1"/>
  <c r="AW104" i="4"/>
  <c r="AW105"/>
  <c r="AS33" i="1"/>
  <c r="AW98" i="4"/>
  <c r="AW101"/>
  <c r="AS34" i="1"/>
  <c r="AS35"/>
  <c r="AS36"/>
  <c r="AS37"/>
  <c r="AP40" i="17"/>
  <c r="AP43"/>
  <c r="AS11" i="3"/>
  <c r="AS14"/>
  <c r="AS16"/>
  <c r="AS18"/>
  <c r="AS21"/>
  <c r="AS24"/>
  <c r="AS28"/>
  <c r="AX53" i="4"/>
  <c r="AS30" i="3"/>
  <c r="AS33"/>
  <c r="AS44"/>
  <c r="AT8" i="1"/>
  <c r="AT10"/>
  <c r="AT11"/>
  <c r="AT12"/>
  <c r="AT15"/>
  <c r="AX38" i="4"/>
  <c r="AX32"/>
  <c r="AX33"/>
  <c r="AX34"/>
  <c r="AX35"/>
  <c r="AX36"/>
  <c r="AX37"/>
  <c r="AT16" i="1"/>
  <c r="AX27" i="4"/>
  <c r="AX42"/>
  <c r="AX43"/>
  <c r="AX44"/>
  <c r="AX45"/>
  <c r="AX46"/>
  <c r="AX47"/>
  <c r="AX48"/>
  <c r="AX49"/>
  <c r="AT17" i="1"/>
  <c r="AT18"/>
  <c r="AT20"/>
  <c r="AX56" i="4"/>
  <c r="AX57"/>
  <c r="AX58"/>
  <c r="AX59"/>
  <c r="AX60"/>
  <c r="AX61"/>
  <c r="AX62"/>
  <c r="AT21" i="1"/>
  <c r="AX51" i="4"/>
  <c r="AX64"/>
  <c r="AX65"/>
  <c r="AX66"/>
  <c r="AX67"/>
  <c r="AX68"/>
  <c r="AX70"/>
  <c r="AT22" i="1"/>
  <c r="AX78" i="4"/>
  <c r="AX72"/>
  <c r="AX73"/>
  <c r="AX74"/>
  <c r="AX75"/>
  <c r="AX76"/>
  <c r="AX77"/>
  <c r="AX80"/>
  <c r="AX93"/>
  <c r="AT24" i="1"/>
  <c r="AT25"/>
  <c r="AT27"/>
  <c r="AX96" i="4"/>
  <c r="AT28" i="1"/>
  <c r="AX82" i="4"/>
  <c r="AX97"/>
  <c r="AT29" i="1"/>
  <c r="AT30"/>
  <c r="AT31"/>
  <c r="AX103" i="4"/>
  <c r="AT32" i="1"/>
  <c r="AX104" i="4"/>
  <c r="AX105"/>
  <c r="AT33" i="1"/>
  <c r="AX98" i="4"/>
  <c r="AX101"/>
  <c r="AT34" i="1"/>
  <c r="AT35"/>
  <c r="AT36"/>
  <c r="AT37"/>
  <c r="AQ40" i="17"/>
  <c r="AQ43"/>
  <c r="AT11" i="3"/>
  <c r="AT14"/>
  <c r="AT16"/>
  <c r="AT18"/>
  <c r="AT21"/>
  <c r="AT24"/>
  <c r="AT28"/>
  <c r="AY53" i="4"/>
  <c r="AT30" i="3"/>
  <c r="AT33"/>
  <c r="AT44"/>
  <c r="AU8" i="1"/>
  <c r="AU10"/>
  <c r="AU11"/>
  <c r="AU12"/>
  <c r="AU15"/>
  <c r="AY38" i="4"/>
  <c r="AY32"/>
  <c r="AY33"/>
  <c r="AY34"/>
  <c r="AY35"/>
  <c r="AY36"/>
  <c r="AY37"/>
  <c r="AU16" i="1"/>
  <c r="AY27" i="4"/>
  <c r="AY42"/>
  <c r="AY43"/>
  <c r="AY44"/>
  <c r="AY45"/>
  <c r="AY46"/>
  <c r="AY47"/>
  <c r="AY48"/>
  <c r="AY49"/>
  <c r="AU17" i="1"/>
  <c r="AU18"/>
  <c r="AU20"/>
  <c r="AY56" i="4"/>
  <c r="AY57"/>
  <c r="AY58"/>
  <c r="AY59"/>
  <c r="AY60"/>
  <c r="AY61"/>
  <c r="AY62"/>
  <c r="AU21" i="1"/>
  <c r="AY51" i="4"/>
  <c r="AY64"/>
  <c r="AY65"/>
  <c r="AY66"/>
  <c r="AY67"/>
  <c r="AY68"/>
  <c r="AY70"/>
  <c r="AU22" i="1"/>
  <c r="AY78" i="4"/>
  <c r="AY72"/>
  <c r="AY73"/>
  <c r="AY74"/>
  <c r="AY75"/>
  <c r="AY76"/>
  <c r="AY77"/>
  <c r="AY80"/>
  <c r="AY93"/>
  <c r="AU24" i="1"/>
  <c r="AU25"/>
  <c r="AU27"/>
  <c r="AY96" i="4"/>
  <c r="AU28" i="1"/>
  <c r="AY82" i="4"/>
  <c r="AY97"/>
  <c r="AU29" i="1"/>
  <c r="AU30"/>
  <c r="AU31"/>
  <c r="AY103" i="4"/>
  <c r="AU32" i="1"/>
  <c r="AY104" i="4"/>
  <c r="AY105"/>
  <c r="AU33" i="1"/>
  <c r="AY98" i="4"/>
  <c r="AY101"/>
  <c r="AU34" i="1"/>
  <c r="AU35"/>
  <c r="AU36"/>
  <c r="AU37"/>
  <c r="AR40" i="17"/>
  <c r="AR43"/>
  <c r="AU11" i="3"/>
  <c r="AU14"/>
  <c r="AU16"/>
  <c r="AU18"/>
  <c r="AU21"/>
  <c r="AU24"/>
  <c r="AU28"/>
  <c r="AZ53" i="4"/>
  <c r="AU30" i="3"/>
  <c r="AU33"/>
  <c r="AU44"/>
  <c r="AV8" i="1"/>
  <c r="AV10"/>
  <c r="AV11"/>
  <c r="AV12"/>
  <c r="AV15"/>
  <c r="AZ38" i="4"/>
  <c r="AZ32"/>
  <c r="AZ33"/>
  <c r="AZ34"/>
  <c r="AZ35"/>
  <c r="AZ36"/>
  <c r="AZ37"/>
  <c r="AV16" i="1"/>
  <c r="AZ27" i="4"/>
  <c r="AZ42"/>
  <c r="AZ43"/>
  <c r="AZ44"/>
  <c r="AZ45"/>
  <c r="AZ46"/>
  <c r="AZ47"/>
  <c r="AZ48"/>
  <c r="AZ49"/>
  <c r="AV17" i="1"/>
  <c r="AV18"/>
  <c r="AV20"/>
  <c r="AZ56" i="4"/>
  <c r="AZ57"/>
  <c r="AZ58"/>
  <c r="AZ59"/>
  <c r="AZ60"/>
  <c r="AZ61"/>
  <c r="AZ62"/>
  <c r="AV21" i="1"/>
  <c r="AZ51" i="4"/>
  <c r="AZ64"/>
  <c r="AZ65"/>
  <c r="AZ66"/>
  <c r="AZ67"/>
  <c r="AZ68"/>
  <c r="AZ70"/>
  <c r="AV22" i="1"/>
  <c r="AZ78" i="4"/>
  <c r="AZ72"/>
  <c r="AZ73"/>
  <c r="AZ74"/>
  <c r="AZ75"/>
  <c r="AZ76"/>
  <c r="AZ77"/>
  <c r="AZ80"/>
  <c r="AZ93"/>
  <c r="AV24" i="1"/>
  <c r="AV25"/>
  <c r="AV27"/>
  <c r="AZ96" i="4"/>
  <c r="AV28" i="1"/>
  <c r="AZ82" i="4"/>
  <c r="AZ97"/>
  <c r="AV29" i="1"/>
  <c r="AV30"/>
  <c r="AV31"/>
  <c r="AZ103" i="4"/>
  <c r="AV32" i="1"/>
  <c r="AZ104" i="4"/>
  <c r="AZ105"/>
  <c r="AV33" i="1"/>
  <c r="AZ98" i="4"/>
  <c r="AZ101"/>
  <c r="AV34" i="1"/>
  <c r="AV35"/>
  <c r="AV36"/>
  <c r="AV37"/>
  <c r="AS40" i="17"/>
  <c r="AS43"/>
  <c r="AV11" i="3"/>
  <c r="AV14"/>
  <c r="AV16"/>
  <c r="AV18"/>
  <c r="AV21"/>
  <c r="AV24"/>
  <c r="AV28"/>
  <c r="BA53" i="4"/>
  <c r="AV30" i="3"/>
  <c r="AV33"/>
  <c r="AV44"/>
  <c r="AW8" i="1"/>
  <c r="AW10"/>
  <c r="AW11"/>
  <c r="AW12"/>
  <c r="AW15"/>
  <c r="BA38" i="4"/>
  <c r="BA32"/>
  <c r="BA33"/>
  <c r="BA34"/>
  <c r="BA35"/>
  <c r="BA36"/>
  <c r="BA37"/>
  <c r="AW16" i="1"/>
  <c r="BA27" i="4"/>
  <c r="BA42"/>
  <c r="BA43"/>
  <c r="BA44"/>
  <c r="BA45"/>
  <c r="BA46"/>
  <c r="BA47"/>
  <c r="BA48"/>
  <c r="BA49"/>
  <c r="AW17" i="1"/>
  <c r="AW18"/>
  <c r="AW20"/>
  <c r="BA56" i="4"/>
  <c r="BA57"/>
  <c r="BA58"/>
  <c r="BA59"/>
  <c r="BA60"/>
  <c r="BA61"/>
  <c r="BA62"/>
  <c r="AW21" i="1"/>
  <c r="BA51" i="4"/>
  <c r="BA64"/>
  <c r="BA65"/>
  <c r="BA66"/>
  <c r="BA67"/>
  <c r="BA68"/>
  <c r="BA70"/>
  <c r="AW22" i="1"/>
  <c r="BA78" i="4"/>
  <c r="BA72"/>
  <c r="BA73"/>
  <c r="BA74"/>
  <c r="BA75"/>
  <c r="BA76"/>
  <c r="BA77"/>
  <c r="BA80"/>
  <c r="BA93"/>
  <c r="AW24" i="1"/>
  <c r="AW25"/>
  <c r="AW27"/>
  <c r="BA96" i="4"/>
  <c r="AW28" i="1"/>
  <c r="BA82" i="4"/>
  <c r="BA97"/>
  <c r="AW29" i="1"/>
  <c r="AW30"/>
  <c r="AW31"/>
  <c r="BA103" i="4"/>
  <c r="AW32" i="1"/>
  <c r="BA104" i="4"/>
  <c r="BA105"/>
  <c r="AW33" i="1"/>
  <c r="BA98" i="4"/>
  <c r="BA101"/>
  <c r="AW34" i="1"/>
  <c r="AW35"/>
  <c r="AW36"/>
  <c r="AW37"/>
  <c r="AT40" i="17"/>
  <c r="AT43"/>
  <c r="AW11" i="3"/>
  <c r="AW14"/>
  <c r="AW16"/>
  <c r="AW18"/>
  <c r="AW21"/>
  <c r="AW24"/>
  <c r="AW28"/>
  <c r="BB53" i="4"/>
  <c r="AW30" i="3"/>
  <c r="AW33"/>
  <c r="AW44"/>
  <c r="AX8" i="1"/>
  <c r="AX10"/>
  <c r="AX11"/>
  <c r="AX12"/>
  <c r="AX15"/>
  <c r="BB38" i="4"/>
  <c r="BB32"/>
  <c r="BB33"/>
  <c r="BB34"/>
  <c r="BB35"/>
  <c r="BB36"/>
  <c r="BB37"/>
  <c r="AX16" i="1"/>
  <c r="BB27" i="4"/>
  <c r="BB42"/>
  <c r="BB43"/>
  <c r="BB44"/>
  <c r="BB45"/>
  <c r="BB46"/>
  <c r="BB47"/>
  <c r="BB48"/>
  <c r="BB49"/>
  <c r="AX17" i="1"/>
  <c r="AX18"/>
  <c r="AX20"/>
  <c r="BB56" i="4"/>
  <c r="BB57"/>
  <c r="BB58"/>
  <c r="BB59"/>
  <c r="BB60"/>
  <c r="BB61"/>
  <c r="BB62"/>
  <c r="AX21" i="1"/>
  <c r="BB51" i="4"/>
  <c r="BB64"/>
  <c r="BB65"/>
  <c r="BB66"/>
  <c r="BB67"/>
  <c r="BB68"/>
  <c r="BB70"/>
  <c r="AX22" i="1"/>
  <c r="BB78" i="4"/>
  <c r="BB72"/>
  <c r="BB73"/>
  <c r="BB74"/>
  <c r="BB75"/>
  <c r="BB76"/>
  <c r="BB77"/>
  <c r="BB80"/>
  <c r="BB93"/>
  <c r="AX24" i="1"/>
  <c r="AX25"/>
  <c r="AX27"/>
  <c r="BB96" i="4"/>
  <c r="AX28" i="1"/>
  <c r="BB82" i="4"/>
  <c r="BB97"/>
  <c r="AX29" i="1"/>
  <c r="AX30"/>
  <c r="AX31"/>
  <c r="BB103" i="4"/>
  <c r="AX32" i="1"/>
  <c r="BB104" i="4"/>
  <c r="BB105"/>
  <c r="AX33" i="1"/>
  <c r="BB98" i="4"/>
  <c r="BB101"/>
  <c r="AX34" i="1"/>
  <c r="AX35"/>
  <c r="AX36"/>
  <c r="AX37"/>
  <c r="AU40" i="17"/>
  <c r="AU43"/>
  <c r="AX11" i="3"/>
  <c r="AX14"/>
  <c r="AX16"/>
  <c r="AX18"/>
  <c r="AX21"/>
  <c r="AX24"/>
  <c r="AX28"/>
  <c r="BC53" i="4"/>
  <c r="AX30" i="3"/>
  <c r="AX33"/>
  <c r="AX44"/>
  <c r="AY8" i="1"/>
  <c r="AY10"/>
  <c r="AY11"/>
  <c r="AY12"/>
  <c r="AY15"/>
  <c r="BC38" i="4"/>
  <c r="BC32"/>
  <c r="BC33"/>
  <c r="BC34"/>
  <c r="BC35"/>
  <c r="BC36"/>
  <c r="BC37"/>
  <c r="AY16" i="1"/>
  <c r="BC27" i="4"/>
  <c r="BC42"/>
  <c r="BC43"/>
  <c r="BC44"/>
  <c r="BC45"/>
  <c r="BC46"/>
  <c r="BC47"/>
  <c r="BC48"/>
  <c r="BC49"/>
  <c r="AY17" i="1"/>
  <c r="AY18"/>
  <c r="AY20"/>
  <c r="BC56" i="4"/>
  <c r="BC57"/>
  <c r="BC58"/>
  <c r="BC59"/>
  <c r="BC60"/>
  <c r="BC61"/>
  <c r="BC62"/>
  <c r="AY21" i="1"/>
  <c r="BC51" i="4"/>
  <c r="BC64"/>
  <c r="BC65"/>
  <c r="BC66"/>
  <c r="BC67"/>
  <c r="BC68"/>
  <c r="BC70"/>
  <c r="AY22" i="1"/>
  <c r="BC78" i="4"/>
  <c r="BC72"/>
  <c r="BC73"/>
  <c r="BC74"/>
  <c r="BC75"/>
  <c r="BC76"/>
  <c r="BC77"/>
  <c r="BC80"/>
  <c r="BC93"/>
  <c r="AY24" i="1"/>
  <c r="AY25"/>
  <c r="AY27"/>
  <c r="BC96" i="4"/>
  <c r="AY28" i="1"/>
  <c r="BC82" i="4"/>
  <c r="BC97"/>
  <c r="AY29" i="1"/>
  <c r="AY30"/>
  <c r="AY31"/>
  <c r="BC103" i="4"/>
  <c r="AY32" i="1"/>
  <c r="BC104" i="4"/>
  <c r="BC105"/>
  <c r="AY33" i="1"/>
  <c r="BC98" i="4"/>
  <c r="BC101"/>
  <c r="AY34" i="1"/>
  <c r="AY35"/>
  <c r="AY36"/>
  <c r="AY37"/>
  <c r="AV40" i="17"/>
  <c r="AV43"/>
  <c r="AY11" i="3"/>
  <c r="AY14"/>
  <c r="AY16"/>
  <c r="AY18"/>
  <c r="AY21"/>
  <c r="AY24"/>
  <c r="AY28"/>
  <c r="BD53" i="4"/>
  <c r="AY30" i="3"/>
  <c r="AY33"/>
  <c r="AY44"/>
  <c r="AZ8" i="1"/>
  <c r="AZ10"/>
  <c r="AZ11"/>
  <c r="AZ12"/>
  <c r="AZ15"/>
  <c r="BD32" i="4"/>
  <c r="BD33"/>
  <c r="BD34"/>
  <c r="BD35"/>
  <c r="BD36"/>
  <c r="BD37"/>
  <c r="AZ16" i="1"/>
  <c r="BD27" i="4"/>
  <c r="BD42"/>
  <c r="BD43"/>
  <c r="BD44"/>
  <c r="BD45"/>
  <c r="BD46"/>
  <c r="BD47"/>
  <c r="BD48"/>
  <c r="BD49"/>
  <c r="AZ17" i="1"/>
  <c r="AZ18"/>
  <c r="AZ20"/>
  <c r="BD57" i="4"/>
  <c r="BD58"/>
  <c r="BD59"/>
  <c r="BD60"/>
  <c r="BD61"/>
  <c r="BD62"/>
  <c r="AZ21" i="1"/>
  <c r="BD51" i="4"/>
  <c r="BD64"/>
  <c r="BD65"/>
  <c r="BD66"/>
  <c r="BD67"/>
  <c r="BD68"/>
  <c r="BD70"/>
  <c r="AZ22" i="1"/>
  <c r="BD78" i="4"/>
  <c r="BD72"/>
  <c r="BD73"/>
  <c r="BD74"/>
  <c r="BD75"/>
  <c r="BD76"/>
  <c r="BD77"/>
  <c r="BD80"/>
  <c r="BD93"/>
  <c r="AZ24" i="1"/>
  <c r="AZ25"/>
  <c r="AZ27"/>
  <c r="BD96" i="4"/>
  <c r="AZ28" i="1"/>
  <c r="BD82" i="4"/>
  <c r="BD97"/>
  <c r="AZ29" i="1"/>
  <c r="AZ30"/>
  <c r="AZ31"/>
  <c r="BD103" i="4"/>
  <c r="AZ32" i="1"/>
  <c r="BD104" i="4"/>
  <c r="BD105"/>
  <c r="AZ33" i="1"/>
  <c r="BD98" i="4"/>
  <c r="BD101"/>
  <c r="AZ34" i="1"/>
  <c r="AZ35"/>
  <c r="AZ36"/>
  <c r="AZ37"/>
  <c r="AW40" i="17"/>
  <c r="AW43"/>
  <c r="AX43"/>
  <c r="BA11" i="3"/>
  <c r="BA14"/>
  <c r="BA16"/>
  <c r="BA18"/>
  <c r="BA21"/>
  <c r="BA24"/>
  <c r="BA28"/>
  <c r="BF53" i="4"/>
  <c r="BA30" i="3"/>
  <c r="BA33"/>
  <c r="BA41"/>
  <c r="BA44"/>
  <c r="BB8" i="1"/>
  <c r="BB10"/>
  <c r="BB11"/>
  <c r="BB12"/>
  <c r="BB15"/>
  <c r="BF38" i="4"/>
  <c r="BF32"/>
  <c r="BF33"/>
  <c r="BF34"/>
  <c r="BF35"/>
  <c r="BF36"/>
  <c r="BF37"/>
  <c r="BB16" i="1"/>
  <c r="BF27" i="4"/>
  <c r="BF42"/>
  <c r="BF43"/>
  <c r="BF44"/>
  <c r="BF45"/>
  <c r="BF46"/>
  <c r="BF47"/>
  <c r="BF48"/>
  <c r="BF49"/>
  <c r="BB17" i="1"/>
  <c r="BB18"/>
  <c r="BB20"/>
  <c r="BF56" i="4"/>
  <c r="BF57"/>
  <c r="BF58"/>
  <c r="BF59"/>
  <c r="BF60"/>
  <c r="BF61"/>
  <c r="BF62"/>
  <c r="BB21" i="1"/>
  <c r="BF51" i="4"/>
  <c r="BF64"/>
  <c r="BF65"/>
  <c r="BF66"/>
  <c r="BF67"/>
  <c r="BF68"/>
  <c r="BF69"/>
  <c r="BF70"/>
  <c r="BB22" i="1"/>
  <c r="BF78" i="4"/>
  <c r="BF72"/>
  <c r="BF73"/>
  <c r="BF74"/>
  <c r="BF75"/>
  <c r="BF76"/>
  <c r="BF77"/>
  <c r="BF80"/>
  <c r="BF93"/>
  <c r="BB24" i="1"/>
  <c r="BB25"/>
  <c r="BB27"/>
  <c r="BF96" i="4"/>
  <c r="BB28" i="1"/>
  <c r="BF82" i="4"/>
  <c r="BF97"/>
  <c r="BB29" i="1"/>
  <c r="BB30"/>
  <c r="BB31"/>
  <c r="BF103" i="4"/>
  <c r="BB32" i="1"/>
  <c r="BF104" i="4"/>
  <c r="BF105"/>
  <c r="BB33" i="1"/>
  <c r="BF98" i="4"/>
  <c r="BF101"/>
  <c r="BB34" i="1"/>
  <c r="BB35"/>
  <c r="BB36"/>
  <c r="BB37"/>
  <c r="AY40" i="17"/>
  <c r="AY43"/>
  <c r="BB11" i="3"/>
  <c r="BB14"/>
  <c r="BB16"/>
  <c r="BB18"/>
  <c r="BB21"/>
  <c r="BB24"/>
  <c r="BB28"/>
  <c r="BG53" i="4"/>
  <c r="BB30" i="3"/>
  <c r="BB33"/>
  <c r="BB41"/>
  <c r="BB44"/>
  <c r="BC8" i="1"/>
  <c r="BC10"/>
  <c r="BC11"/>
  <c r="BC12"/>
  <c r="BC15"/>
  <c r="BG38" i="4"/>
  <c r="BG32"/>
  <c r="BG33"/>
  <c r="BG34"/>
  <c r="BG35"/>
  <c r="BG36"/>
  <c r="BG37"/>
  <c r="BC16" i="1"/>
  <c r="BG27" i="4"/>
  <c r="BG42"/>
  <c r="BG43"/>
  <c r="BG44"/>
  <c r="BG45"/>
  <c r="BG46"/>
  <c r="BG47"/>
  <c r="BG48"/>
  <c r="BG49"/>
  <c r="BC17" i="1"/>
  <c r="BC18"/>
  <c r="BC20"/>
  <c r="BG56" i="4"/>
  <c r="BG57"/>
  <c r="BG58"/>
  <c r="BG59"/>
  <c r="BG60"/>
  <c r="BG61"/>
  <c r="BG62"/>
  <c r="BC21" i="1"/>
  <c r="BG51" i="4"/>
  <c r="BG64"/>
  <c r="BG65"/>
  <c r="BG66"/>
  <c r="BG67"/>
  <c r="BG68"/>
  <c r="BG69"/>
  <c r="BG70"/>
  <c r="BC22" i="1"/>
  <c r="BG78" i="4"/>
  <c r="BG72"/>
  <c r="BG73"/>
  <c r="BG74"/>
  <c r="BG75"/>
  <c r="BG76"/>
  <c r="BG77"/>
  <c r="BG80"/>
  <c r="BG93"/>
  <c r="BC24" i="1"/>
  <c r="BC25"/>
  <c r="BC27"/>
  <c r="BG96" i="4"/>
  <c r="BC28" i="1"/>
  <c r="BG82" i="4"/>
  <c r="BG97"/>
  <c r="BC29" i="1"/>
  <c r="BC30"/>
  <c r="BC31"/>
  <c r="BG103" i="4"/>
  <c r="BC32" i="1"/>
  <c r="BG104" i="4"/>
  <c r="BG105"/>
  <c r="BC33" i="1"/>
  <c r="BG98" i="4"/>
  <c r="BG101"/>
  <c r="BC34" i="1"/>
  <c r="BC35"/>
  <c r="BC36"/>
  <c r="BC37"/>
  <c r="AZ40" i="17"/>
  <c r="AZ43"/>
  <c r="BC11" i="3"/>
  <c r="BC14"/>
  <c r="BC16"/>
  <c r="BC18"/>
  <c r="BC21"/>
  <c r="BC24"/>
  <c r="BC28"/>
  <c r="BH53" i="4"/>
  <c r="BC30" i="3"/>
  <c r="BC33"/>
  <c r="BC41"/>
  <c r="BC44"/>
  <c r="BD8" i="1"/>
  <c r="BD10"/>
  <c r="BD11"/>
  <c r="BD12"/>
  <c r="BD15"/>
  <c r="BH38" i="4"/>
  <c r="BH32"/>
  <c r="BH33"/>
  <c r="BH34"/>
  <c r="BH35"/>
  <c r="BH36"/>
  <c r="BH37"/>
  <c r="BD16" i="1"/>
  <c r="BH27" i="4"/>
  <c r="BH42"/>
  <c r="BH43"/>
  <c r="BH44"/>
  <c r="BH45"/>
  <c r="BH46"/>
  <c r="BH47"/>
  <c r="BH48"/>
  <c r="BH49"/>
  <c r="BD17" i="1"/>
  <c r="BD18"/>
  <c r="BD20"/>
  <c r="BH56" i="4"/>
  <c r="BH57"/>
  <c r="BH58"/>
  <c r="BH59"/>
  <c r="BH60"/>
  <c r="BH61"/>
  <c r="BH62"/>
  <c r="BD21" i="1"/>
  <c r="BH51" i="4"/>
  <c r="BH64"/>
  <c r="BH65"/>
  <c r="BH66"/>
  <c r="BH67"/>
  <c r="BH68"/>
  <c r="BH69"/>
  <c r="BH70"/>
  <c r="BD22" i="1"/>
  <c r="BH78" i="4"/>
  <c r="BH72"/>
  <c r="BH73"/>
  <c r="BH74"/>
  <c r="BH75"/>
  <c r="BH76"/>
  <c r="BH77"/>
  <c r="BH80"/>
  <c r="BH93"/>
  <c r="BD24" i="1"/>
  <c r="BD25"/>
  <c r="BD27"/>
  <c r="BH96" i="4"/>
  <c r="BD28" i="1"/>
  <c r="BH82" i="4"/>
  <c r="BH97"/>
  <c r="BD29" i="1"/>
  <c r="BD30"/>
  <c r="BD31"/>
  <c r="BH103" i="4"/>
  <c r="BD32" i="1"/>
  <c r="BH104" i="4"/>
  <c r="BH105"/>
  <c r="BD33" i="1"/>
  <c r="BH98" i="4"/>
  <c r="BH101"/>
  <c r="BD34" i="1"/>
  <c r="BD35"/>
  <c r="BD36"/>
  <c r="BD37"/>
  <c r="BA40" i="17"/>
  <c r="BA43"/>
  <c r="BD11" i="3"/>
  <c r="BD14"/>
  <c r="BD16"/>
  <c r="BD18"/>
  <c r="BD21"/>
  <c r="BD24"/>
  <c r="BD28"/>
  <c r="BI53" i="4"/>
  <c r="BD30" i="3"/>
  <c r="BD33"/>
  <c r="BD41"/>
  <c r="BD44"/>
  <c r="BE8" i="1"/>
  <c r="BE10"/>
  <c r="BE11"/>
  <c r="BE12"/>
  <c r="BE15"/>
  <c r="BI38" i="4"/>
  <c r="BI32"/>
  <c r="BI33"/>
  <c r="BI34"/>
  <c r="BI35"/>
  <c r="BI36"/>
  <c r="BI37"/>
  <c r="BE16" i="1"/>
  <c r="BI27" i="4"/>
  <c r="BI42"/>
  <c r="BI43"/>
  <c r="BI44"/>
  <c r="BI45"/>
  <c r="BI46"/>
  <c r="BI47"/>
  <c r="BI48"/>
  <c r="BI49"/>
  <c r="BE17" i="1"/>
  <c r="BE18"/>
  <c r="BE20"/>
  <c r="BI56" i="4"/>
  <c r="BI57"/>
  <c r="BI58"/>
  <c r="BI59"/>
  <c r="BI60"/>
  <c r="BI61"/>
  <c r="BI62"/>
  <c r="BE21" i="1"/>
  <c r="BI51" i="4"/>
  <c r="BI64"/>
  <c r="BI65"/>
  <c r="BI66"/>
  <c r="BI67"/>
  <c r="BI68"/>
  <c r="BI69"/>
  <c r="BI70"/>
  <c r="BE22" i="1"/>
  <c r="BI78" i="4"/>
  <c r="BI72"/>
  <c r="BI73"/>
  <c r="BI74"/>
  <c r="BI75"/>
  <c r="BI76"/>
  <c r="BI77"/>
  <c r="BI80"/>
  <c r="BI93"/>
  <c r="BE24" i="1"/>
  <c r="BE25"/>
  <c r="BE27"/>
  <c r="BI96" i="4"/>
  <c r="BE28" i="1"/>
  <c r="BI82" i="4"/>
  <c r="BI97"/>
  <c r="BE29" i="1"/>
  <c r="BE30"/>
  <c r="BE31"/>
  <c r="BI103" i="4"/>
  <c r="BE32" i="1"/>
  <c r="BI104" i="4"/>
  <c r="BI105"/>
  <c r="BE33" i="1"/>
  <c r="BI98" i="4"/>
  <c r="BI101"/>
  <c r="BE34" i="1"/>
  <c r="BE35"/>
  <c r="BE36"/>
  <c r="BE37"/>
  <c r="BB40" i="17"/>
  <c r="BB43"/>
  <c r="BE11" i="3"/>
  <c r="BE14"/>
  <c r="BE16"/>
  <c r="BE18"/>
  <c r="BE21"/>
  <c r="BE24"/>
  <c r="BE28"/>
  <c r="BJ53" i="4"/>
  <c r="BE30" i="3"/>
  <c r="BE33"/>
  <c r="BE41"/>
  <c r="BE44"/>
  <c r="BF8" i="1"/>
  <c r="BF10"/>
  <c r="BF11"/>
  <c r="BF12"/>
  <c r="BF15"/>
  <c r="BJ38" i="4"/>
  <c r="BJ32"/>
  <c r="BJ33"/>
  <c r="BJ34"/>
  <c r="BJ35"/>
  <c r="BJ36"/>
  <c r="BJ37"/>
  <c r="BF16" i="1"/>
  <c r="BJ27" i="4"/>
  <c r="BJ42"/>
  <c r="BJ43"/>
  <c r="BJ44"/>
  <c r="BJ45"/>
  <c r="BJ46"/>
  <c r="BJ47"/>
  <c r="BJ48"/>
  <c r="BJ49"/>
  <c r="BF17" i="1"/>
  <c r="BF18"/>
  <c r="BF20"/>
  <c r="BJ56" i="4"/>
  <c r="BJ57"/>
  <c r="BJ58"/>
  <c r="BJ59"/>
  <c r="BJ60"/>
  <c r="BJ61"/>
  <c r="BJ62"/>
  <c r="BF21" i="1"/>
  <c r="BJ51" i="4"/>
  <c r="BJ64"/>
  <c r="BJ65"/>
  <c r="BJ66"/>
  <c r="BJ67"/>
  <c r="BJ68"/>
  <c r="BJ69"/>
  <c r="BJ70"/>
  <c r="BF22" i="1"/>
  <c r="BJ78" i="4"/>
  <c r="BJ72"/>
  <c r="BJ73"/>
  <c r="BJ74"/>
  <c r="BJ75"/>
  <c r="BJ76"/>
  <c r="BJ77"/>
  <c r="BJ80"/>
  <c r="BJ93"/>
  <c r="BF24" i="1"/>
  <c r="BF25"/>
  <c r="BF27"/>
  <c r="BJ96" i="4"/>
  <c r="BF28" i="1"/>
  <c r="BJ82" i="4"/>
  <c r="BJ97"/>
  <c r="BF29" i="1"/>
  <c r="BF30"/>
  <c r="BF31"/>
  <c r="BJ103" i="4"/>
  <c r="BF32" i="1"/>
  <c r="BJ104" i="4"/>
  <c r="BJ105"/>
  <c r="BF33" i="1"/>
  <c r="BJ98" i="4"/>
  <c r="BJ101"/>
  <c r="BF34" i="1"/>
  <c r="BF35"/>
  <c r="BF36"/>
  <c r="BF37"/>
  <c r="BC40" i="17"/>
  <c r="BC43"/>
  <c r="BF11" i="3"/>
  <c r="BF14"/>
  <c r="BF16"/>
  <c r="BF18"/>
  <c r="BF21"/>
  <c r="BF24"/>
  <c r="BF28"/>
  <c r="BK53" i="4"/>
  <c r="BF30" i="3"/>
  <c r="BF33"/>
  <c r="BF41"/>
  <c r="BF44"/>
  <c r="BG8" i="1"/>
  <c r="BG10"/>
  <c r="BG11"/>
  <c r="BG12"/>
  <c r="BG15"/>
  <c r="BK38" i="4"/>
  <c r="BK32"/>
  <c r="BK33"/>
  <c r="BK34"/>
  <c r="BK35"/>
  <c r="BK36"/>
  <c r="BK37"/>
  <c r="BG16" i="1"/>
  <c r="BK27" i="4"/>
  <c r="BK42"/>
  <c r="BK43"/>
  <c r="BK44"/>
  <c r="BK45"/>
  <c r="BK46"/>
  <c r="BK47"/>
  <c r="BK48"/>
  <c r="BK49"/>
  <c r="BG17" i="1"/>
  <c r="BG18"/>
  <c r="BG20"/>
  <c r="BK56" i="4"/>
  <c r="BK57"/>
  <c r="BK58"/>
  <c r="BK59"/>
  <c r="BK60"/>
  <c r="BK61"/>
  <c r="BK62"/>
  <c r="BG21" i="1"/>
  <c r="BK51" i="4"/>
  <c r="BK64"/>
  <c r="BK65"/>
  <c r="BK66"/>
  <c r="BK67"/>
  <c r="BK68"/>
  <c r="BK69"/>
  <c r="BK70"/>
  <c r="BG22" i="1"/>
  <c r="BK78" i="4"/>
  <c r="BK72"/>
  <c r="BK73"/>
  <c r="BK74"/>
  <c r="BK75"/>
  <c r="BK76"/>
  <c r="BK77"/>
  <c r="BK80"/>
  <c r="BK93"/>
  <c r="BG24" i="1"/>
  <c r="BG25"/>
  <c r="BG27"/>
  <c r="BK96" i="4"/>
  <c r="BG28" i="1"/>
  <c r="BK82" i="4"/>
  <c r="BK97"/>
  <c r="BG29" i="1"/>
  <c r="BG30"/>
  <c r="BG31"/>
  <c r="BK103" i="4"/>
  <c r="BG32" i="1"/>
  <c r="BK104" i="4"/>
  <c r="BK105"/>
  <c r="BG33" i="1"/>
  <c r="BK98" i="4"/>
  <c r="BK101"/>
  <c r="BG34" i="1"/>
  <c r="BG35"/>
  <c r="BG36"/>
  <c r="BG37"/>
  <c r="BD40" i="17"/>
  <c r="BD43"/>
  <c r="BG11" i="3"/>
  <c r="BG14"/>
  <c r="BG16"/>
  <c r="BG18"/>
  <c r="BG21"/>
  <c r="BG24"/>
  <c r="BG28"/>
  <c r="BL53" i="4"/>
  <c r="BG30" i="3"/>
  <c r="BG33"/>
  <c r="BG41"/>
  <c r="BG44"/>
  <c r="BH8" i="1"/>
  <c r="BH10"/>
  <c r="BH11"/>
  <c r="BH12"/>
  <c r="BH15"/>
  <c r="BL38" i="4"/>
  <c r="BL32"/>
  <c r="BL33"/>
  <c r="BL34"/>
  <c r="BL35"/>
  <c r="BL36"/>
  <c r="BL37"/>
  <c r="BH16" i="1"/>
  <c r="BL27" i="4"/>
  <c r="BL42"/>
  <c r="BL43"/>
  <c r="BL44"/>
  <c r="BL45"/>
  <c r="BL46"/>
  <c r="BL47"/>
  <c r="BL48"/>
  <c r="BL49"/>
  <c r="BH17" i="1"/>
  <c r="BH18"/>
  <c r="BH20"/>
  <c r="BL56" i="4"/>
  <c r="BL57"/>
  <c r="BL58"/>
  <c r="BL59"/>
  <c r="BL60"/>
  <c r="BL61"/>
  <c r="BL62"/>
  <c r="BH21" i="1"/>
  <c r="BL51" i="4"/>
  <c r="BL64"/>
  <c r="BL65"/>
  <c r="BL66"/>
  <c r="BL67"/>
  <c r="BL68"/>
  <c r="BL69"/>
  <c r="BL70"/>
  <c r="BH22" i="1"/>
  <c r="BL78" i="4"/>
  <c r="BL72"/>
  <c r="BL73"/>
  <c r="BL74"/>
  <c r="BL75"/>
  <c r="BL76"/>
  <c r="BL77"/>
  <c r="BL80"/>
  <c r="BL93"/>
  <c r="BH24" i="1"/>
  <c r="BH25"/>
  <c r="BH27"/>
  <c r="BL96" i="4"/>
  <c r="BH28" i="1"/>
  <c r="BL82" i="4"/>
  <c r="BL97"/>
  <c r="BH29" i="1"/>
  <c r="BH30"/>
  <c r="BH31"/>
  <c r="BL103" i="4"/>
  <c r="BH32" i="1"/>
  <c r="BL104" i="4"/>
  <c r="BL105"/>
  <c r="BH33" i="1"/>
  <c r="BL98" i="4"/>
  <c r="BL101"/>
  <c r="BH34" i="1"/>
  <c r="BH35"/>
  <c r="BH36"/>
  <c r="BH37"/>
  <c r="BE40" i="17"/>
  <c r="BE43"/>
  <c r="BH11" i="3"/>
  <c r="BH14"/>
  <c r="BH16"/>
  <c r="BH18"/>
  <c r="BH21"/>
  <c r="BH24"/>
  <c r="BH28"/>
  <c r="BM53" i="4"/>
  <c r="BH30" i="3"/>
  <c r="BH33"/>
  <c r="BH41"/>
  <c r="BH44"/>
  <c r="BI8" i="1"/>
  <c r="BI10"/>
  <c r="BI11"/>
  <c r="BI12"/>
  <c r="BI15"/>
  <c r="BM38" i="4"/>
  <c r="BM32"/>
  <c r="BM33"/>
  <c r="BM34"/>
  <c r="BM35"/>
  <c r="BM36"/>
  <c r="BM37"/>
  <c r="BI16" i="1"/>
  <c r="BM27" i="4"/>
  <c r="BM42"/>
  <c r="BM43"/>
  <c r="BM44"/>
  <c r="BM45"/>
  <c r="BM46"/>
  <c r="BM47"/>
  <c r="BM48"/>
  <c r="BM49"/>
  <c r="BI17" i="1"/>
  <c r="BI18"/>
  <c r="BI20"/>
  <c r="BM56" i="4"/>
  <c r="BM57"/>
  <c r="BM58"/>
  <c r="BM59"/>
  <c r="BM60"/>
  <c r="BM61"/>
  <c r="BM62"/>
  <c r="BI21" i="1"/>
  <c r="BM51" i="4"/>
  <c r="BM64"/>
  <c r="BM65"/>
  <c r="BM66"/>
  <c r="BM67"/>
  <c r="BM68"/>
  <c r="BM69"/>
  <c r="BM70"/>
  <c r="BI22" i="1"/>
  <c r="BM78" i="4"/>
  <c r="BM72"/>
  <c r="BM73"/>
  <c r="BM74"/>
  <c r="BM75"/>
  <c r="BM76"/>
  <c r="BM77"/>
  <c r="BM80"/>
  <c r="BM93"/>
  <c r="BI24" i="1"/>
  <c r="BI25"/>
  <c r="BI27"/>
  <c r="BM96" i="4"/>
  <c r="BI28" i="1"/>
  <c r="BM82" i="4"/>
  <c r="BM97"/>
  <c r="BI29" i="1"/>
  <c r="BI30"/>
  <c r="BI31"/>
  <c r="BM103" i="4"/>
  <c r="BI32" i="1"/>
  <c r="BM104" i="4"/>
  <c r="BM105"/>
  <c r="BI33" i="1"/>
  <c r="BM98" i="4"/>
  <c r="BM101"/>
  <c r="BI34" i="1"/>
  <c r="BI35"/>
  <c r="BI36"/>
  <c r="BI37"/>
  <c r="BF40" i="17"/>
  <c r="BF43"/>
  <c r="BI11" i="3"/>
  <c r="BI14"/>
  <c r="BI16"/>
  <c r="BI18"/>
  <c r="BI21"/>
  <c r="BI24"/>
  <c r="BI28"/>
  <c r="BN53" i="4"/>
  <c r="BI30" i="3"/>
  <c r="BI33"/>
  <c r="BI41"/>
  <c r="BI44"/>
  <c r="BJ8" i="1"/>
  <c r="BJ10"/>
  <c r="BJ11"/>
  <c r="BJ12"/>
  <c r="BJ15"/>
  <c r="BN38" i="4"/>
  <c r="BN32"/>
  <c r="BN33"/>
  <c r="BN34"/>
  <c r="BN35"/>
  <c r="BN36"/>
  <c r="BN37"/>
  <c r="BJ16" i="1"/>
  <c r="BN27" i="4"/>
  <c r="BN42"/>
  <c r="BN43"/>
  <c r="BN44"/>
  <c r="BN45"/>
  <c r="BN46"/>
  <c r="BN47"/>
  <c r="BN48"/>
  <c r="BN49"/>
  <c r="BJ17" i="1"/>
  <c r="BJ18"/>
  <c r="BJ20"/>
  <c r="BN56" i="4"/>
  <c r="BN57"/>
  <c r="BN58"/>
  <c r="BN59"/>
  <c r="BN60"/>
  <c r="BN61"/>
  <c r="BN62"/>
  <c r="BJ21" i="1"/>
  <c r="BN51" i="4"/>
  <c r="BN64"/>
  <c r="BN65"/>
  <c r="BN66"/>
  <c r="BN67"/>
  <c r="BN68"/>
  <c r="BN69"/>
  <c r="BN70"/>
  <c r="BJ22" i="1"/>
  <c r="BN78" i="4"/>
  <c r="BN72"/>
  <c r="BN73"/>
  <c r="BN74"/>
  <c r="BN75"/>
  <c r="BN76"/>
  <c r="BN77"/>
  <c r="BN80"/>
  <c r="BN93"/>
  <c r="BJ24" i="1"/>
  <c r="BJ25"/>
  <c r="BJ27"/>
  <c r="BN96" i="4"/>
  <c r="BJ28" i="1"/>
  <c r="BN82" i="4"/>
  <c r="BN97"/>
  <c r="BJ29" i="1"/>
  <c r="BJ30"/>
  <c r="BJ31"/>
  <c r="BN103" i="4"/>
  <c r="BJ32" i="1"/>
  <c r="BN104" i="4"/>
  <c r="BN105"/>
  <c r="BJ33" i="1"/>
  <c r="BN98" i="4"/>
  <c r="BN101"/>
  <c r="BJ34" i="1"/>
  <c r="BJ35"/>
  <c r="BJ36"/>
  <c r="BJ37"/>
  <c r="BG40" i="17"/>
  <c r="BG43"/>
  <c r="BJ11" i="3"/>
  <c r="BJ14"/>
  <c r="BJ16"/>
  <c r="BJ18"/>
  <c r="BJ21"/>
  <c r="BJ24"/>
  <c r="BJ28"/>
  <c r="BO53" i="4"/>
  <c r="BJ30" i="3"/>
  <c r="BJ33"/>
  <c r="BJ41"/>
  <c r="BJ44"/>
  <c r="BK8" i="1"/>
  <c r="BK10"/>
  <c r="BK11"/>
  <c r="BK12"/>
  <c r="BK15"/>
  <c r="BO38" i="4"/>
  <c r="BO32"/>
  <c r="BO33"/>
  <c r="BO34"/>
  <c r="BO35"/>
  <c r="BO36"/>
  <c r="BO37"/>
  <c r="BK16" i="1"/>
  <c r="BO27" i="4"/>
  <c r="BO42"/>
  <c r="BO43"/>
  <c r="BO44"/>
  <c r="BO45"/>
  <c r="BO46"/>
  <c r="BO47"/>
  <c r="BO48"/>
  <c r="BO49"/>
  <c r="BK17" i="1"/>
  <c r="BK18"/>
  <c r="BK20"/>
  <c r="BO56" i="4"/>
  <c r="BO57"/>
  <c r="BO58"/>
  <c r="BO59"/>
  <c r="BO60"/>
  <c r="BO61"/>
  <c r="BO62"/>
  <c r="BK21" i="1"/>
  <c r="BO51" i="4"/>
  <c r="BO64"/>
  <c r="BO65"/>
  <c r="BO66"/>
  <c r="BO67"/>
  <c r="BO68"/>
  <c r="BO69"/>
  <c r="BO70"/>
  <c r="BK22" i="1"/>
  <c r="BO78" i="4"/>
  <c r="BO72"/>
  <c r="BO73"/>
  <c r="BO74"/>
  <c r="BO75"/>
  <c r="BO76"/>
  <c r="BO77"/>
  <c r="BO80"/>
  <c r="BO93"/>
  <c r="BK24" i="1"/>
  <c r="BK25"/>
  <c r="BK27"/>
  <c r="BO96" i="4"/>
  <c r="BK28" i="1"/>
  <c r="BO82" i="4"/>
  <c r="BO97"/>
  <c r="BK29" i="1"/>
  <c r="BK30"/>
  <c r="BK31"/>
  <c r="BO103" i="4"/>
  <c r="BK32" i="1"/>
  <c r="BO104" i="4"/>
  <c r="BO105"/>
  <c r="BK33" i="1"/>
  <c r="BO98" i="4"/>
  <c r="BO101"/>
  <c r="BK34" i="1"/>
  <c r="BK35"/>
  <c r="BK36"/>
  <c r="BK37"/>
  <c r="BH40" i="17"/>
  <c r="BH43"/>
  <c r="BK11" i="3"/>
  <c r="BK14"/>
  <c r="BK16"/>
  <c r="BK18"/>
  <c r="BK21"/>
  <c r="BK24"/>
  <c r="BK28"/>
  <c r="BP53" i="4"/>
  <c r="BK30" i="3"/>
  <c r="BK33"/>
  <c r="BK41"/>
  <c r="BK44"/>
  <c r="BL8" i="1"/>
  <c r="BL10"/>
  <c r="BL11"/>
  <c r="BL12"/>
  <c r="BL15"/>
  <c r="BP38" i="4"/>
  <c r="BP32"/>
  <c r="BP33"/>
  <c r="BP34"/>
  <c r="BP35"/>
  <c r="BP36"/>
  <c r="BP37"/>
  <c r="BL16" i="1"/>
  <c r="BP27" i="4"/>
  <c r="BP42"/>
  <c r="BP43"/>
  <c r="BP44"/>
  <c r="BP45"/>
  <c r="BP46"/>
  <c r="BP47"/>
  <c r="BP48"/>
  <c r="BP49"/>
  <c r="BL17" i="1"/>
  <c r="BL18"/>
  <c r="BL20"/>
  <c r="BP56" i="4"/>
  <c r="BP57"/>
  <c r="BP58"/>
  <c r="BP59"/>
  <c r="BP60"/>
  <c r="BP61"/>
  <c r="BP62"/>
  <c r="BL21" i="1"/>
  <c r="BP51" i="4"/>
  <c r="BP64"/>
  <c r="BP65"/>
  <c r="BP66"/>
  <c r="BP67"/>
  <c r="BP68"/>
  <c r="BP69"/>
  <c r="BP70"/>
  <c r="BL22" i="1"/>
  <c r="BP78" i="4"/>
  <c r="BP72"/>
  <c r="BP73"/>
  <c r="BP74"/>
  <c r="BP75"/>
  <c r="BP76"/>
  <c r="BP77"/>
  <c r="BP80"/>
  <c r="BP93"/>
  <c r="BL24" i="1"/>
  <c r="BL25"/>
  <c r="BL27"/>
  <c r="BP96" i="4"/>
  <c r="BL28" i="1"/>
  <c r="BP82" i="4"/>
  <c r="BP97"/>
  <c r="BL29" i="1"/>
  <c r="BL30"/>
  <c r="BL31"/>
  <c r="BP103" i="4"/>
  <c r="BL32" i="1"/>
  <c r="BP104" i="4"/>
  <c r="BP105"/>
  <c r="BL33" i="1"/>
  <c r="BP98" i="4"/>
  <c r="BP101"/>
  <c r="BL34" i="1"/>
  <c r="BL35"/>
  <c r="BL36"/>
  <c r="BL37"/>
  <c r="BI40" i="17"/>
  <c r="BI43"/>
  <c r="B45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46"/>
  <c r="B41"/>
  <c r="BI28" i="24"/>
  <c r="BK7" i="30"/>
  <c r="BK6"/>
  <c r="BK8"/>
  <c r="BH28" i="24"/>
  <c r="BJ7" i="30"/>
  <c r="BJ6"/>
  <c r="BJ8"/>
  <c r="BG28" i="24"/>
  <c r="BI7" i="30"/>
  <c r="BI6"/>
  <c r="BI8"/>
  <c r="BF28" i="24"/>
  <c r="BH7" i="30"/>
  <c r="BH6"/>
  <c r="BH8"/>
  <c r="BE28" i="24"/>
  <c r="BG7" i="30"/>
  <c r="BG6"/>
  <c r="BG8"/>
  <c r="BD28" i="24"/>
  <c r="BF7" i="30"/>
  <c r="BF6"/>
  <c r="BF8"/>
  <c r="BC28" i="24"/>
  <c r="BE7" i="30"/>
  <c r="BE6"/>
  <c r="BE8"/>
  <c r="BB28" i="24"/>
  <c r="BD7" i="30"/>
  <c r="BD6"/>
  <c r="BD8"/>
  <c r="BA28" i="24"/>
  <c r="BC7" i="30"/>
  <c r="BC6"/>
  <c r="BC8"/>
  <c r="AZ28" i="24"/>
  <c r="BB7" i="30"/>
  <c r="BB6"/>
  <c r="BB8"/>
  <c r="AY28" i="24"/>
  <c r="BA7" i="30"/>
  <c r="BA6"/>
  <c r="BA8"/>
  <c r="AX28" i="24"/>
  <c r="AZ7" i="30"/>
  <c r="AZ6"/>
  <c r="AZ8"/>
  <c r="AW28" i="24"/>
  <c r="AY7" i="30"/>
  <c r="AY6"/>
  <c r="AY8"/>
  <c r="AV28" i="24"/>
  <c r="AX7" i="30"/>
  <c r="AX6"/>
  <c r="AX8"/>
  <c r="AU28" i="24"/>
  <c r="AW7" i="30"/>
  <c r="AW6"/>
  <c r="AW8"/>
  <c r="AT28" i="24"/>
  <c r="AV7" i="30"/>
  <c r="AV6"/>
  <c r="AV8"/>
  <c r="AS28" i="24"/>
  <c r="AU7" i="30"/>
  <c r="AU6"/>
  <c r="AU8"/>
  <c r="AR28" i="24"/>
  <c r="AT7" i="30"/>
  <c r="AT6"/>
  <c r="AT8"/>
  <c r="AQ28" i="24"/>
  <c r="AS7" i="30"/>
  <c r="AS6"/>
  <c r="AS8"/>
  <c r="AP28" i="24"/>
  <c r="AR7" i="30"/>
  <c r="AR6"/>
  <c r="AR8"/>
  <c r="AO28" i="24"/>
  <c r="AQ7" i="30"/>
  <c r="AQ6"/>
  <c r="AQ8"/>
  <c r="AN28" i="24"/>
  <c r="AP7" i="30"/>
  <c r="AP6"/>
  <c r="AP8"/>
  <c r="AM28" i="24"/>
  <c r="AO7" i="30"/>
  <c r="AO6"/>
  <c r="AO8"/>
  <c r="AL28" i="24"/>
  <c r="AN7" i="30"/>
  <c r="AN6"/>
  <c r="AN8"/>
  <c r="AK28" i="24"/>
  <c r="AM7" i="30"/>
  <c r="AM6"/>
  <c r="AM8"/>
  <c r="AJ28" i="24"/>
  <c r="AL7" i="30"/>
  <c r="AL6"/>
  <c r="AL8"/>
  <c r="AI28" i="24"/>
  <c r="AK7" i="30"/>
  <c r="AK6"/>
  <c r="AK8"/>
  <c r="AH28" i="24"/>
  <c r="AJ7" i="30"/>
  <c r="AJ6"/>
  <c r="AJ8"/>
  <c r="AG28" i="24"/>
  <c r="AI7" i="30"/>
  <c r="AI6"/>
  <c r="AI8"/>
  <c r="AF28" i="24"/>
  <c r="AH7" i="30"/>
  <c r="AH6"/>
  <c r="AH8"/>
  <c r="AE28" i="24"/>
  <c r="AG7" i="30"/>
  <c r="AG6"/>
  <c r="AG8"/>
  <c r="AD28" i="24"/>
  <c r="AF7" i="30"/>
  <c r="AF6"/>
  <c r="AF8"/>
  <c r="AC28" i="24"/>
  <c r="AE7" i="30"/>
  <c r="AE6"/>
  <c r="AE8"/>
  <c r="AB28" i="24"/>
  <c r="AD7" i="30"/>
  <c r="AD6"/>
  <c r="AD8"/>
  <c r="AA28" i="24"/>
  <c r="AC7" i="30"/>
  <c r="AC6"/>
  <c r="AC8"/>
  <c r="Z28" i="24"/>
  <c r="AB7" i="30"/>
  <c r="AB6"/>
  <c r="AB8"/>
  <c r="Y28" i="24"/>
  <c r="AA7" i="30"/>
  <c r="AA6"/>
  <c r="AA8"/>
  <c r="X28" i="24"/>
  <c r="Z7" i="30"/>
  <c r="Z6"/>
  <c r="Z8"/>
  <c r="W28" i="24"/>
  <c r="Y7" i="30"/>
  <c r="Y6"/>
  <c r="Y8"/>
  <c r="V28" i="24"/>
  <c r="X7" i="30"/>
  <c r="X6"/>
  <c r="X8"/>
  <c r="U28" i="24"/>
  <c r="W7" i="30"/>
  <c r="W6"/>
  <c r="W8"/>
  <c r="T28" i="24"/>
  <c r="V7" i="30"/>
  <c r="V6"/>
  <c r="V8"/>
  <c r="S28" i="24"/>
  <c r="U7" i="30"/>
  <c r="U6"/>
  <c r="U8"/>
  <c r="R28" i="24"/>
  <c r="T7" i="30"/>
  <c r="T6"/>
  <c r="T8"/>
  <c r="Q28" i="24"/>
  <c r="S7" i="30"/>
  <c r="S6"/>
  <c r="S8"/>
  <c r="P28" i="24"/>
  <c r="R7" i="30"/>
  <c r="R6"/>
  <c r="R8"/>
  <c r="O28" i="24"/>
  <c r="Q7" i="30"/>
  <c r="Q6"/>
  <c r="Q8"/>
  <c r="N28" i="24"/>
  <c r="P7" i="30"/>
  <c r="P6"/>
  <c r="P8"/>
  <c r="M28" i="24"/>
  <c r="O7" i="30"/>
  <c r="O6"/>
  <c r="O8"/>
  <c r="L28" i="24"/>
  <c r="N7" i="30"/>
  <c r="N6"/>
  <c r="N8"/>
  <c r="K28" i="24"/>
  <c r="M7" i="30"/>
  <c r="M6"/>
  <c r="M8"/>
  <c r="J28" i="24"/>
  <c r="L7" i="30"/>
  <c r="L6"/>
  <c r="L8"/>
  <c r="I28" i="24"/>
  <c r="K7" i="30"/>
  <c r="K6"/>
  <c r="K8"/>
  <c r="H28" i="24"/>
  <c r="J7" i="30"/>
  <c r="J6"/>
  <c r="J8"/>
  <c r="G28" i="24"/>
  <c r="I7" i="30"/>
  <c r="I6"/>
  <c r="I8"/>
  <c r="F28" i="24"/>
  <c r="H7" i="30"/>
  <c r="H6"/>
  <c r="H8"/>
  <c r="E28" i="24"/>
  <c r="G7" i="30"/>
  <c r="G6"/>
  <c r="G8"/>
  <c r="D28" i="24"/>
  <c r="F7" i="30"/>
  <c r="F6"/>
  <c r="F8"/>
  <c r="C28" i="24"/>
  <c r="E7" i="30"/>
  <c r="E6"/>
  <c r="E8"/>
  <c r="B28" i="24"/>
  <c r="D7" i="30"/>
  <c r="D6"/>
  <c r="D8"/>
  <c r="BI29" i="24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536"/>
  <c r="A52"/>
  <c r="BI245" i="30"/>
  <c r="AW245"/>
  <c r="AK245"/>
  <c r="Y245"/>
  <c r="C24"/>
  <c r="C18"/>
  <c r="D3" i="28"/>
  <c r="E3"/>
  <c r="G3"/>
  <c r="J3"/>
  <c r="I4" i="29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I3" i="28"/>
  <c r="O3"/>
  <c r="P3"/>
  <c r="Q3"/>
  <c r="P4" i="29"/>
  <c r="O4"/>
  <c r="N4"/>
  <c r="H3" i="28"/>
  <c r="N3"/>
  <c r="M4" i="29"/>
  <c r="M3" i="28"/>
  <c r="L4" i="29"/>
  <c r="L3" i="28"/>
  <c r="K4" i="29"/>
  <c r="K3" i="28"/>
  <c r="J4" i="29"/>
  <c r="AA119" i="27"/>
  <c r="AA110"/>
  <c r="AA101"/>
  <c r="AA92"/>
  <c r="AA83"/>
  <c r="AA65"/>
  <c r="AA56"/>
  <c r="AA47"/>
  <c r="AA38"/>
  <c r="AA29"/>
  <c r="AA20"/>
  <c r="AA11"/>
  <c r="AA128"/>
  <c r="AA127"/>
  <c r="AA126"/>
  <c r="AA125"/>
  <c r="AA124"/>
  <c r="AA59"/>
  <c r="AA15"/>
  <c r="AA14"/>
  <c r="D15" i="28"/>
  <c r="D14"/>
  <c r="D13"/>
  <c r="D12"/>
  <c r="D11"/>
  <c r="D10"/>
  <c r="D9"/>
  <c r="D8"/>
  <c r="D7"/>
  <c r="D6"/>
  <c r="D5"/>
  <c r="D4"/>
  <c r="C16"/>
  <c r="G15"/>
  <c r="G4"/>
  <c r="G5"/>
  <c r="G6"/>
  <c r="G7"/>
  <c r="G8"/>
  <c r="G9"/>
  <c r="G10"/>
  <c r="G11"/>
  <c r="G12"/>
  <c r="G13"/>
  <c r="G14"/>
  <c r="G17"/>
  <c r="F15"/>
  <c r="F14"/>
  <c r="F13"/>
  <c r="F12"/>
  <c r="F11"/>
  <c r="F10"/>
  <c r="F9"/>
  <c r="F8"/>
  <c r="F7"/>
  <c r="F6"/>
  <c r="F5"/>
  <c r="F4"/>
  <c r="F3"/>
  <c r="A15"/>
  <c r="A76" i="29"/>
  <c r="A14" i="28"/>
  <c r="A70" i="29"/>
  <c r="A13" i="28"/>
  <c r="A64" i="29"/>
  <c r="A12" i="28"/>
  <c r="A58" i="29"/>
  <c r="A11" i="28"/>
  <c r="A52" i="29"/>
  <c r="A10" i="28"/>
  <c r="A46" i="29"/>
  <c r="A9" i="28"/>
  <c r="A40" i="29"/>
  <c r="A8" i="28"/>
  <c r="A34" i="29"/>
  <c r="A7" i="28"/>
  <c r="A28" i="29"/>
  <c r="A6" i="28"/>
  <c r="A22" i="29"/>
  <c r="A5" i="28"/>
  <c r="A16" i="29"/>
  <c r="A4" i="28"/>
  <c r="A10" i="29"/>
  <c r="O15" i="28"/>
  <c r="G76" i="29"/>
  <c r="I15" i="28"/>
  <c r="H15"/>
  <c r="N15"/>
  <c r="F76" i="29"/>
  <c r="M15" i="28"/>
  <c r="E76" i="29"/>
  <c r="E15" i="28"/>
  <c r="L15"/>
  <c r="D76" i="29"/>
  <c r="K15" i="28"/>
  <c r="C76" i="29"/>
  <c r="J15" i="28"/>
  <c r="B76" i="29"/>
  <c r="O14" i="28"/>
  <c r="G70" i="29"/>
  <c r="I14" i="28"/>
  <c r="H14"/>
  <c r="N14"/>
  <c r="F70" i="29"/>
  <c r="M14" i="28"/>
  <c r="E70" i="29"/>
  <c r="E14" i="28"/>
  <c r="L14"/>
  <c r="D70" i="29"/>
  <c r="K14" i="28"/>
  <c r="C70" i="29"/>
  <c r="J14" i="28"/>
  <c r="B70" i="29"/>
  <c r="O13" i="28"/>
  <c r="G64" i="29"/>
  <c r="I13" i="28"/>
  <c r="H13"/>
  <c r="N13"/>
  <c r="F64" i="29"/>
  <c r="M13" i="28"/>
  <c r="E64" i="29"/>
  <c r="E13" i="28"/>
  <c r="L13"/>
  <c r="D64" i="29"/>
  <c r="K13" i="28"/>
  <c r="C64" i="29"/>
  <c r="J13" i="28"/>
  <c r="B64" i="29"/>
  <c r="O12" i="28"/>
  <c r="G58" i="29"/>
  <c r="I12" i="28"/>
  <c r="H12"/>
  <c r="N12"/>
  <c r="F58" i="29"/>
  <c r="M12" i="28"/>
  <c r="E58" i="29"/>
  <c r="E12" i="28"/>
  <c r="L12"/>
  <c r="D58" i="29"/>
  <c r="K12" i="28"/>
  <c r="C58" i="29"/>
  <c r="J12" i="28"/>
  <c r="B58" i="29"/>
  <c r="O11" i="28"/>
  <c r="G52" i="29"/>
  <c r="I11" i="28"/>
  <c r="H11"/>
  <c r="N11"/>
  <c r="F52" i="29"/>
  <c r="M11" i="28"/>
  <c r="E52" i="29"/>
  <c r="E11" i="28"/>
  <c r="L11"/>
  <c r="D52" i="29"/>
  <c r="K11" i="28"/>
  <c r="C52" i="29"/>
  <c r="J11" i="28"/>
  <c r="B52" i="29"/>
  <c r="O10" i="28"/>
  <c r="G46" i="29"/>
  <c r="I10" i="28"/>
  <c r="H10"/>
  <c r="N10"/>
  <c r="F46" i="29"/>
  <c r="M10" i="28"/>
  <c r="E46" i="29"/>
  <c r="E10" i="28"/>
  <c r="L10"/>
  <c r="D46" i="29"/>
  <c r="K10" i="28"/>
  <c r="C46" i="29"/>
  <c r="J10" i="28"/>
  <c r="B46" i="29"/>
  <c r="O9" i="28"/>
  <c r="G40" i="29"/>
  <c r="I9" i="28"/>
  <c r="H9"/>
  <c r="N9"/>
  <c r="F40" i="29"/>
  <c r="M9" i="28"/>
  <c r="E40" i="29"/>
  <c r="E9" i="28"/>
  <c r="L9"/>
  <c r="D40" i="29"/>
  <c r="K9" i="28"/>
  <c r="C40" i="29"/>
  <c r="J9" i="28"/>
  <c r="B40" i="29"/>
  <c r="O8" i="28"/>
  <c r="G34" i="29"/>
  <c r="I8" i="28"/>
  <c r="H8"/>
  <c r="N8"/>
  <c r="F34" i="29"/>
  <c r="M8" i="28"/>
  <c r="E34" i="29"/>
  <c r="E8" i="28"/>
  <c r="L8"/>
  <c r="D34" i="29"/>
  <c r="K8" i="28"/>
  <c r="C34" i="29"/>
  <c r="J8" i="28"/>
  <c r="B34" i="29"/>
  <c r="O7" i="28"/>
  <c r="G28" i="29"/>
  <c r="I7" i="28"/>
  <c r="H7"/>
  <c r="N7"/>
  <c r="F28" i="29"/>
  <c r="M7" i="28"/>
  <c r="E28" i="29"/>
  <c r="E7" i="28"/>
  <c r="L7"/>
  <c r="D28" i="29"/>
  <c r="K7" i="28"/>
  <c r="C28" i="29"/>
  <c r="J7" i="28"/>
  <c r="B28" i="29"/>
  <c r="O6" i="28"/>
  <c r="G22" i="29"/>
  <c r="I6" i="28"/>
  <c r="H6"/>
  <c r="N6"/>
  <c r="F22" i="29"/>
  <c r="M6" i="28"/>
  <c r="E22" i="29"/>
  <c r="E6" i="28"/>
  <c r="L6"/>
  <c r="D22" i="29"/>
  <c r="K6" i="28"/>
  <c r="C22" i="29"/>
  <c r="J6" i="28"/>
  <c r="B22" i="29"/>
  <c r="O5" i="28"/>
  <c r="G16" i="29"/>
  <c r="I5" i="28"/>
  <c r="H5"/>
  <c r="N5"/>
  <c r="F16" i="29"/>
  <c r="M5" i="28"/>
  <c r="E16" i="29"/>
  <c r="E5" i="28"/>
  <c r="L5"/>
  <c r="D16" i="29"/>
  <c r="K5" i="28"/>
  <c r="C16" i="29"/>
  <c r="J5" i="28"/>
  <c r="B16" i="29"/>
  <c r="O4" i="28"/>
  <c r="G10" i="29"/>
  <c r="I4" i="28"/>
  <c r="H4"/>
  <c r="N4"/>
  <c r="F10" i="29"/>
  <c r="M4" i="28"/>
  <c r="E10" i="29"/>
  <c r="E4" i="28"/>
  <c r="L4"/>
  <c r="D10" i="29"/>
  <c r="K4" i="28"/>
  <c r="C10" i="29"/>
  <c r="J4" i="28"/>
  <c r="B10" i="29"/>
  <c r="G4"/>
  <c r="F4"/>
  <c r="E4"/>
  <c r="D4"/>
  <c r="C4"/>
  <c r="B4"/>
  <c r="G3"/>
  <c r="F3"/>
  <c r="E3"/>
  <c r="D3"/>
  <c r="C3"/>
  <c r="B3"/>
  <c r="P4" i="28"/>
  <c r="P5"/>
  <c r="P6"/>
  <c r="P7"/>
  <c r="P8"/>
  <c r="P9"/>
  <c r="P10"/>
  <c r="P11"/>
  <c r="P12"/>
  <c r="P13"/>
  <c r="P14"/>
  <c r="P15"/>
  <c r="P17"/>
  <c r="I17"/>
  <c r="H17"/>
  <c r="E17"/>
  <c r="D17"/>
  <c r="B17"/>
  <c r="Q15"/>
  <c r="Q14"/>
  <c r="Q13"/>
  <c r="Q12"/>
  <c r="Q11"/>
  <c r="Q10"/>
  <c r="Q9"/>
  <c r="Q8"/>
  <c r="Q7"/>
  <c r="Q6"/>
  <c r="Q5"/>
  <c r="Q4"/>
  <c r="AA123" i="27"/>
  <c r="AA122"/>
  <c r="AA114"/>
  <c r="AA113"/>
  <c r="AA105"/>
  <c r="AA104"/>
  <c r="AA96"/>
  <c r="AA95"/>
  <c r="AA87"/>
  <c r="AA86"/>
  <c r="AA78"/>
  <c r="AA77"/>
  <c r="AA74"/>
  <c r="AA69"/>
  <c r="AA68"/>
  <c r="AA60"/>
  <c r="AA51"/>
  <c r="AA50"/>
  <c r="AA42"/>
  <c r="AA41"/>
  <c r="AA33"/>
  <c r="AA32"/>
  <c r="AA24"/>
  <c r="AA23"/>
  <c r="AA6"/>
  <c r="AA5"/>
  <c r="BI42" i="24"/>
  <c r="AW42"/>
  <c r="AK42"/>
  <c r="Y42"/>
  <c r="M42"/>
  <c r="M39"/>
  <c r="BP90" i="4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G26" i="25"/>
  <c r="G55"/>
  <c r="H55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Y19" i="26"/>
  <c r="BX19"/>
  <c r="BW19"/>
  <c r="BV19"/>
  <c r="BU19"/>
  <c r="BT19"/>
  <c r="BS19"/>
  <c r="BR19"/>
  <c r="BQ19"/>
  <c r="BP19"/>
  <c r="BO19"/>
  <c r="BN19"/>
  <c r="BM19"/>
  <c r="BN18"/>
  <c r="BN22"/>
  <c r="BN23"/>
  <c r="BN27"/>
  <c r="BO18"/>
  <c r="BO22"/>
  <c r="BO23"/>
  <c r="BO27"/>
  <c r="BP18"/>
  <c r="BP22"/>
  <c r="BP23"/>
  <c r="BP27"/>
  <c r="BQ18"/>
  <c r="BQ22"/>
  <c r="BQ23"/>
  <c r="BQ27"/>
  <c r="BR18"/>
  <c r="BR22"/>
  <c r="BR23"/>
  <c r="BR27"/>
  <c r="BS18"/>
  <c r="BS22"/>
  <c r="BS23"/>
  <c r="BS27"/>
  <c r="BT18"/>
  <c r="BT22"/>
  <c r="BT23"/>
  <c r="BT27"/>
  <c r="BU18"/>
  <c r="BU22"/>
  <c r="BU23"/>
  <c r="BU27"/>
  <c r="BV18"/>
  <c r="BV22"/>
  <c r="BV23"/>
  <c r="BV27"/>
  <c r="BW18"/>
  <c r="BW22"/>
  <c r="BW23"/>
  <c r="BW27"/>
  <c r="BX18"/>
  <c r="BX22"/>
  <c r="BX23"/>
  <c r="BX27"/>
  <c r="BY18"/>
  <c r="BY22"/>
  <c r="BY23"/>
  <c r="BY27"/>
  <c r="BK2"/>
  <c r="BK3"/>
  <c r="BK5"/>
  <c r="BJ2"/>
  <c r="BJ3"/>
  <c r="BJ5"/>
  <c r="BI2"/>
  <c r="BI3"/>
  <c r="BI5"/>
  <c r="BH2"/>
  <c r="BH3"/>
  <c r="BH5"/>
  <c r="BG2"/>
  <c r="BG3"/>
  <c r="BG5"/>
  <c r="BF2"/>
  <c r="BF3"/>
  <c r="BF5"/>
  <c r="BE2"/>
  <c r="BE3"/>
  <c r="BE5"/>
  <c r="BD2"/>
  <c r="BD3"/>
  <c r="BD5"/>
  <c r="BC2"/>
  <c r="BC3"/>
  <c r="BC5"/>
  <c r="D2"/>
  <c r="D3"/>
  <c r="D5"/>
  <c r="E2"/>
  <c r="E3"/>
  <c r="E5"/>
  <c r="F2"/>
  <c r="F3"/>
  <c r="F5"/>
  <c r="G2"/>
  <c r="G3"/>
  <c r="G5"/>
  <c r="H2"/>
  <c r="H3"/>
  <c r="H5"/>
  <c r="I2"/>
  <c r="I3"/>
  <c r="I5"/>
  <c r="J2"/>
  <c r="J3"/>
  <c r="J5"/>
  <c r="K2"/>
  <c r="K3"/>
  <c r="K5"/>
  <c r="L2"/>
  <c r="L3"/>
  <c r="L5"/>
  <c r="M2"/>
  <c r="M3"/>
  <c r="M5"/>
  <c r="N2"/>
  <c r="N3"/>
  <c r="N5"/>
  <c r="O2"/>
  <c r="O3"/>
  <c r="O5"/>
  <c r="P2"/>
  <c r="P3"/>
  <c r="P5"/>
  <c r="Q2"/>
  <c r="Q3"/>
  <c r="Q5"/>
  <c r="R2"/>
  <c r="R3"/>
  <c r="R5"/>
  <c r="S2"/>
  <c r="S3"/>
  <c r="S5"/>
  <c r="T2"/>
  <c r="T3"/>
  <c r="T5"/>
  <c r="U2"/>
  <c r="U3"/>
  <c r="U5"/>
  <c r="V2"/>
  <c r="V3"/>
  <c r="V5"/>
  <c r="W2"/>
  <c r="W3"/>
  <c r="W5"/>
  <c r="X2"/>
  <c r="X3"/>
  <c r="X5"/>
  <c r="Y2"/>
  <c r="Y3"/>
  <c r="Y5"/>
  <c r="Z2"/>
  <c r="Z3"/>
  <c r="Z5"/>
  <c r="AA2"/>
  <c r="AA3"/>
  <c r="AA5"/>
  <c r="AB2"/>
  <c r="AB3"/>
  <c r="AB5"/>
  <c r="AC2"/>
  <c r="AC3"/>
  <c r="AC5"/>
  <c r="AD2"/>
  <c r="AD3"/>
  <c r="AD5"/>
  <c r="AE2"/>
  <c r="AE3"/>
  <c r="AE5"/>
  <c r="AF2"/>
  <c r="AF3"/>
  <c r="AF5"/>
  <c r="AG2"/>
  <c r="AG3"/>
  <c r="AG5"/>
  <c r="AH2"/>
  <c r="AH3"/>
  <c r="AH5"/>
  <c r="AI2"/>
  <c r="AI3"/>
  <c r="AI5"/>
  <c r="AJ2"/>
  <c r="AJ3"/>
  <c r="AJ5"/>
  <c r="AK2"/>
  <c r="AK3"/>
  <c r="AK5"/>
  <c r="AL2"/>
  <c r="AL3"/>
  <c r="AL5"/>
  <c r="AM2"/>
  <c r="AM3"/>
  <c r="AM5"/>
  <c r="AN2"/>
  <c r="AN3"/>
  <c r="AN5"/>
  <c r="AO2"/>
  <c r="AO3"/>
  <c r="AO5"/>
  <c r="AP2"/>
  <c r="AP3"/>
  <c r="AP5"/>
  <c r="AQ2"/>
  <c r="AQ3"/>
  <c r="AQ5"/>
  <c r="AR2"/>
  <c r="AR3"/>
  <c r="AR5"/>
  <c r="AS2"/>
  <c r="AS3"/>
  <c r="AS5"/>
  <c r="AT2"/>
  <c r="AT3"/>
  <c r="AT5"/>
  <c r="AU2"/>
  <c r="AU3"/>
  <c r="AU5"/>
  <c r="AV2"/>
  <c r="AV3"/>
  <c r="AV5"/>
  <c r="AW2"/>
  <c r="AW3"/>
  <c r="AW5"/>
  <c r="AX2"/>
  <c r="AX3"/>
  <c r="AX5"/>
  <c r="AY2"/>
  <c r="AY3"/>
  <c r="AY5"/>
  <c r="AZ2"/>
  <c r="AZ3"/>
  <c r="AZ5"/>
  <c r="BA2"/>
  <c r="BA3"/>
  <c r="BA5"/>
  <c r="BB2"/>
  <c r="BB3"/>
  <c r="BB5"/>
  <c r="BY29"/>
  <c r="BY31"/>
  <c r="BY37"/>
  <c r="BX29"/>
  <c r="BX31"/>
  <c r="BX37"/>
  <c r="BW29"/>
  <c r="BW31"/>
  <c r="BW37"/>
  <c r="BV29"/>
  <c r="BV31"/>
  <c r="BV37"/>
  <c r="BU29"/>
  <c r="BU31"/>
  <c r="BU37"/>
  <c r="BT29"/>
  <c r="BT31"/>
  <c r="BT37"/>
  <c r="BS29"/>
  <c r="BS31"/>
  <c r="BS37"/>
  <c r="BR29"/>
  <c r="BR31"/>
  <c r="BR37"/>
  <c r="BQ29"/>
  <c r="BQ31"/>
  <c r="BQ37"/>
  <c r="BP29"/>
  <c r="BP31"/>
  <c r="BP37"/>
  <c r="BO29"/>
  <c r="BO31"/>
  <c r="BO37"/>
  <c r="BN29"/>
  <c r="BN31"/>
  <c r="BN37"/>
  <c r="BM29"/>
  <c r="BM31"/>
  <c r="BM37"/>
  <c r="BM27"/>
  <c r="C17"/>
  <c r="BY9"/>
  <c r="BX9"/>
  <c r="BW9"/>
  <c r="BV9"/>
  <c r="BU9"/>
  <c r="BT9"/>
  <c r="BS9"/>
  <c r="BR9"/>
  <c r="BQ9"/>
  <c r="BP9"/>
  <c r="BO9"/>
  <c r="BN9"/>
  <c r="C9"/>
  <c r="BK4"/>
  <c r="BK6"/>
  <c r="BJ4"/>
  <c r="BJ6"/>
  <c r="BI4"/>
  <c r="BI6"/>
  <c r="BH4"/>
  <c r="BH6"/>
  <c r="BG4"/>
  <c r="BG6"/>
  <c r="BF4"/>
  <c r="BF6"/>
  <c r="BE4"/>
  <c r="BE6"/>
  <c r="BD4"/>
  <c r="BD6"/>
  <c r="BC4"/>
  <c r="BC6"/>
  <c r="BB4"/>
  <c r="BB6"/>
  <c r="BA4"/>
  <c r="BA6"/>
  <c r="AZ4"/>
  <c r="AZ6"/>
  <c r="AY4"/>
  <c r="AY6"/>
  <c r="AX4"/>
  <c r="AX6"/>
  <c r="AW4"/>
  <c r="AW6"/>
  <c r="AV4"/>
  <c r="AV6"/>
  <c r="AU4"/>
  <c r="AU6"/>
  <c r="AT4"/>
  <c r="AT6"/>
  <c r="AS4"/>
  <c r="AS6"/>
  <c r="AR4"/>
  <c r="AR6"/>
  <c r="AQ4"/>
  <c r="AQ6"/>
  <c r="AP4"/>
  <c r="AP6"/>
  <c r="AO4"/>
  <c r="AO6"/>
  <c r="AN4"/>
  <c r="AN6"/>
  <c r="AM4"/>
  <c r="AM6"/>
  <c r="AL4"/>
  <c r="AL6"/>
  <c r="AK4"/>
  <c r="AK6"/>
  <c r="AJ4"/>
  <c r="AJ6"/>
  <c r="AI4"/>
  <c r="AI6"/>
  <c r="AH4"/>
  <c r="AH6"/>
  <c r="AG4"/>
  <c r="AG6"/>
  <c r="AF4"/>
  <c r="AF6"/>
  <c r="AE4"/>
  <c r="AE6"/>
  <c r="AD4"/>
  <c r="AD6"/>
  <c r="AC4"/>
  <c r="AC6"/>
  <c r="AB4"/>
  <c r="AB6"/>
  <c r="AA4"/>
  <c r="AA6"/>
  <c r="Z4"/>
  <c r="Z6"/>
  <c r="Y4"/>
  <c r="Y6"/>
  <c r="X4"/>
  <c r="X6"/>
  <c r="W4"/>
  <c r="W6"/>
  <c r="V4"/>
  <c r="V6"/>
  <c r="U4"/>
  <c r="U6"/>
  <c r="T4"/>
  <c r="T6"/>
  <c r="S4"/>
  <c r="S6"/>
  <c r="R4"/>
  <c r="R6"/>
  <c r="Q4"/>
  <c r="Q6"/>
  <c r="P4"/>
  <c r="P6"/>
  <c r="O4"/>
  <c r="O6"/>
  <c r="N4"/>
  <c r="N6"/>
  <c r="M4"/>
  <c r="M6"/>
  <c r="L4"/>
  <c r="L6"/>
  <c r="K4"/>
  <c r="K6"/>
  <c r="J4"/>
  <c r="J6"/>
  <c r="I4"/>
  <c r="I6"/>
  <c r="H4"/>
  <c r="H6"/>
  <c r="G4"/>
  <c r="G6"/>
  <c r="F4"/>
  <c r="F6"/>
  <c r="E4"/>
  <c r="E6"/>
  <c r="D4"/>
  <c r="D6"/>
  <c r="G74" i="25"/>
  <c r="G72"/>
  <c r="G71"/>
  <c r="G70"/>
  <c r="H69"/>
  <c r="G69"/>
  <c r="I26"/>
  <c r="G67"/>
  <c r="G66"/>
  <c r="G65"/>
  <c r="BZ44" i="3"/>
  <c r="BY44"/>
  <c r="BX44"/>
  <c r="BW44"/>
  <c r="BV44"/>
  <c r="BU44"/>
  <c r="BT44"/>
  <c r="BS44"/>
  <c r="BR44"/>
  <c r="BQ44"/>
  <c r="BP44"/>
  <c r="BO44"/>
  <c r="BN44"/>
  <c r="BZ30"/>
  <c r="BZ33"/>
  <c r="BY30"/>
  <c r="BY33"/>
  <c r="BX30"/>
  <c r="BX33"/>
  <c r="BW30"/>
  <c r="BW33"/>
  <c r="BV30"/>
  <c r="BV33"/>
  <c r="BU30"/>
  <c r="BU33"/>
  <c r="BT30"/>
  <c r="BT33"/>
  <c r="BS30"/>
  <c r="BS33"/>
  <c r="BR30"/>
  <c r="BR33"/>
  <c r="BQ30"/>
  <c r="BQ33"/>
  <c r="BP30"/>
  <c r="BP33"/>
  <c r="BO30"/>
  <c r="BO33"/>
  <c r="H58" i="25"/>
  <c r="H9"/>
  <c r="H59"/>
  <c r="H61"/>
  <c r="G58"/>
  <c r="G61"/>
  <c r="G9"/>
  <c r="G60"/>
  <c r="G59"/>
  <c r="BF54"/>
  <c r="BG54"/>
  <c r="BH54"/>
  <c r="BI54"/>
  <c r="BJ54"/>
  <c r="BK54"/>
  <c r="BL54"/>
  <c r="BM54"/>
  <c r="BN54"/>
  <c r="BO54"/>
  <c r="BP54"/>
  <c r="AT54"/>
  <c r="AU54"/>
  <c r="AV54"/>
  <c r="AW54"/>
  <c r="AX54"/>
  <c r="AY54"/>
  <c r="AZ54"/>
  <c r="BA54"/>
  <c r="BB54"/>
  <c r="BC54"/>
  <c r="BD54"/>
  <c r="AH54"/>
  <c r="AI54"/>
  <c r="AJ54"/>
  <c r="AK54"/>
  <c r="AL54"/>
  <c r="AM54"/>
  <c r="AN54"/>
  <c r="AO54"/>
  <c r="AP54"/>
  <c r="AQ54"/>
  <c r="AR54"/>
  <c r="V54"/>
  <c r="W54"/>
  <c r="X54"/>
  <c r="Y54"/>
  <c r="Z54"/>
  <c r="AA54"/>
  <c r="AB54"/>
  <c r="AC54"/>
  <c r="AD54"/>
  <c r="AE54"/>
  <c r="AF54"/>
  <c r="J54"/>
  <c r="K54"/>
  <c r="L54"/>
  <c r="M54"/>
  <c r="N54"/>
  <c r="O54"/>
  <c r="P54"/>
  <c r="Q54"/>
  <c r="R54"/>
  <c r="S54"/>
  <c r="T54"/>
  <c r="H48"/>
  <c r="H49"/>
  <c r="H50"/>
  <c r="H51"/>
  <c r="G48"/>
  <c r="G49"/>
  <c r="G50"/>
  <c r="G51"/>
  <c r="BI10" i="24"/>
  <c r="AW10"/>
  <c r="AK10"/>
  <c r="Y10"/>
  <c r="M10"/>
  <c r="BI13"/>
  <c r="AW13"/>
  <c r="AK13"/>
  <c r="M13"/>
  <c r="AX73" i="17"/>
  <c r="AX540" i="24"/>
  <c r="AX49"/>
  <c r="AW73" i="17"/>
  <c r="AW540" i="24"/>
  <c r="AX57"/>
  <c r="AX65"/>
  <c r="AU73" i="17"/>
  <c r="AU540" i="24"/>
  <c r="AX73"/>
  <c r="AX81"/>
  <c r="AX88"/>
  <c r="AX95"/>
  <c r="AQ73" i="17"/>
  <c r="AQ540" i="24"/>
  <c r="AX103"/>
  <c r="AX111"/>
  <c r="AO73" i="17"/>
  <c r="AO540" i="24"/>
  <c r="AX119"/>
  <c r="AX127"/>
  <c r="AM73" i="17"/>
  <c r="AM540" i="24"/>
  <c r="AX135"/>
  <c r="AX143"/>
  <c r="AK73" i="17"/>
  <c r="AK540" i="24"/>
  <c r="AX151"/>
  <c r="AX159"/>
  <c r="AI73" i="17"/>
  <c r="AI540" i="24"/>
  <c r="AX167"/>
  <c r="AH73" i="17"/>
  <c r="AH540" i="24"/>
  <c r="AX175"/>
  <c r="AG73" i="17"/>
  <c r="AG540" i="24"/>
  <c r="AX183"/>
  <c r="AF73" i="17"/>
  <c r="AF540" i="24"/>
  <c r="AX191"/>
  <c r="AE73" i="17"/>
  <c r="AE540" i="24"/>
  <c r="AX199"/>
  <c r="AX207"/>
  <c r="AC73" i="17"/>
  <c r="AC540" i="24"/>
  <c r="AX215"/>
  <c r="AX223"/>
  <c r="AA73" i="17"/>
  <c r="AA540" i="24"/>
  <c r="AX231"/>
  <c r="AX239"/>
  <c r="Y73" i="17"/>
  <c r="Y540" i="24"/>
  <c r="AX247"/>
  <c r="X73" i="17"/>
  <c r="X540" i="24"/>
  <c r="AX255"/>
  <c r="W73" i="17"/>
  <c r="W540" i="24"/>
  <c r="AX263"/>
  <c r="V73" i="17"/>
  <c r="V540" i="24"/>
  <c r="AX271"/>
  <c r="U73" i="17"/>
  <c r="U540" i="24"/>
  <c r="AX279"/>
  <c r="T73" i="17"/>
  <c r="T540" i="24"/>
  <c r="AX287"/>
  <c r="AX295"/>
  <c r="R73" i="17"/>
  <c r="R540" i="24"/>
  <c r="AX303"/>
  <c r="AX311"/>
  <c r="P73" i="17"/>
  <c r="P540" i="24"/>
  <c r="AX319"/>
  <c r="AX327"/>
  <c r="N73" i="17"/>
  <c r="N540" i="24"/>
  <c r="AX335"/>
  <c r="M73" i="17"/>
  <c r="M540" i="24"/>
  <c r="AX343"/>
  <c r="AX351"/>
  <c r="K73" i="17"/>
  <c r="K540" i="24"/>
  <c r="AX359"/>
  <c r="AX367"/>
  <c r="I73" i="17"/>
  <c r="I540" i="24"/>
  <c r="AX375"/>
  <c r="H73" i="17"/>
  <c r="H540" i="24"/>
  <c r="AX383"/>
  <c r="AX391"/>
  <c r="F73" i="17"/>
  <c r="F540" i="24"/>
  <c r="AX399"/>
  <c r="E73" i="17"/>
  <c r="E540" i="24"/>
  <c r="AX407"/>
  <c r="AX415"/>
  <c r="C73" i="17"/>
  <c r="C540" i="24"/>
  <c r="AX423"/>
  <c r="B73" i="17"/>
  <c r="B540" i="24"/>
  <c r="AX431"/>
  <c r="AX15"/>
  <c r="AY73" i="17"/>
  <c r="AY540" i="24"/>
  <c r="AY49"/>
  <c r="AY57"/>
  <c r="AY65"/>
  <c r="AV73" i="17"/>
  <c r="AV540" i="24"/>
  <c r="AY73"/>
  <c r="AY81"/>
  <c r="AY88"/>
  <c r="AY95"/>
  <c r="AR73" i="17"/>
  <c r="AR540" i="24"/>
  <c r="AY103"/>
  <c r="AY111"/>
  <c r="AP73" i="17"/>
  <c r="AP540" i="24"/>
  <c r="AY119"/>
  <c r="AY127"/>
  <c r="AN73" i="17"/>
  <c r="AN540" i="24"/>
  <c r="AY135"/>
  <c r="AY143"/>
  <c r="AL73" i="17"/>
  <c r="AL540" i="24"/>
  <c r="AY151"/>
  <c r="AY159"/>
  <c r="AJ73" i="17"/>
  <c r="AJ540" i="24"/>
  <c r="AY167"/>
  <c r="AY175"/>
  <c r="AY183"/>
  <c r="AY191"/>
  <c r="AY199"/>
  <c r="AY207"/>
  <c r="AD73" i="17"/>
  <c r="AD540" i="24"/>
  <c r="AY215"/>
  <c r="AY223"/>
  <c r="AB73" i="17"/>
  <c r="AB540" i="24"/>
  <c r="AY231"/>
  <c r="AY239"/>
  <c r="Z73" i="17"/>
  <c r="Z540" i="24"/>
  <c r="AY247"/>
  <c r="AY255"/>
  <c r="AY263"/>
  <c r="AY271"/>
  <c r="AY279"/>
  <c r="AY287"/>
  <c r="AY295"/>
  <c r="S73" i="17"/>
  <c r="S540" i="24"/>
  <c r="AY303"/>
  <c r="AY311"/>
  <c r="Q73" i="17"/>
  <c r="Q540" i="24"/>
  <c r="AY319"/>
  <c r="AY327"/>
  <c r="O73" i="17"/>
  <c r="O540" i="24"/>
  <c r="AY335"/>
  <c r="AY343"/>
  <c r="AY351"/>
  <c r="L73" i="17"/>
  <c r="L540" i="24"/>
  <c r="AY359"/>
  <c r="AY367"/>
  <c r="J73" i="17"/>
  <c r="J540" i="24"/>
  <c r="AY375"/>
  <c r="AY383"/>
  <c r="AY391"/>
  <c r="G73" i="17"/>
  <c r="G540" i="24"/>
  <c r="AY399"/>
  <c r="AY407"/>
  <c r="AY415"/>
  <c r="D73" i="17"/>
  <c r="D540" i="24"/>
  <c r="AY423"/>
  <c r="AY431"/>
  <c r="AY439"/>
  <c r="AY15"/>
  <c r="AZ73" i="17"/>
  <c r="AZ540" i="24"/>
  <c r="AZ49"/>
  <c r="AZ57"/>
  <c r="AZ65"/>
  <c r="AZ73"/>
  <c r="AZ81"/>
  <c r="AZ88"/>
  <c r="AZ95"/>
  <c r="AS73" i="17"/>
  <c r="AS540" i="24"/>
  <c r="AZ103"/>
  <c r="AZ111"/>
  <c r="AZ119"/>
  <c r="AZ127"/>
  <c r="AZ135"/>
  <c r="AZ143"/>
  <c r="AZ151"/>
  <c r="AZ159"/>
  <c r="AZ167"/>
  <c r="AZ175"/>
  <c r="AZ183"/>
  <c r="AZ191"/>
  <c r="AZ199"/>
  <c r="AZ207"/>
  <c r="AZ215"/>
  <c r="AZ223"/>
  <c r="AZ231"/>
  <c r="AZ239"/>
  <c r="AZ247"/>
  <c r="AZ255"/>
  <c r="AZ263"/>
  <c r="AZ271"/>
  <c r="AZ279"/>
  <c r="AZ287"/>
  <c r="AZ295"/>
  <c r="AZ303"/>
  <c r="AZ311"/>
  <c r="AZ319"/>
  <c r="AZ327"/>
  <c r="AZ335"/>
  <c r="AZ343"/>
  <c r="AZ351"/>
  <c r="AZ359"/>
  <c r="AZ367"/>
  <c r="AZ375"/>
  <c r="AZ383"/>
  <c r="AZ391"/>
  <c r="AZ399"/>
  <c r="AZ407"/>
  <c r="AZ415"/>
  <c r="AZ423"/>
  <c r="AZ431"/>
  <c r="AZ439"/>
  <c r="AZ447"/>
  <c r="AZ15"/>
  <c r="BA73" i="17"/>
  <c r="BA540" i="24"/>
  <c r="BA49"/>
  <c r="BA57"/>
  <c r="BA65"/>
  <c r="BA73"/>
  <c r="BA81"/>
  <c r="BA88"/>
  <c r="BA95"/>
  <c r="AT73" i="17"/>
  <c r="AT540" i="24"/>
  <c r="BA103"/>
  <c r="BA111"/>
  <c r="BA119"/>
  <c r="BA127"/>
  <c r="BA135"/>
  <c r="BA143"/>
  <c r="BA151"/>
  <c r="BA159"/>
  <c r="BA167"/>
  <c r="BA175"/>
  <c r="BA183"/>
  <c r="BA191"/>
  <c r="BA199"/>
  <c r="BA207"/>
  <c r="BA215"/>
  <c r="BA223"/>
  <c r="BA231"/>
  <c r="BA239"/>
  <c r="BA247"/>
  <c r="BA255"/>
  <c r="BA263"/>
  <c r="BA271"/>
  <c r="BA279"/>
  <c r="BA287"/>
  <c r="BA295"/>
  <c r="BA303"/>
  <c r="BA311"/>
  <c r="BA319"/>
  <c r="BA327"/>
  <c r="BA335"/>
  <c r="BA343"/>
  <c r="BA351"/>
  <c r="BA359"/>
  <c r="BA367"/>
  <c r="BA375"/>
  <c r="BA383"/>
  <c r="BA391"/>
  <c r="BA399"/>
  <c r="BA407"/>
  <c r="BA415"/>
  <c r="BA423"/>
  <c r="BA431"/>
  <c r="BA439"/>
  <c r="BA447"/>
  <c r="BA455"/>
  <c r="BA15"/>
  <c r="BB73" i="17"/>
  <c r="BB540" i="24"/>
  <c r="BB49"/>
  <c r="BB57"/>
  <c r="BB65"/>
  <c r="BB73"/>
  <c r="BB81"/>
  <c r="BB88"/>
  <c r="BB95"/>
  <c r="BB103"/>
  <c r="BB111"/>
  <c r="BB119"/>
  <c r="BB127"/>
  <c r="BB135"/>
  <c r="BB143"/>
  <c r="BB151"/>
  <c r="BB159"/>
  <c r="BB167"/>
  <c r="BB175"/>
  <c r="BB183"/>
  <c r="BB191"/>
  <c r="BB199"/>
  <c r="BB207"/>
  <c r="BB215"/>
  <c r="BB223"/>
  <c r="BB231"/>
  <c r="BB239"/>
  <c r="BB247"/>
  <c r="BB255"/>
  <c r="BB263"/>
  <c r="BB271"/>
  <c r="BB279"/>
  <c r="BB287"/>
  <c r="BB295"/>
  <c r="BB303"/>
  <c r="BB311"/>
  <c r="BB319"/>
  <c r="BB327"/>
  <c r="BB335"/>
  <c r="BB343"/>
  <c r="BB351"/>
  <c r="BB359"/>
  <c r="BB367"/>
  <c r="BB375"/>
  <c r="BB383"/>
  <c r="BB391"/>
  <c r="BB399"/>
  <c r="BB407"/>
  <c r="BB415"/>
  <c r="BB423"/>
  <c r="BB431"/>
  <c r="BB439"/>
  <c r="BB447"/>
  <c r="BB455"/>
  <c r="BB463"/>
  <c r="BB15"/>
  <c r="BC73" i="17"/>
  <c r="BC540" i="24"/>
  <c r="BC49"/>
  <c r="BC57"/>
  <c r="BC65"/>
  <c r="BC73"/>
  <c r="BC81"/>
  <c r="BC88"/>
  <c r="BC95"/>
  <c r="BC103"/>
  <c r="BC111"/>
  <c r="BC119"/>
  <c r="BC127"/>
  <c r="BC135"/>
  <c r="BC143"/>
  <c r="BC151"/>
  <c r="BC159"/>
  <c r="BC167"/>
  <c r="BC175"/>
  <c r="BC183"/>
  <c r="BC191"/>
  <c r="BC199"/>
  <c r="BC207"/>
  <c r="BC215"/>
  <c r="BC223"/>
  <c r="BC231"/>
  <c r="BC239"/>
  <c r="BC247"/>
  <c r="BC255"/>
  <c r="BC263"/>
  <c r="BC271"/>
  <c r="BC279"/>
  <c r="BC287"/>
  <c r="BC295"/>
  <c r="BC303"/>
  <c r="BC311"/>
  <c r="BC319"/>
  <c r="BC327"/>
  <c r="BC335"/>
  <c r="BC343"/>
  <c r="BC351"/>
  <c r="BC359"/>
  <c r="BC367"/>
  <c r="BC375"/>
  <c r="BC383"/>
  <c r="BC391"/>
  <c r="BC399"/>
  <c r="BC407"/>
  <c r="BC415"/>
  <c r="BC423"/>
  <c r="BC431"/>
  <c r="BC439"/>
  <c r="BC447"/>
  <c r="BC455"/>
  <c r="BC463"/>
  <c r="BC471"/>
  <c r="BC15"/>
  <c r="BD73" i="17"/>
  <c r="BD540" i="24"/>
  <c r="BD49"/>
  <c r="BD57"/>
  <c r="BD65"/>
  <c r="BD73"/>
  <c r="BD81"/>
  <c r="BD88"/>
  <c r="BD95"/>
  <c r="BD103"/>
  <c r="BD111"/>
  <c r="BD119"/>
  <c r="BD127"/>
  <c r="BD135"/>
  <c r="BD143"/>
  <c r="BD151"/>
  <c r="BD159"/>
  <c r="BD167"/>
  <c r="BD175"/>
  <c r="BD183"/>
  <c r="BD191"/>
  <c r="BD199"/>
  <c r="BD207"/>
  <c r="BD215"/>
  <c r="BD223"/>
  <c r="BD231"/>
  <c r="BD239"/>
  <c r="BD247"/>
  <c r="BD255"/>
  <c r="BD263"/>
  <c r="BD271"/>
  <c r="BD279"/>
  <c r="BD287"/>
  <c r="BD295"/>
  <c r="BD303"/>
  <c r="BD311"/>
  <c r="BD319"/>
  <c r="BD327"/>
  <c r="BD335"/>
  <c r="BD343"/>
  <c r="BD351"/>
  <c r="BD359"/>
  <c r="BD367"/>
  <c r="BD375"/>
  <c r="BD383"/>
  <c r="BD391"/>
  <c r="BD399"/>
  <c r="BD407"/>
  <c r="BD415"/>
  <c r="BD423"/>
  <c r="BD431"/>
  <c r="BD439"/>
  <c r="BD447"/>
  <c r="BD455"/>
  <c r="BD463"/>
  <c r="BD471"/>
  <c r="BD479"/>
  <c r="BD15"/>
  <c r="BE73" i="17"/>
  <c r="BE540" i="24"/>
  <c r="BE49"/>
  <c r="BE57"/>
  <c r="BE65"/>
  <c r="BE73"/>
  <c r="BE81"/>
  <c r="BE88"/>
  <c r="BE95"/>
  <c r="BE103"/>
  <c r="BE111"/>
  <c r="BE119"/>
  <c r="BE127"/>
  <c r="BE135"/>
  <c r="BE143"/>
  <c r="BE151"/>
  <c r="BE159"/>
  <c r="BE167"/>
  <c r="BE175"/>
  <c r="BE183"/>
  <c r="BE191"/>
  <c r="BE199"/>
  <c r="BE207"/>
  <c r="BE215"/>
  <c r="BE223"/>
  <c r="BE231"/>
  <c r="BE239"/>
  <c r="BE247"/>
  <c r="BE255"/>
  <c r="BE263"/>
  <c r="BE271"/>
  <c r="BE279"/>
  <c r="BE287"/>
  <c r="BE295"/>
  <c r="BE303"/>
  <c r="BE311"/>
  <c r="BE319"/>
  <c r="BE327"/>
  <c r="BE335"/>
  <c r="BE343"/>
  <c r="BE351"/>
  <c r="BE359"/>
  <c r="BE367"/>
  <c r="BE375"/>
  <c r="BE383"/>
  <c r="BE391"/>
  <c r="BE399"/>
  <c r="BE407"/>
  <c r="BE415"/>
  <c r="BE423"/>
  <c r="BE431"/>
  <c r="BE439"/>
  <c r="BE447"/>
  <c r="BE455"/>
  <c r="BE463"/>
  <c r="BE471"/>
  <c r="BE479"/>
  <c r="BE487"/>
  <c r="BE15"/>
  <c r="BF73" i="17"/>
  <c r="BF540" i="24"/>
  <c r="BF49"/>
  <c r="BF57"/>
  <c r="BF65"/>
  <c r="BF73"/>
  <c r="BF81"/>
  <c r="BF88"/>
  <c r="BF95"/>
  <c r="BF103"/>
  <c r="BF111"/>
  <c r="BF119"/>
  <c r="BF127"/>
  <c r="BF135"/>
  <c r="BF143"/>
  <c r="BF151"/>
  <c r="BF159"/>
  <c r="BF167"/>
  <c r="BF175"/>
  <c r="BF183"/>
  <c r="BF191"/>
  <c r="BF199"/>
  <c r="BF207"/>
  <c r="BF215"/>
  <c r="BF223"/>
  <c r="BF231"/>
  <c r="BF239"/>
  <c r="BF247"/>
  <c r="BF255"/>
  <c r="BF263"/>
  <c r="BF271"/>
  <c r="BF279"/>
  <c r="BF287"/>
  <c r="BF295"/>
  <c r="BF303"/>
  <c r="BF311"/>
  <c r="BF319"/>
  <c r="BF327"/>
  <c r="BF335"/>
  <c r="BF343"/>
  <c r="BF351"/>
  <c r="BF359"/>
  <c r="BF367"/>
  <c r="BF375"/>
  <c r="BF383"/>
  <c r="BF391"/>
  <c r="BF399"/>
  <c r="BF407"/>
  <c r="BF415"/>
  <c r="BF423"/>
  <c r="BF431"/>
  <c r="BF439"/>
  <c r="BF447"/>
  <c r="BF455"/>
  <c r="BF463"/>
  <c r="BF471"/>
  <c r="BF479"/>
  <c r="BF487"/>
  <c r="BF495"/>
  <c r="BF15"/>
  <c r="BG73" i="17"/>
  <c r="BG540" i="24"/>
  <c r="BG49"/>
  <c r="BG57"/>
  <c r="BG65"/>
  <c r="BG73"/>
  <c r="BG81"/>
  <c r="BG88"/>
  <c r="BG95"/>
  <c r="BG103"/>
  <c r="BG111"/>
  <c r="BG119"/>
  <c r="BG127"/>
  <c r="BG135"/>
  <c r="BG143"/>
  <c r="BG151"/>
  <c r="BG159"/>
  <c r="BG167"/>
  <c r="BG175"/>
  <c r="BG183"/>
  <c r="BG191"/>
  <c r="BG199"/>
  <c r="BG207"/>
  <c r="BG215"/>
  <c r="BG223"/>
  <c r="BG231"/>
  <c r="BG239"/>
  <c r="BG247"/>
  <c r="BG255"/>
  <c r="BG263"/>
  <c r="BG271"/>
  <c r="BG279"/>
  <c r="BG287"/>
  <c r="BG295"/>
  <c r="BG303"/>
  <c r="BG311"/>
  <c r="BG319"/>
  <c r="BG327"/>
  <c r="BG335"/>
  <c r="BG343"/>
  <c r="BG351"/>
  <c r="BG359"/>
  <c r="BG367"/>
  <c r="BG375"/>
  <c r="BG383"/>
  <c r="BG391"/>
  <c r="BG399"/>
  <c r="BG407"/>
  <c r="BG415"/>
  <c r="BG423"/>
  <c r="BG431"/>
  <c r="BG439"/>
  <c r="BG447"/>
  <c r="BG455"/>
  <c r="BG463"/>
  <c r="BG471"/>
  <c r="BG479"/>
  <c r="BG487"/>
  <c r="BG495"/>
  <c r="BG503"/>
  <c r="BG15"/>
  <c r="BH73" i="17"/>
  <c r="BH540" i="24"/>
  <c r="BH49"/>
  <c r="BH57"/>
  <c r="BH65"/>
  <c r="BH73"/>
  <c r="BH81"/>
  <c r="BH88"/>
  <c r="BH95"/>
  <c r="BH103"/>
  <c r="BH111"/>
  <c r="BH119"/>
  <c r="BH127"/>
  <c r="BH135"/>
  <c r="BH143"/>
  <c r="BH151"/>
  <c r="BH159"/>
  <c r="BH167"/>
  <c r="BH175"/>
  <c r="BH183"/>
  <c r="BH191"/>
  <c r="BH199"/>
  <c r="BH207"/>
  <c r="BH215"/>
  <c r="BH223"/>
  <c r="BH231"/>
  <c r="BH239"/>
  <c r="BH247"/>
  <c r="BH255"/>
  <c r="BH263"/>
  <c r="BH271"/>
  <c r="BH279"/>
  <c r="BH287"/>
  <c r="BH295"/>
  <c r="BH303"/>
  <c r="BH311"/>
  <c r="BH319"/>
  <c r="BH327"/>
  <c r="BH335"/>
  <c r="BH343"/>
  <c r="BH351"/>
  <c r="BH359"/>
  <c r="BH367"/>
  <c r="BH375"/>
  <c r="BH383"/>
  <c r="BH391"/>
  <c r="BH399"/>
  <c r="BH407"/>
  <c r="BH415"/>
  <c r="BH423"/>
  <c r="BH431"/>
  <c r="BH439"/>
  <c r="BH447"/>
  <c r="BH455"/>
  <c r="BH463"/>
  <c r="BH471"/>
  <c r="BH479"/>
  <c r="BH487"/>
  <c r="BH495"/>
  <c r="BH503"/>
  <c r="BH511"/>
  <c r="BH15"/>
  <c r="BI73" i="17"/>
  <c r="BI540" i="24"/>
  <c r="BI49"/>
  <c r="BI57"/>
  <c r="BI65"/>
  <c r="BI73"/>
  <c r="BI81"/>
  <c r="BI88"/>
  <c r="BI95"/>
  <c r="BI103"/>
  <c r="BI111"/>
  <c r="BI119"/>
  <c r="BI127"/>
  <c r="BI135"/>
  <c r="BI143"/>
  <c r="BI151"/>
  <c r="BI159"/>
  <c r="BI167"/>
  <c r="BI175"/>
  <c r="BI183"/>
  <c r="BI191"/>
  <c r="BI199"/>
  <c r="BI207"/>
  <c r="BI215"/>
  <c r="BI223"/>
  <c r="BI231"/>
  <c r="BI239"/>
  <c r="BI247"/>
  <c r="BI255"/>
  <c r="BI263"/>
  <c r="BI271"/>
  <c r="BI279"/>
  <c r="BI287"/>
  <c r="BI295"/>
  <c r="BI303"/>
  <c r="BI311"/>
  <c r="BI319"/>
  <c r="BI327"/>
  <c r="BI335"/>
  <c r="BI343"/>
  <c r="BI351"/>
  <c r="BI359"/>
  <c r="BI367"/>
  <c r="BI375"/>
  <c r="BI383"/>
  <c r="BI391"/>
  <c r="BI399"/>
  <c r="BI407"/>
  <c r="BI415"/>
  <c r="BI423"/>
  <c r="BI431"/>
  <c r="BI439"/>
  <c r="BI447"/>
  <c r="BI455"/>
  <c r="BI463"/>
  <c r="BI471"/>
  <c r="BI479"/>
  <c r="BI487"/>
  <c r="BI495"/>
  <c r="BI503"/>
  <c r="BI511"/>
  <c r="BI519"/>
  <c r="BI15"/>
  <c r="BI16"/>
  <c r="AL49"/>
  <c r="AL57"/>
  <c r="AL65"/>
  <c r="AL73"/>
  <c r="AL81"/>
  <c r="AL88"/>
  <c r="AL95"/>
  <c r="AL103"/>
  <c r="AL111"/>
  <c r="AL119"/>
  <c r="AL127"/>
  <c r="AL135"/>
  <c r="AL143"/>
  <c r="AL151"/>
  <c r="AL159"/>
  <c r="AL167"/>
  <c r="AL175"/>
  <c r="AL183"/>
  <c r="AL191"/>
  <c r="AL199"/>
  <c r="AL207"/>
  <c r="AL215"/>
  <c r="AL223"/>
  <c r="AL231"/>
  <c r="AL239"/>
  <c r="AL247"/>
  <c r="AL255"/>
  <c r="AL263"/>
  <c r="AL271"/>
  <c r="AL279"/>
  <c r="AL287"/>
  <c r="AL295"/>
  <c r="AL303"/>
  <c r="AL311"/>
  <c r="AL319"/>
  <c r="AL327"/>
  <c r="AL335"/>
  <c r="AL15"/>
  <c r="AM49"/>
  <c r="AM57"/>
  <c r="AM65"/>
  <c r="AM73"/>
  <c r="AM81"/>
  <c r="AM88"/>
  <c r="AM95"/>
  <c r="AM103"/>
  <c r="AM111"/>
  <c r="AM119"/>
  <c r="AM127"/>
  <c r="AM135"/>
  <c r="AM143"/>
  <c r="AM151"/>
  <c r="AM159"/>
  <c r="AM167"/>
  <c r="AM175"/>
  <c r="AM183"/>
  <c r="AM191"/>
  <c r="AM199"/>
  <c r="AM207"/>
  <c r="AM215"/>
  <c r="AM223"/>
  <c r="AM231"/>
  <c r="AM239"/>
  <c r="AM247"/>
  <c r="AM255"/>
  <c r="AM263"/>
  <c r="AM271"/>
  <c r="AM279"/>
  <c r="AM287"/>
  <c r="AM295"/>
  <c r="AM303"/>
  <c r="AM311"/>
  <c r="AM319"/>
  <c r="AM327"/>
  <c r="AM335"/>
  <c r="AM343"/>
  <c r="AM15"/>
  <c r="AN49"/>
  <c r="AN57"/>
  <c r="AN65"/>
  <c r="AN73"/>
  <c r="AN81"/>
  <c r="AN88"/>
  <c r="AN95"/>
  <c r="AN103"/>
  <c r="AN111"/>
  <c r="AN119"/>
  <c r="AN127"/>
  <c r="AN135"/>
  <c r="AN143"/>
  <c r="AN151"/>
  <c r="AN159"/>
  <c r="AN167"/>
  <c r="AN175"/>
  <c r="AN183"/>
  <c r="AN191"/>
  <c r="AN199"/>
  <c r="AN207"/>
  <c r="AN215"/>
  <c r="AN223"/>
  <c r="AN231"/>
  <c r="AN239"/>
  <c r="AN247"/>
  <c r="AN255"/>
  <c r="AN263"/>
  <c r="AN271"/>
  <c r="AN279"/>
  <c r="AN287"/>
  <c r="AN295"/>
  <c r="AN303"/>
  <c r="AN311"/>
  <c r="AN319"/>
  <c r="AN327"/>
  <c r="AN335"/>
  <c r="AN343"/>
  <c r="AN351"/>
  <c r="AN15"/>
  <c r="AO49"/>
  <c r="AO57"/>
  <c r="AO65"/>
  <c r="AO73"/>
  <c r="AO81"/>
  <c r="AO88"/>
  <c r="AO95"/>
  <c r="AO103"/>
  <c r="AO111"/>
  <c r="AO119"/>
  <c r="AO127"/>
  <c r="AO135"/>
  <c r="AO143"/>
  <c r="AO151"/>
  <c r="AO159"/>
  <c r="AO167"/>
  <c r="AO175"/>
  <c r="AO183"/>
  <c r="AO191"/>
  <c r="AO199"/>
  <c r="AO207"/>
  <c r="AO215"/>
  <c r="AO223"/>
  <c r="AO231"/>
  <c r="AO239"/>
  <c r="AO247"/>
  <c r="AO255"/>
  <c r="AO263"/>
  <c r="AO271"/>
  <c r="AO279"/>
  <c r="AO287"/>
  <c r="AO295"/>
  <c r="AO303"/>
  <c r="AO311"/>
  <c r="AO319"/>
  <c r="AO327"/>
  <c r="AO335"/>
  <c r="AO343"/>
  <c r="AO351"/>
  <c r="AO359"/>
  <c r="AO15"/>
  <c r="AP49"/>
  <c r="AP57"/>
  <c r="AP65"/>
  <c r="AP73"/>
  <c r="AP81"/>
  <c r="AP88"/>
  <c r="AP95"/>
  <c r="AP103"/>
  <c r="AP111"/>
  <c r="AP119"/>
  <c r="AP127"/>
  <c r="AP135"/>
  <c r="AP143"/>
  <c r="AP151"/>
  <c r="AP159"/>
  <c r="AP167"/>
  <c r="AP175"/>
  <c r="AP183"/>
  <c r="AP191"/>
  <c r="AP199"/>
  <c r="AP207"/>
  <c r="AP215"/>
  <c r="AP223"/>
  <c r="AP231"/>
  <c r="AP239"/>
  <c r="AP247"/>
  <c r="AP255"/>
  <c r="AP263"/>
  <c r="AP271"/>
  <c r="AP279"/>
  <c r="AP287"/>
  <c r="AP295"/>
  <c r="AP303"/>
  <c r="AP311"/>
  <c r="AP319"/>
  <c r="AP327"/>
  <c r="AP335"/>
  <c r="AP343"/>
  <c r="AP351"/>
  <c r="AP359"/>
  <c r="AP367"/>
  <c r="AP15"/>
  <c r="AQ49"/>
  <c r="AQ57"/>
  <c r="AQ65"/>
  <c r="AQ73"/>
  <c r="AQ81"/>
  <c r="AQ88"/>
  <c r="AQ95"/>
  <c r="AQ103"/>
  <c r="AQ111"/>
  <c r="AQ119"/>
  <c r="AQ127"/>
  <c r="AQ135"/>
  <c r="AQ143"/>
  <c r="AQ151"/>
  <c r="AQ159"/>
  <c r="AQ167"/>
  <c r="AQ175"/>
  <c r="AQ183"/>
  <c r="AQ191"/>
  <c r="AQ199"/>
  <c r="AQ207"/>
  <c r="AQ215"/>
  <c r="AQ223"/>
  <c r="AQ231"/>
  <c r="AQ239"/>
  <c r="AQ247"/>
  <c r="AQ255"/>
  <c r="AQ263"/>
  <c r="AQ271"/>
  <c r="AQ279"/>
  <c r="AQ287"/>
  <c r="AQ295"/>
  <c r="AQ303"/>
  <c r="AQ311"/>
  <c r="AQ319"/>
  <c r="AQ327"/>
  <c r="AQ335"/>
  <c r="AQ343"/>
  <c r="AQ351"/>
  <c r="AQ359"/>
  <c r="AQ367"/>
  <c r="AQ375"/>
  <c r="AQ15"/>
  <c r="AR49"/>
  <c r="AR57"/>
  <c r="AR65"/>
  <c r="AR73"/>
  <c r="AR81"/>
  <c r="AR88"/>
  <c r="AR95"/>
  <c r="AR103"/>
  <c r="AR111"/>
  <c r="AR119"/>
  <c r="AR127"/>
  <c r="AR135"/>
  <c r="AR143"/>
  <c r="AR151"/>
  <c r="AR159"/>
  <c r="AR167"/>
  <c r="AR175"/>
  <c r="AR183"/>
  <c r="AR191"/>
  <c r="AR199"/>
  <c r="AR207"/>
  <c r="AR215"/>
  <c r="AR223"/>
  <c r="AR231"/>
  <c r="AR239"/>
  <c r="AR247"/>
  <c r="AR255"/>
  <c r="AR263"/>
  <c r="AR271"/>
  <c r="AR279"/>
  <c r="AR287"/>
  <c r="AR295"/>
  <c r="AR303"/>
  <c r="AR311"/>
  <c r="AR319"/>
  <c r="AR327"/>
  <c r="AR335"/>
  <c r="AR343"/>
  <c r="AR351"/>
  <c r="AR359"/>
  <c r="AR367"/>
  <c r="AR375"/>
  <c r="AR383"/>
  <c r="AR15"/>
  <c r="AS49"/>
  <c r="AS57"/>
  <c r="AS65"/>
  <c r="AS73"/>
  <c r="AS81"/>
  <c r="AS88"/>
  <c r="AS95"/>
  <c r="AS103"/>
  <c r="AS111"/>
  <c r="AS119"/>
  <c r="AS127"/>
  <c r="AS135"/>
  <c r="AS143"/>
  <c r="AS151"/>
  <c r="AS159"/>
  <c r="AS167"/>
  <c r="AS175"/>
  <c r="AS183"/>
  <c r="AS191"/>
  <c r="AS199"/>
  <c r="AS207"/>
  <c r="AS215"/>
  <c r="AS223"/>
  <c r="AS231"/>
  <c r="AS239"/>
  <c r="AS247"/>
  <c r="AS255"/>
  <c r="AS263"/>
  <c r="AS271"/>
  <c r="AS279"/>
  <c r="AS287"/>
  <c r="AS295"/>
  <c r="AS303"/>
  <c r="AS311"/>
  <c r="AS319"/>
  <c r="AS327"/>
  <c r="AS335"/>
  <c r="AS343"/>
  <c r="AS351"/>
  <c r="AS359"/>
  <c r="AS367"/>
  <c r="AS375"/>
  <c r="AS383"/>
  <c r="AS391"/>
  <c r="AS15"/>
  <c r="AT49"/>
  <c r="AT57"/>
  <c r="AT65"/>
  <c r="AT73"/>
  <c r="AT81"/>
  <c r="AT88"/>
  <c r="AT95"/>
  <c r="AT103"/>
  <c r="AT111"/>
  <c r="AT119"/>
  <c r="AT127"/>
  <c r="AT135"/>
  <c r="AT143"/>
  <c r="AT151"/>
  <c r="AT159"/>
  <c r="AT167"/>
  <c r="AT175"/>
  <c r="AT183"/>
  <c r="AT191"/>
  <c r="AT199"/>
  <c r="AT207"/>
  <c r="AT215"/>
  <c r="AT223"/>
  <c r="AT231"/>
  <c r="AT239"/>
  <c r="AT247"/>
  <c r="AT255"/>
  <c r="AT263"/>
  <c r="AT271"/>
  <c r="AT279"/>
  <c r="AT287"/>
  <c r="AT295"/>
  <c r="AT303"/>
  <c r="AT311"/>
  <c r="AT319"/>
  <c r="AT327"/>
  <c r="AT335"/>
  <c r="AT343"/>
  <c r="AT351"/>
  <c r="AT359"/>
  <c r="AT367"/>
  <c r="AT375"/>
  <c r="AT383"/>
  <c r="AT391"/>
  <c r="AT399"/>
  <c r="AT15"/>
  <c r="AU49"/>
  <c r="AU57"/>
  <c r="AU65"/>
  <c r="AU73"/>
  <c r="AU81"/>
  <c r="AU88"/>
  <c r="AU95"/>
  <c r="AU103"/>
  <c r="AU111"/>
  <c r="AU119"/>
  <c r="AU127"/>
  <c r="AU135"/>
  <c r="AU143"/>
  <c r="AU151"/>
  <c r="AU159"/>
  <c r="AU167"/>
  <c r="AU175"/>
  <c r="AU183"/>
  <c r="AU191"/>
  <c r="AU199"/>
  <c r="AU207"/>
  <c r="AU215"/>
  <c r="AU223"/>
  <c r="AU231"/>
  <c r="AU239"/>
  <c r="AU247"/>
  <c r="AU255"/>
  <c r="AU263"/>
  <c r="AU271"/>
  <c r="AU279"/>
  <c r="AU287"/>
  <c r="AU295"/>
  <c r="AU303"/>
  <c r="AU311"/>
  <c r="AU319"/>
  <c r="AU327"/>
  <c r="AU335"/>
  <c r="AU343"/>
  <c r="AU351"/>
  <c r="AU359"/>
  <c r="AU367"/>
  <c r="AU375"/>
  <c r="AU383"/>
  <c r="AU391"/>
  <c r="AU399"/>
  <c r="AU407"/>
  <c r="AU15"/>
  <c r="AV49"/>
  <c r="AV57"/>
  <c r="AV65"/>
  <c r="AV73"/>
  <c r="AV81"/>
  <c r="AV88"/>
  <c r="AV95"/>
  <c r="AV103"/>
  <c r="AV111"/>
  <c r="AV119"/>
  <c r="AV127"/>
  <c r="AV135"/>
  <c r="AV143"/>
  <c r="AV151"/>
  <c r="AV159"/>
  <c r="AV167"/>
  <c r="AV175"/>
  <c r="AV183"/>
  <c r="AV191"/>
  <c r="AV199"/>
  <c r="AV207"/>
  <c r="AV215"/>
  <c r="AV223"/>
  <c r="AV231"/>
  <c r="AV239"/>
  <c r="AV247"/>
  <c r="AV255"/>
  <c r="AV263"/>
  <c r="AV271"/>
  <c r="AV279"/>
  <c r="AV287"/>
  <c r="AV295"/>
  <c r="AV303"/>
  <c r="AV311"/>
  <c r="AV319"/>
  <c r="AV327"/>
  <c r="AV335"/>
  <c r="AV343"/>
  <c r="AV351"/>
  <c r="AV359"/>
  <c r="AV367"/>
  <c r="AV375"/>
  <c r="AV383"/>
  <c r="AV391"/>
  <c r="AV399"/>
  <c r="AV407"/>
  <c r="AV415"/>
  <c r="AV15"/>
  <c r="AW49"/>
  <c r="AW57"/>
  <c r="AW65"/>
  <c r="AW73"/>
  <c r="AW81"/>
  <c r="AW88"/>
  <c r="AW95"/>
  <c r="AW103"/>
  <c r="AW111"/>
  <c r="AW119"/>
  <c r="AW127"/>
  <c r="AW135"/>
  <c r="AW143"/>
  <c r="AW151"/>
  <c r="AW159"/>
  <c r="AW167"/>
  <c r="AW175"/>
  <c r="AW183"/>
  <c r="AW191"/>
  <c r="AW199"/>
  <c r="AW207"/>
  <c r="AW215"/>
  <c r="AW223"/>
  <c r="AW231"/>
  <c r="AW239"/>
  <c r="AW247"/>
  <c r="AW255"/>
  <c r="AW263"/>
  <c r="AW271"/>
  <c r="AW279"/>
  <c r="AW287"/>
  <c r="AW295"/>
  <c r="AW303"/>
  <c r="AW311"/>
  <c r="AW319"/>
  <c r="AW327"/>
  <c r="AW335"/>
  <c r="AW343"/>
  <c r="AW351"/>
  <c r="AW359"/>
  <c r="AW367"/>
  <c r="AW375"/>
  <c r="AW383"/>
  <c r="AW391"/>
  <c r="AW399"/>
  <c r="AW407"/>
  <c r="AW415"/>
  <c r="AW423"/>
  <c r="AW15"/>
  <c r="AW16"/>
  <c r="Z49"/>
  <c r="Z57"/>
  <c r="Z65"/>
  <c r="Z73"/>
  <c r="Z81"/>
  <c r="Z88"/>
  <c r="Z95"/>
  <c r="Z103"/>
  <c r="Z111"/>
  <c r="Z119"/>
  <c r="Z127"/>
  <c r="Z135"/>
  <c r="Z143"/>
  <c r="Z151"/>
  <c r="Z159"/>
  <c r="Z167"/>
  <c r="Z175"/>
  <c r="Z183"/>
  <c r="Z191"/>
  <c r="Z199"/>
  <c r="Z207"/>
  <c r="Z215"/>
  <c r="Z223"/>
  <c r="Z231"/>
  <c r="Z239"/>
  <c r="Z15"/>
  <c r="AA49"/>
  <c r="AA57"/>
  <c r="AA65"/>
  <c r="AA73"/>
  <c r="AA81"/>
  <c r="AA88"/>
  <c r="AA95"/>
  <c r="AA103"/>
  <c r="AA111"/>
  <c r="AA119"/>
  <c r="AA127"/>
  <c r="AA135"/>
  <c r="AA143"/>
  <c r="AA151"/>
  <c r="AA159"/>
  <c r="AA167"/>
  <c r="AA175"/>
  <c r="AA183"/>
  <c r="AA191"/>
  <c r="AA199"/>
  <c r="AA207"/>
  <c r="AA215"/>
  <c r="AA223"/>
  <c r="AA231"/>
  <c r="AA239"/>
  <c r="AA247"/>
  <c r="AA15"/>
  <c r="AB49"/>
  <c r="AB57"/>
  <c r="AB65"/>
  <c r="AB73"/>
  <c r="AB81"/>
  <c r="AB88"/>
  <c r="AB95"/>
  <c r="AB103"/>
  <c r="AB111"/>
  <c r="AB119"/>
  <c r="AB127"/>
  <c r="AB135"/>
  <c r="AB143"/>
  <c r="AB151"/>
  <c r="AB159"/>
  <c r="AB167"/>
  <c r="AB175"/>
  <c r="AB183"/>
  <c r="AB191"/>
  <c r="AB199"/>
  <c r="AB207"/>
  <c r="AB215"/>
  <c r="AB223"/>
  <c r="AB231"/>
  <c r="AB239"/>
  <c r="AB247"/>
  <c r="AB255"/>
  <c r="AB15"/>
  <c r="AC49"/>
  <c r="AC57"/>
  <c r="AC65"/>
  <c r="AC73"/>
  <c r="AC81"/>
  <c r="AC88"/>
  <c r="AC95"/>
  <c r="AC103"/>
  <c r="AC111"/>
  <c r="AC119"/>
  <c r="AC127"/>
  <c r="AC135"/>
  <c r="AC143"/>
  <c r="AC151"/>
  <c r="AC159"/>
  <c r="AC167"/>
  <c r="AC175"/>
  <c r="AC183"/>
  <c r="AC191"/>
  <c r="AC199"/>
  <c r="AC207"/>
  <c r="AC215"/>
  <c r="AC223"/>
  <c r="AC231"/>
  <c r="AC239"/>
  <c r="AC247"/>
  <c r="AC255"/>
  <c r="AC263"/>
  <c r="AC15"/>
  <c r="AD49"/>
  <c r="AD57"/>
  <c r="AD65"/>
  <c r="AD73"/>
  <c r="AD81"/>
  <c r="AD88"/>
  <c r="AD95"/>
  <c r="AD103"/>
  <c r="AD111"/>
  <c r="AD119"/>
  <c r="AD127"/>
  <c r="AD135"/>
  <c r="AD143"/>
  <c r="AD151"/>
  <c r="AD159"/>
  <c r="AD167"/>
  <c r="AD175"/>
  <c r="AD183"/>
  <c r="AD191"/>
  <c r="AD199"/>
  <c r="AD207"/>
  <c r="AD215"/>
  <c r="AD223"/>
  <c r="AD231"/>
  <c r="AD239"/>
  <c r="AD247"/>
  <c r="AD255"/>
  <c r="AD263"/>
  <c r="AD271"/>
  <c r="AD15"/>
  <c r="AE49"/>
  <c r="AE57"/>
  <c r="AE65"/>
  <c r="AE73"/>
  <c r="AE81"/>
  <c r="AE88"/>
  <c r="AE95"/>
  <c r="AE103"/>
  <c r="AE111"/>
  <c r="AE119"/>
  <c r="AE127"/>
  <c r="AE135"/>
  <c r="AE143"/>
  <c r="AE151"/>
  <c r="AE159"/>
  <c r="AE167"/>
  <c r="AE175"/>
  <c r="AE183"/>
  <c r="AE191"/>
  <c r="AE199"/>
  <c r="AE207"/>
  <c r="AE215"/>
  <c r="AE223"/>
  <c r="AE231"/>
  <c r="AE239"/>
  <c r="AE247"/>
  <c r="AE255"/>
  <c r="AE263"/>
  <c r="AE271"/>
  <c r="AE279"/>
  <c r="AE15"/>
  <c r="AF49"/>
  <c r="AF57"/>
  <c r="AF65"/>
  <c r="AF73"/>
  <c r="AF81"/>
  <c r="AF88"/>
  <c r="AF95"/>
  <c r="AF103"/>
  <c r="AF111"/>
  <c r="AF119"/>
  <c r="AF127"/>
  <c r="AF135"/>
  <c r="AF143"/>
  <c r="AF151"/>
  <c r="AF159"/>
  <c r="AF167"/>
  <c r="AF175"/>
  <c r="AF183"/>
  <c r="AF191"/>
  <c r="AF199"/>
  <c r="AF207"/>
  <c r="AF215"/>
  <c r="AF223"/>
  <c r="AF231"/>
  <c r="AF239"/>
  <c r="AF247"/>
  <c r="AF255"/>
  <c r="AF263"/>
  <c r="AF271"/>
  <c r="AF279"/>
  <c r="AF287"/>
  <c r="AF15"/>
  <c r="AG49"/>
  <c r="AG57"/>
  <c r="AG65"/>
  <c r="AG73"/>
  <c r="AG81"/>
  <c r="AG88"/>
  <c r="AG95"/>
  <c r="AG103"/>
  <c r="AG111"/>
  <c r="AG119"/>
  <c r="AG127"/>
  <c r="AG135"/>
  <c r="AG143"/>
  <c r="AG151"/>
  <c r="AG159"/>
  <c r="AG167"/>
  <c r="AG175"/>
  <c r="AG183"/>
  <c r="AG191"/>
  <c r="AG199"/>
  <c r="AG207"/>
  <c r="AG215"/>
  <c r="AG223"/>
  <c r="AG231"/>
  <c r="AG239"/>
  <c r="AG247"/>
  <c r="AG255"/>
  <c r="AG263"/>
  <c r="AG271"/>
  <c r="AG279"/>
  <c r="AG287"/>
  <c r="AG295"/>
  <c r="AG15"/>
  <c r="AH49"/>
  <c r="AH57"/>
  <c r="AH65"/>
  <c r="AH73"/>
  <c r="AH81"/>
  <c r="AH88"/>
  <c r="AH95"/>
  <c r="AH103"/>
  <c r="AH111"/>
  <c r="AH119"/>
  <c r="AH127"/>
  <c r="AH135"/>
  <c r="AH143"/>
  <c r="AH151"/>
  <c r="AH159"/>
  <c r="AH167"/>
  <c r="AH175"/>
  <c r="AH183"/>
  <c r="AH191"/>
  <c r="AH199"/>
  <c r="AH207"/>
  <c r="AH215"/>
  <c r="AH223"/>
  <c r="AH231"/>
  <c r="AH239"/>
  <c r="AH247"/>
  <c r="AH255"/>
  <c r="AH263"/>
  <c r="AH271"/>
  <c r="AH279"/>
  <c r="AH287"/>
  <c r="AH295"/>
  <c r="AH303"/>
  <c r="AH15"/>
  <c r="AI49"/>
  <c r="AI57"/>
  <c r="AI65"/>
  <c r="AI73"/>
  <c r="AI81"/>
  <c r="AI88"/>
  <c r="AI95"/>
  <c r="AI103"/>
  <c r="AI111"/>
  <c r="AI119"/>
  <c r="AI127"/>
  <c r="AI135"/>
  <c r="AI143"/>
  <c r="AI151"/>
  <c r="AI159"/>
  <c r="AI167"/>
  <c r="AI175"/>
  <c r="AI183"/>
  <c r="AI191"/>
  <c r="AI199"/>
  <c r="AI207"/>
  <c r="AI215"/>
  <c r="AI223"/>
  <c r="AI231"/>
  <c r="AI239"/>
  <c r="AI247"/>
  <c r="AI255"/>
  <c r="AI263"/>
  <c r="AI271"/>
  <c r="AI279"/>
  <c r="AI287"/>
  <c r="AI295"/>
  <c r="AI303"/>
  <c r="AI311"/>
  <c r="AI15"/>
  <c r="AJ49"/>
  <c r="AJ57"/>
  <c r="AJ65"/>
  <c r="AJ73"/>
  <c r="AJ81"/>
  <c r="AJ88"/>
  <c r="AJ95"/>
  <c r="AJ103"/>
  <c r="AJ111"/>
  <c r="AJ119"/>
  <c r="AJ127"/>
  <c r="AJ135"/>
  <c r="AJ143"/>
  <c r="AJ151"/>
  <c r="AJ159"/>
  <c r="AJ167"/>
  <c r="AJ175"/>
  <c r="AJ183"/>
  <c r="AJ191"/>
  <c r="AJ199"/>
  <c r="AJ207"/>
  <c r="AJ215"/>
  <c r="AJ223"/>
  <c r="AJ231"/>
  <c r="AJ239"/>
  <c r="AJ247"/>
  <c r="AJ255"/>
  <c r="AJ263"/>
  <c r="AJ271"/>
  <c r="AJ279"/>
  <c r="AJ287"/>
  <c r="AJ295"/>
  <c r="AJ303"/>
  <c r="AJ311"/>
  <c r="AJ319"/>
  <c r="AJ15"/>
  <c r="AK49"/>
  <c r="AK57"/>
  <c r="AK65"/>
  <c r="AK73"/>
  <c r="AK81"/>
  <c r="AK88"/>
  <c r="AK95"/>
  <c r="AK103"/>
  <c r="AK111"/>
  <c r="AK119"/>
  <c r="AK127"/>
  <c r="AK135"/>
  <c r="AK143"/>
  <c r="AK151"/>
  <c r="AK159"/>
  <c r="AK167"/>
  <c r="AK175"/>
  <c r="AK183"/>
  <c r="AK191"/>
  <c r="AK199"/>
  <c r="AK207"/>
  <c r="AK215"/>
  <c r="AK223"/>
  <c r="AK231"/>
  <c r="AK239"/>
  <c r="AK247"/>
  <c r="AK255"/>
  <c r="AK263"/>
  <c r="AK271"/>
  <c r="AK279"/>
  <c r="AK287"/>
  <c r="AK295"/>
  <c r="AK303"/>
  <c r="AK311"/>
  <c r="AK319"/>
  <c r="AK327"/>
  <c r="AK15"/>
  <c r="AK16"/>
  <c r="N49"/>
  <c r="N57"/>
  <c r="N65"/>
  <c r="N73"/>
  <c r="N81"/>
  <c r="N88"/>
  <c r="N95"/>
  <c r="N103"/>
  <c r="N111"/>
  <c r="N119"/>
  <c r="N127"/>
  <c r="N135"/>
  <c r="N143"/>
  <c r="N15"/>
  <c r="O49"/>
  <c r="O57"/>
  <c r="O65"/>
  <c r="O73"/>
  <c r="O81"/>
  <c r="O88"/>
  <c r="O95"/>
  <c r="O103"/>
  <c r="O111"/>
  <c r="O119"/>
  <c r="O127"/>
  <c r="O135"/>
  <c r="O143"/>
  <c r="O151"/>
  <c r="O15"/>
  <c r="P49"/>
  <c r="P57"/>
  <c r="P65"/>
  <c r="P73"/>
  <c r="P81"/>
  <c r="P88"/>
  <c r="P95"/>
  <c r="P103"/>
  <c r="P111"/>
  <c r="P119"/>
  <c r="P127"/>
  <c r="P135"/>
  <c r="P143"/>
  <c r="P151"/>
  <c r="P159"/>
  <c r="P15"/>
  <c r="Q49"/>
  <c r="Q57"/>
  <c r="Q65"/>
  <c r="Q73"/>
  <c r="Q81"/>
  <c r="Q88"/>
  <c r="Q95"/>
  <c r="Q103"/>
  <c r="Q111"/>
  <c r="Q119"/>
  <c r="Q127"/>
  <c r="Q135"/>
  <c r="Q143"/>
  <c r="Q151"/>
  <c r="Q159"/>
  <c r="Q167"/>
  <c r="Q15"/>
  <c r="R49"/>
  <c r="R57"/>
  <c r="R65"/>
  <c r="R73"/>
  <c r="R81"/>
  <c r="R88"/>
  <c r="R95"/>
  <c r="R103"/>
  <c r="R111"/>
  <c r="R119"/>
  <c r="R127"/>
  <c r="R135"/>
  <c r="R143"/>
  <c r="R151"/>
  <c r="R159"/>
  <c r="R167"/>
  <c r="R175"/>
  <c r="R15"/>
  <c r="S49"/>
  <c r="S57"/>
  <c r="S65"/>
  <c r="S73"/>
  <c r="S81"/>
  <c r="S88"/>
  <c r="S95"/>
  <c r="S103"/>
  <c r="S111"/>
  <c r="S119"/>
  <c r="S127"/>
  <c r="S135"/>
  <c r="S143"/>
  <c r="S151"/>
  <c r="S159"/>
  <c r="S167"/>
  <c r="S175"/>
  <c r="S183"/>
  <c r="S15"/>
  <c r="T49"/>
  <c r="T57"/>
  <c r="T65"/>
  <c r="T73"/>
  <c r="T81"/>
  <c r="T88"/>
  <c r="T95"/>
  <c r="T103"/>
  <c r="T111"/>
  <c r="T119"/>
  <c r="T127"/>
  <c r="T135"/>
  <c r="T143"/>
  <c r="T151"/>
  <c r="T159"/>
  <c r="T167"/>
  <c r="T175"/>
  <c r="T183"/>
  <c r="T191"/>
  <c r="T15"/>
  <c r="U49"/>
  <c r="U57"/>
  <c r="U65"/>
  <c r="U73"/>
  <c r="U81"/>
  <c r="U88"/>
  <c r="U95"/>
  <c r="U103"/>
  <c r="U111"/>
  <c r="U119"/>
  <c r="U127"/>
  <c r="U135"/>
  <c r="U143"/>
  <c r="U151"/>
  <c r="U159"/>
  <c r="U167"/>
  <c r="U175"/>
  <c r="U183"/>
  <c r="U191"/>
  <c r="U199"/>
  <c r="U15"/>
  <c r="V49"/>
  <c r="V57"/>
  <c r="V65"/>
  <c r="V73"/>
  <c r="V81"/>
  <c r="V88"/>
  <c r="V95"/>
  <c r="V103"/>
  <c r="V111"/>
  <c r="V119"/>
  <c r="V127"/>
  <c r="V135"/>
  <c r="V143"/>
  <c r="V151"/>
  <c r="V159"/>
  <c r="V167"/>
  <c r="V175"/>
  <c r="V183"/>
  <c r="V191"/>
  <c r="V199"/>
  <c r="V207"/>
  <c r="V15"/>
  <c r="W49"/>
  <c r="W57"/>
  <c r="W65"/>
  <c r="W73"/>
  <c r="W81"/>
  <c r="W88"/>
  <c r="W95"/>
  <c r="W103"/>
  <c r="W111"/>
  <c r="W119"/>
  <c r="W127"/>
  <c r="W135"/>
  <c r="W143"/>
  <c r="W151"/>
  <c r="W159"/>
  <c r="W167"/>
  <c r="W175"/>
  <c r="W183"/>
  <c r="W191"/>
  <c r="W199"/>
  <c r="W207"/>
  <c r="W215"/>
  <c r="W15"/>
  <c r="X49"/>
  <c r="X57"/>
  <c r="X65"/>
  <c r="X73"/>
  <c r="X81"/>
  <c r="X88"/>
  <c r="X95"/>
  <c r="X103"/>
  <c r="X111"/>
  <c r="X119"/>
  <c r="X127"/>
  <c r="X135"/>
  <c r="X143"/>
  <c r="X151"/>
  <c r="X159"/>
  <c r="X167"/>
  <c r="X175"/>
  <c r="X183"/>
  <c r="X191"/>
  <c r="X199"/>
  <c r="X207"/>
  <c r="X215"/>
  <c r="X223"/>
  <c r="X15"/>
  <c r="Y49"/>
  <c r="Y57"/>
  <c r="Y65"/>
  <c r="Y73"/>
  <c r="Y81"/>
  <c r="Y88"/>
  <c r="Y95"/>
  <c r="Y103"/>
  <c r="Y111"/>
  <c r="Y119"/>
  <c r="Y127"/>
  <c r="Y135"/>
  <c r="Y143"/>
  <c r="Y151"/>
  <c r="Y159"/>
  <c r="Y167"/>
  <c r="Y175"/>
  <c r="Y183"/>
  <c r="Y191"/>
  <c r="Y199"/>
  <c r="Y207"/>
  <c r="Y215"/>
  <c r="Y223"/>
  <c r="Y231"/>
  <c r="Y15"/>
  <c r="Y16"/>
  <c r="B49"/>
  <c r="B15"/>
  <c r="C49"/>
  <c r="C57"/>
  <c r="C15"/>
  <c r="D49"/>
  <c r="D57"/>
  <c r="D65"/>
  <c r="D15"/>
  <c r="E49"/>
  <c r="E57"/>
  <c r="E65"/>
  <c r="E73"/>
  <c r="E15"/>
  <c r="F49"/>
  <c r="F57"/>
  <c r="F65"/>
  <c r="F73"/>
  <c r="F81"/>
  <c r="F15"/>
  <c r="G49"/>
  <c r="G57"/>
  <c r="G65"/>
  <c r="G73"/>
  <c r="G81"/>
  <c r="G88"/>
  <c r="G15"/>
  <c r="H49"/>
  <c r="H57"/>
  <c r="H65"/>
  <c r="H73"/>
  <c r="H81"/>
  <c r="H88"/>
  <c r="H95"/>
  <c r="H15"/>
  <c r="I49"/>
  <c r="I57"/>
  <c r="I65"/>
  <c r="I73"/>
  <c r="I81"/>
  <c r="I88"/>
  <c r="I95"/>
  <c r="I103"/>
  <c r="I15"/>
  <c r="J49"/>
  <c r="J57"/>
  <c r="J65"/>
  <c r="J73"/>
  <c r="J81"/>
  <c r="J88"/>
  <c r="J95"/>
  <c r="J103"/>
  <c r="J111"/>
  <c r="J15"/>
  <c r="K49"/>
  <c r="K57"/>
  <c r="K65"/>
  <c r="K73"/>
  <c r="K81"/>
  <c r="K88"/>
  <c r="K95"/>
  <c r="K103"/>
  <c r="K111"/>
  <c r="K119"/>
  <c r="K15"/>
  <c r="L49"/>
  <c r="L57"/>
  <c r="L65"/>
  <c r="L73"/>
  <c r="L81"/>
  <c r="L88"/>
  <c r="L95"/>
  <c r="L103"/>
  <c r="L111"/>
  <c r="L119"/>
  <c r="L127"/>
  <c r="L15"/>
  <c r="M49"/>
  <c r="M57"/>
  <c r="M65"/>
  <c r="M73"/>
  <c r="M81"/>
  <c r="M88"/>
  <c r="M95"/>
  <c r="M103"/>
  <c r="M111"/>
  <c r="M119"/>
  <c r="M127"/>
  <c r="M135"/>
  <c r="M15"/>
  <c r="M16"/>
  <c r="BI25"/>
  <c r="AW25"/>
  <c r="AK25"/>
  <c r="Y25"/>
  <c r="M25"/>
  <c r="A50"/>
  <c r="A520"/>
  <c r="A540"/>
  <c r="A512"/>
  <c r="A504"/>
  <c r="A496"/>
  <c r="A488"/>
  <c r="A480"/>
  <c r="A472"/>
  <c r="A464"/>
  <c r="A456"/>
  <c r="A448"/>
  <c r="A440"/>
  <c r="A432"/>
  <c r="A424"/>
  <c r="A416"/>
  <c r="A408"/>
  <c r="A400"/>
  <c r="A392"/>
  <c r="A384"/>
  <c r="A376"/>
  <c r="A368"/>
  <c r="A360"/>
  <c r="A352"/>
  <c r="A344"/>
  <c r="A336"/>
  <c r="A328"/>
  <c r="A320"/>
  <c r="A312"/>
  <c r="A304"/>
  <c r="A296"/>
  <c r="A288"/>
  <c r="A280"/>
  <c r="A272"/>
  <c r="A264"/>
  <c r="A256"/>
  <c r="A248"/>
  <c r="A240"/>
  <c r="A232"/>
  <c r="A224"/>
  <c r="A216"/>
  <c r="A208"/>
  <c r="A200"/>
  <c r="A192"/>
  <c r="A184"/>
  <c r="A176"/>
  <c r="A168"/>
  <c r="A160"/>
  <c r="A152"/>
  <c r="A53"/>
  <c r="A49"/>
  <c r="A57"/>
  <c r="A65"/>
  <c r="A73"/>
  <c r="A81"/>
  <c r="A88"/>
  <c r="A95"/>
  <c r="A103"/>
  <c r="A111"/>
  <c r="A119"/>
  <c r="A127"/>
  <c r="A135"/>
  <c r="A143"/>
  <c r="A151"/>
  <c r="A159"/>
  <c r="A167"/>
  <c r="A175"/>
  <c r="A183"/>
  <c r="A191"/>
  <c r="A199"/>
  <c r="A207"/>
  <c r="A215"/>
  <c r="A223"/>
  <c r="A231"/>
  <c r="A239"/>
  <c r="A247"/>
  <c r="A255"/>
  <c r="A263"/>
  <c r="A271"/>
  <c r="A279"/>
  <c r="A287"/>
  <c r="A295"/>
  <c r="A303"/>
  <c r="A311"/>
  <c r="A319"/>
  <c r="A327"/>
  <c r="A335"/>
  <c r="A343"/>
  <c r="A351"/>
  <c r="A359"/>
  <c r="A367"/>
  <c r="A375"/>
  <c r="A383"/>
  <c r="A391"/>
  <c r="A399"/>
  <c r="A407"/>
  <c r="A415"/>
  <c r="A423"/>
  <c r="A431"/>
  <c r="A439"/>
  <c r="A447"/>
  <c r="A455"/>
  <c r="A463"/>
  <c r="A471"/>
  <c r="A479"/>
  <c r="A487"/>
  <c r="A495"/>
  <c r="A503"/>
  <c r="A511"/>
  <c r="A519"/>
  <c r="A539"/>
  <c r="A518"/>
  <c r="A517"/>
  <c r="A516"/>
  <c r="A515"/>
  <c r="A510"/>
  <c r="A509"/>
  <c r="A508"/>
  <c r="A507"/>
  <c r="A502"/>
  <c r="A501"/>
  <c r="A500"/>
  <c r="A499"/>
  <c r="A494"/>
  <c r="A493"/>
  <c r="A492"/>
  <c r="A491"/>
  <c r="A486"/>
  <c r="A485"/>
  <c r="A484"/>
  <c r="A483"/>
  <c r="A478"/>
  <c r="A477"/>
  <c r="A476"/>
  <c r="A475"/>
  <c r="A470"/>
  <c r="A469"/>
  <c r="A468"/>
  <c r="A467"/>
  <c r="A462"/>
  <c r="A461"/>
  <c r="A460"/>
  <c r="A459"/>
  <c r="A454"/>
  <c r="A453"/>
  <c r="A452"/>
  <c r="A451"/>
  <c r="A446"/>
  <c r="A445"/>
  <c r="A444"/>
  <c r="A443"/>
  <c r="A438"/>
  <c r="A437"/>
  <c r="A436"/>
  <c r="A435"/>
  <c r="A430"/>
  <c r="A429"/>
  <c r="A428"/>
  <c r="A427"/>
  <c r="A422"/>
  <c r="A420"/>
  <c r="A414"/>
  <c r="A412"/>
  <c r="A406"/>
  <c r="A404"/>
  <c r="A398"/>
  <c r="A396"/>
  <c r="A390"/>
  <c r="A388"/>
  <c r="A382"/>
  <c r="A380"/>
  <c r="A374"/>
  <c r="A372"/>
  <c r="A366"/>
  <c r="A364"/>
  <c r="A358"/>
  <c r="A356"/>
  <c r="A350"/>
  <c r="A348"/>
  <c r="A342"/>
  <c r="A340"/>
  <c r="A334"/>
  <c r="A332"/>
  <c r="A326"/>
  <c r="A324"/>
  <c r="A318"/>
  <c r="A316"/>
  <c r="A310"/>
  <c r="A308"/>
  <c r="A302"/>
  <c r="A300"/>
  <c r="A294"/>
  <c r="A292"/>
  <c r="A286"/>
  <c r="A284"/>
  <c r="A278"/>
  <c r="A276"/>
  <c r="A270"/>
  <c r="A268"/>
  <c r="A262"/>
  <c r="A260"/>
  <c r="A254"/>
  <c r="A252"/>
  <c r="A246"/>
  <c r="A244"/>
  <c r="A238"/>
  <c r="A236"/>
  <c r="A230"/>
  <c r="A228"/>
  <c r="A222"/>
  <c r="A220"/>
  <c r="A214"/>
  <c r="A212"/>
  <c r="A206"/>
  <c r="A204"/>
  <c r="A198"/>
  <c r="A196"/>
  <c r="A190"/>
  <c r="A188"/>
  <c r="A182"/>
  <c r="A180"/>
  <c r="A174"/>
  <c r="A172"/>
  <c r="A166"/>
  <c r="A164"/>
  <c r="A158"/>
  <c r="A156"/>
  <c r="A150"/>
  <c r="A148"/>
  <c r="A142"/>
  <c r="A140"/>
  <c r="A134"/>
  <c r="A132"/>
  <c r="A126"/>
  <c r="A124"/>
  <c r="A118"/>
  <c r="A116"/>
  <c r="A110"/>
  <c r="A108"/>
  <c r="A102"/>
  <c r="A100"/>
  <c r="A94"/>
  <c r="A92"/>
  <c r="A87"/>
  <c r="A85"/>
  <c r="A80"/>
  <c r="A78"/>
  <c r="A72"/>
  <c r="A70"/>
  <c r="A64"/>
  <c r="A62"/>
  <c r="A56"/>
  <c r="A54"/>
  <c r="A48"/>
  <c r="C39" i="3"/>
  <c r="C38"/>
  <c r="G9" i="4"/>
  <c r="H9"/>
  <c r="G27"/>
  <c r="G82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78"/>
  <c r="BO9" i="3"/>
  <c r="BP9"/>
  <c r="BQ9"/>
  <c r="BR9"/>
  <c r="BS9"/>
  <c r="BT9"/>
  <c r="BU9"/>
  <c r="BV9"/>
  <c r="BW9"/>
  <c r="BX9"/>
  <c r="BY9"/>
  <c r="BZ9"/>
  <c r="BO16"/>
  <c r="BP16"/>
  <c r="BQ16"/>
  <c r="BR16"/>
  <c r="BS16"/>
  <c r="BT16"/>
  <c r="BU16"/>
  <c r="BV16"/>
  <c r="BW16"/>
  <c r="BX16"/>
  <c r="BY16"/>
  <c r="BZ16"/>
  <c r="BN33"/>
  <c r="BO34"/>
  <c r="BP34"/>
  <c r="BQ34"/>
  <c r="BR34"/>
  <c r="BS34"/>
  <c r="BT34"/>
  <c r="BU34"/>
  <c r="BV34"/>
  <c r="BW34"/>
  <c r="BX34"/>
  <c r="BY34"/>
  <c r="BZ34"/>
  <c r="V19" i="11"/>
  <c r="V18"/>
  <c r="V17"/>
  <c r="V16"/>
  <c r="V15"/>
  <c r="V14"/>
  <c r="V13"/>
  <c r="CI31" i="1"/>
  <c r="CI32"/>
  <c r="CI23"/>
  <c r="U19" i="11"/>
  <c r="U18"/>
  <c r="U17"/>
  <c r="U16"/>
  <c r="U15"/>
  <c r="U14"/>
  <c r="U13"/>
  <c r="CH31" i="1"/>
  <c r="CH32"/>
  <c r="CH23"/>
  <c r="T19" i="11"/>
  <c r="T18"/>
  <c r="T17"/>
  <c r="T16"/>
  <c r="T15"/>
  <c r="T14"/>
  <c r="T13"/>
  <c r="CG31" i="1"/>
  <c r="CG32"/>
  <c r="CG23"/>
  <c r="S19" i="11"/>
  <c r="S18"/>
  <c r="S17"/>
  <c r="S16"/>
  <c r="S15"/>
  <c r="S14"/>
  <c r="S13"/>
  <c r="CF31" i="1"/>
  <c r="CF32"/>
  <c r="CF23"/>
  <c r="R19" i="11"/>
  <c r="R18"/>
  <c r="R17"/>
  <c r="R16"/>
  <c r="R15"/>
  <c r="R14"/>
  <c r="R13"/>
  <c r="CE31" i="1"/>
  <c r="CE32"/>
  <c r="CE23"/>
  <c r="Q19" i="11"/>
  <c r="Q18"/>
  <c r="Q17"/>
  <c r="Q16"/>
  <c r="Q15"/>
  <c r="Q14"/>
  <c r="Q13"/>
  <c r="CD31" i="1"/>
  <c r="CD32"/>
  <c r="CD23"/>
  <c r="P19" i="11"/>
  <c r="P18"/>
  <c r="P17"/>
  <c r="P16"/>
  <c r="P15"/>
  <c r="P14"/>
  <c r="P13"/>
  <c r="CC31" i="1"/>
  <c r="CC32"/>
  <c r="CC23"/>
  <c r="O19" i="11"/>
  <c r="O18"/>
  <c r="O17"/>
  <c r="O16"/>
  <c r="O15"/>
  <c r="O14"/>
  <c r="O13"/>
  <c r="CB31" i="1"/>
  <c r="CB32"/>
  <c r="CB23"/>
  <c r="N19" i="11"/>
  <c r="N18"/>
  <c r="N17"/>
  <c r="N16"/>
  <c r="N15"/>
  <c r="N14"/>
  <c r="N13"/>
  <c r="CA31" i="1"/>
  <c r="CA32"/>
  <c r="CA23"/>
  <c r="M19" i="11"/>
  <c r="M18"/>
  <c r="M17"/>
  <c r="M16"/>
  <c r="M15"/>
  <c r="M14"/>
  <c r="M13"/>
  <c r="BZ31" i="1"/>
  <c r="BZ32"/>
  <c r="BZ23"/>
  <c r="L19" i="11"/>
  <c r="L18"/>
  <c r="L17"/>
  <c r="L16"/>
  <c r="L15"/>
  <c r="L14"/>
  <c r="L13"/>
  <c r="BY31" i="1"/>
  <c r="BY32"/>
  <c r="BY23"/>
  <c r="K19" i="11"/>
  <c r="K18"/>
  <c r="K17"/>
  <c r="K16"/>
  <c r="K15"/>
  <c r="K14"/>
  <c r="K13"/>
  <c r="BX31" i="1"/>
  <c r="BX32"/>
  <c r="BX23"/>
  <c r="J19" i="11"/>
  <c r="J18"/>
  <c r="J17"/>
  <c r="J16"/>
  <c r="J15"/>
  <c r="J14"/>
  <c r="J13"/>
  <c r="BW31" i="1"/>
  <c r="BW32"/>
  <c r="BW23"/>
  <c r="I19" i="11"/>
  <c r="I18"/>
  <c r="I17"/>
  <c r="I16"/>
  <c r="I15"/>
  <c r="I14"/>
  <c r="I13"/>
  <c r="BV31" i="1"/>
  <c r="BV32"/>
  <c r="BV23"/>
  <c r="H19" i="11"/>
  <c r="H18"/>
  <c r="H17"/>
  <c r="H16"/>
  <c r="H15"/>
  <c r="H14"/>
  <c r="H13"/>
  <c r="BU31" i="1"/>
  <c r="BU32"/>
  <c r="BU23"/>
  <c r="BP31"/>
  <c r="BQ31"/>
  <c r="BR31"/>
  <c r="BS31"/>
  <c r="CL31"/>
  <c r="BP32"/>
  <c r="BQ32"/>
  <c r="BR32"/>
  <c r="BS32"/>
  <c r="BP23"/>
  <c r="BQ23"/>
  <c r="BR23"/>
  <c r="BS23"/>
  <c r="CL23"/>
  <c r="BT31"/>
  <c r="BT32"/>
  <c r="BT23"/>
  <c r="BI65" i="17"/>
  <c r="BH65"/>
  <c r="BG65"/>
  <c r="BF65"/>
  <c r="BE65"/>
  <c r="BD65"/>
  <c r="BC65"/>
  <c r="BB65"/>
  <c r="BA65"/>
  <c r="AZ65"/>
  <c r="AY65"/>
  <c r="AX65"/>
  <c r="BI62"/>
  <c r="BH62"/>
  <c r="BG62"/>
  <c r="BF62"/>
  <c r="BE62"/>
  <c r="BD62"/>
  <c r="BC62"/>
  <c r="BB62"/>
  <c r="BA62"/>
  <c r="AZ62"/>
  <c r="AY62"/>
  <c r="AX62"/>
  <c r="BI51"/>
  <c r="BH51"/>
  <c r="BG51"/>
  <c r="BF51"/>
  <c r="BE51"/>
  <c r="BD51"/>
  <c r="BC51"/>
  <c r="BB51"/>
  <c r="BA51"/>
  <c r="AZ51"/>
  <c r="AY51"/>
  <c r="AX51"/>
  <c r="AW65"/>
  <c r="AV65"/>
  <c r="AU65"/>
  <c r="AT65"/>
  <c r="AS65"/>
  <c r="AR65"/>
  <c r="AQ65"/>
  <c r="AP65"/>
  <c r="AO65"/>
  <c r="AN65"/>
  <c r="AM65"/>
  <c r="AL65"/>
  <c r="AW62"/>
  <c r="AV62"/>
  <c r="AU62"/>
  <c r="AT62"/>
  <c r="AS62"/>
  <c r="AR62"/>
  <c r="AQ62"/>
  <c r="AP62"/>
  <c r="AO62"/>
  <c r="AN62"/>
  <c r="AM62"/>
  <c r="AL62"/>
  <c r="AW51"/>
  <c r="AV51"/>
  <c r="AU51"/>
  <c r="AT51"/>
  <c r="AS51"/>
  <c r="AR51"/>
  <c r="AQ51"/>
  <c r="AP51"/>
  <c r="AO51"/>
  <c r="AN51"/>
  <c r="AM51"/>
  <c r="AL51"/>
  <c r="AK65"/>
  <c r="AJ65"/>
  <c r="AI65"/>
  <c r="AK62"/>
  <c r="AK51"/>
  <c r="AJ62"/>
  <c r="AJ51"/>
  <c r="AI62"/>
  <c r="AI51"/>
  <c r="N65"/>
  <c r="N62"/>
  <c r="N51"/>
  <c r="C17" i="3"/>
  <c r="G48" i="4"/>
  <c r="H47"/>
  <c r="G42"/>
  <c r="G49"/>
  <c r="G34"/>
  <c r="H34"/>
  <c r="G36"/>
  <c r="H36"/>
  <c r="H42"/>
  <c r="G46"/>
  <c r="H46"/>
  <c r="G47"/>
  <c r="G51"/>
  <c r="G64"/>
  <c r="G59"/>
  <c r="G60"/>
  <c r="G61"/>
  <c r="H62"/>
  <c r="H70"/>
  <c r="H80"/>
  <c r="G97"/>
  <c r="G96"/>
  <c r="H100"/>
  <c r="G101"/>
  <c r="H65" i="17"/>
  <c r="B62"/>
  <c r="B51"/>
  <c r="C62"/>
  <c r="C51"/>
  <c r="D62"/>
  <c r="D51"/>
  <c r="E62"/>
  <c r="E51"/>
  <c r="F62"/>
  <c r="F51"/>
  <c r="G62"/>
  <c r="G51"/>
  <c r="H62"/>
  <c r="H51"/>
  <c r="I62"/>
  <c r="I51"/>
  <c r="J62"/>
  <c r="J51"/>
  <c r="K62"/>
  <c r="K51"/>
  <c r="L62"/>
  <c r="L51"/>
  <c r="M62"/>
  <c r="B65"/>
  <c r="C65"/>
  <c r="D65"/>
  <c r="E65"/>
  <c r="F65"/>
  <c r="G65"/>
  <c r="I65"/>
  <c r="J65"/>
  <c r="K65"/>
  <c r="L65"/>
  <c r="M65"/>
  <c r="H49" i="4"/>
  <c r="G80"/>
  <c r="G67"/>
  <c r="G68"/>
  <c r="G62"/>
  <c r="G70"/>
  <c r="G98"/>
  <c r="G105"/>
  <c r="C9" i="3"/>
  <c r="BN23" i="1"/>
  <c r="G103" i="4"/>
  <c r="G35"/>
  <c r="G37"/>
  <c r="H35"/>
  <c r="H37"/>
  <c r="G102"/>
  <c r="BN31" i="1"/>
  <c r="BN32"/>
  <c r="CL32"/>
  <c r="O65" i="17"/>
  <c r="O62"/>
  <c r="O51"/>
  <c r="P65"/>
  <c r="P62"/>
  <c r="P51"/>
  <c r="I79" i="4"/>
  <c r="J99"/>
  <c r="D26" i="11"/>
  <c r="K79" i="4"/>
  <c r="J52"/>
  <c r="J54"/>
  <c r="J79"/>
  <c r="Q65" i="17"/>
  <c r="Q62"/>
  <c r="Q51"/>
  <c r="BP5" i="1"/>
  <c r="J100" i="4"/>
  <c r="C39" i="17"/>
  <c r="D39"/>
  <c r="K52" i="4"/>
  <c r="K54"/>
  <c r="K99"/>
  <c r="E26" i="11"/>
  <c r="K100" i="4"/>
  <c r="R62" i="17"/>
  <c r="R65"/>
  <c r="R51"/>
  <c r="I100" i="4"/>
  <c r="B39" i="17"/>
  <c r="BP4" i="1"/>
  <c r="I52" i="4"/>
  <c r="I54"/>
  <c r="BP24" i="1"/>
  <c r="L79" i="4"/>
  <c r="C55" i="17"/>
  <c r="C57"/>
  <c r="C58"/>
  <c r="C54"/>
  <c r="S65"/>
  <c r="S62"/>
  <c r="S51"/>
  <c r="D29" i="11"/>
  <c r="BP20" i="1"/>
  <c r="C26" i="11"/>
  <c r="I99" i="4"/>
  <c r="BP6" i="1"/>
  <c r="CM24"/>
  <c r="M79" i="4"/>
  <c r="E29" i="11"/>
  <c r="E39" i="17"/>
  <c r="L100" i="4"/>
  <c r="L52"/>
  <c r="L54"/>
  <c r="BQ5" i="1"/>
  <c r="D55" i="17"/>
  <c r="D57"/>
  <c r="D58"/>
  <c r="D54"/>
  <c r="BP18" i="3"/>
  <c r="BP28"/>
  <c r="T62" i="17"/>
  <c r="T65"/>
  <c r="T51"/>
  <c r="BP22" i="1"/>
  <c r="B55" i="17"/>
  <c r="B57"/>
  <c r="B58"/>
  <c r="BP9" i="1"/>
  <c r="BP30"/>
  <c r="CM4"/>
  <c r="CM31"/>
  <c r="C5" i="11"/>
  <c r="CM32" i="1"/>
  <c r="CM23"/>
  <c r="CM5"/>
  <c r="BP21"/>
  <c r="C29" i="11"/>
  <c r="B54" i="17"/>
  <c r="BP10" i="1"/>
  <c r="CM20"/>
  <c r="N79" i="4"/>
  <c r="M100"/>
  <c r="M52"/>
  <c r="M54"/>
  <c r="F26" i="11"/>
  <c r="L99" i="4"/>
  <c r="G26" i="11"/>
  <c r="M99" i="4"/>
  <c r="F39" i="17"/>
  <c r="BQ18" i="3"/>
  <c r="BQ28"/>
  <c r="U65" i="17"/>
  <c r="U62"/>
  <c r="U51"/>
  <c r="CM10" i="1"/>
  <c r="BP33"/>
  <c r="BP25"/>
  <c r="C9" i="11"/>
  <c r="CM21" i="1"/>
  <c r="C21" i="11"/>
  <c r="CM30" i="1"/>
  <c r="CM9"/>
  <c r="BO18" i="3"/>
  <c r="BO28"/>
  <c r="BP28" i="1"/>
  <c r="CM22"/>
  <c r="CM6"/>
  <c r="CM25"/>
  <c r="C17" i="11"/>
  <c r="O79" i="4"/>
  <c r="BQ20" i="1"/>
  <c r="N52" i="4"/>
  <c r="N54"/>
  <c r="N100"/>
  <c r="BQ24" i="1"/>
  <c r="BQ4"/>
  <c r="G39" i="17"/>
  <c r="H26" i="11"/>
  <c r="BQ30" i="1"/>
  <c r="N99" i="4"/>
  <c r="BQ10" i="1"/>
  <c r="F29" i="11"/>
  <c r="G29"/>
  <c r="V65" i="17"/>
  <c r="V62"/>
  <c r="V51"/>
  <c r="C13" i="11"/>
  <c r="CM28" i="1"/>
  <c r="BP15"/>
  <c r="CM33"/>
  <c r="H39" i="17"/>
  <c r="P79" i="4"/>
  <c r="O52"/>
  <c r="O54"/>
  <c r="BR5" i="1"/>
  <c r="F55" i="17"/>
  <c r="F57"/>
  <c r="F58"/>
  <c r="BQ22" i="1"/>
  <c r="BQ6"/>
  <c r="O100" i="4"/>
  <c r="CN24" i="1"/>
  <c r="F54" i="17"/>
  <c r="BQ9" i="1"/>
  <c r="D28" i="11"/>
  <c r="W65" i="17"/>
  <c r="W62"/>
  <c r="W51"/>
  <c r="E28" i="11"/>
  <c r="E4" i="3"/>
  <c r="E6"/>
  <c r="CM15" i="1"/>
  <c r="H29" i="11"/>
  <c r="BQ21" i="1"/>
  <c r="D4" i="3"/>
  <c r="D6"/>
  <c r="BP16" i="1"/>
  <c r="P52" i="4"/>
  <c r="P54"/>
  <c r="CN9" i="1"/>
  <c r="CN4"/>
  <c r="CN31"/>
  <c r="CN23"/>
  <c r="CN32"/>
  <c r="D5" i="11"/>
  <c r="CN5" i="1"/>
  <c r="G54" i="17"/>
  <c r="CN10" i="1"/>
  <c r="Q79" i="4"/>
  <c r="CN30" i="1"/>
  <c r="BS18" i="3"/>
  <c r="P100" i="4"/>
  <c r="E54" i="17"/>
  <c r="E55"/>
  <c r="E57"/>
  <c r="E58"/>
  <c r="G55"/>
  <c r="G57"/>
  <c r="G58"/>
  <c r="CN22" i="1"/>
  <c r="O99" i="4"/>
  <c r="CN20" i="1"/>
  <c r="X65" i="17"/>
  <c r="X62"/>
  <c r="X51"/>
  <c r="I95" i="4"/>
  <c r="CN21" i="1"/>
  <c r="BQ25"/>
  <c r="D9" i="11"/>
  <c r="J95" i="4"/>
  <c r="F4" i="3"/>
  <c r="F6"/>
  <c r="CM16" i="1"/>
  <c r="I97" i="4"/>
  <c r="I29" i="11"/>
  <c r="R79" i="4"/>
  <c r="I39" i="17"/>
  <c r="CN25" i="1"/>
  <c r="D17" i="11"/>
  <c r="BR20" i="1"/>
  <c r="Q52" i="4"/>
  <c r="Q54"/>
  <c r="Q99"/>
  <c r="J39" i="17"/>
  <c r="BQ28" i="1"/>
  <c r="BR18" i="3"/>
  <c r="BR24" i="1"/>
  <c r="BS28" i="3"/>
  <c r="CN6" i="1"/>
  <c r="D13" i="11"/>
  <c r="Q100" i="4"/>
  <c r="BT18" i="3"/>
  <c r="BR30" i="1"/>
  <c r="P99" i="4"/>
  <c r="D21" i="11"/>
  <c r="BR4" i="1"/>
  <c r="Y65" i="17"/>
  <c r="Y62"/>
  <c r="Y51"/>
  <c r="D27" i="11"/>
  <c r="F13" i="1"/>
  <c r="BP29"/>
  <c r="CM29"/>
  <c r="BP34"/>
  <c r="CM34"/>
  <c r="K95" i="4"/>
  <c r="C30" i="11"/>
  <c r="S79" i="4"/>
  <c r="BR28" i="3"/>
  <c r="R52" i="4"/>
  <c r="R54"/>
  <c r="BQ15" i="1"/>
  <c r="CN28"/>
  <c r="BT28" i="3"/>
  <c r="BR9" i="1"/>
  <c r="J29" i="11"/>
  <c r="BR10" i="1"/>
  <c r="BR6"/>
  <c r="CO30"/>
  <c r="BQ33"/>
  <c r="R100" i="4"/>
  <c r="BR22" i="1"/>
  <c r="Z65" i="17"/>
  <c r="Z62"/>
  <c r="Z51"/>
  <c r="E13" i="1"/>
  <c r="C27" i="11"/>
  <c r="H4" i="3"/>
  <c r="H6"/>
  <c r="BP27" i="1"/>
  <c r="D30" i="11"/>
  <c r="D31"/>
  <c r="E27"/>
  <c r="G13" i="1"/>
  <c r="BR21"/>
  <c r="BP8"/>
  <c r="CO24"/>
  <c r="K29" i="11"/>
  <c r="T79" i="4"/>
  <c r="CO22" i="1"/>
  <c r="G28" i="11"/>
  <c r="H55" i="17"/>
  <c r="H57"/>
  <c r="H58"/>
  <c r="CN33" i="1"/>
  <c r="CO10"/>
  <c r="K39" i="17"/>
  <c r="CO9" i="1"/>
  <c r="BQ16"/>
  <c r="J54" i="17"/>
  <c r="CN15" i="1"/>
  <c r="I54" i="17"/>
  <c r="F28" i="11"/>
  <c r="CO20" i="1"/>
  <c r="H54" i="17"/>
  <c r="S52" i="4"/>
  <c r="S54"/>
  <c r="S100"/>
  <c r="CO4" i="1"/>
  <c r="E5" i="11"/>
  <c r="CO31" i="1"/>
  <c r="CO23"/>
  <c r="CO32"/>
  <c r="CO5"/>
  <c r="J55" i="17"/>
  <c r="J57"/>
  <c r="J58"/>
  <c r="R99" i="4"/>
  <c r="BN5" i="1"/>
  <c r="BS5"/>
  <c r="L39" i="17"/>
  <c r="G4" i="3"/>
  <c r="G6"/>
  <c r="I55" i="17"/>
  <c r="I57"/>
  <c r="I58"/>
  <c r="E30" i="11"/>
  <c r="E31"/>
  <c r="AA65" i="17"/>
  <c r="AA62"/>
  <c r="AA51"/>
  <c r="CM8" i="1"/>
  <c r="CM11"/>
  <c r="BP11"/>
  <c r="BP35"/>
  <c r="CM27"/>
  <c r="CM35"/>
  <c r="C18" i="11"/>
  <c r="CO21" i="1"/>
  <c r="CO25"/>
  <c r="E17" i="11"/>
  <c r="BR25" i="1"/>
  <c r="E9" i="11"/>
  <c r="I4" i="3"/>
  <c r="I6"/>
  <c r="M95" i="4"/>
  <c r="L29" i="11"/>
  <c r="U79" i="4"/>
  <c r="CO6" i="1"/>
  <c r="E13" i="11"/>
  <c r="M39" i="17"/>
  <c r="J45"/>
  <c r="T52" i="4"/>
  <c r="T54"/>
  <c r="BS20" i="1"/>
  <c r="CL5"/>
  <c r="E21" i="11"/>
  <c r="BU18" i="3"/>
  <c r="BR28" i="1"/>
  <c r="BT5"/>
  <c r="S99" i="4"/>
  <c r="BW18" i="3"/>
  <c r="T100" i="4"/>
  <c r="L95"/>
  <c r="BR33" i="1"/>
  <c r="BN30" i="3"/>
  <c r="BS24" i="1"/>
  <c r="BV18" i="3"/>
  <c r="BN4" i="1"/>
  <c r="BS4"/>
  <c r="CN16"/>
  <c r="AB65" i="17"/>
  <c r="AB62"/>
  <c r="AB51"/>
  <c r="N95" i="4"/>
  <c r="M29" i="11"/>
  <c r="C10"/>
  <c r="C14"/>
  <c r="CM12" i="1"/>
  <c r="C15" i="11"/>
  <c r="BQ8" i="1"/>
  <c r="BQ34"/>
  <c r="CN34"/>
  <c r="BP12"/>
  <c r="C6" i="11"/>
  <c r="BQ29" i="1"/>
  <c r="CN29"/>
  <c r="BV28" i="3"/>
  <c r="BN21" i="1"/>
  <c r="V79" i="4"/>
  <c r="BS22" i="1"/>
  <c r="N39" i="17"/>
  <c r="CL24" i="1"/>
  <c r="BN6"/>
  <c r="BO4"/>
  <c r="BS30"/>
  <c r="T99" i="4"/>
  <c r="I26" i="11"/>
  <c r="U100" i="4"/>
  <c r="CO33" i="1"/>
  <c r="V52" i="4"/>
  <c r="V54"/>
  <c r="BN20" i="1"/>
  <c r="BU28" i="3"/>
  <c r="BS6" i="1"/>
  <c r="CP20"/>
  <c r="CL4"/>
  <c r="BN24"/>
  <c r="BT4"/>
  <c r="BT6"/>
  <c r="G5" i="11"/>
  <c r="H13" i="1"/>
  <c r="F27" i="11"/>
  <c r="H28"/>
  <c r="BQ17" i="1"/>
  <c r="CO28"/>
  <c r="BR15"/>
  <c r="BU5"/>
  <c r="CL20"/>
  <c r="CQ20"/>
  <c r="BW28" i="3"/>
  <c r="BN30" i="1"/>
  <c r="BO30"/>
  <c r="AC65" i="17"/>
  <c r="AC62"/>
  <c r="AC51"/>
  <c r="C7" i="11"/>
  <c r="I13" i="1"/>
  <c r="G27" i="11"/>
  <c r="J13" i="1"/>
  <c r="H27" i="11"/>
  <c r="G30"/>
  <c r="CN8" i="1"/>
  <c r="CN11"/>
  <c r="BQ11"/>
  <c r="K28" i="11"/>
  <c r="K4" i="3"/>
  <c r="K6"/>
  <c r="BQ27" i="1"/>
  <c r="O39" i="17"/>
  <c r="BN22" i="1"/>
  <c r="BO22"/>
  <c r="BO20"/>
  <c r="N29" i="11"/>
  <c r="BS21" i="1"/>
  <c r="BN25"/>
  <c r="BO25"/>
  <c r="BO21"/>
  <c r="BR16"/>
  <c r="W79" i="4"/>
  <c r="CO16" i="1"/>
  <c r="CP30"/>
  <c r="CL30"/>
  <c r="CQ30"/>
  <c r="CO15"/>
  <c r="V100" i="4"/>
  <c r="BQ18" i="1"/>
  <c r="D8" i="11"/>
  <c r="CN17" i="1"/>
  <c r="CN18"/>
  <c r="D16" i="11"/>
  <c r="K54" i="17"/>
  <c r="U99" i="4"/>
  <c r="O26" i="11"/>
  <c r="CL6" i="1"/>
  <c r="CQ5"/>
  <c r="BU24"/>
  <c r="BU4"/>
  <c r="BU6"/>
  <c r="H5" i="11"/>
  <c r="U52" i="4"/>
  <c r="U54"/>
  <c r="AH52"/>
  <c r="BN10" i="1"/>
  <c r="BO10"/>
  <c r="BS10"/>
  <c r="CQ24"/>
  <c r="AI52" i="4"/>
  <c r="J4" i="3"/>
  <c r="J6"/>
  <c r="BT24" i="1"/>
  <c r="K55" i="17"/>
  <c r="K57"/>
  <c r="K58"/>
  <c r="CP4" i="1"/>
  <c r="CP23"/>
  <c r="CP32"/>
  <c r="F5" i="11"/>
  <c r="CP31" i="1"/>
  <c r="CP5"/>
  <c r="F30" i="11"/>
  <c r="F31"/>
  <c r="CP22" i="1"/>
  <c r="CL22"/>
  <c r="CQ22"/>
  <c r="W52" i="4"/>
  <c r="W54"/>
  <c r="BV5" i="1"/>
  <c r="BV28"/>
  <c r="BT20"/>
  <c r="BN9"/>
  <c r="BO9"/>
  <c r="BS9"/>
  <c r="BO5"/>
  <c r="BO6"/>
  <c r="CQ23"/>
  <c r="BO23"/>
  <c r="BO32"/>
  <c r="BO24"/>
  <c r="CQ31"/>
  <c r="BO31"/>
  <c r="CQ32"/>
  <c r="J28" i="11"/>
  <c r="I28"/>
  <c r="CP24" i="1"/>
  <c r="AD65" i="17"/>
  <c r="AD62"/>
  <c r="AD51"/>
  <c r="CN27" i="1"/>
  <c r="CN35"/>
  <c r="D18" i="11"/>
  <c r="BQ35" i="1"/>
  <c r="P95" i="4"/>
  <c r="D14" i="11"/>
  <c r="CN12" i="1"/>
  <c r="D15" i="11"/>
  <c r="H30"/>
  <c r="H31"/>
  <c r="L4" i="3"/>
  <c r="L6"/>
  <c r="D6" i="11"/>
  <c r="BQ12" i="1"/>
  <c r="G31" i="11"/>
  <c r="BR17" i="1"/>
  <c r="CL21"/>
  <c r="BS25"/>
  <c r="F9" i="11"/>
  <c r="X9"/>
  <c r="CP21" i="1"/>
  <c r="O29" i="11"/>
  <c r="CP6" i="1"/>
  <c r="F13" i="11"/>
  <c r="X79" i="4"/>
  <c r="CP25" i="1"/>
  <c r="F17" i="11"/>
  <c r="P39" i="17"/>
  <c r="BV24" i="1"/>
  <c r="X5" i="11"/>
  <c r="F21"/>
  <c r="G21"/>
  <c r="H21"/>
  <c r="L54" i="17"/>
  <c r="BT21" i="1"/>
  <c r="BW5"/>
  <c r="BT10"/>
  <c r="BT30"/>
  <c r="BX18" i="3"/>
  <c r="CQ4" i="1"/>
  <c r="CQ6"/>
  <c r="BT22"/>
  <c r="CP9"/>
  <c r="CL9"/>
  <c r="CQ9"/>
  <c r="BV4"/>
  <c r="BV6"/>
  <c r="I5" i="11"/>
  <c r="K13" i="1"/>
  <c r="O95" i="4"/>
  <c r="L55" i="17"/>
  <c r="L57"/>
  <c r="L58"/>
  <c r="CP10" i="1"/>
  <c r="CL10"/>
  <c r="CQ10"/>
  <c r="W100" i="4"/>
  <c r="V99"/>
  <c r="P26" i="11"/>
  <c r="BU30" i="1"/>
  <c r="BW4"/>
  <c r="BT9"/>
  <c r="BU20"/>
  <c r="AE65" i="17"/>
  <c r="AE62"/>
  <c r="AE51"/>
  <c r="CO17" i="1"/>
  <c r="CO18"/>
  <c r="E16" i="11"/>
  <c r="BR18" i="1"/>
  <c r="E8" i="11"/>
  <c r="BR34" i="1"/>
  <c r="CO34"/>
  <c r="D7" i="11"/>
  <c r="Q95" i="4"/>
  <c r="L13" i="1"/>
  <c r="J27" i="11"/>
  <c r="D10"/>
  <c r="BQ36" i="1"/>
  <c r="CN36"/>
  <c r="BR29"/>
  <c r="CO29"/>
  <c r="I27" i="11"/>
  <c r="BW6" i="1"/>
  <c r="J5" i="11"/>
  <c r="CQ21" i="1"/>
  <c r="CQ25"/>
  <c r="CL25"/>
  <c r="P29" i="11"/>
  <c r="AK52" i="4"/>
  <c r="Q39" i="17"/>
  <c r="AJ52" i="4"/>
  <c r="Y52"/>
  <c r="Y54"/>
  <c r="BX4" i="1"/>
  <c r="BW28"/>
  <c r="BT28"/>
  <c r="M54" i="17"/>
  <c r="X100" i="4"/>
  <c r="BY18" i="3"/>
  <c r="BT25" i="1"/>
  <c r="G9" i="11"/>
  <c r="BU10" i="1"/>
  <c r="BU9"/>
  <c r="BX5"/>
  <c r="W99" i="4"/>
  <c r="BV30" i="1"/>
  <c r="Q26" i="11"/>
  <c r="M55" i="17"/>
  <c r="M57"/>
  <c r="M58"/>
  <c r="X13" i="11"/>
  <c r="G13"/>
  <c r="X52" i="4"/>
  <c r="X54"/>
  <c r="BU22" i="1"/>
  <c r="BX28" i="3"/>
  <c r="BU21" i="1"/>
  <c r="I21" i="11"/>
  <c r="J21"/>
  <c r="Y79" i="4"/>
  <c r="AF65" i="17"/>
  <c r="AF62"/>
  <c r="AF51"/>
  <c r="BR8" i="1"/>
  <c r="J30" i="11"/>
  <c r="J31"/>
  <c r="N4" i="3"/>
  <c r="N6"/>
  <c r="BQ37" i="1"/>
  <c r="BR27"/>
  <c r="I30" i="11"/>
  <c r="I31"/>
  <c r="M4" i="3"/>
  <c r="M6"/>
  <c r="X17" i="11"/>
  <c r="G17"/>
  <c r="BU25" i="1"/>
  <c r="H9" i="11"/>
  <c r="Z79" i="4"/>
  <c r="AL52"/>
  <c r="X99"/>
  <c r="R26" i="11"/>
  <c r="Z52" i="4"/>
  <c r="Z54"/>
  <c r="BS33" i="1"/>
  <c r="BN33"/>
  <c r="BO33"/>
  <c r="BZ18" i="3"/>
  <c r="N55" i="17"/>
  <c r="N57"/>
  <c r="N58"/>
  <c r="Q29" i="11"/>
  <c r="BX20" i="1"/>
  <c r="BV20"/>
  <c r="BW20"/>
  <c r="BX6"/>
  <c r="K5" i="11"/>
  <c r="BY5" i="1"/>
  <c r="BV22"/>
  <c r="R39" i="17"/>
  <c r="BV9" i="1"/>
  <c r="Y100" i="4"/>
  <c r="BU28" i="1"/>
  <c r="BN28"/>
  <c r="BO28"/>
  <c r="BS28"/>
  <c r="N54" i="17"/>
  <c r="BX24" i="1"/>
  <c r="BW24"/>
  <c r="K21" i="11"/>
  <c r="BV21" i="1"/>
  <c r="BW21"/>
  <c r="BW9"/>
  <c r="BW22"/>
  <c r="BY28" i="3"/>
  <c r="BX28" i="1"/>
  <c r="BY28"/>
  <c r="BV10"/>
  <c r="AG65" i="17"/>
  <c r="AG62"/>
  <c r="AG51"/>
  <c r="K30" i="11"/>
  <c r="K27"/>
  <c r="M13" i="1"/>
  <c r="BR35"/>
  <c r="CO27"/>
  <c r="CO35"/>
  <c r="E18" i="11"/>
  <c r="CN37" i="1"/>
  <c r="D19" i="11"/>
  <c r="D11"/>
  <c r="S95" i="4"/>
  <c r="CO8" i="1"/>
  <c r="CO11"/>
  <c r="BR11"/>
  <c r="R95" i="4"/>
  <c r="AA79"/>
  <c r="BV25" i="1"/>
  <c r="I9" i="11"/>
  <c r="S39" i="17"/>
  <c r="CP28" i="1"/>
  <c r="CL28"/>
  <c r="CQ28"/>
  <c r="T39" i="17"/>
  <c r="AM52" i="4"/>
  <c r="Z100"/>
  <c r="L28" i="11"/>
  <c r="M28"/>
  <c r="S26"/>
  <c r="BX30" i="1"/>
  <c r="BX10"/>
  <c r="Y99" i="4"/>
  <c r="CP33" i="1"/>
  <c r="CL33"/>
  <c r="CQ33"/>
  <c r="BW30"/>
  <c r="O55" i="17"/>
  <c r="O57"/>
  <c r="O58"/>
  <c r="O54"/>
  <c r="BT33" i="1"/>
  <c r="AA52" i="4"/>
  <c r="AA54"/>
  <c r="BZ5" i="1"/>
  <c r="BY4"/>
  <c r="BY6"/>
  <c r="L5" i="11"/>
  <c r="L21"/>
  <c r="R29"/>
  <c r="BN15" i="1"/>
  <c r="BX21"/>
  <c r="BN16"/>
  <c r="BO16"/>
  <c r="BS15"/>
  <c r="BT15"/>
  <c r="BW10"/>
  <c r="BW25"/>
  <c r="J9" i="11"/>
  <c r="BZ28" i="3"/>
  <c r="BU33" i="1"/>
  <c r="K31" i="11"/>
  <c r="AH65" i="17"/>
  <c r="AH62"/>
  <c r="AH51"/>
  <c r="CO12" i="1"/>
  <c r="E15" i="11"/>
  <c r="E14"/>
  <c r="BR12" i="1"/>
  <c r="E6" i="11"/>
  <c r="E10"/>
  <c r="BR36" i="1"/>
  <c r="CO36"/>
  <c r="U95" i="4"/>
  <c r="N13" i="1"/>
  <c r="L27" i="11"/>
  <c r="O4" i="3"/>
  <c r="O6"/>
  <c r="N28" i="11"/>
  <c r="AB79" i="4"/>
  <c r="BS17" i="1"/>
  <c r="CP17"/>
  <c r="CP15"/>
  <c r="CL15"/>
  <c r="BX22"/>
  <c r="BX25"/>
  <c r="K9" i="11"/>
  <c r="BZ28" i="1"/>
  <c r="BY10"/>
  <c r="Z99" i="4"/>
  <c r="T26" i="11"/>
  <c r="CI28" i="1"/>
  <c r="BV33"/>
  <c r="P54" i="17"/>
  <c r="CA5" i="1"/>
  <c r="BX9"/>
  <c r="AA100" i="4"/>
  <c r="BS16" i="1"/>
  <c r="BO15"/>
  <c r="BZ4"/>
  <c r="BZ6"/>
  <c r="M5" i="11"/>
  <c r="M21"/>
  <c r="P55" i="17"/>
  <c r="P57"/>
  <c r="P58"/>
  <c r="CA28" i="1"/>
  <c r="CB5"/>
  <c r="BY24"/>
  <c r="AB52" i="4"/>
  <c r="AB54"/>
  <c r="BY20" i="1"/>
  <c r="BY21"/>
  <c r="S29" i="11"/>
  <c r="BU15" i="1"/>
  <c r="V95" i="4"/>
  <c r="U97"/>
  <c r="M30" i="11"/>
  <c r="E7"/>
  <c r="BR37" i="1"/>
  <c r="O13"/>
  <c r="M27" i="11"/>
  <c r="L30"/>
  <c r="L31"/>
  <c r="BT17" i="1"/>
  <c r="BT34"/>
  <c r="T95" i="4"/>
  <c r="O28" i="11"/>
  <c r="U39" i="17"/>
  <c r="AC52" i="4"/>
  <c r="AC54"/>
  <c r="AA99"/>
  <c r="Q54" i="17"/>
  <c r="Q55"/>
  <c r="Q57"/>
  <c r="Q58"/>
  <c r="BY30" i="1"/>
  <c r="CQ15"/>
  <c r="BZ24"/>
  <c r="AN52" i="4"/>
  <c r="CA4" i="1"/>
  <c r="CA6"/>
  <c r="N5" i="11"/>
  <c r="N21"/>
  <c r="CP16" i="1"/>
  <c r="CL16"/>
  <c r="CQ16"/>
  <c r="AB100" i="4"/>
  <c r="BY9" i="1"/>
  <c r="T29" i="11"/>
  <c r="BZ21" i="1"/>
  <c r="BU17"/>
  <c r="BT16"/>
  <c r="BZ30"/>
  <c r="P28" i="11"/>
  <c r="AC79" i="4"/>
  <c r="BV15" i="1"/>
  <c r="BY22"/>
  <c r="BY25"/>
  <c r="L9" i="11"/>
  <c r="BS18" i="1"/>
  <c r="F8" i="11"/>
  <c r="CP18" i="1"/>
  <c r="F16" i="11"/>
  <c r="M31"/>
  <c r="W95" i="4"/>
  <c r="CO37" i="1"/>
  <c r="E19" i="11"/>
  <c r="E11"/>
  <c r="BT18" i="1"/>
  <c r="G8" i="11"/>
  <c r="CA22" i="1"/>
  <c r="BN29"/>
  <c r="BO29"/>
  <c r="BT29"/>
  <c r="BS29"/>
  <c r="BS27"/>
  <c r="BN27"/>
  <c r="BN8"/>
  <c r="BS8"/>
  <c r="BN34"/>
  <c r="BO34"/>
  <c r="BS34"/>
  <c r="BU16"/>
  <c r="BU18"/>
  <c r="H8" i="11"/>
  <c r="AD79" i="4"/>
  <c r="BZ22" i="1"/>
  <c r="AO52" i="4"/>
  <c r="AP52"/>
  <c r="AB99"/>
  <c r="CC4" i="1"/>
  <c r="CC5"/>
  <c r="BX33"/>
  <c r="R54" i="17"/>
  <c r="R55"/>
  <c r="R57"/>
  <c r="R58"/>
  <c r="V39"/>
  <c r="AC100" i="4"/>
  <c r="U29" i="11"/>
  <c r="BZ20" i="1"/>
  <c r="BZ25"/>
  <c r="M9" i="11"/>
  <c r="CA20" i="1"/>
  <c r="BW33"/>
  <c r="BZ10"/>
  <c r="BZ9"/>
  <c r="CA24"/>
  <c r="CB28"/>
  <c r="CB4"/>
  <c r="CB6"/>
  <c r="O5" i="11"/>
  <c r="O21"/>
  <c r="BV17" i="1"/>
  <c r="BW17"/>
  <c r="Q28" i="11"/>
  <c r="BV34" i="1"/>
  <c r="BV29"/>
  <c r="BU29"/>
  <c r="X95" i="4"/>
  <c r="BU34" i="1"/>
  <c r="CC6"/>
  <c r="P5" i="11"/>
  <c r="CP34" i="1"/>
  <c r="CL34"/>
  <c r="CQ34"/>
  <c r="CP8"/>
  <c r="CP11"/>
  <c r="CL8"/>
  <c r="BS11"/>
  <c r="N27" i="11"/>
  <c r="P13" i="1"/>
  <c r="BO27"/>
  <c r="BN35"/>
  <c r="BO35"/>
  <c r="CP29"/>
  <c r="CL29"/>
  <c r="CQ29"/>
  <c r="BO8"/>
  <c r="BN11"/>
  <c r="N30" i="11"/>
  <c r="CL27" i="1"/>
  <c r="CP27"/>
  <c r="BS35"/>
  <c r="AD52" i="4"/>
  <c r="AD54"/>
  <c r="AE79"/>
  <c r="P21" i="11"/>
  <c r="BX15" i="1"/>
  <c r="AQ52" i="4"/>
  <c r="CC20" i="1"/>
  <c r="CB24"/>
  <c r="CA9"/>
  <c r="CA10"/>
  <c r="CB20"/>
  <c r="CD5"/>
  <c r="AD100" i="4"/>
  <c r="V29" i="11"/>
  <c r="BW15" i="1"/>
  <c r="W39" i="17"/>
  <c r="BV16" i="1"/>
  <c r="BV18"/>
  <c r="I8" i="11"/>
  <c r="CC28" i="1"/>
  <c r="AC99" i="4"/>
  <c r="CB10" i="1"/>
  <c r="CA30"/>
  <c r="S55" i="17"/>
  <c r="S57"/>
  <c r="S58"/>
  <c r="S54"/>
  <c r="CA21" i="1"/>
  <c r="CA25"/>
  <c r="N9" i="11"/>
  <c r="CB21" i="1"/>
  <c r="R28" i="11"/>
  <c r="Y95" i="4"/>
  <c r="BW29" i="1"/>
  <c r="AE52" i="4"/>
  <c r="AE54"/>
  <c r="N31" i="11"/>
  <c r="BN12" i="1"/>
  <c r="BO11"/>
  <c r="BO12"/>
  <c r="BS12"/>
  <c r="F6" i="11"/>
  <c r="X6"/>
  <c r="F14"/>
  <c r="CP12" i="1"/>
  <c r="F15" i="11"/>
  <c r="F10"/>
  <c r="X10"/>
  <c r="BS36" i="1"/>
  <c r="CP36"/>
  <c r="CQ27"/>
  <c r="CQ35"/>
  <c r="CL35"/>
  <c r="CQ8"/>
  <c r="CQ11"/>
  <c r="CL11"/>
  <c r="CL12"/>
  <c r="CP35"/>
  <c r="F18" i="11"/>
  <c r="AF79" i="4"/>
  <c r="AR52"/>
  <c r="X39" i="17"/>
  <c r="CD24" i="1"/>
  <c r="CB22"/>
  <c r="CB25"/>
  <c r="O9" i="11"/>
  <c r="BY33" i="1"/>
  <c r="CB9"/>
  <c r="T55" i="17"/>
  <c r="T57"/>
  <c r="T58"/>
  <c r="CC24" i="1"/>
  <c r="BW16"/>
  <c r="BW18"/>
  <c r="J8" i="11"/>
  <c r="AE100" i="4"/>
  <c r="CB30" i="1"/>
  <c r="CD28"/>
  <c r="T54" i="17"/>
  <c r="CD4" i="1"/>
  <c r="CD6"/>
  <c r="Q5" i="11"/>
  <c r="Q21"/>
  <c r="CC9" i="1"/>
  <c r="AD99" i="4"/>
  <c r="CC10" i="1"/>
  <c r="AF52" i="4"/>
  <c r="AF54"/>
  <c r="CE5" i="1"/>
  <c r="BX17"/>
  <c r="BY17"/>
  <c r="BY15"/>
  <c r="W29" i="11"/>
  <c r="Z95" i="4"/>
  <c r="BX34" i="1"/>
  <c r="BX29"/>
  <c r="BW34"/>
  <c r="Y39" i="17"/>
  <c r="G14" i="11"/>
  <c r="X14"/>
  <c r="CQ12" i="1"/>
  <c r="G18" i="11"/>
  <c r="X18"/>
  <c r="F7"/>
  <c r="X7"/>
  <c r="BS37" i="1"/>
  <c r="Z39" i="17"/>
  <c r="AG79" i="4"/>
  <c r="BZ15" i="1"/>
  <c r="CE24"/>
  <c r="AS52" i="4"/>
  <c r="CC21" i="1"/>
  <c r="CF5"/>
  <c r="V45" i="17"/>
  <c r="CE28" i="1"/>
  <c r="U55" i="17"/>
  <c r="U57"/>
  <c r="U58"/>
  <c r="AE99" i="4"/>
  <c r="CG5" i="1"/>
  <c r="CE4"/>
  <c r="CE6"/>
  <c r="R5" i="11"/>
  <c r="R21"/>
  <c r="CD20" i="1"/>
  <c r="CD21"/>
  <c r="X29" i="11"/>
  <c r="BX16" i="1"/>
  <c r="BX18"/>
  <c r="K8" i="11"/>
  <c r="CC30" i="1"/>
  <c r="CA33"/>
  <c r="U54" i="17"/>
  <c r="BZ33" i="1"/>
  <c r="AG52" i="4"/>
  <c r="AG54"/>
  <c r="AF100"/>
  <c r="CD30" i="1"/>
  <c r="BY16"/>
  <c r="BY18"/>
  <c r="L8" i="11"/>
  <c r="S28"/>
  <c r="CD9" i="1"/>
  <c r="CC22"/>
  <c r="BY29"/>
  <c r="AA95" i="4"/>
  <c r="F11" i="11"/>
  <c r="CP37" i="1"/>
  <c r="F19" i="11"/>
  <c r="X15"/>
  <c r="G15"/>
  <c r="U28"/>
  <c r="CA15" i="1"/>
  <c r="AH79" i="4"/>
  <c r="CH28" i="1"/>
  <c r="CF28"/>
  <c r="V55" i="17"/>
  <c r="V57"/>
  <c r="V58"/>
  <c r="CD10" i="1"/>
  <c r="AG100" i="4"/>
  <c r="CH5" i="1"/>
  <c r="V54" i="17"/>
  <c r="CB33" i="1"/>
  <c r="U26" i="11"/>
  <c r="AF99" i="4"/>
  <c r="AH54"/>
  <c r="CF4" i="1"/>
  <c r="CF6"/>
  <c r="S5" i="11"/>
  <c r="S21"/>
  <c r="AT52" i="4"/>
  <c r="CE20" i="1"/>
  <c r="BZ17"/>
  <c r="Y29" i="11"/>
  <c r="T28"/>
  <c r="CG28" i="1"/>
  <c r="CC25"/>
  <c r="P9" i="11"/>
  <c r="CD22" i="1"/>
  <c r="CD25"/>
  <c r="Q9" i="11"/>
  <c r="BZ34" i="1"/>
  <c r="AB95" i="4"/>
  <c r="BY34" i="1"/>
  <c r="BZ16"/>
  <c r="AI79" i="4"/>
  <c r="AA39" i="17"/>
  <c r="CF20" i="1"/>
  <c r="CE10"/>
  <c r="CB15"/>
  <c r="W54" i="17"/>
  <c r="CE21" i="1"/>
  <c r="CI5"/>
  <c r="AH100" i="4"/>
  <c r="AI54"/>
  <c r="BZ18" i="1"/>
  <c r="M8" i="11"/>
  <c r="Z29"/>
  <c r="CF21" i="1"/>
  <c r="AG99" i="4"/>
  <c r="AA26" i="11"/>
  <c r="CG4" i="1"/>
  <c r="CG6"/>
  <c r="T5" i="11"/>
  <c r="T21"/>
  <c r="CE30" i="1"/>
  <c r="CE9"/>
  <c r="CB17"/>
  <c r="W55" i="17"/>
  <c r="W57"/>
  <c r="W58"/>
  <c r="CG24" i="1"/>
  <c r="CF24"/>
  <c r="CE22"/>
  <c r="V28" i="11"/>
  <c r="CF10" i="1"/>
  <c r="CA17"/>
  <c r="CA34"/>
  <c r="CA29"/>
  <c r="BZ29"/>
  <c r="AC95" i="4"/>
  <c r="CE25" i="1"/>
  <c r="R9" i="11"/>
  <c r="AJ79" i="4"/>
  <c r="W28" i="11"/>
  <c r="CH4" i="1"/>
  <c r="CH6"/>
  <c r="U5" i="11"/>
  <c r="U21"/>
  <c r="AB39" i="17"/>
  <c r="AV52" i="4"/>
  <c r="AU52"/>
  <c r="AI100"/>
  <c r="X55" i="17"/>
  <c r="X57"/>
  <c r="X58"/>
  <c r="X54"/>
  <c r="CD33" i="1"/>
  <c r="CF30"/>
  <c r="AI99" i="4"/>
  <c r="AC26" i="11"/>
  <c r="AJ54" i="4"/>
  <c r="CG22" i="1"/>
  <c r="AA29" i="11"/>
  <c r="CF9" i="1"/>
  <c r="CA16"/>
  <c r="CA18"/>
  <c r="N8" i="11"/>
  <c r="CC17" i="1"/>
  <c r="AH99" i="4"/>
  <c r="CG30" i="1"/>
  <c r="AB26" i="11"/>
  <c r="CC33" i="1"/>
  <c r="CF22"/>
  <c r="CF25"/>
  <c r="S9" i="11"/>
  <c r="CB29" i="1"/>
  <c r="AD95" i="4"/>
  <c r="CB16" i="1"/>
  <c r="CB18"/>
  <c r="O8" i="11"/>
  <c r="X28"/>
  <c r="AK79" i="4"/>
  <c r="CH24" i="1"/>
  <c r="CG21"/>
  <c r="CI24"/>
  <c r="AB29" i="11"/>
  <c r="CG20" i="1"/>
  <c r="CH20"/>
  <c r="CH10"/>
  <c r="AC39" i="17"/>
  <c r="CG9" i="1"/>
  <c r="CC16"/>
  <c r="CC15"/>
  <c r="CI4"/>
  <c r="CI6"/>
  <c r="V5" i="11"/>
  <c r="V21"/>
  <c r="Y55" i="17"/>
  <c r="Y57"/>
  <c r="Y58"/>
  <c r="Y54"/>
  <c r="CE33" i="1"/>
  <c r="AK54" i="4"/>
  <c r="AJ100"/>
  <c r="CH9" i="1"/>
  <c r="CH30"/>
  <c r="CH22"/>
  <c r="CG10"/>
  <c r="AE95" i="4"/>
  <c r="CB34" i="1"/>
  <c r="CC34"/>
  <c r="CC18"/>
  <c r="P8" i="11"/>
  <c r="AL79" i="4"/>
  <c r="CE15" i="1"/>
  <c r="CG25"/>
  <c r="T9" i="11"/>
  <c r="CI21" i="1"/>
  <c r="AE39" i="17"/>
  <c r="AC29" i="11"/>
  <c r="AD39" i="17"/>
  <c r="AK99" i="4"/>
  <c r="AE26" i="11"/>
  <c r="CD15" i="1"/>
  <c r="AJ99" i="4"/>
  <c r="CI30" i="1"/>
  <c r="CI10"/>
  <c r="AD26" i="11"/>
  <c r="AK100" i="4"/>
  <c r="Z54" i="17"/>
  <c r="CD17" i="1"/>
  <c r="CH21"/>
  <c r="CH25"/>
  <c r="U9" i="11"/>
  <c r="AW52" i="4"/>
  <c r="AB54" i="17"/>
  <c r="AB55"/>
  <c r="AB57"/>
  <c r="AB58"/>
  <c r="Z55"/>
  <c r="Z57"/>
  <c r="Z58"/>
  <c r="AL54" i="4"/>
  <c r="CI22" i="1"/>
  <c r="Y28" i="11"/>
  <c r="CD34" i="1"/>
  <c r="AF95" i="4"/>
  <c r="CC29" i="1"/>
  <c r="AM79" i="4"/>
  <c r="AL100"/>
  <c r="CE17" i="1"/>
  <c r="AD29" i="11"/>
  <c r="CI20" i="1"/>
  <c r="CI25"/>
  <c r="V9" i="11"/>
  <c r="AM54" i="4"/>
  <c r="CF33" i="1"/>
  <c r="AA55" i="17"/>
  <c r="AA57"/>
  <c r="AA58"/>
  <c r="Z28" i="11"/>
  <c r="CD16" i="1"/>
  <c r="CD18"/>
  <c r="Q8" i="11"/>
  <c r="AX52" i="4"/>
  <c r="AL99"/>
  <c r="AF26" i="11"/>
  <c r="AA54" i="17"/>
  <c r="CH33" i="1"/>
  <c r="CI9"/>
  <c r="CF17"/>
  <c r="CE29"/>
  <c r="AG95" i="4"/>
  <c r="CD29" i="1"/>
  <c r="CF29"/>
  <c r="CE34"/>
  <c r="CE16"/>
  <c r="CE18"/>
  <c r="R8" i="11"/>
  <c r="AN79" i="4"/>
  <c r="AD54" i="17"/>
  <c r="AZ52" i="4"/>
  <c r="CF15" i="1"/>
  <c r="AY52" i="4"/>
  <c r="AM99"/>
  <c r="CG15" i="1"/>
  <c r="AE29" i="11"/>
  <c r="AF39" i="17"/>
  <c r="AD55"/>
  <c r="AD57"/>
  <c r="AD58"/>
  <c r="CG33" i="1"/>
  <c r="AM100" i="4"/>
  <c r="AN54"/>
  <c r="AC28" i="11"/>
  <c r="CF34" i="1"/>
  <c r="AG97" i="4"/>
  <c r="P4" i="3"/>
  <c r="P6"/>
  <c r="AO79" i="4"/>
  <c r="AG39" i="17"/>
  <c r="CH16" i="1"/>
  <c r="AF29" i="11"/>
  <c r="AN99" i="4"/>
  <c r="CH17" i="1"/>
  <c r="CG17"/>
  <c r="AN100" i="4"/>
  <c r="AB28" i="11"/>
  <c r="CH15" i="1"/>
  <c r="AE54" i="17"/>
  <c r="AE55"/>
  <c r="AE57"/>
  <c r="AE58"/>
  <c r="AO54" i="4"/>
  <c r="AC54" i="17"/>
  <c r="CI33" i="1"/>
  <c r="AC55" i="17"/>
  <c r="AC57"/>
  <c r="AC58"/>
  <c r="AA28" i="11"/>
  <c r="CF16" i="1"/>
  <c r="CF18"/>
  <c r="S8" i="11"/>
  <c r="CG34" i="1"/>
  <c r="Q4" i="3"/>
  <c r="Q6"/>
  <c r="AH95" i="4"/>
  <c r="CH18" i="1"/>
  <c r="U8" i="11"/>
  <c r="CG16" i="1"/>
  <c r="CG18"/>
  <c r="T8" i="11"/>
  <c r="AG29"/>
  <c r="AP79" i="4"/>
  <c r="AO99"/>
  <c r="AH39" i="17"/>
  <c r="CI17" i="1"/>
  <c r="AO100" i="4"/>
  <c r="AF54" i="17"/>
  <c r="BB52" i="4"/>
  <c r="AP54"/>
  <c r="AF55" i="17"/>
  <c r="AF57"/>
  <c r="AF58"/>
  <c r="BA52" i="4"/>
  <c r="CI15" i="1"/>
  <c r="AE28" i="11"/>
  <c r="BT8" i="1"/>
  <c r="BT11"/>
  <c r="CH34"/>
  <c r="R4" i="3"/>
  <c r="R6"/>
  <c r="BT27" i="1"/>
  <c r="BT35"/>
  <c r="AI95" i="4"/>
  <c r="CH29" i="1"/>
  <c r="CG29"/>
  <c r="AQ79" i="4"/>
  <c r="AP100"/>
  <c r="AQ54"/>
  <c r="AI39" i="17"/>
  <c r="AG55"/>
  <c r="AG57"/>
  <c r="AG58"/>
  <c r="AG54"/>
  <c r="AP99" i="4"/>
  <c r="AH29" i="11"/>
  <c r="AF28"/>
  <c r="AI29"/>
  <c r="CI34" i="1"/>
  <c r="CI29"/>
  <c r="BT12"/>
  <c r="G6" i="11"/>
  <c r="BU27" i="1"/>
  <c r="BU35"/>
  <c r="BU8"/>
  <c r="BU11"/>
  <c r="G10" i="11"/>
  <c r="BT36" i="1"/>
  <c r="O30" i="11"/>
  <c r="S4" i="3"/>
  <c r="S6"/>
  <c r="AJ95" i="4"/>
  <c r="Q13" i="1"/>
  <c r="O27" i="11"/>
  <c r="AR79" i="4"/>
  <c r="AJ39" i="17"/>
  <c r="AH54"/>
  <c r="BC52" i="4"/>
  <c r="AD28" i="11"/>
  <c r="CI16" i="1"/>
  <c r="CI18"/>
  <c r="V8" i="11"/>
  <c r="AQ100" i="4"/>
  <c r="AR54"/>
  <c r="AH55" i="17"/>
  <c r="AH57"/>
  <c r="AH58"/>
  <c r="AQ99" i="4"/>
  <c r="AG28" i="11"/>
  <c r="O31"/>
  <c r="T4" i="3"/>
  <c r="T6"/>
  <c r="AK95" i="4"/>
  <c r="H10" i="11"/>
  <c r="BU36" i="1"/>
  <c r="BT37"/>
  <c r="G11" i="11"/>
  <c r="G7"/>
  <c r="P30"/>
  <c r="P27"/>
  <c r="P31"/>
  <c r="R13" i="1"/>
  <c r="H6" i="11"/>
  <c r="BU12" i="1"/>
  <c r="BV27"/>
  <c r="BV35"/>
  <c r="BV8"/>
  <c r="BV11"/>
  <c r="AS79" i="4"/>
  <c r="AS54"/>
  <c r="BD52"/>
  <c r="AR99"/>
  <c r="AG26" i="11"/>
  <c r="AI54" i="17"/>
  <c r="AH28" i="11"/>
  <c r="AJ29"/>
  <c r="AI55" i="17"/>
  <c r="AI57"/>
  <c r="AI58"/>
  <c r="AR100" i="4"/>
  <c r="I6" i="11"/>
  <c r="BV12" i="1"/>
  <c r="BU37"/>
  <c r="H11" i="11"/>
  <c r="H7"/>
  <c r="U4" i="3"/>
  <c r="U6"/>
  <c r="AL95" i="4"/>
  <c r="Q30" i="11"/>
  <c r="S13" i="1"/>
  <c r="Q27" i="11"/>
  <c r="Q31"/>
  <c r="BV36" i="1"/>
  <c r="I10" i="11"/>
  <c r="BW27" i="1"/>
  <c r="BW35"/>
  <c r="BW8"/>
  <c r="BW11"/>
  <c r="AT79" i="4"/>
  <c r="AJ55" i="17"/>
  <c r="AJ57"/>
  <c r="AJ58"/>
  <c r="BE52" i="4"/>
  <c r="AL39" i="17"/>
  <c r="BF52" i="4"/>
  <c r="AS100"/>
  <c r="AI28" i="11"/>
  <c r="AK29"/>
  <c r="AK39" i="17"/>
  <c r="AH45"/>
  <c r="AJ54"/>
  <c r="AM26" i="11"/>
  <c r="AS99" i="4"/>
  <c r="BX27" i="1"/>
  <c r="BX35"/>
  <c r="BX36"/>
  <c r="J6" i="11"/>
  <c r="BW12" i="1"/>
  <c r="R30" i="11"/>
  <c r="S30"/>
  <c r="BY8" i="1"/>
  <c r="BY11"/>
  <c r="AM95" i="4"/>
  <c r="R27" i="11"/>
  <c r="R31"/>
  <c r="T13" i="1"/>
  <c r="BX8"/>
  <c r="BX11"/>
  <c r="BW36"/>
  <c r="J10" i="11"/>
  <c r="U13" i="1"/>
  <c r="S27" i="11"/>
  <c r="V4" i="3"/>
  <c r="V6"/>
  <c r="I7" i="11"/>
  <c r="BV37" i="1"/>
  <c r="I11" i="11"/>
  <c r="AU79" i="4"/>
  <c r="AL29" i="11"/>
  <c r="AN26"/>
  <c r="AT99" i="4"/>
  <c r="AT54"/>
  <c r="AK55" i="17"/>
  <c r="AK57"/>
  <c r="AK58"/>
  <c r="AT100" i="4"/>
  <c r="AJ28" i="11"/>
  <c r="AM39" i="17"/>
  <c r="AK54"/>
  <c r="AU54" i="4"/>
  <c r="AM29" i="11"/>
  <c r="K10"/>
  <c r="S31"/>
  <c r="AN95" i="4"/>
  <c r="BX12" i="1"/>
  <c r="K6" i="11"/>
  <c r="BY27" i="1"/>
  <c r="BY35"/>
  <c r="BZ27"/>
  <c r="BZ35"/>
  <c r="L6" i="11"/>
  <c r="BY12" i="1"/>
  <c r="W4" i="3"/>
  <c r="W6"/>
  <c r="BW37" i="1"/>
  <c r="J11" i="11"/>
  <c r="J7"/>
  <c r="AN39" i="17"/>
  <c r="AV79" i="4"/>
  <c r="AO26" i="11"/>
  <c r="AU99" i="4"/>
  <c r="AU100"/>
  <c r="BG52"/>
  <c r="AL54" i="17"/>
  <c r="AV54" i="4"/>
  <c r="AK28" i="11"/>
  <c r="AL55" i="17"/>
  <c r="AL57"/>
  <c r="AL58"/>
  <c r="BZ8" i="1"/>
  <c r="BZ11"/>
  <c r="BZ12"/>
  <c r="AO95" i="4"/>
  <c r="L7" i="11"/>
  <c r="BZ36" i="1"/>
  <c r="M10" i="11"/>
  <c r="L10"/>
  <c r="BY36" i="1"/>
  <c r="BY37"/>
  <c r="L11" i="11"/>
  <c r="W13" i="1"/>
  <c r="U27" i="11"/>
  <c r="X4" i="3"/>
  <c r="X6"/>
  <c r="V13" i="1"/>
  <c r="T27" i="11"/>
  <c r="T30"/>
  <c r="BX37" i="1"/>
  <c r="K11" i="11"/>
  <c r="K7"/>
  <c r="U30"/>
  <c r="AW79" i="4"/>
  <c r="AL28" i="11"/>
  <c r="AM54" i="17"/>
  <c r="AP26" i="11"/>
  <c r="AV99" i="4"/>
  <c r="AO39" i="17"/>
  <c r="AM55"/>
  <c r="AM57"/>
  <c r="AM58"/>
  <c r="BH52" i="4"/>
  <c r="AV100"/>
  <c r="AN29" i="11"/>
  <c r="M6"/>
  <c r="Y4" i="3"/>
  <c r="Y6"/>
  <c r="CA8" i="1"/>
  <c r="CA11"/>
  <c r="CB8"/>
  <c r="CB11"/>
  <c r="AP95" i="4"/>
  <c r="M7" i="11"/>
  <c r="BZ37" i="1"/>
  <c r="M11" i="11"/>
  <c r="CA27" i="1"/>
  <c r="CA35"/>
  <c r="CB27"/>
  <c r="CB35"/>
  <c r="T31" i="11"/>
  <c r="U31"/>
  <c r="AO29"/>
  <c r="AX79" i="4"/>
  <c r="AN54" i="17"/>
  <c r="AX54" i="4"/>
  <c r="AQ26" i="11"/>
  <c r="AW99" i="4"/>
  <c r="AM28" i="11"/>
  <c r="AN55" i="17"/>
  <c r="AN57"/>
  <c r="AN58"/>
  <c r="BI52" i="4"/>
  <c r="AP39" i="17"/>
  <c r="AW100" i="4"/>
  <c r="AW54"/>
  <c r="O10" i="11"/>
  <c r="CB36" i="1"/>
  <c r="V30" i="11"/>
  <c r="CB12" i="1"/>
  <c r="O6" i="11"/>
  <c r="X13" i="1"/>
  <c r="V27" i="11"/>
  <c r="Z4" i="3"/>
  <c r="Z6"/>
  <c r="CA36" i="1"/>
  <c r="N10" i="11"/>
  <c r="N6"/>
  <c r="CA12" i="1"/>
  <c r="AQ95" i="4"/>
  <c r="AY79"/>
  <c r="BJ52"/>
  <c r="AX100"/>
  <c r="AO55" i="17"/>
  <c r="AO57"/>
  <c r="AO58"/>
  <c r="AN28" i="11"/>
  <c r="AY54" i="4"/>
  <c r="AQ39" i="17"/>
  <c r="BK52" i="4"/>
  <c r="AO54" i="17"/>
  <c r="AX99" i="4"/>
  <c r="AR26" i="11"/>
  <c r="AP29"/>
  <c r="V31"/>
  <c r="Z13" i="1"/>
  <c r="X27" i="11"/>
  <c r="CD8" i="1"/>
  <c r="CD11"/>
  <c r="CD27"/>
  <c r="CD35"/>
  <c r="AR95" i="4"/>
  <c r="O7" i="11"/>
  <c r="CB37" i="1"/>
  <c r="O11" i="11"/>
  <c r="W30"/>
  <c r="N7"/>
  <c r="CA37" i="1"/>
  <c r="N11" i="11"/>
  <c r="W27"/>
  <c r="Y13" i="1"/>
  <c r="AA4" i="3"/>
  <c r="AA6"/>
  <c r="CC8" i="1"/>
  <c r="CC11"/>
  <c r="CC27"/>
  <c r="CC35"/>
  <c r="AQ29" i="11"/>
  <c r="AZ79" i="4"/>
  <c r="AR39" i="17"/>
  <c r="AY99" i="4"/>
  <c r="AZ54"/>
  <c r="AO28" i="11"/>
  <c r="AP54" i="17"/>
  <c r="AP55"/>
  <c r="AP57"/>
  <c r="AP58"/>
  <c r="AY100" i="4"/>
  <c r="AR29" i="11"/>
  <c r="W31"/>
  <c r="P6"/>
  <c r="CC12" i="1"/>
  <c r="AS97" i="4"/>
  <c r="AB4" i="3"/>
  <c r="AB6"/>
  <c r="X30" i="11"/>
  <c r="X31"/>
  <c r="CC36" i="1"/>
  <c r="P10" i="11"/>
  <c r="AS95" i="4"/>
  <c r="Q10" i="11"/>
  <c r="CD36" i="1"/>
  <c r="CD12"/>
  <c r="Q7" i="11"/>
  <c r="Q6"/>
  <c r="CE27" i="1"/>
  <c r="CE35"/>
  <c r="AS39" i="17"/>
  <c r="BA79" i="4"/>
  <c r="BA54"/>
  <c r="BM52"/>
  <c r="AQ55" i="17"/>
  <c r="AQ57"/>
  <c r="AQ58"/>
  <c r="AP28" i="11"/>
  <c r="BL52" i="4"/>
  <c r="AZ100"/>
  <c r="AZ99"/>
  <c r="AQ54" i="17"/>
  <c r="CE36" i="1"/>
  <c r="R10" i="11"/>
  <c r="AA13" i="1"/>
  <c r="Y27" i="11"/>
  <c r="AC4" i="3"/>
  <c r="AC6"/>
  <c r="AT95" i="4"/>
  <c r="CD37" i="1"/>
  <c r="Q11" i="11"/>
  <c r="Y30"/>
  <c r="P7"/>
  <c r="CC37" i="1"/>
  <c r="P11" i="11"/>
  <c r="CE8" i="1"/>
  <c r="CE11"/>
  <c r="BB79" i="4"/>
  <c r="BN52"/>
  <c r="AR54" i="17"/>
  <c r="BB54" i="4"/>
  <c r="BA99"/>
  <c r="AT29" i="11"/>
  <c r="BA100" i="4"/>
  <c r="AT39" i="17"/>
  <c r="AR55"/>
  <c r="AR57"/>
  <c r="AR58"/>
  <c r="AS29" i="11"/>
  <c r="AQ28"/>
  <c r="CG27" i="1"/>
  <c r="CG35"/>
  <c r="AU95" i="4"/>
  <c r="Z30" i="11"/>
  <c r="Z27"/>
  <c r="AB13" i="1"/>
  <c r="Y31" i="11"/>
  <c r="CF27" i="1"/>
  <c r="CF35"/>
  <c r="R6" i="11"/>
  <c r="CE12" i="1"/>
  <c r="AA30" i="11"/>
  <c r="AD4" i="3"/>
  <c r="AD6"/>
  <c r="CF8" i="1"/>
  <c r="CF11"/>
  <c r="BO52" i="4"/>
  <c r="BC79"/>
  <c r="AS54" i="17"/>
  <c r="BB99" i="4"/>
  <c r="BB100"/>
  <c r="AS55" i="17"/>
  <c r="AS57"/>
  <c r="AS58"/>
  <c r="AU39"/>
  <c r="AR28" i="11"/>
  <c r="CG8" i="1"/>
  <c r="CG11"/>
  <c r="T6" i="11"/>
  <c r="Z31"/>
  <c r="CF12" i="1"/>
  <c r="S6" i="11"/>
  <c r="AV95" i="4"/>
  <c r="AC13" i="1"/>
  <c r="AA27" i="11"/>
  <c r="AA31"/>
  <c r="CG36" i="1"/>
  <c r="T10" i="11"/>
  <c r="AE4" i="3"/>
  <c r="AE6"/>
  <c r="CE37" i="1"/>
  <c r="R11" i="11"/>
  <c r="R7"/>
  <c r="CF36" i="1"/>
  <c r="S10" i="11"/>
  <c r="AD13" i="1"/>
  <c r="AB27" i="11"/>
  <c r="Y45" i="17"/>
  <c r="Y46"/>
  <c r="AU29" i="11"/>
  <c r="BD79" i="4"/>
  <c r="AV39" i="17"/>
  <c r="BC100" i="4"/>
  <c r="BC54"/>
  <c r="BC99"/>
  <c r="AT54" i="17"/>
  <c r="AT55"/>
  <c r="AT57"/>
  <c r="AT58"/>
  <c r="AV29" i="11"/>
  <c r="AS28"/>
  <c r="CG12" i="1"/>
  <c r="CG37"/>
  <c r="T11" i="11"/>
  <c r="CH27" i="1"/>
  <c r="CH35"/>
  <c r="U10" i="11"/>
  <c r="AW95" i="4"/>
  <c r="AB30" i="11"/>
  <c r="AB31"/>
  <c r="AC30"/>
  <c r="S7"/>
  <c r="CF37" i="1"/>
  <c r="S11" i="11"/>
  <c r="AF4" i="3"/>
  <c r="AF6"/>
  <c r="CH8" i="1"/>
  <c r="CH11"/>
  <c r="AT28" i="11"/>
  <c r="AX39" i="17"/>
  <c r="T7" i="11"/>
  <c r="BE79" i="4"/>
  <c r="AU55" i="17"/>
  <c r="AU57"/>
  <c r="AU58"/>
  <c r="BP52" i="4"/>
  <c r="BD54"/>
  <c r="AW39" i="17"/>
  <c r="AT45"/>
  <c r="BP17" i="1"/>
  <c r="BN17"/>
  <c r="AU54" i="17"/>
  <c r="BE54" i="4"/>
  <c r="BD100"/>
  <c r="BD99"/>
  <c r="AS26" i="11"/>
  <c r="CH36" i="1"/>
  <c r="CI8"/>
  <c r="CI11"/>
  <c r="CI12"/>
  <c r="AC27" i="11"/>
  <c r="AE13" i="1"/>
  <c r="AG4" i="3"/>
  <c r="AG6"/>
  <c r="CI27" i="1"/>
  <c r="CI35"/>
  <c r="AD27" i="11"/>
  <c r="AF13" i="1"/>
  <c r="AC31" i="11"/>
  <c r="CH12" i="1"/>
  <c r="U6" i="11"/>
  <c r="AX95" i="4"/>
  <c r="AV54" i="17"/>
  <c r="C28" i="11"/>
  <c r="C31"/>
  <c r="BE99" i="4"/>
  <c r="AY26" i="11"/>
  <c r="AV55" i="17"/>
  <c r="AV57"/>
  <c r="AV58"/>
  <c r="BO17" i="1"/>
  <c r="BN18"/>
  <c r="CM17"/>
  <c r="CM18"/>
  <c r="C16" i="11"/>
  <c r="BP18" i="1"/>
  <c r="CL17"/>
  <c r="BE100" i="4"/>
  <c r="BF79"/>
  <c r="AW29" i="11"/>
  <c r="AU28"/>
  <c r="V6"/>
  <c r="AE30"/>
  <c r="U7"/>
  <c r="CH37" i="1"/>
  <c r="U11" i="11"/>
  <c r="AD30"/>
  <c r="AD31"/>
  <c r="AH4" i="3"/>
  <c r="AH6"/>
  <c r="AG13" i="1"/>
  <c r="AE27" i="11"/>
  <c r="CI36" i="1"/>
  <c r="CI37"/>
  <c r="V11" i="11"/>
  <c r="V10"/>
  <c r="AY95" i="4"/>
  <c r="V7" i="11"/>
  <c r="AV28"/>
  <c r="BG79" i="4"/>
  <c r="AY39" i="17"/>
  <c r="CQ17" i="1"/>
  <c r="CQ18"/>
  <c r="CL18"/>
  <c r="CL36"/>
  <c r="AW55" i="17"/>
  <c r="AW57"/>
  <c r="AW58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M45"/>
  <c r="M46"/>
  <c r="BF54" i="4"/>
  <c r="AX29" i="11"/>
  <c r="BG54" i="4"/>
  <c r="C8" i="11"/>
  <c r="X8"/>
  <c r="BP36" i="1"/>
  <c r="BO18"/>
  <c r="BN36"/>
  <c r="AW54" i="17"/>
  <c r="BF100" i="4"/>
  <c r="BF99"/>
  <c r="AZ26" i="11"/>
  <c r="AE31"/>
  <c r="AI4" i="3"/>
  <c r="AI6"/>
  <c r="AF30" i="11"/>
  <c r="AH13" i="1"/>
  <c r="AF27" i="11"/>
  <c r="AZ95" i="4"/>
  <c r="BH79"/>
  <c r="AY29" i="11"/>
  <c r="AZ39" i="17"/>
  <c r="BO36" i="1"/>
  <c r="BN37"/>
  <c r="BO37"/>
  <c r="CM36"/>
  <c r="BP37"/>
  <c r="BG100" i="4"/>
  <c r="BG99"/>
  <c r="BA26" i="11"/>
  <c r="AX55" i="17"/>
  <c r="AX57"/>
  <c r="AX58"/>
  <c r="CQ36" i="1"/>
  <c r="CL37"/>
  <c r="CQ37"/>
  <c r="BH54" i="4"/>
  <c r="AX54" i="17"/>
  <c r="G16" i="11"/>
  <c r="X16"/>
  <c r="AW28"/>
  <c r="AE41" i="17"/>
  <c r="AF31" i="11"/>
  <c r="AG27"/>
  <c r="AI13" i="1"/>
  <c r="AJ4" i="3"/>
  <c r="AJ6"/>
  <c r="AF41" i="17"/>
  <c r="AG30" i="11"/>
  <c r="BA95" i="4"/>
  <c r="BI79"/>
  <c r="BA39" i="17"/>
  <c r="BH99" i="4"/>
  <c r="BB26" i="11"/>
  <c r="BI54" i="4"/>
  <c r="C11" i="11"/>
  <c r="X11"/>
  <c r="CM37" i="1"/>
  <c r="C19" i="11"/>
  <c r="AX28"/>
  <c r="AZ29"/>
  <c r="BH100" i="4"/>
  <c r="G19" i="11"/>
  <c r="X19"/>
  <c r="AY54" i="17"/>
  <c r="AY55"/>
  <c r="AY57"/>
  <c r="AY58"/>
  <c r="BB95" i="4"/>
  <c r="AG31" i="11"/>
  <c r="AG41" i="17"/>
  <c r="AH30" i="11"/>
  <c r="AJ13" i="1"/>
  <c r="AH27" i="11"/>
  <c r="AK4" i="3"/>
  <c r="AK6"/>
  <c r="BJ79" i="4"/>
  <c r="AY28" i="11"/>
  <c r="BB39" i="17"/>
  <c r="AZ54"/>
  <c r="BA29" i="11"/>
  <c r="BI100" i="4"/>
  <c r="AZ55" i="17"/>
  <c r="AZ57"/>
  <c r="AZ58"/>
  <c r="BC26" i="11"/>
  <c r="BI99" i="4"/>
  <c r="AH31" i="11"/>
  <c r="AL4" i="3"/>
  <c r="AL6"/>
  <c r="AI30" i="11"/>
  <c r="AH41" i="17"/>
  <c r="BC95" i="4"/>
  <c r="AI27" i="11"/>
  <c r="AK13" i="1"/>
  <c r="BK79" i="4"/>
  <c r="BJ100"/>
  <c r="BA55" i="17"/>
  <c r="BA57"/>
  <c r="BA58"/>
  <c r="BD26" i="11"/>
  <c r="BJ99" i="4"/>
  <c r="BK54"/>
  <c r="AZ28" i="11"/>
  <c r="BB29"/>
  <c r="BC39" i="17"/>
  <c r="BA54"/>
  <c r="BJ54" i="4"/>
  <c r="AJ30" i="11"/>
  <c r="AI41" i="17"/>
  <c r="AJ27" i="11"/>
  <c r="AJ31"/>
  <c r="AL13" i="1"/>
  <c r="AM4" i="3"/>
  <c r="AM6"/>
  <c r="BD95" i="4"/>
  <c r="AI31" i="11"/>
  <c r="BC29"/>
  <c r="BL79" i="4"/>
  <c r="BK100"/>
  <c r="BK99"/>
  <c r="BL54"/>
  <c r="BB54" i="17"/>
  <c r="BA28" i="11"/>
  <c r="BD39" i="17"/>
  <c r="BB55"/>
  <c r="BB57"/>
  <c r="BB58"/>
  <c r="AK30" i="11"/>
  <c r="BE95" i="4"/>
  <c r="AK27" i="11"/>
  <c r="AM13" i="1"/>
  <c r="AN4" i="3"/>
  <c r="AN6"/>
  <c r="BE97" i="4"/>
  <c r="BM79"/>
  <c r="BD29" i="11"/>
  <c r="BE39" i="17"/>
  <c r="BM54" i="4"/>
  <c r="BC54" i="17"/>
  <c r="BC55"/>
  <c r="BC57"/>
  <c r="BC58"/>
  <c r="BB28" i="11"/>
  <c r="BL99" i="4"/>
  <c r="BL100"/>
  <c r="BE29" i="11"/>
  <c r="AK31"/>
  <c r="AO4" i="3"/>
  <c r="AO6"/>
  <c r="AJ41" i="17"/>
  <c r="AL30" i="11"/>
  <c r="AK41" i="17"/>
  <c r="AL27" i="11"/>
  <c r="AL31"/>
  <c r="AN13" i="1"/>
  <c r="BF95" i="4"/>
  <c r="BN79"/>
  <c r="BC28" i="11"/>
  <c r="BF39" i="17"/>
  <c r="BD54"/>
  <c r="BN54" i="4"/>
  <c r="BD55" i="17"/>
  <c r="BD57"/>
  <c r="BD58"/>
  <c r="BM100" i="4"/>
  <c r="BM99"/>
  <c r="AP4" i="3"/>
  <c r="AP6"/>
  <c r="AM30" i="11"/>
  <c r="AL41" i="17"/>
  <c r="AO13" i="1"/>
  <c r="AM27" i="11"/>
  <c r="BG95" i="4"/>
  <c r="AK45" i="17"/>
  <c r="AK46"/>
  <c r="BO79" i="4"/>
  <c r="BN100"/>
  <c r="BE54" i="17"/>
  <c r="BO54" i="4"/>
  <c r="BG39" i="17"/>
  <c r="BN99" i="4"/>
  <c r="BD28" i="11"/>
  <c r="BE55" i="17"/>
  <c r="BE57"/>
  <c r="BE58"/>
  <c r="BF29" i="11"/>
  <c r="AM31"/>
  <c r="AP13" i="1"/>
  <c r="AN27" i="11"/>
  <c r="AQ4" i="3"/>
  <c r="AQ6"/>
  <c r="AN30" i="11"/>
  <c r="AM41" i="17"/>
  <c r="BH95" i="4"/>
  <c r="BP79"/>
  <c r="BG29" i="11"/>
  <c r="BH39" i="17"/>
  <c r="BI26" i="11"/>
  <c r="BP54" i="4"/>
  <c r="BO99"/>
  <c r="BF55" i="17"/>
  <c r="BF57"/>
  <c r="BF58"/>
  <c r="BE28" i="11"/>
  <c r="BO100" i="4"/>
  <c r="BF54" i="17"/>
  <c r="BI95" i="4"/>
  <c r="AN31" i="11"/>
  <c r="AO27"/>
  <c r="AQ13" i="1"/>
  <c r="AO30" i="11"/>
  <c r="AN41" i="17"/>
  <c r="AR4" i="3"/>
  <c r="AR6"/>
  <c r="BG26" i="11"/>
  <c r="BP100" i="4"/>
  <c r="BG54" i="17"/>
  <c r="BP99" i="4"/>
  <c r="BJ26" i="11"/>
  <c r="Y26"/>
  <c r="M26"/>
  <c r="V26"/>
  <c r="J26"/>
  <c r="L26"/>
  <c r="K26"/>
  <c r="N26"/>
  <c r="W26"/>
  <c r="Z26"/>
  <c r="X26"/>
  <c r="AH26"/>
  <c r="AI26"/>
  <c r="AJ26"/>
  <c r="AK26"/>
  <c r="AL26"/>
  <c r="AT26"/>
  <c r="AU26"/>
  <c r="AV26"/>
  <c r="AX26"/>
  <c r="AW26"/>
  <c r="BE26"/>
  <c r="BH26"/>
  <c r="BF26"/>
  <c r="BH29"/>
  <c r="BI39" i="17"/>
  <c r="BF45"/>
  <c r="BG55"/>
  <c r="BG57"/>
  <c r="BG58"/>
  <c r="BF28" i="11"/>
  <c r="AO31"/>
  <c r="BJ95" i="4"/>
  <c r="AS4" i="3"/>
  <c r="AS6"/>
  <c r="AR13" i="1"/>
  <c r="AP27" i="11"/>
  <c r="AO41" i="17"/>
  <c r="AP30" i="11"/>
  <c r="BI29"/>
  <c r="BH55" i="17"/>
  <c r="BH57"/>
  <c r="BH58"/>
  <c r="BH54"/>
  <c r="BG28" i="11"/>
  <c r="AQ30"/>
  <c r="BK95" i="4"/>
  <c r="AT4" i="3"/>
  <c r="AT6"/>
  <c r="AP41" i="17"/>
  <c r="AS13" i="1"/>
  <c r="AQ27" i="11"/>
  <c r="AP31"/>
  <c r="BJ29"/>
  <c r="BI55" i="17"/>
  <c r="BI57"/>
  <c r="BI58"/>
  <c r="BH28" i="11"/>
  <c r="BI54" i="17"/>
  <c r="AQ31" i="11"/>
  <c r="BL95" i="4"/>
  <c r="AR30" i="11"/>
  <c r="AU4" i="3"/>
  <c r="AU6"/>
  <c r="AQ41" i="17"/>
  <c r="AT13" i="1"/>
  <c r="AR27" i="11"/>
  <c r="BI28"/>
  <c r="AR31"/>
  <c r="BM95" i="4"/>
  <c r="AS30" i="11"/>
  <c r="AV4" i="3"/>
  <c r="AV6"/>
  <c r="AS27" i="11"/>
  <c r="AS31"/>
  <c r="AR41" i="17"/>
  <c r="AU13" i="1"/>
  <c r="BJ28" i="11"/>
  <c r="AT30"/>
  <c r="AS41" i="17"/>
  <c r="AV13" i="1"/>
  <c r="AT27" i="11"/>
  <c r="BN95" i="4"/>
  <c r="AW4" i="3"/>
  <c r="AW6"/>
  <c r="AT31" i="11"/>
  <c r="BO95" i="4"/>
  <c r="AX4" i="3"/>
  <c r="AX6"/>
  <c r="AT41" i="17"/>
  <c r="AU30" i="11"/>
  <c r="AU27"/>
  <c r="AW13" i="1"/>
  <c r="AU31" i="11"/>
  <c r="AV27"/>
  <c r="AX13" i="1"/>
  <c r="AY4" i="3"/>
  <c r="AY6"/>
  <c r="BP95" i="4"/>
  <c r="AV30" i="11"/>
  <c r="AU41" i="17"/>
  <c r="AW27" i="11"/>
  <c r="AY13" i="1"/>
  <c r="AW30" i="11"/>
  <c r="AV41" i="17"/>
  <c r="AZ4" i="3"/>
  <c r="AZ6"/>
  <c r="AV31" i="11"/>
  <c r="AW41" i="17"/>
  <c r="AX30" i="11"/>
  <c r="BA4" i="3"/>
  <c r="BA6"/>
  <c r="AW31" i="11"/>
  <c r="AX27"/>
  <c r="AZ13" i="1"/>
  <c r="AW45" i="17"/>
  <c r="AW46"/>
  <c r="AX31" i="11"/>
  <c r="AY27"/>
  <c r="BA13" i="1"/>
  <c r="BB4" i="3"/>
  <c r="BB6"/>
  <c r="AX41" i="17"/>
  <c r="AY30" i="11"/>
  <c r="AZ30"/>
  <c r="AY41" i="17"/>
  <c r="AY31" i="11"/>
  <c r="BB13" i="1"/>
  <c r="AZ27" i="11"/>
  <c r="AZ31"/>
  <c r="BC4" i="3"/>
  <c r="BC6"/>
  <c r="AZ41" i="17"/>
  <c r="BA30" i="11"/>
  <c r="BD4" i="3"/>
  <c r="BD6"/>
  <c r="BC13" i="1"/>
  <c r="BA27" i="11"/>
  <c r="BA31"/>
  <c r="BD13" i="1"/>
  <c r="BB27" i="11"/>
  <c r="BE4" i="3"/>
  <c r="BE6"/>
  <c r="BB30" i="11"/>
  <c r="BA41" i="17"/>
  <c r="BC30" i="11"/>
  <c r="BF4" i="3"/>
  <c r="BF6"/>
  <c r="BC27" i="11"/>
  <c r="BC31"/>
  <c r="BB41" i="17"/>
  <c r="BE13" i="1"/>
  <c r="BB31" i="11"/>
  <c r="BG4" i="3"/>
  <c r="BG6"/>
  <c r="BF13" i="1"/>
  <c r="BD27" i="11"/>
  <c r="BD30"/>
  <c r="BC41" i="17"/>
  <c r="BD31" i="11"/>
  <c r="BE30"/>
  <c r="BD41" i="17"/>
  <c r="BH4" i="3"/>
  <c r="BH6"/>
  <c r="BG13" i="1"/>
  <c r="BE27" i="11"/>
  <c r="BE31"/>
  <c r="BF30"/>
  <c r="BE41" i="17"/>
  <c r="BI4" i="3"/>
  <c r="BI6"/>
  <c r="BH13" i="1"/>
  <c r="BF27" i="11"/>
  <c r="BF31"/>
  <c r="BG30"/>
  <c r="BF41" i="17"/>
  <c r="BJ4" i="3"/>
  <c r="BJ6"/>
  <c r="BI13" i="1"/>
  <c r="BG27" i="11"/>
  <c r="BG31"/>
  <c r="BH30"/>
  <c r="BG41" i="17"/>
  <c r="BK4" i="3"/>
  <c r="BK6"/>
  <c r="BJ13" i="1"/>
  <c r="BH27" i="11"/>
  <c r="BH31"/>
  <c r="BI30"/>
  <c r="BI27"/>
  <c r="BK13" i="1"/>
  <c r="BI31" i="11"/>
  <c r="BL13" i="1"/>
  <c r="BJ27" i="11"/>
  <c r="BH41" i="17"/>
  <c r="BJ30" i="11"/>
  <c r="BI41" i="17"/>
  <c r="BI45"/>
  <c r="BI46"/>
  <c r="BJ31" i="11"/>
  <c r="A421" i="24"/>
  <c r="A419"/>
  <c r="A413"/>
  <c r="A411"/>
  <c r="A405"/>
  <c r="A403"/>
  <c r="A397"/>
  <c r="A395"/>
  <c r="A389"/>
  <c r="A387"/>
  <c r="A381"/>
  <c r="A379"/>
  <c r="A373"/>
  <c r="A371"/>
  <c r="A365"/>
  <c r="A363"/>
  <c r="A357"/>
  <c r="A355"/>
  <c r="A349"/>
  <c r="A347"/>
  <c r="A341"/>
  <c r="A339"/>
  <c r="A333"/>
  <c r="A331"/>
  <c r="A325"/>
  <c r="A323"/>
  <c r="A317"/>
  <c r="A315"/>
  <c r="A309"/>
  <c r="A307"/>
  <c r="A301"/>
  <c r="A299"/>
  <c r="A293"/>
  <c r="A291"/>
  <c r="A285"/>
  <c r="A283"/>
  <c r="A277"/>
  <c r="A275"/>
  <c r="A269"/>
  <c r="A267"/>
  <c r="A261"/>
  <c r="A259"/>
  <c r="A253"/>
  <c r="A251"/>
  <c r="A245"/>
  <c r="A243"/>
  <c r="A237"/>
  <c r="A235"/>
  <c r="A229"/>
  <c r="A227"/>
  <c r="A221"/>
  <c r="A219"/>
  <c r="A213"/>
  <c r="A211"/>
  <c r="A205"/>
  <c r="A203"/>
  <c r="A197"/>
  <c r="A195"/>
  <c r="A189"/>
  <c r="A187"/>
  <c r="A181"/>
  <c r="A179"/>
  <c r="A173"/>
  <c r="A171"/>
  <c r="A165"/>
  <c r="A163"/>
  <c r="A157"/>
  <c r="A155"/>
  <c r="A149"/>
  <c r="A147"/>
  <c r="A141"/>
  <c r="A139"/>
  <c r="A133"/>
  <c r="A131"/>
  <c r="A125"/>
  <c r="A123"/>
  <c r="A117"/>
  <c r="A115"/>
  <c r="A109"/>
  <c r="A107"/>
  <c r="A101"/>
  <c r="A99"/>
  <c r="A93"/>
  <c r="A86"/>
  <c r="A79"/>
  <c r="A77"/>
  <c r="A71"/>
  <c r="A69"/>
  <c r="A63"/>
  <c r="A61"/>
  <c r="A55"/>
</calcChain>
</file>

<file path=xl/comments1.xml><?xml version="1.0" encoding="utf-8"?>
<comments xmlns="http://schemas.openxmlformats.org/spreadsheetml/2006/main">
  <authors>
    <author>Jaya Dobbyn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Jaya Dobbyn:</t>
        </r>
        <r>
          <rPr>
            <sz val="8"/>
            <color indexed="81"/>
            <rFont val="Tahoma"/>
            <family val="2"/>
          </rPr>
          <t xml:space="preserve">
discuss description</t>
        </r>
      </text>
    </comment>
  </commentList>
</comments>
</file>

<file path=xl/sharedStrings.xml><?xml version="1.0" encoding="utf-8"?>
<sst xmlns="http://schemas.openxmlformats.org/spreadsheetml/2006/main" count="2207" uniqueCount="404">
  <si>
    <t>SB_NB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</si>
  <si>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</si>
  <si>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</si>
  <si>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</si>
  <si>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</si>
  <si>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</si>
  <si>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</si>
  <si>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</si>
  <si>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</si>
  <si>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</si>
  <si>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</si>
  <si>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</si>
  <si>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</si>
  <si>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</si>
  <si>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%</t>
  </si>
  <si>
    <t>Q1</t>
  </si>
  <si>
    <t>Q2</t>
  </si>
  <si>
    <t>Q3</t>
  </si>
  <si>
    <t>Q4</t>
  </si>
  <si>
    <t>Revenue</t>
  </si>
  <si>
    <t>Retrofitting income</t>
  </si>
  <si>
    <t>Testing fees</t>
  </si>
  <si>
    <t>Total Revenue</t>
  </si>
  <si>
    <t>Cost of Goods Sold</t>
  </si>
  <si>
    <t>Salaries &amp; Benefits</t>
  </si>
  <si>
    <t>Materials</t>
  </si>
  <si>
    <t>Total Cost of Goods Sold</t>
  </si>
  <si>
    <t>Gross Profit</t>
  </si>
  <si>
    <t>Delivery and Support</t>
  </si>
  <si>
    <t>Vehicle expenses</t>
  </si>
  <si>
    <t>Tool &amp; Supplies</t>
  </si>
  <si>
    <t>Other</t>
  </si>
  <si>
    <t>Sales &amp; Marketing</t>
  </si>
  <si>
    <t>Vehicle expense</t>
  </si>
  <si>
    <t>Customer Discounts and Rebates</t>
  </si>
  <si>
    <t>Total Sales &amp; Marketing</t>
  </si>
  <si>
    <t>General &amp; Administrative</t>
  </si>
  <si>
    <t>IT Support</t>
  </si>
  <si>
    <t>Office Supplies</t>
  </si>
  <si>
    <t>Liability Insurance</t>
  </si>
  <si>
    <t>Facilities</t>
  </si>
  <si>
    <t>Leases</t>
  </si>
  <si>
    <t>Telephone &amp; Utilities</t>
  </si>
  <si>
    <t>Total General &amp; Administrative</t>
  </si>
  <si>
    <t>Total Expense</t>
  </si>
  <si>
    <t>Net Income</t>
  </si>
  <si>
    <t>NB</t>
  </si>
  <si>
    <t>SB</t>
  </si>
  <si>
    <t>Title</t>
  </si>
  <si>
    <t>Burden</t>
  </si>
  <si>
    <t>Sep</t>
  </si>
  <si>
    <t>Crew Lead</t>
  </si>
  <si>
    <t>Project Manager</t>
  </si>
  <si>
    <t>Bookkeeper</t>
  </si>
  <si>
    <t>Office Manager</t>
  </si>
  <si>
    <t>Proforma assumptions</t>
  </si>
  <si>
    <t>Material 18%</t>
  </si>
  <si>
    <t>Contractors 12%</t>
  </si>
  <si>
    <t>Commissions 5.5%</t>
  </si>
  <si>
    <t>COGS</t>
  </si>
  <si>
    <t>Labor</t>
  </si>
  <si>
    <t>Base Wages</t>
  </si>
  <si>
    <t>Benefits</t>
  </si>
  <si>
    <t>of comp</t>
  </si>
  <si>
    <t>Sub contractors</t>
  </si>
  <si>
    <t>of revenue</t>
  </si>
  <si>
    <t>Contract labor</t>
  </si>
  <si>
    <t>per mo</t>
  </si>
  <si>
    <t>% of Revenue</t>
  </si>
  <si>
    <t>Building Permits</t>
  </si>
  <si>
    <t>Refunds</t>
  </si>
  <si>
    <t>Finance Fees</t>
  </si>
  <si>
    <t>Delivery and support</t>
  </si>
  <si>
    <t>HC</t>
  </si>
  <si>
    <t>Wages</t>
  </si>
  <si>
    <t>Vehicle</t>
  </si>
  <si>
    <t>Vehicle Expenses</t>
  </si>
  <si>
    <t>per vehicle</t>
  </si>
  <si>
    <t>actual</t>
  </si>
  <si>
    <t>Vehicle Fuel, Tolls &amp; Parking</t>
  </si>
  <si>
    <t>Vehicle Registration &amp; Insurance</t>
  </si>
  <si>
    <t>Vehicle Maintenance</t>
  </si>
  <si>
    <t>Supplies</t>
  </si>
  <si>
    <t>Communications(Cell Phones)</t>
  </si>
  <si>
    <t>/person /mo</t>
  </si>
  <si>
    <t>Tools &amp; Supplies</t>
  </si>
  <si>
    <t>Uniforms</t>
  </si>
  <si>
    <t>Repairs &amp; Maintenance</t>
  </si>
  <si>
    <t>SALES &amp; MARKETING</t>
  </si>
  <si>
    <t>Commissions</t>
  </si>
  <si>
    <t>Cell Phones</t>
  </si>
  <si>
    <t>Events</t>
  </si>
  <si>
    <t>Total HC</t>
  </si>
  <si>
    <t>total vehicle</t>
  </si>
  <si>
    <t>per person/per mo</t>
  </si>
  <si>
    <t>Repair &amp; Maintenance</t>
  </si>
  <si>
    <t>of revenue per 100</t>
  </si>
  <si>
    <t>Auto ins</t>
  </si>
  <si>
    <t>Business License</t>
  </si>
  <si>
    <t>per yr</t>
  </si>
  <si>
    <t>per year</t>
  </si>
  <si>
    <t>per vehicle/per year</t>
  </si>
  <si>
    <t>Total Delivery &amp; Support</t>
  </si>
  <si>
    <t>Delivery &amp; Support</t>
  </si>
  <si>
    <t>Trash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</si>
  <si>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</si>
  <si>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</si>
  <si>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</si>
  <si>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</si>
  <si>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</si>
  <si>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</si>
  <si>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>Revenues</t>
    <phoneticPr fontId="3" type="noConversion"/>
  </si>
  <si>
    <t xml:space="preserve">Gross Margin </t>
  </si>
  <si>
    <t>Delivery Support</t>
    <phoneticPr fontId="3" type="noConversion"/>
  </si>
  <si>
    <t xml:space="preserve">Sales &amp; Marketing </t>
  </si>
  <si>
    <t>General &amp; Admin</t>
    <phoneticPr fontId="3" type="noConversion"/>
  </si>
  <si>
    <t xml:space="preserve">EBITDA </t>
  </si>
  <si>
    <t>Gross Margin</t>
  </si>
  <si>
    <t>Burden rate 26%</t>
  </si>
  <si>
    <t>Salary</t>
  </si>
  <si>
    <t>Revenue Accumulated</t>
  </si>
  <si>
    <t>Tool &amp; Supplies and other</t>
  </si>
  <si>
    <t>Direct Margin</t>
  </si>
  <si>
    <t>COUNT</t>
  </si>
  <si>
    <t>Auditor</t>
  </si>
  <si>
    <t>Total Materials</t>
  </si>
  <si>
    <t>Materials Cost</t>
  </si>
  <si>
    <t>Total Costs</t>
  </si>
  <si>
    <t>Sub contractor costs</t>
  </si>
  <si>
    <t>Average labor cost per hour</t>
  </si>
  <si>
    <t>Burden rate (taxes, benefits, WC, etc.)</t>
  </si>
  <si>
    <t>Average crew base wage</t>
  </si>
  <si>
    <t>Crew Size</t>
  </si>
  <si>
    <t>Crew Utilization</t>
  </si>
  <si>
    <t>Number of hours</t>
  </si>
  <si>
    <t>Revenue per hour per crew member</t>
  </si>
  <si>
    <t>Avg. Project Size</t>
  </si>
  <si>
    <t>Project Costs</t>
  </si>
  <si>
    <t>Total Revenue per month</t>
  </si>
  <si>
    <t>Average audit price</t>
  </si>
  <si>
    <t>Total Retrofit Sales</t>
  </si>
  <si>
    <t>Closed sales per month</t>
  </si>
  <si>
    <t>Close rate</t>
  </si>
  <si>
    <t>Number of audits per month</t>
  </si>
  <si>
    <t>Revenue Drivers</t>
  </si>
  <si>
    <t>July</t>
  </si>
  <si>
    <t>Column13</t>
  </si>
  <si>
    <t>Column12</t>
  </si>
  <si>
    <t>Column11</t>
  </si>
  <si>
    <t>Column10</t>
  </si>
  <si>
    <t>Column9</t>
  </si>
  <si>
    <t>Column8</t>
  </si>
  <si>
    <t>Column7</t>
  </si>
  <si>
    <t>Column6</t>
  </si>
  <si>
    <t>Column5</t>
  </si>
  <si>
    <t>Column4</t>
  </si>
  <si>
    <t>Column3</t>
  </si>
  <si>
    <t>Column2</t>
  </si>
  <si>
    <t>Column1</t>
  </si>
  <si>
    <t>March</t>
  </si>
  <si>
    <t>April</t>
  </si>
  <si>
    <t>June</t>
  </si>
  <si>
    <t xml:space="preserve">Audit Revenue </t>
  </si>
  <si>
    <t>Construction Management</t>
  </si>
  <si>
    <t>Crew Members</t>
  </si>
  <si>
    <t>Overhead</t>
  </si>
  <si>
    <t>Auditing / Sales</t>
  </si>
  <si>
    <t>`</t>
  </si>
  <si>
    <t>Field Manager</t>
  </si>
  <si>
    <t>HVAC Engineer</t>
  </si>
  <si>
    <t>Owner</t>
  </si>
  <si>
    <t>Admin / Rebate Processing</t>
  </si>
  <si>
    <t>INTEGRATED HOME PERFORMANCE</t>
  </si>
  <si>
    <t xml:space="preserve"> Pro Forma financials</t>
  </si>
  <si>
    <t>Run Rate (Millions)</t>
  </si>
  <si>
    <t xml:space="preserve">Nov </t>
  </si>
  <si>
    <t>AUDITING</t>
  </si>
  <si>
    <t>OVERHEAD</t>
  </si>
  <si>
    <t>Total Cost:</t>
  </si>
  <si>
    <t>Total direct labor cost for project</t>
  </si>
  <si>
    <t>Truck Setup</t>
  </si>
  <si>
    <t>/truck</t>
  </si>
  <si>
    <t>/new hire</t>
  </si>
  <si>
    <t>Auditor Equipment</t>
  </si>
  <si>
    <t>Auditor Training</t>
  </si>
  <si>
    <t>person</t>
  </si>
  <si>
    <t xml:space="preserve">per mo </t>
  </si>
  <si>
    <t>Vehicle Count</t>
  </si>
  <si>
    <t>Sub Contractors</t>
  </si>
  <si>
    <t>YEAR 1</t>
  </si>
  <si>
    <t>YEAR 2</t>
  </si>
  <si>
    <t>YEAR 3</t>
  </si>
  <si>
    <t>YEAR 4</t>
  </si>
  <si>
    <t>YEAR 5</t>
  </si>
  <si>
    <t>COUNT (admin)</t>
  </si>
  <si>
    <t>Utilities</t>
  </si>
  <si>
    <t>Phones</t>
  </si>
  <si>
    <t>per line</t>
  </si>
  <si>
    <t>Marketing Manager</t>
  </si>
  <si>
    <t>per vehicle month</t>
  </si>
  <si>
    <t>LEASE</t>
  </si>
  <si>
    <t>BUY</t>
  </si>
  <si>
    <t>Equipment Leases</t>
  </si>
  <si>
    <t>Year 1</t>
  </si>
  <si>
    <t>Year 2</t>
  </si>
  <si>
    <t>Year 3</t>
  </si>
  <si>
    <t>Year 4</t>
  </si>
  <si>
    <t>Year 5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</si>
  <si>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</si>
  <si>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</si>
  <si>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</si>
  <si>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</si>
  <si>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</si>
  <si>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</si>
  <si>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</si>
  <si>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</si>
  <si>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</si>
  <si>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</si>
  <si>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</si>
  <si>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</si>
  <si>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</si>
  <si>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</si>
  <si>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</si>
  <si>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</si>
  <si>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5 Year EBITDA</t>
  </si>
  <si>
    <t>5 Year Qaurterly Pro Forma</t>
  </si>
  <si>
    <t>Leads</t>
  </si>
  <si>
    <t>Leads to Audit Conversion Rate</t>
  </si>
  <si>
    <t>lead</t>
  </si>
  <si>
    <t>SEM</t>
  </si>
  <si>
    <t>Print</t>
  </si>
  <si>
    <t>Referrals</t>
  </si>
  <si>
    <t>Channel</t>
  </si>
  <si>
    <t>Leads:</t>
  </si>
  <si>
    <t>Total:</t>
  </si>
  <si>
    <t>Per Lead:</t>
  </si>
  <si>
    <t>Radio</t>
  </si>
  <si>
    <t>TOTAL:</t>
  </si>
  <si>
    <t>Contractor Generated Lead Flow</t>
  </si>
  <si>
    <t>Program Generated Lead Flow</t>
  </si>
  <si>
    <t>Contractor Marketing</t>
  </si>
  <si>
    <t>&gt; $8000 = $375</t>
  </si>
  <si>
    <t>&lt; $2500 = $50</t>
  </si>
  <si>
    <t xml:space="preserve">$8000 - $2500 </t>
  </si>
  <si>
    <t xml:space="preserve">Contractor </t>
  </si>
  <si>
    <t>Program</t>
  </si>
  <si>
    <t>Total Marketing Spend</t>
  </si>
  <si>
    <t>Crew Vehicles</t>
  </si>
  <si>
    <t>Auditing Vehicles</t>
  </si>
  <si>
    <t>Training</t>
  </si>
  <si>
    <t>Cash Flow</t>
  </si>
  <si>
    <t>CREW Installer</t>
  </si>
  <si>
    <t>CREW Lead / Specialist</t>
  </si>
  <si>
    <t>Sub contractor markup</t>
  </si>
  <si>
    <t>Lead Acquisition</t>
  </si>
  <si>
    <t>Margin:</t>
  </si>
  <si>
    <t>Lead-audit conv</t>
  </si>
  <si>
    <t>Audit-retrofit conv</t>
  </si>
  <si>
    <t>Audits</t>
  </si>
  <si>
    <t>Retrofits</t>
  </si>
  <si>
    <t>Average job size</t>
  </si>
  <si>
    <t>Total revenue</t>
  </si>
  <si>
    <t>TOTAL</t>
  </si>
  <si>
    <t>Direct Cost</t>
  </si>
  <si>
    <t>HR Costs</t>
  </si>
  <si>
    <t>Total Cost</t>
  </si>
  <si>
    <t># Leads</t>
  </si>
  <si>
    <t>Cost / lead</t>
  </si>
  <si>
    <t># Audits</t>
  </si>
  <si>
    <t>Cost / audit</t>
  </si>
  <si>
    <t># Jobs</t>
  </si>
  <si>
    <t>Cost / job</t>
  </si>
  <si>
    <t>Revenue / Channel $ Spend</t>
  </si>
  <si>
    <t>Conversion rate - lead to audit</t>
  </si>
  <si>
    <t>Conversion rate - audit to retrofit</t>
  </si>
  <si>
    <t>GRAND TOTAL</t>
  </si>
  <si>
    <t>Earned Media</t>
  </si>
  <si>
    <t>Public Workshops</t>
  </si>
  <si>
    <t xml:space="preserve">Presentations </t>
  </si>
  <si>
    <t>Tabling</t>
  </si>
  <si>
    <t>Campaign</t>
  </si>
  <si>
    <t>TV</t>
  </si>
  <si>
    <t>Bill Inserts</t>
  </si>
  <si>
    <t>Contractor Stats</t>
  </si>
  <si>
    <t>Contractor Change</t>
  </si>
  <si>
    <t>Retrofit</t>
  </si>
  <si>
    <t>Crew Jobs</t>
  </si>
  <si>
    <t>Auditing Jobs</t>
  </si>
  <si>
    <t>Program Revenue</t>
  </si>
  <si>
    <t>Yearly Total Program Revenue:</t>
  </si>
  <si>
    <t>Private Cap Requirement:</t>
  </si>
  <si>
    <t>Total Revenue:</t>
  </si>
  <si>
    <t>Total Retrofits</t>
  </si>
  <si>
    <t>Total Overhead Jobs</t>
  </si>
  <si>
    <t>Project Management</t>
  </si>
  <si>
    <t>Industry Net ( Profit / Loss )</t>
  </si>
  <si>
    <t>Exeutive Director</t>
  </si>
  <si>
    <t>CFO</t>
  </si>
  <si>
    <t>Marketing Specialist</t>
  </si>
  <si>
    <t>Trainer</t>
  </si>
  <si>
    <t>HR Cost</t>
  </si>
  <si>
    <t>Lease</t>
  </si>
  <si>
    <t>Purchase Cost</t>
  </si>
  <si>
    <t>person (non field)</t>
  </si>
  <si>
    <t>Phones / Internet</t>
  </si>
  <si>
    <t>Program Marketing Model</t>
  </si>
  <si>
    <t>Total Expenses</t>
  </si>
  <si>
    <t>General Expenses</t>
  </si>
  <si>
    <t>Direct Marketing Costs</t>
  </si>
  <si>
    <t>Cost Per Lead (blended)</t>
  </si>
  <si>
    <t>Yearly Total Program Expenses:</t>
  </si>
  <si>
    <t>Program Revenue / Month</t>
  </si>
  <si>
    <t>Net Margin:</t>
  </si>
  <si>
    <t>Total Jobs Created</t>
  </si>
  <si>
    <t>Total Industry Revenue</t>
  </si>
  <si>
    <t>Participating Contractors:</t>
  </si>
  <si>
    <t>Total Lead Generation Cost</t>
  </si>
  <si>
    <t>Vehicles</t>
  </si>
  <si>
    <t>Total Expenses:</t>
  </si>
  <si>
    <t>Cost Per Lead</t>
  </si>
  <si>
    <t>Program Marketing Data</t>
  </si>
  <si>
    <t>Avg job size</t>
  </si>
  <si>
    <t>Period Totals</t>
  </si>
  <si>
    <t>s</t>
  </si>
  <si>
    <t>Affiliate Partners</t>
  </si>
  <si>
    <t>Utility Partners</t>
  </si>
  <si>
    <t>Program Costs</t>
  </si>
  <si>
    <t>Marketing Assumptions</t>
  </si>
  <si>
    <t>Past Actuals</t>
  </si>
  <si>
    <t>Projections</t>
  </si>
  <si>
    <t>Cost / lead: projected</t>
  </si>
  <si>
    <t>Lead-audit conversion: projected</t>
  </si>
  <si>
    <t>Audit-job conversion rate: projected</t>
  </si>
  <si>
    <t>Spend</t>
  </si>
  <si>
    <t>Audit-job conversion rate</t>
  </si>
  <si>
    <t>% Marketing:</t>
  </si>
  <si>
    <t>Program Administration</t>
  </si>
  <si>
    <t>Total HR Cost</t>
  </si>
  <si>
    <t>Marketing HR Cost</t>
  </si>
  <si>
    <t>General HR</t>
  </si>
  <si>
    <t>General HR Cost (loaded)</t>
  </si>
  <si>
    <t>% of HR Resources</t>
  </si>
  <si>
    <t>Door-to-door</t>
  </si>
  <si>
    <t>Private Capital Requirement:</t>
  </si>
  <si>
    <t>Net Program P/L</t>
  </si>
  <si>
    <t>% HR</t>
  </si>
  <si>
    <t>Direct Costs</t>
  </si>
  <si>
    <t xml:space="preserve">Lead-audit </t>
  </si>
  <si>
    <t xml:space="preserve">Audit-retrofit </t>
  </si>
  <si>
    <t>12 Months</t>
  </si>
  <si>
    <t>Presentations</t>
  </si>
  <si>
    <t>Tabeling</t>
  </si>
  <si>
    <t>Referral</t>
  </si>
  <si>
    <t>Avg Project Size</t>
  </si>
  <si>
    <t>Close Rate:</t>
  </si>
  <si>
    <t>Project Size:</t>
  </si>
  <si>
    <t>Cost:</t>
  </si>
  <si>
    <t>HR %:</t>
  </si>
  <si>
    <t>(Must = 100)</t>
  </si>
  <si>
    <t>Program Leads</t>
  </si>
  <si>
    <t>Progam Leads</t>
  </si>
  <si>
    <t>Particpating Contractors</t>
  </si>
  <si>
    <t>FTE / Leads / Month</t>
  </si>
  <si>
    <t>Industry Lead Capacity</t>
  </si>
  <si>
    <t>Marketing Model Supply</t>
  </si>
  <si>
    <t xml:space="preserve">Match Supply and Capacity = 100%  &gt; </t>
  </si>
  <si>
    <t>Total Capital Investment to Break Even</t>
  </si>
  <si>
    <t>Time to Breakeven:</t>
  </si>
  <si>
    <t>Months</t>
  </si>
  <si>
    <t>Burden Rate:</t>
  </si>
  <si>
    <t>Total Employees</t>
  </si>
  <si>
    <t>Total Field CREW</t>
  </si>
  <si>
    <t>Total CREW COUNT</t>
  </si>
  <si>
    <t>PROJECT Staff</t>
  </si>
  <si>
    <t>Staff</t>
  </si>
  <si>
    <t xml:space="preserve">   Hard Costs</t>
  </si>
  <si>
    <t>Fee Per Lead</t>
  </si>
  <si>
    <t>Fee Structure Year 1</t>
  </si>
  <si>
    <t>sml</t>
  </si>
  <si>
    <t>med</t>
  </si>
  <si>
    <t>large</t>
  </si>
  <si>
    <t>Fee Structure Year 2</t>
  </si>
  <si>
    <t>Fee Structure Year 3</t>
  </si>
  <si>
    <t>Fee Structure Year 4</t>
  </si>
  <si>
    <t>Fee Structure Year 5</t>
  </si>
  <si>
    <t>Profit / Loss:</t>
  </si>
  <si>
    <t>Cost per Lead</t>
  </si>
  <si>
    <t>Program P/L</t>
  </si>
  <si>
    <t>Program Marketing</t>
  </si>
  <si>
    <t xml:space="preserve">  Lead Growth:</t>
  </si>
  <si>
    <t>Cost per Audit</t>
  </si>
  <si>
    <t>Cost per Retrofit</t>
  </si>
  <si>
    <t>Cost as % of $</t>
  </si>
  <si>
    <t>Avg. Cost per Lead</t>
  </si>
  <si>
    <t>Avg. Cost per Audit</t>
  </si>
  <si>
    <t>Avg. Cost per Retrofit</t>
  </si>
  <si>
    <t>Avg. Cost as % of $</t>
  </si>
  <si>
    <t>Cost per Lead by Channel</t>
  </si>
  <si>
    <t>Cost per Audit by Channel</t>
  </si>
  <si>
    <t>Cost per Retrofit by Channel</t>
  </si>
  <si>
    <t>Cost of Retrofit $ by Channel</t>
  </si>
  <si>
    <t>HR Manager</t>
  </si>
  <si>
    <t>Total Staff</t>
  </si>
  <si>
    <t>Sales Manager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</si>
</sst>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%"/>
    <numFmt numFmtId="167" formatCode="_(* #,##0_);_(* \(#,##0\);_(* &quot;-&quot;??_);_(@_)"/>
    <numFmt numFmtId="168" formatCode="0.0"/>
    <numFmt numFmtId="169" formatCode="0;0;"/>
    <numFmt numFmtId="170" formatCode="#,##0;#,##0;"/>
    <numFmt numFmtId="171" formatCode="0."/>
    <numFmt numFmtId="172" formatCode="&quot;$&quot;#,##0"/>
    <numFmt numFmtId="173" formatCode="&quot;$&quot;#,##0.0_);\(&quot;$&quot;#,##0.0\)"/>
    <numFmt numFmtId="174" formatCode="_(* #,##0.000_);_(* \(#,##0.000\);_(* &quot;-&quot;??_);_(@_)"/>
    <numFmt numFmtId="175" formatCode="&quot;$&quot;#,##0.00"/>
    <numFmt numFmtId="176" formatCode="_(&quot;$&quot;* #,##0_);_(&quot;$&quot;* \(#,##0\);_(&quot;$&quot;* &quot;-&quot;??_);_(@_)"/>
    <numFmt numFmtId="177" formatCode="_([$$-409]* #,##0_);_([$$-409]* \(#,##0\);_([$$-409]* &quot;-&quot;_);_(@_)"/>
    <numFmt numFmtId="178" formatCode="[$-409]mmm\-yy;@"/>
  </numFmts>
  <fonts count="7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</font>
    <font>
      <sz val="14"/>
      <color theme="1"/>
      <name val="Calibri"/>
      <family val="2"/>
      <scheme val="minor"/>
    </font>
    <font>
      <sz val="10"/>
      <name val="Helv"/>
    </font>
    <font>
      <i/>
      <sz val="14"/>
      <name val="Helv"/>
    </font>
    <font>
      <sz val="11"/>
      <color rgb="FFFF000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3" tint="-0.499984740745262"/>
      <name val="Arial"/>
      <family val="2"/>
    </font>
    <font>
      <b/>
      <sz val="11"/>
      <color indexed="8"/>
      <name val="Calibri"/>
      <family val="2"/>
    </font>
    <font>
      <b/>
      <sz val="14"/>
      <color rgb="FF000080"/>
      <name val="Arial"/>
      <family val="2"/>
    </font>
    <font>
      <b/>
      <sz val="14"/>
      <color rgb="FF00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2"/>
      <name val="Calibri"/>
      <family val="2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"/>
      <color rgb="FFFF000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</font>
    <font>
      <b/>
      <sz val="10"/>
      <color theme="4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3" tint="-0.249977111117893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theme="6" tint="0.59999389629810485"/>
      </patternFill>
    </fill>
    <fill>
      <patternFill patternType="solid">
        <fgColor rgb="FFFFFF00"/>
        <bgColor theme="6" tint="0.79998168889431442"/>
      </patternFill>
    </fill>
    <fill>
      <patternFill patternType="solid">
        <fgColor theme="0"/>
        <bgColor theme="6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6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6" tint="0.59999389629810485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theme="6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auto="1"/>
      </right>
      <top style="thin">
        <color theme="6" tint="0.39997558519241921"/>
      </top>
      <bottom/>
      <diagonal/>
    </border>
    <border>
      <left/>
      <right style="thin">
        <color auto="1"/>
      </right>
      <top style="thin">
        <color auto="1"/>
      </top>
      <bottom style="thin">
        <color theme="6" tint="0.39997558519241921"/>
      </bottom>
      <diagonal/>
    </border>
    <border>
      <left/>
      <right/>
      <top style="thin">
        <color auto="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auto="1"/>
      </bottom>
      <diagonal/>
    </border>
    <border>
      <left/>
      <right style="thin">
        <color auto="1"/>
      </right>
      <top style="thin">
        <color theme="6" tint="0.39997558519241921"/>
      </top>
      <bottom style="thin">
        <color auto="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auto="1"/>
      </right>
      <top/>
      <bottom style="thin">
        <color theme="6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6" tint="0.39997558519241921"/>
      </bottom>
      <diagonal/>
    </border>
    <border>
      <left style="thin">
        <color auto="1"/>
      </left>
      <right/>
      <top style="thin">
        <color theme="6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9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9" fontId="13" fillId="0" borderId="0" applyFont="0" applyFill="0" applyBorder="0" applyAlignment="0" applyProtection="0"/>
    <xf numFmtId="0" fontId="19" fillId="0" borderId="0"/>
    <xf numFmtId="1" fontId="26" fillId="0" borderId="0" applyFont="0" applyFill="0" applyBorder="0" applyAlignment="0" applyProtection="0">
      <alignment horizontal="left" wrapText="1"/>
    </xf>
    <xf numFmtId="168" fontId="26" fillId="0" borderId="0" applyFont="0" applyFill="0" applyBorder="0" applyAlignment="0" applyProtection="0">
      <alignment horizontal="left" wrapText="1"/>
    </xf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26" fillId="0" borderId="0">
      <alignment vertical="top" wrapText="1"/>
    </xf>
    <xf numFmtId="0" fontId="26" fillId="0" borderId="0">
      <alignment vertical="top" wrapText="1"/>
    </xf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40">
    <xf numFmtId="0" fontId="0" fillId="0" borderId="0" xfId="0"/>
    <xf numFmtId="49" fontId="5" fillId="0" borderId="0" xfId="0" applyNumberFormat="1" applyFont="1" applyAlignment="1">
      <alignment horizontal="centerContinuous"/>
    </xf>
    <xf numFmtId="9" fontId="0" fillId="0" borderId="0" xfId="2" applyFont="1"/>
    <xf numFmtId="49" fontId="6" fillId="0" borderId="0" xfId="0" applyNumberFormat="1" applyFont="1" applyAlignment="1">
      <alignment horizontal="centerContinuous"/>
    </xf>
    <xf numFmtId="0" fontId="5" fillId="0" borderId="0" xfId="0" applyNumberFormat="1" applyFont="1"/>
    <xf numFmtId="49" fontId="5" fillId="0" borderId="0" xfId="0" applyNumberFormat="1" applyFont="1" applyBorder="1" applyAlignment="1">
      <alignment horizontal="centerContinuous"/>
    </xf>
    <xf numFmtId="9" fontId="5" fillId="0" borderId="0" xfId="2" applyFont="1" applyBorder="1" applyAlignment="1">
      <alignment horizontal="centerContinuous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164" fontId="7" fillId="2" borderId="0" xfId="0" applyNumberFormat="1" applyFont="1" applyFill="1"/>
    <xf numFmtId="164" fontId="7" fillId="0" borderId="0" xfId="0" applyNumberFormat="1" applyFont="1"/>
    <xf numFmtId="165" fontId="7" fillId="2" borderId="0" xfId="0" applyNumberFormat="1" applyFont="1" applyFill="1"/>
    <xf numFmtId="10" fontId="7" fillId="0" borderId="0" xfId="2" applyNumberFormat="1" applyFont="1"/>
    <xf numFmtId="10" fontId="7" fillId="0" borderId="1" xfId="2" applyNumberFormat="1" applyFont="1" applyBorder="1"/>
    <xf numFmtId="164" fontId="7" fillId="0" borderId="0" xfId="0" applyNumberFormat="1" applyFont="1" applyBorder="1"/>
    <xf numFmtId="10" fontId="7" fillId="0" borderId="0" xfId="2" applyNumberFormat="1" applyFont="1" applyBorder="1"/>
    <xf numFmtId="0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10" fillId="0" borderId="0" xfId="0" applyFont="1" applyAlignment="1" applyProtection="1"/>
    <xf numFmtId="0" fontId="4" fillId="0" borderId="0" xfId="0" applyFont="1"/>
    <xf numFmtId="43" fontId="12" fillId="3" borderId="5" xfId="3" applyNumberFormat="1" applyFont="1" applyFill="1" applyBorder="1"/>
    <xf numFmtId="43" fontId="12" fillId="3" borderId="5" xfId="4" applyNumberFormat="1" applyFont="1" applyFill="1" applyBorder="1"/>
    <xf numFmtId="0" fontId="16" fillId="0" borderId="0" xfId="0" applyFont="1"/>
    <xf numFmtId="43" fontId="16" fillId="0" borderId="0" xfId="1" applyFont="1"/>
    <xf numFmtId="43" fontId="14" fillId="4" borderId="6" xfId="3" applyNumberFormat="1" applyFont="1" applyFill="1" applyBorder="1"/>
    <xf numFmtId="43" fontId="14" fillId="4" borderId="6" xfId="4" applyNumberFormat="1" applyFont="1" applyFill="1" applyBorder="1"/>
    <xf numFmtId="43" fontId="12" fillId="3" borderId="6" xfId="3" applyNumberFormat="1" applyFont="1" applyFill="1" applyBorder="1"/>
    <xf numFmtId="0" fontId="17" fillId="3" borderId="6" xfId="0" applyNumberFormat="1" applyFont="1" applyFill="1" applyBorder="1"/>
    <xf numFmtId="43" fontId="17" fillId="3" borderId="6" xfId="4" applyNumberFormat="1" applyFont="1" applyFill="1" applyBorder="1"/>
    <xf numFmtId="43" fontId="14" fillId="3" borderId="6" xfId="3" applyNumberFormat="1" applyFont="1" applyFill="1" applyBorder="1"/>
    <xf numFmtId="43" fontId="12" fillId="4" borderId="6" xfId="3" applyNumberFormat="1" applyFont="1" applyFill="1" applyBorder="1"/>
    <xf numFmtId="0" fontId="17" fillId="4" borderId="6" xfId="0" applyNumberFormat="1" applyFont="1" applyFill="1" applyBorder="1"/>
    <xf numFmtId="43" fontId="17" fillId="4" borderId="6" xfId="4" applyNumberFormat="1" applyFont="1" applyFill="1" applyBorder="1"/>
    <xf numFmtId="0" fontId="12" fillId="3" borderId="6" xfId="0" applyNumberFormat="1" applyFont="1" applyFill="1" applyBorder="1"/>
    <xf numFmtId="43" fontId="12" fillId="3" borderId="6" xfId="4" applyNumberFormat="1" applyFont="1" applyFill="1" applyBorder="1"/>
    <xf numFmtId="0" fontId="12" fillId="4" borderId="6" xfId="0" applyNumberFormat="1" applyFont="1" applyFill="1" applyBorder="1"/>
    <xf numFmtId="43" fontId="12" fillId="4" borderId="6" xfId="4" applyNumberFormat="1" applyFont="1" applyFill="1" applyBorder="1"/>
    <xf numFmtId="43" fontId="17" fillId="4" borderId="6" xfId="3" applyNumberFormat="1" applyFont="1" applyFill="1" applyBorder="1"/>
    <xf numFmtId="167" fontId="16" fillId="0" borderId="0" xfId="1" applyNumberFormat="1" applyFont="1"/>
    <xf numFmtId="167" fontId="15" fillId="4" borderId="6" xfId="3" applyNumberFormat="1" applyFont="1" applyFill="1" applyBorder="1"/>
    <xf numFmtId="0" fontId="15" fillId="4" borderId="6" xfId="5" applyFont="1" applyFill="1" applyBorder="1" applyAlignment="1">
      <alignment horizontal="left"/>
    </xf>
    <xf numFmtId="0" fontId="18" fillId="0" borderId="0" xfId="0" applyFont="1"/>
    <xf numFmtId="0" fontId="16" fillId="0" borderId="0" xfId="0" applyFont="1" applyAlignment="1">
      <alignment wrapText="1"/>
    </xf>
    <xf numFmtId="9" fontId="5" fillId="0" borderId="0" xfId="2" applyFont="1" applyFill="1" applyBorder="1" applyAlignment="1">
      <alignment horizontal="centerContinuous"/>
    </xf>
    <xf numFmtId="167" fontId="7" fillId="0" borderId="0" xfId="1" applyNumberFormat="1" applyFont="1" applyBorder="1"/>
    <xf numFmtId="167" fontId="7" fillId="0" borderId="1" xfId="1" applyNumberFormat="1" applyFont="1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0" fillId="0" borderId="0" xfId="0" applyFill="1"/>
    <xf numFmtId="167" fontId="13" fillId="0" borderId="0" xfId="4" applyNumberFormat="1" applyFont="1" applyFill="1"/>
    <xf numFmtId="5" fontId="13" fillId="0" borderId="0" xfId="4" applyNumberFormat="1" applyFont="1" applyFill="1"/>
    <xf numFmtId="7" fontId="13" fillId="0" borderId="0" xfId="4" applyNumberFormat="1" applyFont="1" applyFill="1"/>
    <xf numFmtId="0" fontId="0" fillId="0" borderId="0" xfId="0" applyFill="1" applyBorder="1"/>
    <xf numFmtId="0" fontId="4" fillId="0" borderId="0" xfId="0" applyFont="1" applyFill="1"/>
    <xf numFmtId="8" fontId="10" fillId="5" borderId="0" xfId="0" applyNumberFormat="1" applyFont="1" applyFill="1" applyBorder="1" applyAlignment="1" applyProtection="1"/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5" borderId="0" xfId="0" applyFont="1" applyFill="1"/>
    <xf numFmtId="172" fontId="0" fillId="0" borderId="0" xfId="0" applyNumberFormat="1"/>
    <xf numFmtId="1" fontId="16" fillId="0" borderId="0" xfId="0" applyNumberFormat="1" applyFont="1"/>
    <xf numFmtId="0" fontId="0" fillId="2" borderId="0" xfId="0" applyFill="1"/>
    <xf numFmtId="8" fontId="29" fillId="0" borderId="0" xfId="0" applyNumberFormat="1" applyFont="1" applyBorder="1" applyAlignment="1" applyProtection="1"/>
    <xf numFmtId="0" fontId="30" fillId="0" borderId="0" xfId="0" applyFont="1"/>
    <xf numFmtId="1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8" fontId="10" fillId="5" borderId="0" xfId="0" applyNumberFormat="1" applyFont="1" applyFill="1" applyBorder="1" applyAlignment="1" applyProtection="1">
      <alignment horizontal="center"/>
    </xf>
    <xf numFmtId="0" fontId="0" fillId="5" borderId="0" xfId="0" applyFill="1" applyAlignment="1">
      <alignment horizontal="center"/>
    </xf>
    <xf numFmtId="43" fontId="10" fillId="0" borderId="0" xfId="0" applyNumberFormat="1" applyFont="1" applyAlignment="1" applyProtection="1">
      <alignment horizontal="center"/>
    </xf>
    <xf numFmtId="43" fontId="10" fillId="0" borderId="0" xfId="0" applyNumberFormat="1" applyFont="1" applyBorder="1" applyAlignment="1" applyProtection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8" fontId="10" fillId="5" borderId="0" xfId="0" applyNumberFormat="1" applyFont="1" applyFill="1" applyBorder="1" applyAlignment="1" applyProtection="1">
      <alignment horizontal="right"/>
    </xf>
    <xf numFmtId="8" fontId="29" fillId="0" borderId="0" xfId="0" applyNumberFormat="1" applyFont="1" applyFill="1" applyBorder="1" applyAlignment="1" applyProtection="1">
      <alignment horizontal="center"/>
    </xf>
    <xf numFmtId="0" fontId="25" fillId="0" borderId="0" xfId="0" applyFont="1"/>
    <xf numFmtId="9" fontId="32" fillId="6" borderId="0" xfId="2" applyFont="1" applyFill="1" applyBorder="1" applyAlignment="1">
      <alignment horizontal="center"/>
    </xf>
    <xf numFmtId="49" fontId="32" fillId="6" borderId="0" xfId="0" applyNumberFormat="1" applyFont="1" applyFill="1" applyBorder="1" applyAlignment="1">
      <alignment horizontal="center"/>
    </xf>
    <xf numFmtId="167" fontId="32" fillId="6" borderId="3" xfId="1" applyNumberFormat="1" applyFont="1" applyFill="1" applyBorder="1"/>
    <xf numFmtId="10" fontId="32" fillId="6" borderId="3" xfId="2" applyNumberFormat="1" applyFont="1" applyFill="1" applyBorder="1"/>
    <xf numFmtId="167" fontId="0" fillId="0" borderId="0" xfId="0" applyNumberFormat="1"/>
    <xf numFmtId="0" fontId="4" fillId="0" borderId="0" xfId="0" applyFont="1" applyAlignment="1">
      <alignment wrapText="1"/>
    </xf>
    <xf numFmtId="49" fontId="3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9" fontId="5" fillId="0" borderId="0" xfId="0" applyNumberFormat="1" applyFont="1"/>
    <xf numFmtId="9" fontId="5" fillId="2" borderId="0" xfId="0" applyNumberFormat="1" applyFont="1" applyFill="1"/>
    <xf numFmtId="9" fontId="5" fillId="0" borderId="0" xfId="2" applyNumberFormat="1" applyFont="1"/>
    <xf numFmtId="9" fontId="4" fillId="0" borderId="0" xfId="0" applyNumberFormat="1" applyFont="1"/>
    <xf numFmtId="43" fontId="18" fillId="0" borderId="0" xfId="1" applyFont="1"/>
    <xf numFmtId="5" fontId="4" fillId="0" borderId="0" xfId="2" applyNumberFormat="1" applyFont="1"/>
    <xf numFmtId="166" fontId="21" fillId="7" borderId="10" xfId="0" applyNumberFormat="1" applyFont="1" applyFill="1" applyBorder="1" applyAlignment="1">
      <alignment horizontal="center"/>
    </xf>
    <xf numFmtId="166" fontId="21" fillId="7" borderId="11" xfId="0" applyNumberFormat="1" applyFont="1" applyFill="1" applyBorder="1" applyAlignment="1">
      <alignment horizontal="center"/>
    </xf>
    <xf numFmtId="166" fontId="21" fillId="7" borderId="12" xfId="0" applyNumberFormat="1" applyFont="1" applyFill="1" applyBorder="1" applyAlignment="1">
      <alignment horizontal="center"/>
    </xf>
    <xf numFmtId="166" fontId="21" fillId="7" borderId="8" xfId="2" applyNumberFormat="1" applyFont="1" applyFill="1" applyBorder="1" applyAlignment="1">
      <alignment horizontal="center"/>
    </xf>
    <xf numFmtId="166" fontId="21" fillId="7" borderId="0" xfId="2" applyNumberFormat="1" applyFont="1" applyFill="1" applyBorder="1" applyAlignment="1">
      <alignment horizontal="center"/>
    </xf>
    <xf numFmtId="166" fontId="21" fillId="7" borderId="13" xfId="2" applyNumberFormat="1" applyFont="1" applyFill="1" applyBorder="1" applyAlignment="1">
      <alignment horizontal="center"/>
    </xf>
    <xf numFmtId="166" fontId="21" fillId="7" borderId="14" xfId="0" applyNumberFormat="1" applyFont="1" applyFill="1" applyBorder="1" applyAlignment="1">
      <alignment horizontal="center"/>
    </xf>
    <xf numFmtId="166" fontId="21" fillId="7" borderId="4" xfId="0" applyNumberFormat="1" applyFont="1" applyFill="1" applyBorder="1" applyAlignment="1">
      <alignment horizontal="center"/>
    </xf>
    <xf numFmtId="166" fontId="21" fillId="7" borderId="15" xfId="0" applyNumberFormat="1" applyFont="1" applyFill="1" applyBorder="1" applyAlignment="1">
      <alignment horizontal="center"/>
    </xf>
    <xf numFmtId="172" fontId="5" fillId="0" borderId="0" xfId="0" applyNumberFormat="1" applyFont="1"/>
    <xf numFmtId="172" fontId="4" fillId="0" borderId="0" xfId="0" applyNumberFormat="1" applyFont="1"/>
    <xf numFmtId="172" fontId="5" fillId="2" borderId="0" xfId="0" applyNumberFormat="1" applyFont="1" applyFill="1"/>
    <xf numFmtId="172" fontId="5" fillId="0" borderId="0" xfId="2" applyNumberFormat="1" applyFont="1"/>
    <xf numFmtId="172" fontId="5" fillId="2" borderId="0" xfId="2" applyNumberFormat="1" applyFont="1" applyFill="1"/>
    <xf numFmtId="49" fontId="35" fillId="0" borderId="0" xfId="0" applyNumberFormat="1" applyFont="1" applyAlignment="1">
      <alignment horizontal="left"/>
    </xf>
    <xf numFmtId="9" fontId="25" fillId="0" borderId="0" xfId="2" applyFont="1"/>
    <xf numFmtId="49" fontId="36" fillId="0" borderId="0" xfId="0" applyNumberFormat="1" applyFont="1" applyAlignment="1">
      <alignment horizontal="centerContinuous"/>
    </xf>
    <xf numFmtId="5" fontId="13" fillId="0" borderId="0" xfId="4" applyNumberFormat="1" applyFont="1" applyFill="1" applyBorder="1"/>
    <xf numFmtId="167" fontId="13" fillId="0" borderId="0" xfId="4" applyNumberFormat="1" applyFont="1" applyFill="1" applyBorder="1"/>
    <xf numFmtId="0" fontId="0" fillId="0" borderId="0" xfId="0" applyBorder="1"/>
    <xf numFmtId="7" fontId="13" fillId="0" borderId="0" xfId="4" applyNumberFormat="1" applyFont="1" applyFill="1" applyBorder="1"/>
    <xf numFmtId="0" fontId="0" fillId="0" borderId="13" xfId="0" applyFill="1" applyBorder="1"/>
    <xf numFmtId="5" fontId="13" fillId="0" borderId="13" xfId="4" applyNumberFormat="1" applyFont="1" applyFill="1" applyBorder="1"/>
    <xf numFmtId="167" fontId="13" fillId="0" borderId="13" xfId="4" applyNumberFormat="1" applyFont="1" applyFill="1" applyBorder="1"/>
    <xf numFmtId="0" fontId="0" fillId="0" borderId="13" xfId="0" applyBorder="1"/>
    <xf numFmtId="7" fontId="13" fillId="0" borderId="13" xfId="4" applyNumberFormat="1" applyFont="1" applyFill="1" applyBorder="1"/>
    <xf numFmtId="1" fontId="0" fillId="5" borderId="0" xfId="0" applyNumberFormat="1" applyFont="1" applyFill="1" applyBorder="1" applyAlignment="1">
      <alignment horizontal="center"/>
    </xf>
    <xf numFmtId="1" fontId="0" fillId="5" borderId="13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8" fontId="29" fillId="0" borderId="13" xfId="0" applyNumberFormat="1" applyFont="1" applyFill="1" applyBorder="1" applyAlignment="1" applyProtection="1">
      <alignment horizontal="center"/>
    </xf>
    <xf numFmtId="43" fontId="10" fillId="0" borderId="13" xfId="0" applyNumberFormat="1" applyFont="1" applyBorder="1" applyAlignment="1" applyProtection="1">
      <alignment horizontal="center"/>
    </xf>
    <xf numFmtId="0" fontId="0" fillId="0" borderId="0" xfId="0" applyFont="1" applyBorder="1"/>
    <xf numFmtId="0" fontId="0" fillId="0" borderId="13" xfId="0" applyFont="1" applyBorder="1"/>
    <xf numFmtId="1" fontId="0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8" fontId="29" fillId="0" borderId="8" xfId="0" applyNumberFormat="1" applyFont="1" applyFill="1" applyBorder="1" applyAlignment="1" applyProtection="1">
      <alignment horizontal="center"/>
    </xf>
    <xf numFmtId="43" fontId="10" fillId="0" borderId="8" xfId="0" applyNumberFormat="1" applyFont="1" applyBorder="1" applyAlignment="1" applyProtection="1">
      <alignment horizontal="center"/>
    </xf>
    <xf numFmtId="0" fontId="0" fillId="0" borderId="8" xfId="0" applyFont="1" applyBorder="1"/>
    <xf numFmtId="164" fontId="7" fillId="0" borderId="13" xfId="0" applyNumberFormat="1" applyFont="1" applyBorder="1"/>
    <xf numFmtId="172" fontId="5" fillId="0" borderId="0" xfId="0" applyNumberFormat="1" applyFont="1" applyBorder="1"/>
    <xf numFmtId="172" fontId="5" fillId="0" borderId="13" xfId="0" applyNumberFormat="1" applyFont="1" applyBorder="1"/>
    <xf numFmtId="9" fontId="5" fillId="0" borderId="0" xfId="0" applyNumberFormat="1" applyFont="1" applyBorder="1"/>
    <xf numFmtId="9" fontId="5" fillId="0" borderId="13" xfId="0" applyNumberFormat="1" applyFont="1" applyBorder="1"/>
    <xf numFmtId="0" fontId="0" fillId="0" borderId="0" xfId="0" applyNumberFormat="1" applyBorder="1"/>
    <xf numFmtId="0" fontId="0" fillId="0" borderId="13" xfId="0" applyNumberFormat="1" applyBorder="1"/>
    <xf numFmtId="0" fontId="5" fillId="0" borderId="13" xfId="0" applyFont="1" applyBorder="1"/>
    <xf numFmtId="164" fontId="7" fillId="0" borderId="8" xfId="0" applyNumberFormat="1" applyFont="1" applyBorder="1"/>
    <xf numFmtId="172" fontId="5" fillId="0" borderId="8" xfId="0" applyNumberFormat="1" applyFont="1" applyBorder="1"/>
    <xf numFmtId="9" fontId="5" fillId="0" borderId="8" xfId="0" applyNumberFormat="1" applyFont="1" applyBorder="1"/>
    <xf numFmtId="0" fontId="0" fillId="0" borderId="8" xfId="0" applyNumberFormat="1" applyBorder="1"/>
    <xf numFmtId="0" fontId="16" fillId="0" borderId="0" xfId="0" applyFont="1" applyBorder="1"/>
    <xf numFmtId="0" fontId="16" fillId="0" borderId="13" xfId="0" applyFont="1" applyBorder="1"/>
    <xf numFmtId="43" fontId="16" fillId="0" borderId="0" xfId="0" applyNumberFormat="1" applyFont="1" applyBorder="1"/>
    <xf numFmtId="43" fontId="16" fillId="0" borderId="13" xfId="0" applyNumberFormat="1" applyFont="1" applyBorder="1"/>
    <xf numFmtId="43" fontId="16" fillId="0" borderId="0" xfId="1" applyFont="1" applyBorder="1"/>
    <xf numFmtId="172" fontId="16" fillId="0" borderId="0" xfId="0" applyNumberFormat="1" applyFont="1" applyBorder="1"/>
    <xf numFmtId="172" fontId="16" fillId="0" borderId="13" xfId="0" applyNumberFormat="1" applyFont="1" applyBorder="1"/>
    <xf numFmtId="1" fontId="16" fillId="0" borderId="0" xfId="1" applyNumberFormat="1" applyFont="1"/>
    <xf numFmtId="164" fontId="7" fillId="2" borderId="7" xfId="0" applyNumberFormat="1" applyFont="1" applyFill="1" applyBorder="1"/>
    <xf numFmtId="172" fontId="5" fillId="2" borderId="7" xfId="0" applyNumberFormat="1" applyFont="1" applyFill="1" applyBorder="1"/>
    <xf numFmtId="9" fontId="5" fillId="2" borderId="7" xfId="0" applyNumberFormat="1" applyFont="1" applyFill="1" applyBorder="1"/>
    <xf numFmtId="0" fontId="0" fillId="2" borderId="7" xfId="0" applyNumberFormat="1" applyFill="1" applyBorder="1"/>
    <xf numFmtId="0" fontId="5" fillId="2" borderId="7" xfId="0" applyFont="1" applyFill="1" applyBorder="1"/>
    <xf numFmtId="167" fontId="16" fillId="5" borderId="0" xfId="0" applyNumberFormat="1" applyFont="1" applyFill="1" applyBorder="1"/>
    <xf numFmtId="167" fontId="16" fillId="5" borderId="13" xfId="0" applyNumberFormat="1" applyFont="1" applyFill="1" applyBorder="1"/>
    <xf numFmtId="43" fontId="12" fillId="10" borderId="0" xfId="3" applyNumberFormat="1" applyFont="1" applyFill="1" applyBorder="1"/>
    <xf numFmtId="0" fontId="17" fillId="10" borderId="0" xfId="0" applyNumberFormat="1" applyFont="1" applyFill="1" applyBorder="1"/>
    <xf numFmtId="43" fontId="17" fillId="10" borderId="0" xfId="4" applyNumberFormat="1" applyFont="1" applyFill="1" applyBorder="1"/>
    <xf numFmtId="0" fontId="15" fillId="10" borderId="0" xfId="5" applyFont="1" applyFill="1" applyBorder="1" applyAlignment="1">
      <alignment horizontal="left"/>
    </xf>
    <xf numFmtId="0" fontId="16" fillId="5" borderId="0" xfId="0" applyFont="1" applyFill="1"/>
    <xf numFmtId="43" fontId="16" fillId="5" borderId="0" xfId="1" applyFont="1" applyFill="1"/>
    <xf numFmtId="0" fontId="16" fillId="5" borderId="0" xfId="0" applyFont="1" applyFill="1" applyBorder="1"/>
    <xf numFmtId="0" fontId="16" fillId="5" borderId="13" xfId="0" applyFont="1" applyFill="1" applyBorder="1"/>
    <xf numFmtId="0" fontId="40" fillId="0" borderId="0" xfId="0" applyFont="1"/>
    <xf numFmtId="9" fontId="24" fillId="12" borderId="0" xfId="9" applyFont="1" applyFill="1" applyBorder="1"/>
    <xf numFmtId="1" fontId="0" fillId="0" borderId="0" xfId="0" applyNumberFormat="1"/>
    <xf numFmtId="9" fontId="24" fillId="12" borderId="0" xfId="9" applyFont="1" applyFill="1"/>
    <xf numFmtId="9" fontId="24" fillId="12" borderId="13" xfId="9" applyFont="1" applyFill="1" applyBorder="1"/>
    <xf numFmtId="9" fontId="0" fillId="0" borderId="0" xfId="2" applyFont="1" applyFill="1" applyBorder="1"/>
    <xf numFmtId="172" fontId="15" fillId="3" borderId="6" xfId="0" applyNumberFormat="1" applyFont="1" applyFill="1" applyBorder="1" applyAlignment="1">
      <alignment horizontal="right"/>
    </xf>
    <xf numFmtId="172" fontId="15" fillId="3" borderId="6" xfId="6" applyNumberFormat="1" applyFont="1" applyFill="1" applyBorder="1" applyAlignment="1">
      <alignment horizontal="right"/>
    </xf>
    <xf numFmtId="172" fontId="15" fillId="3" borderId="6" xfId="1" applyNumberFormat="1" applyFont="1" applyFill="1" applyBorder="1" applyAlignment="1">
      <alignment horizontal="right"/>
    </xf>
    <xf numFmtId="172" fontId="15" fillId="4" borderId="6" xfId="0" applyNumberFormat="1" applyFont="1" applyFill="1" applyBorder="1" applyAlignment="1">
      <alignment horizontal="right"/>
    </xf>
    <xf numFmtId="172" fontId="15" fillId="4" borderId="6" xfId="6" applyNumberFormat="1" applyFont="1" applyFill="1" applyBorder="1" applyAlignment="1">
      <alignment horizontal="right"/>
    </xf>
    <xf numFmtId="172" fontId="15" fillId="4" borderId="6" xfId="3" applyNumberFormat="1" applyFont="1" applyFill="1" applyBorder="1" applyAlignment="1">
      <alignment horizontal="right"/>
    </xf>
    <xf numFmtId="172" fontId="15" fillId="8" borderId="6" xfId="3" applyNumberFormat="1" applyFont="1" applyFill="1" applyBorder="1" applyAlignment="1">
      <alignment horizontal="right"/>
    </xf>
    <xf numFmtId="172" fontId="15" fillId="9" borderId="6" xfId="3" applyNumberFormat="1" applyFont="1" applyFill="1" applyBorder="1" applyAlignment="1">
      <alignment horizontal="right"/>
    </xf>
    <xf numFmtId="172" fontId="15" fillId="10" borderId="0" xfId="4" applyNumberFormat="1" applyFont="1" applyFill="1" applyBorder="1" applyAlignment="1">
      <alignment horizontal="right"/>
    </xf>
    <xf numFmtId="172" fontId="16" fillId="0" borderId="0" xfId="0" applyNumberFormat="1" applyFont="1" applyAlignment="1">
      <alignment horizontal="right"/>
    </xf>
    <xf numFmtId="172" fontId="15" fillId="3" borderId="5" xfId="3" applyNumberFormat="1" applyFont="1" applyFill="1" applyBorder="1" applyAlignment="1">
      <alignment horizontal="right"/>
    </xf>
    <xf numFmtId="1" fontId="16" fillId="0" borderId="0" xfId="0" applyNumberFormat="1" applyFont="1" applyBorder="1"/>
    <xf numFmtId="1" fontId="16" fillId="0" borderId="13" xfId="0" applyNumberFormat="1" applyFont="1" applyBorder="1"/>
    <xf numFmtId="172" fontId="18" fillId="0" borderId="0" xfId="0" applyNumberFormat="1" applyFont="1"/>
    <xf numFmtId="172" fontId="18" fillId="0" borderId="0" xfId="1" applyNumberFormat="1" applyFont="1"/>
    <xf numFmtId="172" fontId="18" fillId="0" borderId="0" xfId="0" applyNumberFormat="1" applyFont="1" applyBorder="1"/>
    <xf numFmtId="172" fontId="18" fillId="0" borderId="13" xfId="0" applyNumberFormat="1" applyFont="1" applyBorder="1"/>
    <xf numFmtId="1" fontId="0" fillId="5" borderId="0" xfId="0" applyNumberFormat="1" applyFont="1" applyFill="1"/>
    <xf numFmtId="166" fontId="15" fillId="9" borderId="6" xfId="3" applyNumberFormat="1" applyFont="1" applyFill="1" applyBorder="1" applyAlignment="1">
      <alignment horizontal="right"/>
    </xf>
    <xf numFmtId="1" fontId="16" fillId="0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76" fontId="0" fillId="0" borderId="0" xfId="144" applyNumberFormat="1" applyFont="1"/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76" fontId="0" fillId="0" borderId="0" xfId="0" applyNumberFormat="1" applyBorder="1"/>
    <xf numFmtId="167" fontId="0" fillId="0" borderId="0" xfId="1" applyNumberFormat="1" applyFont="1" applyBorder="1"/>
    <xf numFmtId="44" fontId="0" fillId="0" borderId="0" xfId="0" applyNumberFormat="1" applyBorder="1"/>
    <xf numFmtId="43" fontId="0" fillId="0" borderId="0" xfId="1" applyFont="1" applyBorder="1"/>
    <xf numFmtId="44" fontId="0" fillId="0" borderId="0" xfId="144" applyFont="1"/>
    <xf numFmtId="38" fontId="4" fillId="5" borderId="0" xfId="0" applyNumberFormat="1" applyFont="1" applyFill="1"/>
    <xf numFmtId="1" fontId="4" fillId="5" borderId="0" xfId="0" applyNumberFormat="1" applyFont="1" applyFill="1"/>
    <xf numFmtId="6" fontId="4" fillId="5" borderId="0" xfId="0" applyNumberFormat="1" applyFont="1" applyFill="1"/>
    <xf numFmtId="38" fontId="4" fillId="5" borderId="0" xfId="0" applyNumberFormat="1" applyFont="1" applyFill="1" applyAlignment="1">
      <alignment horizontal="right"/>
    </xf>
    <xf numFmtId="6" fontId="4" fillId="5" borderId="0" xfId="0" applyNumberFormat="1" applyFont="1" applyFill="1" applyAlignment="1">
      <alignment horizontal="right"/>
    </xf>
    <xf numFmtId="38" fontId="30" fillId="5" borderId="0" xfId="0" applyNumberFormat="1" applyFont="1" applyFill="1"/>
    <xf numFmtId="6" fontId="30" fillId="5" borderId="0" xfId="0" applyNumberFormat="1" applyFont="1" applyFill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0" fillId="5" borderId="0" xfId="0" applyNumberFormat="1" applyFont="1" applyFill="1" applyAlignment="1">
      <alignment horizontal="left"/>
    </xf>
    <xf numFmtId="1" fontId="4" fillId="5" borderId="11" xfId="0" applyNumberFormat="1" applyFont="1" applyFill="1" applyBorder="1"/>
    <xf numFmtId="1" fontId="4" fillId="5" borderId="0" xfId="0" applyNumberFormat="1" applyFont="1" applyFill="1" applyBorder="1"/>
    <xf numFmtId="1" fontId="30" fillId="5" borderId="11" xfId="0" applyNumberFormat="1" applyFont="1" applyFill="1" applyBorder="1" applyAlignment="1">
      <alignment horizontal="right"/>
    </xf>
    <xf numFmtId="38" fontId="4" fillId="5" borderId="0" xfId="0" applyNumberFormat="1" applyFont="1" applyFill="1" applyBorder="1"/>
    <xf numFmtId="6" fontId="4" fillId="5" borderId="0" xfId="0" applyNumberFormat="1" applyFont="1" applyFill="1" applyBorder="1"/>
    <xf numFmtId="1" fontId="4" fillId="5" borderId="13" xfId="0" applyNumberFormat="1" applyFont="1" applyFill="1" applyBorder="1"/>
    <xf numFmtId="38" fontId="4" fillId="5" borderId="13" xfId="0" applyNumberFormat="1" applyFont="1" applyFill="1" applyBorder="1"/>
    <xf numFmtId="6" fontId="4" fillId="5" borderId="13" xfId="0" applyNumberFormat="1" applyFont="1" applyFill="1" applyBorder="1"/>
    <xf numFmtId="1" fontId="4" fillId="5" borderId="12" xfId="0" applyNumberFormat="1" applyFont="1" applyFill="1" applyBorder="1"/>
    <xf numFmtId="1" fontId="50" fillId="11" borderId="13" xfId="0" applyNumberFormat="1" applyFont="1" applyFill="1" applyBorder="1"/>
    <xf numFmtId="9" fontId="51" fillId="11" borderId="13" xfId="9" applyFont="1" applyFill="1" applyBorder="1"/>
    <xf numFmtId="9" fontId="51" fillId="11" borderId="9" xfId="9" applyNumberFormat="1" applyFont="1" applyFill="1" applyBorder="1"/>
    <xf numFmtId="9" fontId="51" fillId="11" borderId="0" xfId="9" applyFont="1" applyFill="1" applyBorder="1"/>
    <xf numFmtId="0" fontId="53" fillId="13" borderId="0" xfId="0" applyFont="1" applyFill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178" fontId="45" fillId="13" borderId="0" xfId="1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left"/>
    </xf>
    <xf numFmtId="0" fontId="0" fillId="11" borderId="0" xfId="0" applyFill="1"/>
    <xf numFmtId="0" fontId="4" fillId="0" borderId="0" xfId="0" applyFont="1" applyAlignment="1">
      <alignment horizontal="center" vertical="center"/>
    </xf>
    <xf numFmtId="44" fontId="34" fillId="14" borderId="0" xfId="0" applyNumberFormat="1" applyFont="1" applyFill="1" applyBorder="1" applyAlignment="1">
      <alignment horizontal="center" vertical="center" wrapText="1"/>
    </xf>
    <xf numFmtId="176" fontId="0" fillId="11" borderId="0" xfId="17" applyNumberFormat="1" applyFont="1" applyFill="1" applyBorder="1"/>
    <xf numFmtId="0" fontId="34" fillId="13" borderId="0" xfId="0" applyFont="1" applyFill="1" applyBorder="1" applyAlignment="1">
      <alignment horizontal="left"/>
    </xf>
    <xf numFmtId="176" fontId="34" fillId="13" borderId="0" xfId="0" applyNumberFormat="1" applyFont="1" applyFill="1" applyBorder="1"/>
    <xf numFmtId="167" fontId="34" fillId="13" borderId="0" xfId="1" applyNumberFormat="1" applyFont="1" applyFill="1" applyBorder="1"/>
    <xf numFmtId="44" fontId="34" fillId="13" borderId="0" xfId="0" applyNumberFormat="1" applyFont="1" applyFill="1" applyBorder="1"/>
    <xf numFmtId="0" fontId="52" fillId="13" borderId="2" xfId="0" applyFont="1" applyFill="1" applyBorder="1" applyAlignment="1">
      <alignment horizontal="center" vertical="center"/>
    </xf>
    <xf numFmtId="0" fontId="0" fillId="13" borderId="24" xfId="0" applyFill="1" applyBorder="1" applyAlignment="1">
      <alignment horizontal="center"/>
    </xf>
    <xf numFmtId="0" fontId="4" fillId="13" borderId="26" xfId="0" applyFont="1" applyFill="1" applyBorder="1" applyAlignment="1">
      <alignment horizontal="center" vertical="center" wrapText="1"/>
    </xf>
    <xf numFmtId="44" fontId="4" fillId="13" borderId="1" xfId="0" applyNumberFormat="1" applyFont="1" applyFill="1" applyBorder="1" applyAlignment="1">
      <alignment horizontal="center" vertical="center" wrapText="1"/>
    </xf>
    <xf numFmtId="44" fontId="30" fillId="13" borderId="26" xfId="0" applyNumberFormat="1" applyFont="1" applyFill="1" applyBorder="1" applyAlignment="1">
      <alignment horizontal="center" vertical="center" wrapText="1"/>
    </xf>
    <xf numFmtId="3" fontId="38" fillId="13" borderId="1" xfId="10" applyNumberFormat="1" applyFont="1" applyFill="1" applyBorder="1" applyAlignment="1">
      <alignment horizontal="center" vertical="center" wrapText="1"/>
    </xf>
    <xf numFmtId="3" fontId="38" fillId="13" borderId="27" xfId="10" applyNumberFormat="1" applyFont="1" applyFill="1" applyBorder="1" applyAlignment="1">
      <alignment horizontal="center" vertical="center" wrapText="1"/>
    </xf>
    <xf numFmtId="3" fontId="38" fillId="13" borderId="26" xfId="10" applyNumberFormat="1" applyFont="1" applyFill="1" applyBorder="1" applyAlignment="1">
      <alignment horizontal="center" vertical="center" wrapText="1"/>
    </xf>
    <xf numFmtId="44" fontId="0" fillId="2" borderId="0" xfId="0" applyNumberFormat="1" applyFill="1"/>
    <xf numFmtId="0" fontId="48" fillId="0" borderId="0" xfId="0" applyFont="1"/>
    <xf numFmtId="0" fontId="0" fillId="0" borderId="11" xfId="0" applyFill="1" applyBorder="1"/>
    <xf numFmtId="176" fontId="0" fillId="0" borderId="11" xfId="144" applyNumberFormat="1" applyFont="1" applyFill="1" applyBorder="1"/>
    <xf numFmtId="9" fontId="0" fillId="0" borderId="0" xfId="2" applyFont="1" applyBorder="1"/>
    <xf numFmtId="176" fontId="0" fillId="5" borderId="0" xfId="17" applyNumberFormat="1" applyFont="1" applyFill="1" applyBorder="1"/>
    <xf numFmtId="9" fontId="0" fillId="11" borderId="0" xfId="2" applyFont="1" applyFill="1" applyBorder="1"/>
    <xf numFmtId="9" fontId="0" fillId="11" borderId="0" xfId="2" applyFont="1" applyFill="1"/>
    <xf numFmtId="176" fontId="0" fillId="11" borderId="0" xfId="144" applyNumberFormat="1" applyFont="1" applyFill="1"/>
    <xf numFmtId="0" fontId="0" fillId="11" borderId="0" xfId="0" applyFill="1" applyBorder="1"/>
    <xf numFmtId="9" fontId="0" fillId="5" borderId="0" xfId="2" applyFont="1" applyFill="1"/>
    <xf numFmtId="44" fontId="0" fillId="5" borderId="0" xfId="144" applyFont="1" applyFill="1"/>
    <xf numFmtId="1" fontId="4" fillId="15" borderId="11" xfId="0" applyNumberFormat="1" applyFont="1" applyFill="1" applyBorder="1"/>
    <xf numFmtId="6" fontId="4" fillId="15" borderId="11" xfId="0" applyNumberFormat="1" applyFont="1" applyFill="1" applyBorder="1"/>
    <xf numFmtId="38" fontId="30" fillId="15" borderId="11" xfId="0" applyNumberFormat="1" applyFont="1" applyFill="1" applyBorder="1"/>
    <xf numFmtId="38" fontId="4" fillId="15" borderId="11" xfId="0" applyNumberFormat="1" applyFont="1" applyFill="1" applyBorder="1"/>
    <xf numFmtId="38" fontId="4" fillId="15" borderId="12" xfId="0" applyNumberFormat="1" applyFont="1" applyFill="1" applyBorder="1"/>
    <xf numFmtId="38" fontId="30" fillId="15" borderId="0" xfId="0" applyNumberFormat="1" applyFont="1" applyFill="1"/>
    <xf numFmtId="38" fontId="4" fillId="15" borderId="0" xfId="0" applyNumberFormat="1" applyFont="1" applyFill="1"/>
    <xf numFmtId="38" fontId="4" fillId="15" borderId="13" xfId="0" applyNumberFormat="1" applyFont="1" applyFill="1" applyBorder="1"/>
    <xf numFmtId="38" fontId="4" fillId="15" borderId="0" xfId="0" applyNumberFormat="1" applyFont="1" applyFill="1" applyBorder="1"/>
    <xf numFmtId="172" fontId="30" fillId="15" borderId="11" xfId="0" applyNumberFormat="1" applyFont="1" applyFill="1" applyBorder="1" applyAlignment="1">
      <alignment horizontal="left"/>
    </xf>
    <xf numFmtId="172" fontId="4" fillId="15" borderId="11" xfId="0" applyNumberFormat="1" applyFont="1" applyFill="1" applyBorder="1"/>
    <xf numFmtId="172" fontId="4" fillId="15" borderId="12" xfId="0" applyNumberFormat="1" applyFont="1" applyFill="1" applyBorder="1"/>
    <xf numFmtId="172" fontId="30" fillId="15" borderId="0" xfId="0" applyNumberFormat="1" applyFont="1" applyFill="1" applyAlignment="1">
      <alignment horizontal="left"/>
    </xf>
    <xf numFmtId="172" fontId="4" fillId="15" borderId="0" xfId="0" applyNumberFormat="1" applyFont="1" applyFill="1"/>
    <xf numFmtId="172" fontId="4" fillId="15" borderId="13" xfId="0" applyNumberFormat="1" applyFont="1" applyFill="1" applyBorder="1"/>
    <xf numFmtId="172" fontId="4" fillId="15" borderId="0" xfId="0" applyNumberFormat="1" applyFont="1" applyFill="1" applyBorder="1"/>
    <xf numFmtId="1" fontId="30" fillId="15" borderId="0" xfId="0" applyNumberFormat="1" applyFont="1" applyFill="1" applyAlignment="1">
      <alignment horizontal="left"/>
    </xf>
    <xf numFmtId="1" fontId="4" fillId="15" borderId="0" xfId="0" applyNumberFormat="1" applyFont="1" applyFill="1"/>
    <xf numFmtId="5" fontId="4" fillId="15" borderId="0" xfId="144" applyNumberFormat="1" applyFont="1" applyFill="1"/>
    <xf numFmtId="1" fontId="30" fillId="5" borderId="21" xfId="0" applyNumberFormat="1" applyFont="1" applyFill="1" applyBorder="1" applyAlignment="1">
      <alignment horizontal="left"/>
    </xf>
    <xf numFmtId="5" fontId="4" fillId="5" borderId="21" xfId="144" applyNumberFormat="1" applyFont="1" applyFill="1" applyBorder="1"/>
    <xf numFmtId="172" fontId="4" fillId="5" borderId="21" xfId="0" applyNumberFormat="1" applyFont="1" applyFill="1" applyBorder="1"/>
    <xf numFmtId="172" fontId="4" fillId="5" borderId="23" xfId="0" applyNumberFormat="1" applyFont="1" applyFill="1" applyBorder="1"/>
    <xf numFmtId="1" fontId="4" fillId="5" borderId="21" xfId="0" applyNumberFormat="1" applyFont="1" applyFill="1" applyBorder="1"/>
    <xf numFmtId="0" fontId="56" fillId="18" borderId="5" xfId="5" applyNumberFormat="1" applyFont="1" applyFill="1" applyBorder="1"/>
    <xf numFmtId="0" fontId="25" fillId="17" borderId="0" xfId="0" applyFont="1" applyFill="1"/>
    <xf numFmtId="43" fontId="25" fillId="17" borderId="0" xfId="1" applyFont="1" applyFill="1"/>
    <xf numFmtId="0" fontId="57" fillId="16" borderId="6" xfId="5" applyNumberFormat="1" applyFont="1" applyFill="1" applyBorder="1"/>
    <xf numFmtId="0" fontId="56" fillId="18" borderId="6" xfId="5" applyNumberFormat="1" applyFont="1" applyFill="1" applyBorder="1"/>
    <xf numFmtId="167" fontId="56" fillId="18" borderId="6" xfId="3" applyNumberFormat="1" applyFont="1" applyFill="1" applyBorder="1"/>
    <xf numFmtId="0" fontId="56" fillId="16" borderId="6" xfId="5" applyNumberFormat="1" applyFont="1" applyFill="1" applyBorder="1"/>
    <xf numFmtId="0" fontId="57" fillId="18" borderId="6" xfId="5" applyNumberFormat="1" applyFont="1" applyFill="1" applyBorder="1"/>
    <xf numFmtId="0" fontId="56" fillId="16" borderId="6" xfId="5" applyFont="1" applyFill="1" applyBorder="1"/>
    <xf numFmtId="1" fontId="12" fillId="10" borderId="6" xfId="3" applyNumberFormat="1" applyFont="1" applyFill="1" applyBorder="1"/>
    <xf numFmtId="1" fontId="17" fillId="10" borderId="30" xfId="0" applyNumberFormat="1" applyFont="1" applyFill="1" applyBorder="1"/>
    <xf numFmtId="1" fontId="17" fillId="10" borderId="30" xfId="4" applyNumberFormat="1" applyFont="1" applyFill="1" applyBorder="1"/>
    <xf numFmtId="1" fontId="15" fillId="10" borderId="30" xfId="3" applyNumberFormat="1" applyFont="1" applyFill="1" applyBorder="1" applyAlignment="1">
      <alignment horizontal="right"/>
    </xf>
    <xf numFmtId="1" fontId="14" fillId="10" borderId="6" xfId="3" applyNumberFormat="1" applyFont="1" applyFill="1" applyBorder="1" applyAlignment="1">
      <alignment horizontal="right"/>
    </xf>
    <xf numFmtId="1" fontId="15" fillId="10" borderId="0" xfId="3" applyNumberFormat="1" applyFont="1" applyFill="1" applyBorder="1" applyAlignment="1">
      <alignment horizontal="right"/>
    </xf>
    <xf numFmtId="172" fontId="12" fillId="10" borderId="6" xfId="3" applyNumberFormat="1" applyFont="1" applyFill="1" applyBorder="1"/>
    <xf numFmtId="172" fontId="12" fillId="10" borderId="6" xfId="0" applyNumberFormat="1" applyFont="1" applyFill="1" applyBorder="1"/>
    <xf numFmtId="172" fontId="12" fillId="10" borderId="6" xfId="4" applyNumberFormat="1" applyFont="1" applyFill="1" applyBorder="1"/>
    <xf numFmtId="172" fontId="14" fillId="10" borderId="6" xfId="3" applyNumberFormat="1" applyFont="1" applyFill="1" applyBorder="1" applyAlignment="1">
      <alignment horizontal="right"/>
    </xf>
    <xf numFmtId="43" fontId="12" fillId="19" borderId="6" xfId="3" applyNumberFormat="1" applyFont="1" applyFill="1" applyBorder="1"/>
    <xf numFmtId="0" fontId="12" fillId="19" borderId="6" xfId="0" applyNumberFormat="1" applyFont="1" applyFill="1" applyBorder="1"/>
    <xf numFmtId="43" fontId="12" fillId="19" borderId="6" xfId="4" applyNumberFormat="1" applyFont="1" applyFill="1" applyBorder="1"/>
    <xf numFmtId="43" fontId="17" fillId="19" borderId="6" xfId="4" applyNumberFormat="1" applyFont="1" applyFill="1" applyBorder="1"/>
    <xf numFmtId="172" fontId="15" fillId="19" borderId="6" xfId="3" applyNumberFormat="1" applyFont="1" applyFill="1" applyBorder="1" applyAlignment="1">
      <alignment horizontal="right"/>
    </xf>
    <xf numFmtId="43" fontId="12" fillId="10" borderId="6" xfId="3" applyNumberFormat="1" applyFont="1" applyFill="1" applyBorder="1"/>
    <xf numFmtId="0" fontId="12" fillId="10" borderId="6" xfId="0" applyNumberFormat="1" applyFont="1" applyFill="1" applyBorder="1"/>
    <xf numFmtId="43" fontId="12" fillId="10" borderId="6" xfId="4" applyNumberFormat="1" applyFont="1" applyFill="1" applyBorder="1"/>
    <xf numFmtId="167" fontId="14" fillId="10" borderId="6" xfId="3" applyNumberFormat="1" applyFont="1" applyFill="1" applyBorder="1" applyAlignment="1">
      <alignment horizontal="right"/>
    </xf>
    <xf numFmtId="0" fontId="17" fillId="10" borderId="6" xfId="0" applyNumberFormat="1" applyFont="1" applyFill="1" applyBorder="1"/>
    <xf numFmtId="43" fontId="17" fillId="10" borderId="6" xfId="4" applyNumberFormat="1" applyFont="1" applyFill="1" applyBorder="1"/>
    <xf numFmtId="172" fontId="15" fillId="10" borderId="6" xfId="3" applyNumberFormat="1" applyFont="1" applyFill="1" applyBorder="1" applyAlignment="1">
      <alignment horizontal="right"/>
    </xf>
    <xf numFmtId="167" fontId="15" fillId="10" borderId="6" xfId="3" applyNumberFormat="1" applyFont="1" applyFill="1" applyBorder="1"/>
    <xf numFmtId="43" fontId="17" fillId="20" borderId="6" xfId="4" applyNumberFormat="1" applyFont="1" applyFill="1" applyBorder="1"/>
    <xf numFmtId="167" fontId="15" fillId="20" borderId="6" xfId="3" applyNumberFormat="1" applyFont="1" applyFill="1" applyBorder="1"/>
    <xf numFmtId="0" fontId="17" fillId="20" borderId="6" xfId="0" applyNumberFormat="1" applyFont="1" applyFill="1" applyBorder="1"/>
    <xf numFmtId="0" fontId="15" fillId="20" borderId="6" xfId="5" applyFont="1" applyFill="1" applyBorder="1" applyAlignment="1">
      <alignment horizontal="left"/>
    </xf>
    <xf numFmtId="172" fontId="14" fillId="19" borderId="6" xfId="3" applyNumberFormat="1" applyFont="1" applyFill="1" applyBorder="1" applyAlignment="1">
      <alignment horizontal="right"/>
    </xf>
    <xf numFmtId="167" fontId="14" fillId="19" borderId="6" xfId="3" applyNumberFormat="1" applyFont="1" applyFill="1" applyBorder="1" applyAlignment="1">
      <alignment horizontal="right"/>
    </xf>
    <xf numFmtId="0" fontId="18" fillId="5" borderId="0" xfId="0" applyFont="1" applyFill="1"/>
    <xf numFmtId="43" fontId="18" fillId="5" borderId="0" xfId="1" applyFont="1" applyFill="1"/>
    <xf numFmtId="172" fontId="16" fillId="5" borderId="0" xfId="0" applyNumberFormat="1" applyFont="1" applyFill="1" applyBorder="1"/>
    <xf numFmtId="172" fontId="16" fillId="5" borderId="13" xfId="0" applyNumberFormat="1" applyFont="1" applyFill="1" applyBorder="1"/>
    <xf numFmtId="172" fontId="15" fillId="10" borderId="6" xfId="4" applyNumberFormat="1" applyFont="1" applyFill="1" applyBorder="1" applyAlignment="1">
      <alignment horizontal="right"/>
    </xf>
    <xf numFmtId="172" fontId="14" fillId="10" borderId="6" xfId="4" applyNumberFormat="1" applyFont="1" applyFill="1" applyBorder="1" applyAlignment="1">
      <alignment horizontal="right"/>
    </xf>
    <xf numFmtId="0" fontId="14" fillId="10" borderId="6" xfId="5" applyFont="1" applyFill="1" applyBorder="1" applyAlignment="1">
      <alignment horizontal="right"/>
    </xf>
    <xf numFmtId="172" fontId="18" fillId="5" borderId="0" xfId="0" applyNumberFormat="1" applyFont="1" applyFill="1"/>
    <xf numFmtId="172" fontId="18" fillId="5" borderId="0" xfId="1" applyNumberFormat="1" applyFont="1" applyFill="1"/>
    <xf numFmtId="172" fontId="10" fillId="11" borderId="11" xfId="0" applyNumberFormat="1" applyFont="1" applyFill="1" applyBorder="1" applyAlignment="1" applyProtection="1">
      <alignment horizontal="center"/>
    </xf>
    <xf numFmtId="172" fontId="0" fillId="11" borderId="11" xfId="0" applyNumberFormat="1" applyFont="1" applyFill="1" applyBorder="1" applyAlignment="1">
      <alignment horizontal="center"/>
    </xf>
    <xf numFmtId="8" fontId="44" fillId="5" borderId="0" xfId="0" applyNumberFormat="1" applyFont="1" applyFill="1" applyBorder="1" applyAlignment="1" applyProtection="1"/>
    <xf numFmtId="0" fontId="44" fillId="0" borderId="0" xfId="0" applyFont="1" applyAlignment="1" applyProtection="1"/>
    <xf numFmtId="172" fontId="0" fillId="11" borderId="21" xfId="0" applyNumberFormat="1" applyFont="1" applyFill="1" applyBorder="1" applyAlignment="1">
      <alignment horizontal="center"/>
    </xf>
    <xf numFmtId="0" fontId="0" fillId="0" borderId="4" xfId="0" applyFill="1" applyBorder="1"/>
    <xf numFmtId="176" fontId="0" fillId="0" borderId="4" xfId="144" applyNumberFormat="1" applyFont="1" applyFill="1" applyBorder="1"/>
    <xf numFmtId="0" fontId="0" fillId="0" borderId="1" xfId="0" applyFill="1" applyBorder="1"/>
    <xf numFmtId="176" fontId="0" fillId="0" borderId="1" xfId="144" applyNumberFormat="1" applyFont="1" applyFill="1" applyBorder="1"/>
    <xf numFmtId="1" fontId="0" fillId="0" borderId="0" xfId="0" applyNumberFormat="1" applyFill="1" applyBorder="1"/>
    <xf numFmtId="0" fontId="0" fillId="15" borderId="0" xfId="0" applyFill="1" applyBorder="1"/>
    <xf numFmtId="0" fontId="0" fillId="15" borderId="0" xfId="0" applyFill="1"/>
    <xf numFmtId="176" fontId="0" fillId="15" borderId="0" xfId="144" applyNumberFormat="1" applyFont="1" applyFill="1" applyBorder="1"/>
    <xf numFmtId="1" fontId="0" fillId="15" borderId="0" xfId="0" applyNumberFormat="1" applyFill="1" applyBorder="1"/>
    <xf numFmtId="0" fontId="55" fillId="0" borderId="0" xfId="0" applyFont="1" applyFill="1"/>
    <xf numFmtId="0" fontId="55" fillId="0" borderId="33" xfId="0" applyFont="1" applyFill="1" applyBorder="1"/>
    <xf numFmtId="0" fontId="55" fillId="0" borderId="34" xfId="0" applyFont="1" applyFill="1" applyBorder="1"/>
    <xf numFmtId="0" fontId="55" fillId="0" borderId="35" xfId="0" applyFont="1" applyFill="1" applyBorder="1"/>
    <xf numFmtId="0" fontId="55" fillId="0" borderId="26" xfId="0" applyFont="1" applyFill="1" applyBorder="1"/>
    <xf numFmtId="0" fontId="55" fillId="15" borderId="33" xfId="0" applyFont="1" applyFill="1" applyBorder="1"/>
    <xf numFmtId="37" fontId="0" fillId="15" borderId="0" xfId="144" applyNumberFormat="1" applyFont="1" applyFill="1" applyBorder="1"/>
    <xf numFmtId="176" fontId="0" fillId="15" borderId="0" xfId="144" applyNumberFormat="1" applyFont="1" applyFill="1" applyBorder="1" applyAlignment="1"/>
    <xf numFmtId="176" fontId="0" fillId="5" borderId="1" xfId="144" applyNumberFormat="1" applyFont="1" applyFill="1" applyBorder="1" applyAlignment="1"/>
    <xf numFmtId="9" fontId="0" fillId="5" borderId="0" xfId="2" applyFont="1" applyFill="1" applyBorder="1" applyAlignment="1"/>
    <xf numFmtId="176" fontId="0" fillId="5" borderId="11" xfId="144" applyNumberFormat="1" applyFont="1" applyFill="1" applyBorder="1"/>
    <xf numFmtId="176" fontId="0" fillId="5" borderId="4" xfId="144" applyNumberFormat="1" applyFont="1" applyFill="1" applyBorder="1" applyAlignment="1"/>
    <xf numFmtId="9" fontId="0" fillId="5" borderId="0" xfId="2" applyFont="1" applyFill="1" applyBorder="1"/>
    <xf numFmtId="0" fontId="0" fillId="15" borderId="7" xfId="0" applyFill="1" applyBorder="1" applyAlignment="1"/>
    <xf numFmtId="37" fontId="0" fillId="15" borderId="7" xfId="144" applyNumberFormat="1" applyFont="1" applyFill="1" applyBorder="1" applyAlignment="1"/>
    <xf numFmtId="176" fontId="0" fillId="11" borderId="28" xfId="144" applyNumberFormat="1" applyFont="1" applyFill="1" applyBorder="1" applyAlignment="1"/>
    <xf numFmtId="176" fontId="0" fillId="0" borderId="29" xfId="144" applyNumberFormat="1" applyFont="1" applyFill="1" applyBorder="1" applyAlignment="1"/>
    <xf numFmtId="176" fontId="0" fillId="15" borderId="7" xfId="144" applyNumberFormat="1" applyFont="1" applyFill="1" applyBorder="1" applyAlignment="1"/>
    <xf numFmtId="9" fontId="0" fillId="11" borderId="7" xfId="2" applyFont="1" applyFill="1" applyBorder="1" applyAlignment="1"/>
    <xf numFmtId="176" fontId="0" fillId="0" borderId="37" xfId="144" applyNumberFormat="1" applyFont="1" applyFill="1" applyBorder="1" applyAlignment="1"/>
    <xf numFmtId="0" fontId="0" fillId="0" borderId="7" xfId="0" applyFill="1" applyBorder="1" applyAlignment="1"/>
    <xf numFmtId="9" fontId="0" fillId="0" borderId="7" xfId="2" applyFont="1" applyFill="1" applyBorder="1" applyAlignment="1">
      <alignment horizontal="left"/>
    </xf>
    <xf numFmtId="9" fontId="0" fillId="0" borderId="7" xfId="2" quotePrefix="1" applyFont="1" applyFill="1" applyBorder="1" applyAlignment="1">
      <alignment horizontal="left"/>
    </xf>
    <xf numFmtId="176" fontId="0" fillId="15" borderId="29" xfId="144" applyNumberFormat="1" applyFont="1" applyFill="1" applyBorder="1" applyAlignment="1"/>
    <xf numFmtId="176" fontId="0" fillId="5" borderId="29" xfId="144" applyNumberFormat="1" applyFont="1" applyFill="1" applyBorder="1" applyAlignment="1"/>
    <xf numFmtId="176" fontId="0" fillId="5" borderId="0" xfId="144" applyNumberFormat="1" applyFont="1" applyFill="1" applyBorder="1" applyAlignment="1"/>
    <xf numFmtId="0" fontId="30" fillId="1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15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0" fillId="5" borderId="2" xfId="144" applyNumberFormat="1" applyFont="1" applyFill="1" applyBorder="1"/>
    <xf numFmtId="1" fontId="0" fillId="0" borderId="2" xfId="144" applyNumberFormat="1" applyFont="1" applyFill="1" applyBorder="1"/>
    <xf numFmtId="1" fontId="0" fillId="0" borderId="2" xfId="0" applyNumberFormat="1" applyFill="1" applyBorder="1"/>
    <xf numFmtId="1" fontId="55" fillId="0" borderId="33" xfId="0" applyNumberFormat="1" applyFont="1" applyFill="1" applyBorder="1"/>
    <xf numFmtId="1" fontId="0" fillId="5" borderId="0" xfId="144" applyNumberFormat="1" applyFont="1" applyFill="1" applyBorder="1"/>
    <xf numFmtId="1" fontId="0" fillId="0" borderId="0" xfId="144" applyNumberFormat="1" applyFont="1" applyFill="1" applyBorder="1"/>
    <xf numFmtId="1" fontId="55" fillId="0" borderId="34" xfId="0" applyNumberFormat="1" applyFont="1" applyFill="1" applyBorder="1"/>
    <xf numFmtId="1" fontId="0" fillId="5" borderId="4" xfId="144" applyNumberFormat="1" applyFont="1" applyFill="1" applyBorder="1"/>
    <xf numFmtId="1" fontId="0" fillId="0" borderId="4" xfId="144" applyNumberFormat="1" applyFont="1" applyFill="1" applyBorder="1"/>
    <xf numFmtId="1" fontId="0" fillId="0" borderId="4" xfId="0" applyNumberFormat="1" applyFill="1" applyBorder="1"/>
    <xf numFmtId="1" fontId="0" fillId="0" borderId="2" xfId="0" applyNumberFormat="1" applyFont="1" applyFill="1" applyBorder="1" applyAlignment="1">
      <alignment horizontal="left"/>
    </xf>
    <xf numFmtId="1" fontId="0" fillId="11" borderId="19" xfId="144" applyNumberFormat="1" applyFont="1" applyFill="1" applyBorder="1" applyAlignment="1"/>
    <xf numFmtId="1" fontId="0" fillId="0" borderId="0" xfId="0" applyNumberFormat="1" applyFont="1" applyFill="1" applyBorder="1" applyAlignment="1">
      <alignment horizontal="left"/>
    </xf>
    <xf numFmtId="1" fontId="0" fillId="11" borderId="7" xfId="144" applyNumberFormat="1" applyFont="1" applyFill="1" applyBorder="1" applyAlignment="1"/>
    <xf numFmtId="1" fontId="0" fillId="0" borderId="4" xfId="0" applyNumberFormat="1" applyFont="1" applyFill="1" applyBorder="1" applyAlignment="1">
      <alignment horizontal="left"/>
    </xf>
    <xf numFmtId="1" fontId="0" fillId="11" borderId="29" xfId="144" applyNumberFormat="1" applyFont="1" applyFill="1" applyBorder="1" applyAlignment="1"/>
    <xf numFmtId="176" fontId="0" fillId="11" borderId="7" xfId="144" applyNumberFormat="1" applyFont="1" applyFill="1" applyBorder="1" applyAlignment="1"/>
    <xf numFmtId="0" fontId="55" fillId="15" borderId="34" xfId="0" applyFont="1" applyFill="1" applyBorder="1"/>
    <xf numFmtId="0" fontId="0" fillId="15" borderId="4" xfId="0" applyFont="1" applyFill="1" applyBorder="1" applyAlignment="1">
      <alignment horizontal="left"/>
    </xf>
    <xf numFmtId="0" fontId="0" fillId="15" borderId="4" xfId="0" applyFill="1" applyBorder="1"/>
    <xf numFmtId="0" fontId="0" fillId="15" borderId="0" xfId="0" applyFill="1" applyBorder="1" applyAlignment="1">
      <alignment horizontal="right"/>
    </xf>
    <xf numFmtId="37" fontId="0" fillId="15" borderId="29" xfId="144" applyNumberFormat="1" applyFont="1" applyFill="1" applyBorder="1" applyAlignment="1"/>
    <xf numFmtId="1" fontId="0" fillId="0" borderId="17" xfId="144" applyNumberFormat="1" applyFont="1" applyFill="1" applyBorder="1"/>
    <xf numFmtId="1" fontId="0" fillId="0" borderId="13" xfId="144" applyNumberFormat="1" applyFont="1" applyFill="1" applyBorder="1"/>
    <xf numFmtId="1" fontId="0" fillId="0" borderId="15" xfId="144" applyNumberFormat="1" applyFont="1" applyFill="1" applyBorder="1"/>
    <xf numFmtId="176" fontId="0" fillId="15" borderId="13" xfId="144" applyNumberFormat="1" applyFont="1" applyFill="1" applyBorder="1"/>
    <xf numFmtId="176" fontId="0" fillId="0" borderId="12" xfId="144" applyNumberFormat="1" applyFont="1" applyFill="1" applyBorder="1"/>
    <xf numFmtId="176" fontId="0" fillId="0" borderId="15" xfId="144" applyNumberFormat="1" applyFont="1" applyFill="1" applyBorder="1"/>
    <xf numFmtId="0" fontId="0" fillId="15" borderId="13" xfId="0" applyFill="1" applyBorder="1"/>
    <xf numFmtId="9" fontId="0" fillId="0" borderId="13" xfId="2" applyFont="1" applyFill="1" applyBorder="1"/>
    <xf numFmtId="176" fontId="0" fillId="0" borderId="36" xfId="144" applyNumberFormat="1" applyFont="1" applyFill="1" applyBorder="1"/>
    <xf numFmtId="1" fontId="0" fillId="15" borderId="13" xfId="0" applyNumberFormat="1" applyFill="1" applyBorder="1"/>
    <xf numFmtId="1" fontId="4" fillId="15" borderId="11" xfId="0" applyNumberFormat="1" applyFont="1" applyFill="1" applyBorder="1" applyAlignment="1">
      <alignment horizontal="center"/>
    </xf>
    <xf numFmtId="1" fontId="4" fillId="15" borderId="12" xfId="0" applyNumberFormat="1" applyFont="1" applyFill="1" applyBorder="1" applyAlignment="1">
      <alignment horizontal="center"/>
    </xf>
    <xf numFmtId="1" fontId="4" fillId="15" borderId="0" xfId="0" applyNumberFormat="1" applyFont="1" applyFill="1" applyBorder="1" applyAlignment="1">
      <alignment horizontal="center"/>
    </xf>
    <xf numFmtId="1" fontId="4" fillId="15" borderId="13" xfId="0" applyNumberFormat="1" applyFont="1" applyFill="1" applyBorder="1" applyAlignment="1">
      <alignment horizontal="center"/>
    </xf>
    <xf numFmtId="1" fontId="50" fillId="11" borderId="0" xfId="0" applyNumberFormat="1" applyFont="1" applyFill="1" applyBorder="1"/>
    <xf numFmtId="0" fontId="0" fillId="5" borderId="8" xfId="0" applyFont="1" applyFill="1" applyBorder="1"/>
    <xf numFmtId="166" fontId="0" fillId="15" borderId="0" xfId="2" applyNumberFormat="1" applyFont="1" applyFill="1" applyBorder="1" applyAlignment="1">
      <alignment horizontal="right"/>
    </xf>
    <xf numFmtId="166" fontId="0" fillId="11" borderId="0" xfId="2" applyNumberFormat="1" applyFont="1" applyFill="1" applyBorder="1" applyAlignment="1">
      <alignment horizontal="left"/>
    </xf>
    <xf numFmtId="1" fontId="49" fillId="15" borderId="21" xfId="0" applyNumberFormat="1" applyFont="1" applyFill="1" applyBorder="1" applyAlignment="1">
      <alignment horizontal="right"/>
    </xf>
    <xf numFmtId="1" fontId="49" fillId="15" borderId="21" xfId="0" applyNumberFormat="1" applyFont="1" applyFill="1" applyBorder="1" applyAlignment="1">
      <alignment horizontal="center"/>
    </xf>
    <xf numFmtId="1" fontId="49" fillId="15" borderId="23" xfId="0" applyNumberFormat="1" applyFont="1" applyFill="1" applyBorder="1" applyAlignment="1">
      <alignment horizontal="center"/>
    </xf>
    <xf numFmtId="1" fontId="4" fillId="15" borderId="13" xfId="0" applyNumberFormat="1" applyFont="1" applyFill="1" applyBorder="1"/>
    <xf numFmtId="6" fontId="30" fillId="15" borderId="10" xfId="0" applyNumberFormat="1" applyFont="1" applyFill="1" applyBorder="1"/>
    <xf numFmtId="1" fontId="4" fillId="15" borderId="11" xfId="0" applyNumberFormat="1" applyFont="1" applyFill="1" applyBorder="1" applyAlignment="1">
      <alignment horizontal="right"/>
    </xf>
    <xf numFmtId="1" fontId="4" fillId="15" borderId="12" xfId="0" applyNumberFormat="1" applyFont="1" applyFill="1" applyBorder="1"/>
    <xf numFmtId="6" fontId="30" fillId="15" borderId="11" xfId="0" applyNumberFormat="1" applyFont="1" applyFill="1" applyBorder="1" applyAlignment="1"/>
    <xf numFmtId="0" fontId="1" fillId="15" borderId="11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1" fontId="10" fillId="11" borderId="4" xfId="0" applyNumberFormat="1" applyFont="1" applyFill="1" applyBorder="1" applyAlignment="1" applyProtection="1">
      <alignment horizontal="center"/>
    </xf>
    <xf numFmtId="9" fontId="10" fillId="11" borderId="4" xfId="0" applyNumberFormat="1" applyFont="1" applyFill="1" applyBorder="1" applyAlignment="1" applyProtection="1">
      <alignment horizontal="center"/>
    </xf>
    <xf numFmtId="9" fontId="10" fillId="11" borderId="15" xfId="0" applyNumberFormat="1" applyFont="1" applyFill="1" applyBorder="1" applyAlignment="1" applyProtection="1">
      <alignment horizontal="center"/>
    </xf>
    <xf numFmtId="1" fontId="10" fillId="11" borderId="15" xfId="0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0" fillId="15" borderId="8" xfId="0" applyFill="1" applyBorder="1"/>
    <xf numFmtId="6" fontId="43" fillId="15" borderId="13" xfId="4" applyNumberFormat="1" applyFont="1" applyFill="1" applyBorder="1"/>
    <xf numFmtId="6" fontId="43" fillId="15" borderId="0" xfId="4" applyNumberFormat="1" applyFont="1" applyFill="1" applyBorder="1"/>
    <xf numFmtId="9" fontId="43" fillId="0" borderId="0" xfId="4" applyNumberFormat="1" applyFont="1" applyFill="1"/>
    <xf numFmtId="168" fontId="10" fillId="0" borderId="0" xfId="0" applyNumberFormat="1" applyFont="1" applyFill="1"/>
    <xf numFmtId="168" fontId="43" fillId="0" borderId="0" xfId="4" applyNumberFormat="1" applyFont="1" applyFill="1"/>
    <xf numFmtId="168" fontId="43" fillId="0" borderId="13" xfId="4" applyNumberFormat="1" applyFont="1" applyFill="1" applyBorder="1"/>
    <xf numFmtId="168" fontId="43" fillId="15" borderId="0" xfId="4" applyNumberFormat="1" applyFont="1" applyFill="1" applyBorder="1"/>
    <xf numFmtId="168" fontId="43" fillId="15" borderId="9" xfId="4" applyNumberFormat="1" applyFont="1" applyFill="1" applyBorder="1"/>
    <xf numFmtId="168" fontId="43" fillId="15" borderId="16" xfId="4" applyNumberFormat="1" applyFont="1" applyFill="1" applyBorder="1"/>
    <xf numFmtId="168" fontId="43" fillId="15" borderId="13" xfId="4" applyNumberFormat="1" applyFont="1" applyFill="1" applyBorder="1"/>
    <xf numFmtId="168" fontId="10" fillId="15" borderId="0" xfId="0" applyNumberFormat="1" applyFont="1" applyFill="1"/>
    <xf numFmtId="167" fontId="13" fillId="5" borderId="0" xfId="4" applyNumberFormat="1" applyFont="1" applyFill="1"/>
    <xf numFmtId="167" fontId="13" fillId="5" borderId="13" xfId="4" applyNumberFormat="1" applyFont="1" applyFill="1" applyBorder="1"/>
    <xf numFmtId="167" fontId="13" fillId="5" borderId="0" xfId="4" applyNumberFormat="1" applyFont="1" applyFill="1" applyBorder="1"/>
    <xf numFmtId="9" fontId="43" fillId="5" borderId="13" xfId="4" applyNumberFormat="1" applyFont="1" applyFill="1" applyBorder="1"/>
    <xf numFmtId="173" fontId="28" fillId="5" borderId="0" xfId="4" applyNumberFormat="1" applyFont="1" applyFill="1" applyBorder="1"/>
    <xf numFmtId="9" fontId="28" fillId="5" borderId="0" xfId="4" applyNumberFormat="1" applyFont="1" applyFill="1" applyBorder="1"/>
    <xf numFmtId="173" fontId="43" fillId="19" borderId="0" xfId="4" applyNumberFormat="1" applyFont="1" applyFill="1" applyBorder="1" applyAlignment="1">
      <alignment horizontal="right"/>
    </xf>
    <xf numFmtId="9" fontId="43" fillId="19" borderId="13" xfId="4" applyNumberFormat="1" applyFont="1" applyFill="1" applyBorder="1"/>
    <xf numFmtId="0" fontId="3" fillId="5" borderId="0" xfId="0" applyFont="1" applyFill="1"/>
    <xf numFmtId="0" fontId="29" fillId="15" borderId="10" xfId="0" applyFont="1" applyFill="1" applyBorder="1" applyAlignment="1">
      <alignment horizontal="right"/>
    </xf>
    <xf numFmtId="6" fontId="63" fillId="15" borderId="11" xfId="4" applyNumberFormat="1" applyFont="1" applyFill="1" applyBorder="1"/>
    <xf numFmtId="5" fontId="38" fillId="15" borderId="11" xfId="4" applyNumberFormat="1" applyFont="1" applyFill="1" applyBorder="1"/>
    <xf numFmtId="9" fontId="38" fillId="15" borderId="11" xfId="4" applyNumberFormat="1" applyFont="1" applyFill="1" applyBorder="1"/>
    <xf numFmtId="6" fontId="38" fillId="4" borderId="41" xfId="4" applyNumberFormat="1" applyFont="1" applyFill="1" applyBorder="1"/>
    <xf numFmtId="5" fontId="38" fillId="15" borderId="42" xfId="4" applyNumberFormat="1" applyFont="1" applyFill="1" applyBorder="1"/>
    <xf numFmtId="5" fontId="38" fillId="4" borderId="42" xfId="4" applyNumberFormat="1" applyFont="1" applyFill="1" applyBorder="1" applyAlignment="1">
      <alignment horizontal="right"/>
    </xf>
    <xf numFmtId="5" fontId="29" fillId="15" borderId="11" xfId="0" applyNumberFormat="1" applyFont="1" applyFill="1" applyBorder="1"/>
    <xf numFmtId="0" fontId="29" fillId="15" borderId="11" xfId="0" applyFont="1" applyFill="1" applyBorder="1"/>
    <xf numFmtId="168" fontId="29" fillId="15" borderId="14" xfId="0" applyNumberFormat="1" applyFont="1" applyFill="1" applyBorder="1" applyAlignment="1">
      <alignment horizontal="right"/>
    </xf>
    <xf numFmtId="1" fontId="38" fillId="15" borderId="4" xfId="4" applyNumberFormat="1" applyFont="1" applyFill="1" applyBorder="1" applyAlignment="1">
      <alignment horizontal="center" vertical="center"/>
    </xf>
    <xf numFmtId="168" fontId="38" fillId="15" borderId="4" xfId="4" applyNumberFormat="1" applyFont="1" applyFill="1" applyBorder="1"/>
    <xf numFmtId="168" fontId="38" fillId="15" borderId="4" xfId="4" applyNumberFormat="1" applyFont="1" applyFill="1" applyBorder="1" applyAlignment="1">
      <alignment horizontal="right"/>
    </xf>
    <xf numFmtId="168" fontId="38" fillId="4" borderId="43" xfId="4" applyNumberFormat="1" applyFont="1" applyFill="1" applyBorder="1" applyAlignment="1">
      <alignment horizontal="right"/>
    </xf>
    <xf numFmtId="168" fontId="29" fillId="15" borderId="4" xfId="0" applyNumberFormat="1" applyFont="1" applyFill="1" applyBorder="1"/>
    <xf numFmtId="0" fontId="44" fillId="5" borderId="0" xfId="0" applyFont="1" applyFill="1" applyBorder="1" applyAlignment="1">
      <alignment horizontal="right"/>
    </xf>
    <xf numFmtId="173" fontId="43" fillId="5" borderId="0" xfId="4" applyNumberFormat="1" applyFont="1" applyFill="1" applyBorder="1" applyAlignment="1">
      <alignment horizontal="right"/>
    </xf>
    <xf numFmtId="0" fontId="3" fillId="5" borderId="0" xfId="0" applyFont="1" applyFill="1" applyBorder="1"/>
    <xf numFmtId="1" fontId="0" fillId="15" borderId="0" xfId="0" applyNumberFormat="1" applyFont="1" applyFill="1" applyBorder="1"/>
    <xf numFmtId="1" fontId="0" fillId="15" borderId="13" xfId="0" applyNumberFormat="1" applyFont="1" applyFill="1" applyBorder="1"/>
    <xf numFmtId="167" fontId="43" fillId="15" borderId="0" xfId="4" applyNumberFormat="1" applyFont="1" applyFill="1" applyBorder="1"/>
    <xf numFmtId="167" fontId="43" fillId="15" borderId="13" xfId="4" applyNumberFormat="1" applyFont="1" applyFill="1" applyBorder="1"/>
    <xf numFmtId="37" fontId="13" fillId="15" borderId="13" xfId="4" applyNumberFormat="1" applyFont="1" applyFill="1" applyBorder="1"/>
    <xf numFmtId="37" fontId="13" fillId="15" borderId="0" xfId="4" applyNumberFormat="1" applyFont="1" applyFill="1" applyBorder="1"/>
    <xf numFmtId="168" fontId="43" fillId="15" borderId="45" xfId="4" applyNumberFormat="1" applyFont="1" applyFill="1" applyBorder="1"/>
    <xf numFmtId="168" fontId="43" fillId="15" borderId="46" xfId="4" applyNumberFormat="1" applyFont="1" applyFill="1" applyBorder="1"/>
    <xf numFmtId="0" fontId="10" fillId="15" borderId="10" xfId="0" applyFont="1" applyFill="1" applyBorder="1"/>
    <xf numFmtId="173" fontId="28" fillId="15" borderId="11" xfId="4" applyNumberFormat="1" applyFont="1" applyFill="1" applyBorder="1"/>
    <xf numFmtId="173" fontId="28" fillId="15" borderId="12" xfId="4" applyNumberFormat="1" applyFont="1" applyFill="1" applyBorder="1"/>
    <xf numFmtId="0" fontId="3" fillId="15" borderId="11" xfId="0" applyFont="1" applyFill="1" applyBorder="1"/>
    <xf numFmtId="0" fontId="10" fillId="15" borderId="8" xfId="0" applyFont="1" applyFill="1" applyBorder="1"/>
    <xf numFmtId="6" fontId="10" fillId="15" borderId="0" xfId="0" applyNumberFormat="1" applyFont="1" applyFill="1" applyBorder="1"/>
    <xf numFmtId="0" fontId="10" fillId="15" borderId="14" xfId="0" applyFont="1" applyFill="1" applyBorder="1"/>
    <xf numFmtId="6" fontId="43" fillId="15" borderId="4" xfId="4" applyNumberFormat="1" applyFont="1" applyFill="1" applyBorder="1"/>
    <xf numFmtId="6" fontId="43" fillId="15" borderId="15" xfId="4" applyNumberFormat="1" applyFont="1" applyFill="1" applyBorder="1"/>
    <xf numFmtId="6" fontId="43" fillId="15" borderId="43" xfId="4" applyNumberFormat="1" applyFont="1" applyFill="1" applyBorder="1"/>
    <xf numFmtId="6" fontId="43" fillId="15" borderId="44" xfId="4" applyNumberFormat="1" applyFont="1" applyFill="1" applyBorder="1"/>
    <xf numFmtId="6" fontId="10" fillId="15" borderId="4" xfId="0" applyNumberFormat="1" applyFont="1" applyFill="1" applyBorder="1"/>
    <xf numFmtId="5" fontId="34" fillId="5" borderId="0" xfId="4" applyNumberFormat="1" applyFont="1" applyFill="1"/>
    <xf numFmtId="9" fontId="34" fillId="5" borderId="0" xfId="4" applyNumberFormat="1" applyFont="1" applyFill="1"/>
    <xf numFmtId="5" fontId="34" fillId="5" borderId="13" xfId="4" applyNumberFormat="1" applyFont="1" applyFill="1" applyBorder="1"/>
    <xf numFmtId="5" fontId="34" fillId="5" borderId="0" xfId="4" applyNumberFormat="1" applyFont="1" applyFill="1" applyBorder="1"/>
    <xf numFmtId="0" fontId="4" fillId="5" borderId="0" xfId="0" applyFont="1" applyFill="1"/>
    <xf numFmtId="0" fontId="30" fillId="15" borderId="22" xfId="0" applyFont="1" applyFill="1" applyBorder="1"/>
    <xf numFmtId="5" fontId="34" fillId="15" borderId="21" xfId="4" applyNumberFormat="1" applyFont="1" applyFill="1" applyBorder="1"/>
    <xf numFmtId="5" fontId="34" fillId="15" borderId="23" xfId="4" applyNumberFormat="1" applyFont="1" applyFill="1" applyBorder="1"/>
    <xf numFmtId="0" fontId="4" fillId="15" borderId="21" xfId="0" applyFont="1" applyFill="1" applyBorder="1"/>
    <xf numFmtId="1" fontId="0" fillId="15" borderId="10" xfId="0" applyNumberFormat="1" applyFont="1" applyFill="1" applyBorder="1"/>
    <xf numFmtId="1" fontId="0" fillId="15" borderId="11" xfId="0" applyNumberFormat="1" applyFont="1" applyFill="1" applyBorder="1"/>
    <xf numFmtId="1" fontId="0" fillId="15" borderId="12" xfId="0" applyNumberFormat="1" applyFont="1" applyFill="1" applyBorder="1"/>
    <xf numFmtId="0" fontId="0" fillId="0" borderId="4" xfId="0" applyBorder="1"/>
    <xf numFmtId="167" fontId="28" fillId="5" borderId="0" xfId="4" applyNumberFormat="1" applyFont="1" applyFill="1"/>
    <xf numFmtId="167" fontId="28" fillId="5" borderId="13" xfId="4" applyNumberFormat="1" applyFont="1" applyFill="1" applyBorder="1"/>
    <xf numFmtId="167" fontId="28" fillId="5" borderId="0" xfId="4" applyNumberFormat="1" applyFont="1" applyFill="1" applyBorder="1"/>
    <xf numFmtId="5" fontId="13" fillId="5" borderId="0" xfId="4" applyNumberFormat="1" applyFont="1" applyFill="1"/>
    <xf numFmtId="9" fontId="13" fillId="5" borderId="0" xfId="4" applyNumberFormat="1" applyFont="1" applyFill="1"/>
    <xf numFmtId="5" fontId="13" fillId="5" borderId="13" xfId="4" applyNumberFormat="1" applyFont="1" applyFill="1" applyBorder="1"/>
    <xf numFmtId="5" fontId="13" fillId="5" borderId="0" xfId="4" applyNumberFormat="1" applyFont="1" applyFill="1" applyBorder="1"/>
    <xf numFmtId="9" fontId="13" fillId="5" borderId="0" xfId="4" applyNumberFormat="1" applyFont="1" applyFill="1" applyBorder="1"/>
    <xf numFmtId="5" fontId="51" fillId="11" borderId="11" xfId="4" applyNumberFormat="1" applyFont="1" applyFill="1" applyBorder="1"/>
    <xf numFmtId="5" fontId="51" fillId="11" borderId="12" xfId="4" applyNumberFormat="1" applyFont="1" applyFill="1" applyBorder="1"/>
    <xf numFmtId="0" fontId="0" fillId="0" borderId="11" xfId="0" applyBorder="1"/>
    <xf numFmtId="0" fontId="0" fillId="15" borderId="14" xfId="0" applyFill="1" applyBorder="1"/>
    <xf numFmtId="5" fontId="13" fillId="15" borderId="4" xfId="4" applyNumberFormat="1" applyFont="1" applyFill="1" applyBorder="1"/>
    <xf numFmtId="5" fontId="13" fillId="15" borderId="15" xfId="4" applyNumberFormat="1" applyFont="1" applyFill="1" applyBorder="1"/>
    <xf numFmtId="0" fontId="4" fillId="5" borderId="0" xfId="0" applyFont="1" applyFill="1" applyAlignment="1">
      <alignment horizontal="right"/>
    </xf>
    <xf numFmtId="0" fontId="4" fillId="15" borderId="22" xfId="0" applyFont="1" applyFill="1" applyBorder="1" applyAlignment="1">
      <alignment horizontal="right"/>
    </xf>
    <xf numFmtId="37" fontId="13" fillId="15" borderId="4" xfId="4" applyNumberFormat="1" applyFont="1" applyFill="1" applyBorder="1"/>
    <xf numFmtId="37" fontId="13" fillId="15" borderId="15" xfId="4" applyNumberFormat="1" applyFont="1" applyFill="1" applyBorder="1"/>
    <xf numFmtId="9" fontId="51" fillId="15" borderId="13" xfId="9" applyFont="1" applyFill="1" applyBorder="1"/>
    <xf numFmtId="9" fontId="51" fillId="15" borderId="9" xfId="9" applyNumberFormat="1" applyFont="1" applyFill="1" applyBorder="1"/>
    <xf numFmtId="9" fontId="51" fillId="15" borderId="0" xfId="9" applyFont="1" applyFill="1" applyBorder="1"/>
    <xf numFmtId="9" fontId="0" fillId="15" borderId="0" xfId="2" applyFont="1" applyFill="1" applyBorder="1"/>
    <xf numFmtId="9" fontId="0" fillId="15" borderId="8" xfId="2" applyFont="1" applyFill="1" applyBorder="1"/>
    <xf numFmtId="0" fontId="0" fillId="15" borderId="10" xfId="0" applyFill="1" applyBorder="1"/>
    <xf numFmtId="0" fontId="0" fillId="5" borderId="0" xfId="0" applyFont="1" applyFill="1" applyBorder="1"/>
    <xf numFmtId="9" fontId="0" fillId="5" borderId="0" xfId="0" applyNumberFormat="1" applyFill="1"/>
    <xf numFmtId="0" fontId="0" fillId="5" borderId="13" xfId="0" applyFill="1" applyBorder="1"/>
    <xf numFmtId="0" fontId="0" fillId="5" borderId="0" xfId="0" applyFill="1" applyBorder="1"/>
    <xf numFmtId="9" fontId="0" fillId="15" borderId="0" xfId="0" applyNumberFormat="1" applyFont="1" applyFill="1" applyBorder="1"/>
    <xf numFmtId="9" fontId="0" fillId="15" borderId="13" xfId="0" applyNumberFormat="1" applyFont="1" applyFill="1" applyBorder="1"/>
    <xf numFmtId="9" fontId="0" fillId="15" borderId="8" xfId="0" applyNumberFormat="1" applyFont="1" applyFill="1" applyBorder="1"/>
    <xf numFmtId="1" fontId="0" fillId="0" borderId="10" xfId="0" applyNumberFormat="1" applyFont="1" applyFill="1" applyBorder="1"/>
    <xf numFmtId="1" fontId="50" fillId="11" borderId="11" xfId="0" applyNumberFormat="1" applyFont="1" applyFill="1" applyBorder="1"/>
    <xf numFmtId="1" fontId="50" fillId="11" borderId="12" xfId="0" applyNumberFormat="1" applyFont="1" applyFill="1" applyBorder="1"/>
    <xf numFmtId="1" fontId="0" fillId="0" borderId="11" xfId="0" applyNumberFormat="1" applyBorder="1"/>
    <xf numFmtId="166" fontId="0" fillId="15" borderId="14" xfId="0" applyNumberFormat="1" applyFill="1" applyBorder="1"/>
    <xf numFmtId="166" fontId="42" fillId="15" borderId="4" xfId="2" applyNumberFormat="1" applyFont="1" applyFill="1" applyBorder="1"/>
    <xf numFmtId="166" fontId="0" fillId="15" borderId="4" xfId="0" applyNumberFormat="1" applyFont="1" applyFill="1" applyBorder="1"/>
    <xf numFmtId="166" fontId="0" fillId="15" borderId="15" xfId="0" applyNumberFormat="1" applyFont="1" applyFill="1" applyBorder="1"/>
    <xf numFmtId="0" fontId="31" fillId="5" borderId="0" xfId="0" applyFont="1" applyFill="1"/>
    <xf numFmtId="9" fontId="31" fillId="5" borderId="0" xfId="0" applyNumberFormat="1" applyFont="1" applyFill="1"/>
    <xf numFmtId="0" fontId="31" fillId="5" borderId="13" xfId="0" applyFont="1" applyFill="1" applyBorder="1"/>
    <xf numFmtId="9" fontId="0" fillId="15" borderId="14" xfId="0" applyNumberFormat="1" applyFont="1" applyFill="1" applyBorder="1"/>
    <xf numFmtId="9" fontId="2" fillId="15" borderId="4" xfId="2" applyFont="1" applyFill="1" applyBorder="1"/>
    <xf numFmtId="9" fontId="0" fillId="15" borderId="4" xfId="0" applyNumberFormat="1" applyFont="1" applyFill="1" applyBorder="1"/>
    <xf numFmtId="9" fontId="0" fillId="15" borderId="15" xfId="0" applyNumberFormat="1" applyFont="1" applyFill="1" applyBorder="1"/>
    <xf numFmtId="0" fontId="30" fillId="5" borderId="0" xfId="0" applyFont="1" applyFill="1" applyAlignment="1">
      <alignment horizontal="center"/>
    </xf>
    <xf numFmtId="3" fontId="38" fillId="5" borderId="0" xfId="10" applyNumberFormat="1" applyFont="1" applyFill="1" applyBorder="1" applyAlignment="1">
      <alignment horizontal="center" wrapText="1"/>
    </xf>
    <xf numFmtId="3" fontId="38" fillId="5" borderId="13" xfId="10" applyNumberFormat="1" applyFont="1" applyFill="1" applyBorder="1" applyAlignment="1">
      <alignment horizontal="center" wrapText="1"/>
    </xf>
    <xf numFmtId="0" fontId="31" fillId="5" borderId="0" xfId="0" applyFont="1" applyFill="1" applyAlignment="1">
      <alignment horizontal="center"/>
    </xf>
    <xf numFmtId="168" fontId="10" fillId="5" borderId="0" xfId="0" applyNumberFormat="1" applyFont="1" applyFill="1"/>
    <xf numFmtId="168" fontId="43" fillId="5" borderId="0" xfId="4" applyNumberFormat="1" applyFont="1" applyFill="1"/>
    <xf numFmtId="9" fontId="43" fillId="5" borderId="0" xfId="4" applyNumberFormat="1" applyFont="1" applyFill="1"/>
    <xf numFmtId="168" fontId="43" fillId="5" borderId="13" xfId="4" applyNumberFormat="1" applyFont="1" applyFill="1" applyBorder="1"/>
    <xf numFmtId="168" fontId="43" fillId="5" borderId="0" xfId="4" applyNumberFormat="1" applyFont="1" applyFill="1" applyBorder="1"/>
    <xf numFmtId="168" fontId="43" fillId="5" borderId="39" xfId="4" applyNumberFormat="1" applyFont="1" applyFill="1" applyBorder="1"/>
    <xf numFmtId="168" fontId="43" fillId="5" borderId="40" xfId="4" applyNumberFormat="1" applyFont="1" applyFill="1" applyBorder="1"/>
    <xf numFmtId="0" fontId="4" fillId="5" borderId="0" xfId="0" applyFont="1" applyFill="1" applyBorder="1"/>
    <xf numFmtId="167" fontId="13" fillId="4" borderId="46" xfId="4" applyNumberFormat="1" applyFont="1" applyFill="1" applyBorder="1"/>
    <xf numFmtId="9" fontId="51" fillId="11" borderId="4" xfId="9" applyFont="1" applyFill="1" applyBorder="1"/>
    <xf numFmtId="9" fontId="51" fillId="11" borderId="15" xfId="9" applyFont="1" applyFill="1" applyBorder="1"/>
    <xf numFmtId="9" fontId="51" fillId="11" borderId="43" xfId="9" applyNumberFormat="1" applyFont="1" applyFill="1" applyBorder="1"/>
    <xf numFmtId="9" fontId="51" fillId="11" borderId="11" xfId="9" applyFont="1" applyFill="1" applyBorder="1"/>
    <xf numFmtId="9" fontId="51" fillId="11" borderId="12" xfId="9" applyFont="1" applyFill="1" applyBorder="1"/>
    <xf numFmtId="9" fontId="51" fillId="11" borderId="42" xfId="9" applyNumberFormat="1" applyFont="1" applyFill="1" applyBorder="1"/>
    <xf numFmtId="9" fontId="10" fillId="15" borderId="8" xfId="2" applyFont="1" applyFill="1" applyBorder="1"/>
    <xf numFmtId="9" fontId="10" fillId="0" borderId="0" xfId="2" applyFont="1" applyBorder="1"/>
    <xf numFmtId="0" fontId="30" fillId="0" borderId="0" xfId="0" applyFont="1" applyBorder="1"/>
    <xf numFmtId="0" fontId="0" fillId="15" borderId="10" xfId="0" applyFont="1" applyFill="1" applyBorder="1"/>
    <xf numFmtId="1" fontId="0" fillId="15" borderId="11" xfId="0" applyNumberFormat="1" applyFill="1" applyBorder="1"/>
    <xf numFmtId="1" fontId="0" fillId="15" borderId="12" xfId="0" applyNumberFormat="1" applyFill="1" applyBorder="1"/>
    <xf numFmtId="0" fontId="0" fillId="15" borderId="11" xfId="0" applyFill="1" applyBorder="1"/>
    <xf numFmtId="0" fontId="0" fillId="15" borderId="8" xfId="0" applyFont="1" applyFill="1" applyBorder="1"/>
    <xf numFmtId="0" fontId="0" fillId="15" borderId="0" xfId="0" applyFont="1" applyFill="1" applyBorder="1"/>
    <xf numFmtId="37" fontId="0" fillId="15" borderId="0" xfId="0" applyNumberFormat="1" applyFill="1" applyBorder="1"/>
    <xf numFmtId="177" fontId="0" fillId="15" borderId="0" xfId="144" applyNumberFormat="1" applyFont="1" applyFill="1" applyBorder="1"/>
    <xf numFmtId="177" fontId="0" fillId="15" borderId="13" xfId="144" applyNumberFormat="1" applyFont="1" applyFill="1" applyBorder="1"/>
    <xf numFmtId="5" fontId="0" fillId="15" borderId="14" xfId="0" applyNumberFormat="1" applyFill="1" applyBorder="1"/>
    <xf numFmtId="5" fontId="0" fillId="15" borderId="4" xfId="144" applyNumberFormat="1" applyFont="1" applyFill="1" applyBorder="1"/>
    <xf numFmtId="5" fontId="0" fillId="15" borderId="15" xfId="144" applyNumberFormat="1" applyFont="1" applyFill="1" applyBorder="1"/>
    <xf numFmtId="5" fontId="0" fillId="15" borderId="4" xfId="0" applyNumberFormat="1" applyFill="1" applyBorder="1"/>
    <xf numFmtId="1" fontId="30" fillId="15" borderId="10" xfId="0" applyNumberFormat="1" applyFont="1" applyFill="1" applyBorder="1" applyAlignment="1">
      <alignment horizontal="left"/>
    </xf>
    <xf numFmtId="1" fontId="30" fillId="15" borderId="8" xfId="0" applyNumberFormat="1" applyFont="1" applyFill="1" applyBorder="1" applyAlignment="1">
      <alignment horizontal="left"/>
    </xf>
    <xf numFmtId="38" fontId="30" fillId="15" borderId="14" xfId="0" applyNumberFormat="1" applyFont="1" applyFill="1" applyBorder="1" applyAlignment="1">
      <alignment horizontal="left"/>
    </xf>
    <xf numFmtId="38" fontId="4" fillId="15" borderId="4" xfId="0" applyNumberFormat="1" applyFont="1" applyFill="1" applyBorder="1" applyAlignment="1">
      <alignment horizontal="center"/>
    </xf>
    <xf numFmtId="38" fontId="4" fillId="15" borderId="15" xfId="0" applyNumberFormat="1" applyFont="1" applyFill="1" applyBorder="1" applyAlignment="1">
      <alignment horizontal="center"/>
    </xf>
    <xf numFmtId="38" fontId="55" fillId="5" borderId="0" xfId="0" applyNumberFormat="1" applyFont="1" applyFill="1" applyBorder="1"/>
    <xf numFmtId="38" fontId="55" fillId="5" borderId="0" xfId="0" applyNumberFormat="1" applyFont="1" applyFill="1" applyBorder="1" applyAlignment="1">
      <alignment horizontal="right"/>
    </xf>
    <xf numFmtId="38" fontId="55" fillId="5" borderId="0" xfId="0" applyNumberFormat="1" applyFont="1" applyFill="1" applyBorder="1" applyAlignment="1">
      <alignment horizontal="left"/>
    </xf>
    <xf numFmtId="0" fontId="55" fillId="0" borderId="0" xfId="0" applyFont="1" applyFill="1" applyAlignment="1">
      <alignment horizontal="center"/>
    </xf>
    <xf numFmtId="3" fontId="64" fillId="0" borderId="0" xfId="10" applyNumberFormat="1" applyFont="1" applyFill="1" applyBorder="1" applyAlignment="1">
      <alignment horizontal="center" wrapText="1"/>
    </xf>
    <xf numFmtId="3" fontId="64" fillId="0" borderId="13" xfId="1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1" fontId="30" fillId="15" borderId="22" xfId="0" applyNumberFormat="1" applyFont="1" applyFill="1" applyBorder="1" applyAlignment="1">
      <alignment horizontal="left"/>
    </xf>
    <xf numFmtId="5" fontId="4" fillId="15" borderId="21" xfId="144" applyNumberFormat="1" applyFont="1" applyFill="1" applyBorder="1"/>
    <xf numFmtId="172" fontId="4" fillId="15" borderId="21" xfId="0" applyNumberFormat="1" applyFont="1" applyFill="1" applyBorder="1"/>
    <xf numFmtId="172" fontId="4" fillId="15" borderId="23" xfId="0" applyNumberFormat="1" applyFont="1" applyFill="1" applyBorder="1"/>
    <xf numFmtId="1" fontId="4" fillId="15" borderId="21" xfId="0" applyNumberFormat="1" applyFont="1" applyFill="1" applyBorder="1"/>
    <xf numFmtId="1" fontId="55" fillId="5" borderId="0" xfId="0" applyNumberFormat="1" applyFont="1" applyFill="1" applyBorder="1" applyAlignment="1">
      <alignment horizontal="left"/>
    </xf>
    <xf numFmtId="5" fontId="55" fillId="5" borderId="0" xfId="144" applyNumberFormat="1" applyFont="1" applyFill="1" applyBorder="1"/>
    <xf numFmtId="172" fontId="55" fillId="5" borderId="0" xfId="0" applyNumberFormat="1" applyFont="1" applyFill="1" applyBorder="1"/>
    <xf numFmtId="172" fontId="55" fillId="5" borderId="0" xfId="0" applyNumberFormat="1" applyFont="1" applyFill="1" applyBorder="1" applyAlignment="1">
      <alignment horizontal="right"/>
    </xf>
    <xf numFmtId="1" fontId="55" fillId="5" borderId="0" xfId="0" applyNumberFormat="1" applyFont="1" applyFill="1" applyBorder="1"/>
    <xf numFmtId="6" fontId="55" fillId="5" borderId="0" xfId="0" applyNumberFormat="1" applyFont="1" applyFill="1" applyBorder="1" applyAlignment="1">
      <alignment horizontal="right"/>
    </xf>
    <xf numFmtId="6" fontId="55" fillId="5" borderId="0" xfId="0" applyNumberFormat="1" applyFont="1" applyFill="1" applyBorder="1"/>
    <xf numFmtId="6" fontId="61" fillId="15" borderId="22" xfId="0" applyNumberFormat="1" applyFont="1" applyFill="1" applyBorder="1"/>
    <xf numFmtId="6" fontId="61" fillId="15" borderId="21" xfId="0" applyNumberFormat="1" applyFont="1" applyFill="1" applyBorder="1"/>
    <xf numFmtId="6" fontId="61" fillId="15" borderId="23" xfId="0" applyNumberFormat="1" applyFont="1" applyFill="1" applyBorder="1"/>
    <xf numFmtId="6" fontId="55" fillId="15" borderId="22" xfId="0" applyNumberFormat="1" applyFont="1" applyFill="1" applyBorder="1"/>
    <xf numFmtId="6" fontId="55" fillId="15" borderId="21" xfId="0" applyNumberFormat="1" applyFont="1" applyFill="1" applyBorder="1"/>
    <xf numFmtId="6" fontId="55" fillId="15" borderId="23" xfId="0" applyNumberFormat="1" applyFont="1" applyFill="1" applyBorder="1"/>
    <xf numFmtId="6" fontId="60" fillId="5" borderId="0" xfId="0" applyNumberFormat="1" applyFont="1" applyFill="1" applyBorder="1" applyAlignment="1">
      <alignment horizontal="right"/>
    </xf>
    <xf numFmtId="9" fontId="60" fillId="5" borderId="0" xfId="2" applyFont="1" applyFill="1" applyBorder="1" applyAlignment="1">
      <alignment horizontal="right"/>
    </xf>
    <xf numFmtId="9" fontId="60" fillId="5" borderId="0" xfId="2" applyFont="1" applyFill="1" applyBorder="1"/>
    <xf numFmtId="6" fontId="60" fillId="5" borderId="0" xfId="0" applyNumberFormat="1" applyFont="1" applyFill="1" applyBorder="1"/>
    <xf numFmtId="6" fontId="30" fillId="15" borderId="14" xfId="0" applyNumberFormat="1" applyFont="1" applyFill="1" applyBorder="1"/>
    <xf numFmtId="1" fontId="4" fillId="15" borderId="4" xfId="0" applyNumberFormat="1" applyFont="1" applyFill="1" applyBorder="1" applyAlignment="1">
      <alignment horizontal="right"/>
    </xf>
    <xf numFmtId="1" fontId="4" fillId="15" borderId="4" xfId="0" applyNumberFormat="1" applyFont="1" applyFill="1" applyBorder="1"/>
    <xf numFmtId="1" fontId="4" fillId="15" borderId="15" xfId="0" applyNumberFormat="1" applyFont="1" applyFill="1" applyBorder="1"/>
    <xf numFmtId="6" fontId="4" fillId="15" borderId="4" xfId="0" applyNumberFormat="1" applyFont="1" applyFill="1" applyBorder="1"/>
    <xf numFmtId="43" fontId="12" fillId="19" borderId="30" xfId="3" applyNumberFormat="1" applyFont="1" applyFill="1" applyBorder="1"/>
    <xf numFmtId="43" fontId="17" fillId="20" borderId="48" xfId="4" applyNumberFormat="1" applyFont="1" applyFill="1" applyBorder="1"/>
    <xf numFmtId="172" fontId="15" fillId="8" borderId="48" xfId="3" applyNumberFormat="1" applyFont="1" applyFill="1" applyBorder="1" applyAlignment="1">
      <alignment horizontal="right"/>
    </xf>
    <xf numFmtId="167" fontId="15" fillId="20" borderId="48" xfId="3" applyNumberFormat="1" applyFont="1" applyFill="1" applyBorder="1"/>
    <xf numFmtId="43" fontId="12" fillId="4" borderId="50" xfId="3" applyNumberFormat="1" applyFont="1" applyFill="1" applyBorder="1"/>
    <xf numFmtId="43" fontId="12" fillId="20" borderId="50" xfId="3" applyNumberFormat="1" applyFont="1" applyFill="1" applyBorder="1"/>
    <xf numFmtId="43" fontId="12" fillId="4" borderId="51" xfId="3" applyNumberFormat="1" applyFont="1" applyFill="1" applyBorder="1"/>
    <xf numFmtId="0" fontId="17" fillId="4" borderId="52" xfId="0" applyNumberFormat="1" applyFont="1" applyFill="1" applyBorder="1"/>
    <xf numFmtId="43" fontId="17" fillId="4" borderId="52" xfId="4" applyNumberFormat="1" applyFont="1" applyFill="1" applyBorder="1"/>
    <xf numFmtId="172" fontId="15" fillId="8" borderId="52" xfId="3" applyNumberFormat="1" applyFont="1" applyFill="1" applyBorder="1" applyAlignment="1">
      <alignment horizontal="right"/>
    </xf>
    <xf numFmtId="167" fontId="15" fillId="4" borderId="52" xfId="3" applyNumberFormat="1" applyFont="1" applyFill="1" applyBorder="1"/>
    <xf numFmtId="0" fontId="16" fillId="0" borderId="4" xfId="0" applyFont="1" applyBorder="1"/>
    <xf numFmtId="43" fontId="16" fillId="0" borderId="4" xfId="1" applyFont="1" applyBorder="1"/>
    <xf numFmtId="172" fontId="15" fillId="20" borderId="48" xfId="3" applyNumberFormat="1" applyFont="1" applyFill="1" applyBorder="1" applyAlignment="1">
      <alignment horizontal="right"/>
    </xf>
    <xf numFmtId="0" fontId="16" fillId="15" borderId="11" xfId="0" applyFont="1" applyFill="1" applyBorder="1"/>
    <xf numFmtId="43" fontId="16" fillId="15" borderId="11" xfId="1" applyFont="1" applyFill="1" applyBorder="1"/>
    <xf numFmtId="172" fontId="16" fillId="15" borderId="11" xfId="0" applyNumberFormat="1" applyFont="1" applyFill="1" applyBorder="1"/>
    <xf numFmtId="172" fontId="16" fillId="15" borderId="12" xfId="0" applyNumberFormat="1" applyFont="1" applyFill="1" applyBorder="1"/>
    <xf numFmtId="172" fontId="15" fillId="20" borderId="6" xfId="3" applyNumberFormat="1" applyFont="1" applyFill="1" applyBorder="1" applyAlignment="1">
      <alignment horizontal="right"/>
    </xf>
    <xf numFmtId="0" fontId="16" fillId="15" borderId="0" xfId="0" applyFont="1" applyFill="1" applyBorder="1"/>
    <xf numFmtId="43" fontId="16" fillId="15" borderId="0" xfId="1" applyFont="1" applyFill="1" applyBorder="1"/>
    <xf numFmtId="172" fontId="16" fillId="15" borderId="0" xfId="0" applyNumberFormat="1" applyFont="1" applyFill="1" applyBorder="1"/>
    <xf numFmtId="172" fontId="16" fillId="15" borderId="13" xfId="0" applyNumberFormat="1" applyFont="1" applyFill="1" applyBorder="1"/>
    <xf numFmtId="172" fontId="15" fillId="20" borderId="52" xfId="3" applyNumberFormat="1" applyFont="1" applyFill="1" applyBorder="1" applyAlignment="1">
      <alignment horizontal="right"/>
    </xf>
    <xf numFmtId="0" fontId="16" fillId="15" borderId="4" xfId="0" applyFont="1" applyFill="1" applyBorder="1"/>
    <xf numFmtId="43" fontId="16" fillId="15" borderId="4" xfId="1" applyFont="1" applyFill="1" applyBorder="1"/>
    <xf numFmtId="172" fontId="16" fillId="15" borderId="4" xfId="0" applyNumberFormat="1" applyFont="1" applyFill="1" applyBorder="1"/>
    <xf numFmtId="172" fontId="16" fillId="15" borderId="15" xfId="0" applyNumberFormat="1" applyFont="1" applyFill="1" applyBorder="1"/>
    <xf numFmtId="0" fontId="12" fillId="19" borderId="30" xfId="0" applyNumberFormat="1" applyFont="1" applyFill="1" applyBorder="1"/>
    <xf numFmtId="43" fontId="12" fillId="19" borderId="30" xfId="4" applyNumberFormat="1" applyFont="1" applyFill="1" applyBorder="1"/>
    <xf numFmtId="172" fontId="15" fillId="19" borderId="30" xfId="3" applyNumberFormat="1" applyFont="1" applyFill="1" applyBorder="1" applyAlignment="1">
      <alignment horizontal="right"/>
    </xf>
    <xf numFmtId="167" fontId="14" fillId="19" borderId="30" xfId="3" applyNumberFormat="1" applyFont="1" applyFill="1" applyBorder="1"/>
    <xf numFmtId="43" fontId="12" fillId="20" borderId="53" xfId="3" applyNumberFormat="1" applyFont="1" applyFill="1" applyBorder="1"/>
    <xf numFmtId="0" fontId="17" fillId="20" borderId="48" xfId="0" applyNumberFormat="1" applyFont="1" applyFill="1" applyBorder="1"/>
    <xf numFmtId="43" fontId="12" fillId="20" borderId="51" xfId="3" applyNumberFormat="1" applyFont="1" applyFill="1" applyBorder="1"/>
    <xf numFmtId="0" fontId="17" fillId="20" borderId="52" xfId="0" applyNumberFormat="1" applyFont="1" applyFill="1" applyBorder="1"/>
    <xf numFmtId="43" fontId="17" fillId="20" borderId="52" xfId="4" applyNumberFormat="1" applyFont="1" applyFill="1" applyBorder="1"/>
    <xf numFmtId="43" fontId="12" fillId="10" borderId="30" xfId="3" applyNumberFormat="1" applyFont="1" applyFill="1" applyBorder="1"/>
    <xf numFmtId="0" fontId="17" fillId="10" borderId="30" xfId="0" applyNumberFormat="1" applyFont="1" applyFill="1" applyBorder="1"/>
    <xf numFmtId="43" fontId="17" fillId="10" borderId="30" xfId="4" applyNumberFormat="1" applyFont="1" applyFill="1" applyBorder="1"/>
    <xf numFmtId="172" fontId="15" fillId="10" borderId="30" xfId="3" applyNumberFormat="1" applyFont="1" applyFill="1" applyBorder="1" applyAlignment="1">
      <alignment horizontal="right"/>
    </xf>
    <xf numFmtId="167" fontId="15" fillId="10" borderId="30" xfId="3" applyNumberFormat="1" applyFont="1" applyFill="1" applyBorder="1"/>
    <xf numFmtId="172" fontId="12" fillId="20" borderId="54" xfId="3" applyNumberFormat="1" applyFont="1" applyFill="1" applyBorder="1"/>
    <xf numFmtId="172" fontId="12" fillId="20" borderId="55" xfId="0" applyNumberFormat="1" applyFont="1" applyFill="1" applyBorder="1"/>
    <xf numFmtId="172" fontId="12" fillId="20" borderId="55" xfId="4" applyNumberFormat="1" applyFont="1" applyFill="1" applyBorder="1"/>
    <xf numFmtId="172" fontId="14" fillId="20" borderId="55" xfId="3" applyNumberFormat="1" applyFont="1" applyFill="1" applyBorder="1" applyAlignment="1">
      <alignment horizontal="right"/>
    </xf>
    <xf numFmtId="172" fontId="18" fillId="15" borderId="21" xfId="0" applyNumberFormat="1" applyFont="1" applyFill="1" applyBorder="1"/>
    <xf numFmtId="172" fontId="18" fillId="15" borderId="21" xfId="1" applyNumberFormat="1" applyFont="1" applyFill="1" applyBorder="1"/>
    <xf numFmtId="172" fontId="58" fillId="20" borderId="54" xfId="3" applyNumberFormat="1" applyFont="1" applyFill="1" applyBorder="1"/>
    <xf numFmtId="172" fontId="58" fillId="20" borderId="55" xfId="0" applyNumberFormat="1" applyFont="1" applyFill="1" applyBorder="1"/>
    <xf numFmtId="172" fontId="58" fillId="20" borderId="55" xfId="4" applyNumberFormat="1" applyFont="1" applyFill="1" applyBorder="1"/>
    <xf numFmtId="172" fontId="44" fillId="20" borderId="55" xfId="3" applyNumberFormat="1" applyFont="1" applyFill="1" applyBorder="1" applyAlignment="1">
      <alignment horizontal="right"/>
    </xf>
    <xf numFmtId="172" fontId="4" fillId="15" borderId="21" xfId="1" applyNumberFormat="1" applyFont="1" applyFill="1" applyBorder="1"/>
    <xf numFmtId="172" fontId="2" fillId="15" borderId="21" xfId="0" applyNumberFormat="1" applyFont="1" applyFill="1" applyBorder="1"/>
    <xf numFmtId="172" fontId="2" fillId="15" borderId="23" xfId="0" applyNumberFormat="1" applyFont="1" applyFill="1" applyBorder="1"/>
    <xf numFmtId="0" fontId="12" fillId="10" borderId="30" xfId="0" applyNumberFormat="1" applyFont="1" applyFill="1" applyBorder="1"/>
    <xf numFmtId="43" fontId="12" fillId="10" borderId="30" xfId="4" applyNumberFormat="1" applyFont="1" applyFill="1" applyBorder="1"/>
    <xf numFmtId="172" fontId="15" fillId="10" borderId="30" xfId="4" applyNumberFormat="1" applyFont="1" applyFill="1" applyBorder="1" applyAlignment="1">
      <alignment horizontal="right"/>
    </xf>
    <xf numFmtId="0" fontId="14" fillId="10" borderId="30" xfId="5" applyFont="1" applyFill="1" applyBorder="1" applyAlignment="1">
      <alignment horizontal="left"/>
    </xf>
    <xf numFmtId="0" fontId="15" fillId="20" borderId="48" xfId="5" applyFont="1" applyFill="1" applyBorder="1" applyAlignment="1">
      <alignment horizontal="left"/>
    </xf>
    <xf numFmtId="0" fontId="15" fillId="20" borderId="52" xfId="5" applyFont="1" applyFill="1" applyBorder="1" applyAlignment="1">
      <alignment horizontal="left"/>
    </xf>
    <xf numFmtId="43" fontId="58" fillId="19" borderId="30" xfId="3" applyNumberFormat="1" applyFont="1" applyFill="1" applyBorder="1"/>
    <xf numFmtId="0" fontId="58" fillId="10" borderId="30" xfId="0" applyNumberFormat="1" applyFont="1" applyFill="1" applyBorder="1"/>
    <xf numFmtId="0" fontId="30" fillId="5" borderId="0" xfId="0" applyFont="1" applyFill="1" applyBorder="1" applyAlignment="1">
      <alignment horizontal="center"/>
    </xf>
    <xf numFmtId="8" fontId="29" fillId="5" borderId="0" xfId="0" applyNumberFormat="1" applyFont="1" applyFill="1" applyBorder="1" applyAlignment="1" applyProtection="1">
      <alignment horizontal="center"/>
    </xf>
    <xf numFmtId="8" fontId="29" fillId="5" borderId="13" xfId="0" applyNumberFormat="1" applyFont="1" applyFill="1" applyBorder="1" applyAlignment="1" applyProtection="1">
      <alignment horizontal="center"/>
    </xf>
    <xf numFmtId="0" fontId="30" fillId="5" borderId="0" xfId="0" applyFont="1" applyFill="1"/>
    <xf numFmtId="172" fontId="0" fillId="15" borderId="0" xfId="0" applyNumberFormat="1" applyFont="1" applyFill="1" applyBorder="1" applyAlignment="1">
      <alignment horizontal="center"/>
    </xf>
    <xf numFmtId="172" fontId="0" fillId="15" borderId="0" xfId="0" applyNumberFormat="1" applyFont="1" applyFill="1" applyBorder="1"/>
    <xf numFmtId="0" fontId="44" fillId="15" borderId="0" xfId="0" applyFont="1" applyFill="1" applyBorder="1" applyAlignment="1" applyProtection="1">
      <alignment horizontal="right"/>
    </xf>
    <xf numFmtId="43" fontId="10" fillId="15" borderId="0" xfId="0" applyNumberFormat="1" applyFont="1" applyFill="1" applyBorder="1" applyAlignment="1" applyProtection="1">
      <alignment horizontal="center"/>
    </xf>
    <xf numFmtId="1" fontId="10" fillId="15" borderId="0" xfId="0" applyNumberFormat="1" applyFont="1" applyFill="1" applyBorder="1" applyAlignment="1" applyProtection="1">
      <alignment horizontal="center"/>
    </xf>
    <xf numFmtId="1" fontId="10" fillId="15" borderId="13" xfId="0" applyNumberFormat="1" applyFont="1" applyFill="1" applyBorder="1" applyAlignment="1" applyProtection="1">
      <alignment horizontal="center"/>
    </xf>
    <xf numFmtId="43" fontId="0" fillId="15" borderId="0" xfId="0" applyNumberFormat="1" applyFont="1" applyFill="1" applyBorder="1" applyAlignment="1">
      <alignment horizontal="center"/>
    </xf>
    <xf numFmtId="9" fontId="10" fillId="15" borderId="4" xfId="0" applyNumberFormat="1" applyFont="1" applyFill="1" applyBorder="1" applyAlignment="1" applyProtection="1">
      <alignment horizontal="center"/>
    </xf>
    <xf numFmtId="9" fontId="10" fillId="15" borderId="4" xfId="0" applyNumberFormat="1" applyFont="1" applyFill="1" applyBorder="1" applyAlignment="1" applyProtection="1">
      <alignment horizontal="right"/>
    </xf>
    <xf numFmtId="9" fontId="4" fillId="11" borderId="0" xfId="0" applyNumberFormat="1" applyFont="1" applyFill="1" applyAlignment="1">
      <alignment horizontal="center"/>
    </xf>
    <xf numFmtId="172" fontId="44" fillId="15" borderId="11" xfId="0" applyNumberFormat="1" applyFont="1" applyFill="1" applyBorder="1" applyAlignment="1" applyProtection="1"/>
    <xf numFmtId="172" fontId="10" fillId="15" borderId="11" xfId="0" applyNumberFormat="1" applyFont="1" applyFill="1" applyBorder="1" applyAlignment="1" applyProtection="1">
      <alignment horizontal="center"/>
    </xf>
    <xf numFmtId="172" fontId="10" fillId="15" borderId="12" xfId="0" applyNumberFormat="1" applyFont="1" applyFill="1" applyBorder="1" applyAlignment="1" applyProtection="1">
      <alignment horizontal="center"/>
    </xf>
    <xf numFmtId="172" fontId="0" fillId="15" borderId="11" xfId="0" applyNumberFormat="1" applyFont="1" applyFill="1" applyBorder="1" applyAlignment="1">
      <alignment horizontal="center"/>
    </xf>
    <xf numFmtId="172" fontId="0" fillId="15" borderId="11" xfId="0" applyNumberFormat="1" applyFont="1" applyFill="1" applyBorder="1"/>
    <xf numFmtId="168" fontId="44" fillId="15" borderId="4" xfId="0" applyNumberFormat="1" applyFont="1" applyFill="1" applyBorder="1" applyAlignment="1" applyProtection="1">
      <alignment horizontal="right"/>
    </xf>
    <xf numFmtId="168" fontId="10" fillId="15" borderId="4" xfId="0" applyNumberFormat="1" applyFont="1" applyFill="1" applyBorder="1" applyAlignment="1" applyProtection="1">
      <alignment horizontal="center"/>
    </xf>
    <xf numFmtId="168" fontId="10" fillId="15" borderId="15" xfId="0" applyNumberFormat="1" applyFont="1" applyFill="1" applyBorder="1" applyAlignment="1" applyProtection="1">
      <alignment horizontal="center"/>
    </xf>
    <xf numFmtId="168" fontId="0" fillId="15" borderId="4" xfId="0" applyNumberFormat="1" applyFont="1" applyFill="1" applyBorder="1" applyAlignment="1">
      <alignment horizontal="center"/>
    </xf>
    <xf numFmtId="168" fontId="0" fillId="15" borderId="4" xfId="0" applyNumberFormat="1" applyFont="1" applyFill="1" applyBorder="1"/>
    <xf numFmtId="0" fontId="44" fillId="15" borderId="14" xfId="0" applyFont="1" applyFill="1" applyBorder="1" applyAlignment="1" applyProtection="1">
      <alignment horizontal="right"/>
    </xf>
    <xf numFmtId="1" fontId="10" fillId="15" borderId="4" xfId="0" applyNumberFormat="1" applyFont="1" applyFill="1" applyBorder="1" applyAlignment="1" applyProtection="1">
      <alignment horizontal="center"/>
    </xf>
    <xf numFmtId="1" fontId="10" fillId="15" borderId="15" xfId="0" applyNumberFormat="1" applyFont="1" applyFill="1" applyBorder="1" applyAlignment="1" applyProtection="1">
      <alignment horizontal="center"/>
    </xf>
    <xf numFmtId="43" fontId="0" fillId="15" borderId="4" xfId="0" applyNumberFormat="1" applyFont="1" applyFill="1" applyBorder="1" applyAlignment="1">
      <alignment horizontal="center"/>
    </xf>
    <xf numFmtId="0" fontId="0" fillId="15" borderId="4" xfId="0" applyFont="1" applyFill="1" applyBorder="1"/>
    <xf numFmtId="1" fontId="44" fillId="15" borderId="4" xfId="0" applyNumberFormat="1" applyFont="1" applyFill="1" applyBorder="1" applyAlignment="1" applyProtection="1">
      <alignment horizontal="right"/>
    </xf>
    <xf numFmtId="1" fontId="0" fillId="15" borderId="4" xfId="0" applyNumberFormat="1" applyFont="1" applyFill="1" applyBorder="1" applyAlignment="1">
      <alignment horizontal="center"/>
    </xf>
    <xf numFmtId="1" fontId="0" fillId="15" borderId="4" xfId="0" applyNumberFormat="1" applyFont="1" applyFill="1" applyBorder="1"/>
    <xf numFmtId="172" fontId="0" fillId="15" borderId="21" xfId="0" applyNumberFormat="1" applyFont="1" applyFill="1" applyBorder="1" applyAlignment="1">
      <alignment horizontal="center"/>
    </xf>
    <xf numFmtId="172" fontId="10" fillId="15" borderId="21" xfId="0" applyNumberFormat="1" applyFont="1" applyFill="1" applyBorder="1" applyAlignment="1" applyProtection="1">
      <alignment horizontal="center"/>
    </xf>
    <xf numFmtId="172" fontId="10" fillId="15" borderId="23" xfId="0" applyNumberFormat="1" applyFont="1" applyFill="1" applyBorder="1" applyAlignment="1" applyProtection="1">
      <alignment horizontal="center"/>
    </xf>
    <xf numFmtId="172" fontId="0" fillId="15" borderId="21" xfId="0" applyNumberFormat="1" applyFont="1" applyFill="1" applyBorder="1"/>
    <xf numFmtId="9" fontId="0" fillId="15" borderId="11" xfId="0" applyNumberFormat="1" applyFont="1" applyFill="1" applyBorder="1"/>
    <xf numFmtId="9" fontId="10" fillId="5" borderId="0" xfId="0" applyNumberFormat="1" applyFont="1" applyFill="1" applyBorder="1" applyAlignment="1" applyProtection="1">
      <alignment horizontal="center"/>
    </xf>
    <xf numFmtId="9" fontId="10" fillId="5" borderId="0" xfId="0" applyNumberFormat="1" applyFont="1" applyFill="1" applyBorder="1" applyAlignment="1" applyProtection="1">
      <alignment horizontal="right"/>
    </xf>
    <xf numFmtId="9" fontId="10" fillId="5" borderId="13" xfId="0" applyNumberFormat="1" applyFont="1" applyFill="1" applyBorder="1" applyAlignment="1" applyProtection="1">
      <alignment horizontal="center"/>
    </xf>
    <xf numFmtId="9" fontId="0" fillId="5" borderId="0" xfId="0" applyNumberFormat="1" applyFont="1" applyFill="1" applyBorder="1" applyAlignment="1">
      <alignment horizontal="center"/>
    </xf>
    <xf numFmtId="9" fontId="0" fillId="5" borderId="0" xfId="0" applyNumberFormat="1" applyFont="1" applyFill="1" applyBorder="1"/>
    <xf numFmtId="43" fontId="10" fillId="5" borderId="0" xfId="0" applyNumberFormat="1" applyFont="1" applyFill="1" applyAlignment="1" applyProtection="1">
      <alignment horizontal="center"/>
    </xf>
    <xf numFmtId="43" fontId="10" fillId="5" borderId="13" xfId="0" applyNumberFormat="1" applyFont="1" applyFill="1" applyBorder="1" applyAlignment="1" applyProtection="1">
      <alignment horizontal="center"/>
    </xf>
    <xf numFmtId="43" fontId="10" fillId="5" borderId="0" xfId="0" applyNumberFormat="1" applyFont="1" applyFill="1" applyBorder="1" applyAlignment="1" applyProtection="1">
      <alignment horizontal="center"/>
    </xf>
    <xf numFmtId="43" fontId="0" fillId="5" borderId="0" xfId="0" applyNumberFormat="1" applyFont="1" applyFill="1" applyAlignment="1">
      <alignment horizontal="center"/>
    </xf>
    <xf numFmtId="172" fontId="0" fillId="5" borderId="0" xfId="0" applyNumberFormat="1" applyFont="1" applyFill="1" applyAlignment="1">
      <alignment horizontal="center"/>
    </xf>
    <xf numFmtId="172" fontId="10" fillId="5" borderId="0" xfId="0" applyNumberFormat="1" applyFont="1" applyFill="1" applyAlignment="1" applyProtection="1">
      <alignment horizontal="center"/>
    </xf>
    <xf numFmtId="172" fontId="10" fillId="5" borderId="13" xfId="0" applyNumberFormat="1" applyFont="1" applyFill="1" applyBorder="1" applyAlignment="1" applyProtection="1">
      <alignment horizontal="center"/>
    </xf>
    <xf numFmtId="172" fontId="10" fillId="5" borderId="0" xfId="0" applyNumberFormat="1" applyFont="1" applyFill="1" applyBorder="1" applyAlignment="1" applyProtection="1">
      <alignment horizontal="center"/>
    </xf>
    <xf numFmtId="172" fontId="0" fillId="5" borderId="0" xfId="0" applyNumberFormat="1" applyFont="1" applyFill="1"/>
    <xf numFmtId="0" fontId="44" fillId="15" borderId="8" xfId="0" applyFont="1" applyFill="1" applyBorder="1" applyAlignment="1" applyProtection="1">
      <alignment horizontal="right"/>
    </xf>
    <xf numFmtId="1" fontId="0" fillId="15" borderId="0" xfId="0" applyNumberFormat="1" applyFont="1" applyFill="1" applyBorder="1" applyAlignment="1">
      <alignment horizontal="center"/>
    </xf>
    <xf numFmtId="0" fontId="44" fillId="5" borderId="0" xfId="0" applyFont="1" applyFill="1" applyAlignment="1" applyProtection="1">
      <alignment horizontal="right"/>
    </xf>
    <xf numFmtId="9" fontId="10" fillId="5" borderId="0" xfId="0" applyNumberFormat="1" applyFont="1" applyFill="1" applyAlignment="1" applyProtection="1">
      <alignment horizontal="right"/>
    </xf>
    <xf numFmtId="9" fontId="10" fillId="5" borderId="0" xfId="0" applyNumberFormat="1" applyFont="1" applyFill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1" fontId="10" fillId="5" borderId="0" xfId="0" applyNumberFormat="1" applyFont="1" applyFill="1" applyAlignment="1" applyProtection="1">
      <alignment horizontal="center"/>
    </xf>
    <xf numFmtId="172" fontId="44" fillId="15" borderId="10" xfId="0" applyNumberFormat="1" applyFont="1" applyFill="1" applyBorder="1"/>
    <xf numFmtId="172" fontId="44" fillId="15" borderId="11" xfId="0" applyNumberFormat="1" applyFont="1" applyFill="1" applyBorder="1" applyAlignment="1">
      <alignment horizontal="center"/>
    </xf>
    <xf numFmtId="172" fontId="44" fillId="15" borderId="11" xfId="0" applyNumberFormat="1" applyFont="1" applyFill="1" applyBorder="1" applyAlignment="1">
      <alignment horizontal="right"/>
    </xf>
    <xf numFmtId="172" fontId="44" fillId="15" borderId="12" xfId="0" applyNumberFormat="1" applyFont="1" applyFill="1" applyBorder="1" applyAlignment="1">
      <alignment horizontal="center"/>
    </xf>
    <xf numFmtId="172" fontId="44" fillId="15" borderId="11" xfId="0" applyNumberFormat="1" applyFont="1" applyFill="1" applyBorder="1"/>
    <xf numFmtId="172" fontId="44" fillId="15" borderId="8" xfId="0" applyNumberFormat="1" applyFont="1" applyFill="1" applyBorder="1"/>
    <xf numFmtId="172" fontId="44" fillId="15" borderId="0" xfId="0" applyNumberFormat="1" applyFont="1" applyFill="1" applyBorder="1" applyAlignment="1">
      <alignment horizontal="center"/>
    </xf>
    <xf numFmtId="172" fontId="44" fillId="15" borderId="0" xfId="0" applyNumberFormat="1" applyFont="1" applyFill="1" applyBorder="1" applyAlignment="1">
      <alignment horizontal="right"/>
    </xf>
    <xf numFmtId="172" fontId="44" fillId="15" borderId="13" xfId="0" applyNumberFormat="1" applyFont="1" applyFill="1" applyBorder="1" applyAlignment="1">
      <alignment horizontal="center"/>
    </xf>
    <xf numFmtId="172" fontId="44" fillId="15" borderId="0" xfId="0" applyNumberFormat="1" applyFont="1" applyFill="1" applyBorder="1"/>
    <xf numFmtId="172" fontId="44" fillId="15" borderId="14" xfId="0" applyNumberFormat="1" applyFont="1" applyFill="1" applyBorder="1"/>
    <xf numFmtId="172" fontId="44" fillId="15" borderId="4" xfId="0" applyNumberFormat="1" applyFont="1" applyFill="1" applyBorder="1" applyAlignment="1">
      <alignment horizontal="center"/>
    </xf>
    <xf numFmtId="172" fontId="44" fillId="15" borderId="4" xfId="0" applyNumberFormat="1" applyFont="1" applyFill="1" applyBorder="1" applyAlignment="1">
      <alignment horizontal="right"/>
    </xf>
    <xf numFmtId="172" fontId="44" fillId="15" borderId="15" xfId="0" applyNumberFormat="1" applyFont="1" applyFill="1" applyBorder="1" applyAlignment="1">
      <alignment horizontal="center"/>
    </xf>
    <xf numFmtId="172" fontId="44" fillId="15" borderId="4" xfId="0" applyNumberFormat="1" applyFont="1" applyFill="1" applyBorder="1"/>
    <xf numFmtId="0" fontId="0" fillId="5" borderId="13" xfId="0" applyFont="1" applyFill="1" applyBorder="1"/>
    <xf numFmtId="172" fontId="44" fillId="5" borderId="11" xfId="0" applyNumberFormat="1" applyFont="1" applyFill="1" applyBorder="1" applyAlignment="1" applyProtection="1"/>
    <xf numFmtId="172" fontId="44" fillId="5" borderId="0" xfId="0" applyNumberFormat="1" applyFont="1" applyFill="1" applyBorder="1" applyAlignment="1" applyProtection="1"/>
    <xf numFmtId="172" fontId="44" fillId="5" borderId="10" xfId="0" applyNumberFormat="1" applyFont="1" applyFill="1" applyBorder="1" applyAlignment="1" applyProtection="1"/>
    <xf numFmtId="172" fontId="44" fillId="5" borderId="22" xfId="0" applyNumberFormat="1" applyFont="1" applyFill="1" applyBorder="1" applyAlignment="1" applyProtection="1"/>
    <xf numFmtId="172" fontId="0" fillId="15" borderId="10" xfId="0" applyNumberFormat="1" applyFont="1" applyFill="1" applyBorder="1"/>
    <xf numFmtId="9" fontId="44" fillId="15" borderId="14" xfId="0" applyNumberFormat="1" applyFont="1" applyFill="1" applyBorder="1" applyAlignment="1" applyProtection="1">
      <alignment horizontal="right"/>
    </xf>
    <xf numFmtId="9" fontId="0" fillId="11" borderId="4" xfId="0" applyNumberFormat="1" applyFont="1" applyFill="1" applyBorder="1" applyAlignment="1">
      <alignment horizontal="center"/>
    </xf>
    <xf numFmtId="9" fontId="0" fillId="11" borderId="4" xfId="0" applyNumberFormat="1" applyFont="1" applyFill="1" applyBorder="1"/>
    <xf numFmtId="43" fontId="10" fillId="11" borderId="4" xfId="0" applyNumberFormat="1" applyFont="1" applyFill="1" applyBorder="1" applyAlignment="1" applyProtection="1">
      <alignment horizontal="center"/>
    </xf>
    <xf numFmtId="43" fontId="0" fillId="11" borderId="4" xfId="0" applyNumberFormat="1" applyFont="1" applyFill="1" applyBorder="1" applyAlignment="1">
      <alignment horizontal="center"/>
    </xf>
    <xf numFmtId="0" fontId="0" fillId="11" borderId="4" xfId="0" applyFont="1" applyFill="1" applyBorder="1"/>
    <xf numFmtId="1" fontId="0" fillId="11" borderId="4" xfId="0" applyNumberFormat="1" applyFont="1" applyFill="1" applyBorder="1" applyAlignment="1">
      <alignment horizontal="center"/>
    </xf>
    <xf numFmtId="1" fontId="0" fillId="11" borderId="4" xfId="0" applyNumberFormat="1" applyFont="1" applyFill="1" applyBorder="1"/>
    <xf numFmtId="3" fontId="44" fillId="15" borderId="22" xfId="0" applyNumberFormat="1" applyFont="1" applyFill="1" applyBorder="1" applyAlignment="1">
      <alignment horizontal="right"/>
    </xf>
    <xf numFmtId="3" fontId="44" fillId="15" borderId="21" xfId="0" applyNumberFormat="1" applyFont="1" applyFill="1" applyBorder="1" applyAlignment="1">
      <alignment horizontal="center"/>
    </xf>
    <xf numFmtId="3" fontId="44" fillId="15" borderId="21" xfId="0" applyNumberFormat="1" applyFont="1" applyFill="1" applyBorder="1" applyAlignment="1">
      <alignment horizontal="right"/>
    </xf>
    <xf numFmtId="3" fontId="44" fillId="15" borderId="23" xfId="0" applyNumberFormat="1" applyFont="1" applyFill="1" applyBorder="1" applyAlignment="1">
      <alignment horizontal="center"/>
    </xf>
    <xf numFmtId="3" fontId="44" fillId="15" borderId="21" xfId="0" applyNumberFormat="1" applyFont="1" applyFill="1" applyBorder="1"/>
    <xf numFmtId="1" fontId="0" fillId="5" borderId="0" xfId="0" applyNumberFormat="1" applyFill="1"/>
    <xf numFmtId="1" fontId="0" fillId="5" borderId="13" xfId="0" applyNumberFormat="1" applyFill="1" applyBorder="1"/>
    <xf numFmtId="1" fontId="0" fillId="5" borderId="0" xfId="0" applyNumberFormat="1" applyFill="1" applyBorder="1"/>
    <xf numFmtId="1" fontId="16" fillId="5" borderId="0" xfId="0" applyNumberFormat="1" applyFont="1" applyFill="1" applyAlignment="1">
      <alignment horizontal="right"/>
    </xf>
    <xf numFmtId="3" fontId="59" fillId="5" borderId="0" xfId="10" applyNumberFormat="1" applyFont="1" applyFill="1" applyBorder="1" applyAlignment="1">
      <alignment horizontal="right" wrapText="1"/>
    </xf>
    <xf numFmtId="3" fontId="59" fillId="5" borderId="13" xfId="10" applyNumberFormat="1" applyFont="1" applyFill="1" applyBorder="1" applyAlignment="1">
      <alignment horizontal="right" wrapText="1"/>
    </xf>
    <xf numFmtId="44" fontId="0" fillId="5" borderId="13" xfId="144" applyFont="1" applyFill="1" applyBorder="1"/>
    <xf numFmtId="44" fontId="0" fillId="5" borderId="0" xfId="144" applyFont="1" applyFill="1" applyBorder="1"/>
    <xf numFmtId="6" fontId="65" fillId="15" borderId="13" xfId="0" applyNumberFormat="1" applyFont="1" applyFill="1" applyBorder="1"/>
    <xf numFmtId="1" fontId="65" fillId="15" borderId="0" xfId="0" applyNumberFormat="1" applyFont="1" applyFill="1" applyBorder="1"/>
    <xf numFmtId="6" fontId="55" fillId="15" borderId="24" xfId="0" applyNumberFormat="1" applyFont="1" applyFill="1" applyBorder="1" applyAlignment="1">
      <alignment horizontal="left"/>
    </xf>
    <xf numFmtId="6" fontId="55" fillId="15" borderId="2" xfId="0" applyNumberFormat="1" applyFont="1" applyFill="1" applyBorder="1"/>
    <xf numFmtId="6" fontId="55" fillId="15" borderId="17" xfId="0" applyNumberFormat="1" applyFont="1" applyFill="1" applyBorder="1"/>
    <xf numFmtId="1" fontId="65" fillId="15" borderId="0" xfId="0" applyNumberFormat="1" applyFont="1" applyFill="1" applyBorder="1" applyAlignment="1">
      <alignment horizontal="right"/>
    </xf>
    <xf numFmtId="1" fontId="65" fillId="15" borderId="33" xfId="0" applyNumberFormat="1" applyFont="1" applyFill="1" applyBorder="1" applyAlignment="1">
      <alignment horizontal="right"/>
    </xf>
    <xf numFmtId="0" fontId="0" fillId="15" borderId="26" xfId="0" applyFill="1" applyBorder="1"/>
    <xf numFmtId="0" fontId="0" fillId="15" borderId="1" xfId="0" applyFill="1" applyBorder="1"/>
    <xf numFmtId="38" fontId="55" fillId="5" borderId="13" xfId="0" applyNumberFormat="1" applyFont="1" applyFill="1" applyBorder="1"/>
    <xf numFmtId="6" fontId="55" fillId="5" borderId="13" xfId="0" applyNumberFormat="1" applyFont="1" applyFill="1" applyBorder="1"/>
    <xf numFmtId="9" fontId="60" fillId="5" borderId="13" xfId="2" applyFont="1" applyFill="1" applyBorder="1"/>
    <xf numFmtId="172" fontId="55" fillId="5" borderId="13" xfId="0" applyNumberFormat="1" applyFont="1" applyFill="1" applyBorder="1"/>
    <xf numFmtId="0" fontId="0" fillId="15" borderId="36" xfId="0" applyFill="1" applyBorder="1"/>
    <xf numFmtId="43" fontId="17" fillId="19" borderId="5" xfId="3" applyNumberFormat="1" applyFont="1" applyFill="1" applyBorder="1"/>
    <xf numFmtId="43" fontId="17" fillId="19" borderId="5" xfId="4" applyNumberFormat="1" applyFont="1" applyFill="1" applyBorder="1"/>
    <xf numFmtId="172" fontId="15" fillId="19" borderId="5" xfId="3" applyNumberFormat="1" applyFont="1" applyFill="1" applyBorder="1" applyAlignment="1">
      <alignment horizontal="right"/>
    </xf>
    <xf numFmtId="0" fontId="56" fillId="19" borderId="5" xfId="5" applyFont="1" applyFill="1" applyBorder="1"/>
    <xf numFmtId="0" fontId="25" fillId="5" borderId="0" xfId="0" applyFont="1" applyFill="1"/>
    <xf numFmtId="43" fontId="25" fillId="5" borderId="0" xfId="1" applyFont="1" applyFill="1"/>
    <xf numFmtId="0" fontId="14" fillId="10" borderId="6" xfId="5" applyFont="1" applyFill="1" applyBorder="1"/>
    <xf numFmtId="167" fontId="16" fillId="5" borderId="0" xfId="1" applyNumberFormat="1" applyFont="1" applyFill="1"/>
    <xf numFmtId="0" fontId="17" fillId="19" borderId="6" xfId="0" applyNumberFormat="1" applyFont="1" applyFill="1" applyBorder="1"/>
    <xf numFmtId="0" fontId="15" fillId="19" borderId="6" xfId="5" applyFont="1" applyFill="1" applyBorder="1"/>
    <xf numFmtId="172" fontId="15" fillId="19" borderId="6" xfId="6" applyNumberFormat="1" applyFont="1" applyFill="1" applyBorder="1" applyAlignment="1">
      <alignment horizontal="right"/>
    </xf>
    <xf numFmtId="167" fontId="15" fillId="19" borderId="6" xfId="3" applyNumberFormat="1" applyFont="1" applyFill="1" applyBorder="1"/>
    <xf numFmtId="1" fontId="58" fillId="10" borderId="31" xfId="3" applyNumberFormat="1" applyFont="1" applyFill="1" applyBorder="1" applyAlignment="1">
      <alignment horizontal="left" indent="1"/>
    </xf>
    <xf numFmtId="1" fontId="17" fillId="10" borderId="31" xfId="0" applyNumberFormat="1" applyFont="1" applyFill="1" applyBorder="1"/>
    <xf numFmtId="1" fontId="17" fillId="10" borderId="31" xfId="4" applyNumberFormat="1" applyFont="1" applyFill="1" applyBorder="1"/>
    <xf numFmtId="1" fontId="15" fillId="10" borderId="31" xfId="3" applyNumberFormat="1" applyFont="1" applyFill="1" applyBorder="1" applyAlignment="1">
      <alignment horizontal="right"/>
    </xf>
    <xf numFmtId="1" fontId="14" fillId="10" borderId="31" xfId="3" applyNumberFormat="1" applyFont="1" applyFill="1" applyBorder="1" applyAlignment="1">
      <alignment horizontal="right"/>
    </xf>
    <xf numFmtId="1" fontId="16" fillId="5" borderId="0" xfId="0" applyNumberFormat="1" applyFont="1" applyFill="1"/>
    <xf numFmtId="1" fontId="16" fillId="5" borderId="0" xfId="1" applyNumberFormat="1" applyFont="1" applyFill="1"/>
    <xf numFmtId="3" fontId="38" fillId="5" borderId="1" xfId="10" applyNumberFormat="1" applyFont="1" applyFill="1" applyBorder="1" applyAlignment="1">
      <alignment horizontal="center" vertical="center" wrapText="1"/>
    </xf>
    <xf numFmtId="3" fontId="38" fillId="5" borderId="36" xfId="10" applyNumberFormat="1" applyFont="1" applyFill="1" applyBorder="1" applyAlignment="1">
      <alignment horizontal="center" vertical="center" wrapText="1"/>
    </xf>
    <xf numFmtId="0" fontId="55" fillId="5" borderId="0" xfId="0" applyFont="1" applyFill="1" applyBorder="1"/>
    <xf numFmtId="0" fontId="25" fillId="5" borderId="0" xfId="0" applyFont="1" applyFill="1" applyBorder="1"/>
    <xf numFmtId="9" fontId="23" fillId="5" borderId="28" xfId="0" applyNumberFormat="1" applyFont="1" applyFill="1" applyBorder="1" applyAlignment="1">
      <alignment horizontal="center" vertical="center"/>
    </xf>
    <xf numFmtId="0" fontId="5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3" fontId="38" fillId="5" borderId="37" xfId="1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3" fontId="38" fillId="5" borderId="7" xfId="10" applyNumberFormat="1" applyFont="1" applyFill="1" applyBorder="1" applyAlignment="1">
      <alignment horizontal="center" vertical="center" wrapText="1"/>
    </xf>
    <xf numFmtId="3" fontId="38" fillId="5" borderId="0" xfId="10" applyNumberFormat="1" applyFont="1" applyFill="1" applyBorder="1" applyAlignment="1">
      <alignment horizontal="center" vertical="center" wrapText="1"/>
    </xf>
    <xf numFmtId="3" fontId="38" fillId="5" borderId="13" xfId="1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55" fillId="15" borderId="35" xfId="0" applyFont="1" applyFill="1" applyBorder="1"/>
    <xf numFmtId="0" fontId="30" fillId="15" borderId="11" xfId="0" applyFont="1" applyFill="1" applyBorder="1" applyAlignment="1">
      <alignment horizontal="left"/>
    </xf>
    <xf numFmtId="176" fontId="0" fillId="15" borderId="28" xfId="144" applyNumberFormat="1" applyFont="1" applyFill="1" applyBorder="1" applyAlignment="1"/>
    <xf numFmtId="176" fontId="0" fillId="15" borderId="11" xfId="144" applyNumberFormat="1" applyFont="1" applyFill="1" applyBorder="1"/>
    <xf numFmtId="176" fontId="0" fillId="15" borderId="12" xfId="144" applyNumberFormat="1" applyFont="1" applyFill="1" applyBorder="1"/>
    <xf numFmtId="0" fontId="30" fillId="15" borderId="4" xfId="0" applyFont="1" applyFill="1" applyBorder="1" applyAlignment="1">
      <alignment horizontal="left"/>
    </xf>
    <xf numFmtId="176" fontId="0" fillId="15" borderId="4" xfId="144" applyNumberFormat="1" applyFont="1" applyFill="1" applyBorder="1" applyAlignment="1"/>
    <xf numFmtId="176" fontId="0" fillId="15" borderId="4" xfId="144" applyNumberFormat="1" applyFont="1" applyFill="1" applyBorder="1"/>
    <xf numFmtId="176" fontId="0" fillId="15" borderId="15" xfId="144" applyNumberFormat="1" applyFont="1" applyFill="1" applyBorder="1"/>
    <xf numFmtId="0" fontId="55" fillId="5" borderId="33" xfId="0" applyFont="1" applyFill="1" applyBorder="1"/>
    <xf numFmtId="0" fontId="30" fillId="5" borderId="0" xfId="0" applyFont="1" applyFill="1" applyBorder="1" applyAlignment="1">
      <alignment horizontal="left"/>
    </xf>
    <xf numFmtId="37" fontId="0" fillId="5" borderId="7" xfId="144" applyNumberFormat="1" applyFont="1" applyFill="1" applyBorder="1" applyAlignment="1"/>
    <xf numFmtId="37" fontId="0" fillId="5" borderId="0" xfId="144" applyNumberFormat="1" applyFont="1" applyFill="1" applyBorder="1"/>
    <xf numFmtId="176" fontId="0" fillId="5" borderId="0" xfId="144" applyNumberFormat="1" applyFont="1" applyFill="1" applyBorder="1"/>
    <xf numFmtId="176" fontId="0" fillId="5" borderId="13" xfId="144" applyNumberFormat="1" applyFont="1" applyFill="1" applyBorder="1"/>
    <xf numFmtId="0" fontId="0" fillId="5" borderId="0" xfId="0" applyFont="1" applyFill="1" applyBorder="1" applyAlignment="1">
      <alignment horizontal="left"/>
    </xf>
    <xf numFmtId="176" fontId="0" fillId="5" borderId="7" xfId="144" applyNumberFormat="1" applyFont="1" applyFill="1" applyBorder="1" applyAlignment="1"/>
    <xf numFmtId="0" fontId="55" fillId="15" borderId="10" xfId="0" applyFont="1" applyFill="1" applyBorder="1"/>
    <xf numFmtId="0" fontId="55" fillId="15" borderId="8" xfId="0" applyFont="1" applyFill="1" applyBorder="1"/>
    <xf numFmtId="0" fontId="55" fillId="15" borderId="14" xfId="0" applyFont="1" applyFill="1" applyBorder="1"/>
    <xf numFmtId="1" fontId="55" fillId="0" borderId="18" xfId="0" applyNumberFormat="1" applyFont="1" applyFill="1" applyBorder="1"/>
    <xf numFmtId="0" fontId="55" fillId="0" borderId="8" xfId="0" applyFont="1" applyFill="1" applyBorder="1"/>
    <xf numFmtId="1" fontId="55" fillId="0" borderId="8" xfId="0" applyNumberFormat="1" applyFont="1" applyFill="1" applyBorder="1"/>
    <xf numFmtId="1" fontId="55" fillId="0" borderId="14" xfId="0" applyNumberFormat="1" applyFont="1" applyFill="1" applyBorder="1"/>
    <xf numFmtId="0" fontId="55" fillId="0" borderId="10" xfId="0" applyFont="1" applyFill="1" applyBorder="1"/>
    <xf numFmtId="0" fontId="55" fillId="0" borderId="14" xfId="0" applyFont="1" applyFill="1" applyBorder="1"/>
    <xf numFmtId="0" fontId="55" fillId="0" borderId="56" xfId="0" applyFont="1" applyFill="1" applyBorder="1"/>
    <xf numFmtId="0" fontId="0" fillId="15" borderId="29" xfId="0" applyFill="1" applyBorder="1" applyAlignment="1"/>
    <xf numFmtId="0" fontId="0" fillId="15" borderId="4" xfId="0" applyFill="1" applyBorder="1" applyAlignment="1">
      <alignment horizontal="right"/>
    </xf>
    <xf numFmtId="166" fontId="0" fillId="11" borderId="4" xfId="2" applyNumberFormat="1" applyFont="1" applyFill="1" applyBorder="1" applyAlignment="1">
      <alignment horizontal="left"/>
    </xf>
    <xf numFmtId="166" fontId="0" fillId="15" borderId="4" xfId="2" applyNumberFormat="1" applyFont="1" applyFill="1" applyBorder="1" applyAlignment="1">
      <alignment horizontal="right"/>
    </xf>
    <xf numFmtId="0" fontId="0" fillId="15" borderId="15" xfId="0" applyFill="1" applyBorder="1"/>
    <xf numFmtId="0" fontId="55" fillId="5" borderId="0" xfId="0" applyFont="1" applyFill="1"/>
    <xf numFmtId="0" fontId="0" fillId="5" borderId="7" xfId="0" applyFill="1" applyBorder="1" applyAlignment="1"/>
    <xf numFmtId="1" fontId="55" fillId="11" borderId="3" xfId="0" applyNumberFormat="1" applyFont="1" applyFill="1" applyBorder="1" applyAlignment="1">
      <alignment horizontal="center" vertical="center"/>
    </xf>
    <xf numFmtId="1" fontId="55" fillId="11" borderId="38" xfId="0" applyNumberFormat="1" applyFont="1" applyFill="1" applyBorder="1" applyAlignment="1">
      <alignment horizontal="center" vertical="center"/>
    </xf>
    <xf numFmtId="0" fontId="25" fillId="15" borderId="3" xfId="0" applyFont="1" applyFill="1" applyBorder="1" applyAlignment="1">
      <alignment horizontal="center" vertical="center"/>
    </xf>
    <xf numFmtId="6" fontId="30" fillId="15" borderId="4" xfId="0" applyNumberFormat="1" applyFont="1" applyFill="1" applyBorder="1" applyAlignment="1"/>
    <xf numFmtId="1" fontId="55" fillId="15" borderId="10" xfId="0" applyNumberFormat="1" applyFont="1" applyFill="1" applyBorder="1" applyAlignment="1">
      <alignment vertical="center"/>
    </xf>
    <xf numFmtId="1" fontId="55" fillId="15" borderId="11" xfId="0" applyNumberFormat="1" applyFont="1" applyFill="1" applyBorder="1" applyAlignment="1">
      <alignment horizontal="left" vertical="center"/>
    </xf>
    <xf numFmtId="1" fontId="55" fillId="15" borderId="11" xfId="0" applyNumberFormat="1" applyFont="1" applyFill="1" applyBorder="1" applyAlignment="1">
      <alignment vertical="center"/>
    </xf>
    <xf numFmtId="1" fontId="55" fillId="15" borderId="14" xfId="0" applyNumberFormat="1" applyFont="1" applyFill="1" applyBorder="1" applyAlignment="1">
      <alignment vertical="center"/>
    </xf>
    <xf numFmtId="1" fontId="55" fillId="15" borderId="4" xfId="0" applyNumberFormat="1" applyFont="1" applyFill="1" applyBorder="1" applyAlignment="1">
      <alignment horizontal="left" vertical="center"/>
    </xf>
    <xf numFmtId="1" fontId="55" fillId="15" borderId="4" xfId="0" applyNumberFormat="1" applyFont="1" applyFill="1" applyBorder="1" applyAlignment="1">
      <alignment vertical="center"/>
    </xf>
    <xf numFmtId="1" fontId="55" fillId="15" borderId="28" xfId="144" applyNumberFormat="1" applyFont="1" applyFill="1" applyBorder="1" applyAlignment="1">
      <alignment horizontal="center" vertical="center"/>
    </xf>
    <xf numFmtId="1" fontId="55" fillId="15" borderId="7" xfId="144" applyNumberFormat="1" applyFont="1" applyFill="1" applyBorder="1" applyAlignment="1">
      <alignment horizontal="center" vertical="center"/>
    </xf>
    <xf numFmtId="1" fontId="55" fillId="15" borderId="29" xfId="144" applyNumberFormat="1" applyFont="1" applyFill="1" applyBorder="1" applyAlignment="1">
      <alignment horizontal="center" vertical="center"/>
    </xf>
    <xf numFmtId="1" fontId="55" fillId="15" borderId="11" xfId="144" applyNumberFormat="1" applyFont="1" applyFill="1" applyBorder="1" applyAlignment="1">
      <alignment horizontal="center" vertical="center"/>
    </xf>
    <xf numFmtId="1" fontId="55" fillId="15" borderId="12" xfId="144" applyNumberFormat="1" applyFont="1" applyFill="1" applyBorder="1" applyAlignment="1">
      <alignment horizontal="center" vertical="center"/>
    </xf>
    <xf numFmtId="1" fontId="55" fillId="15" borderId="0" xfId="144" applyNumberFormat="1" applyFont="1" applyFill="1" applyBorder="1" applyAlignment="1">
      <alignment horizontal="center" vertical="center"/>
    </xf>
    <xf numFmtId="1" fontId="55" fillId="15" borderId="13" xfId="144" applyNumberFormat="1" applyFont="1" applyFill="1" applyBorder="1" applyAlignment="1">
      <alignment horizontal="center" vertical="center"/>
    </xf>
    <xf numFmtId="1" fontId="55" fillId="15" borderId="4" xfId="144" applyNumberFormat="1" applyFont="1" applyFill="1" applyBorder="1" applyAlignment="1">
      <alignment horizontal="center" vertical="center"/>
    </xf>
    <xf numFmtId="1" fontId="55" fillId="15" borderId="15" xfId="144" applyNumberFormat="1" applyFont="1" applyFill="1" applyBorder="1" applyAlignment="1">
      <alignment horizontal="center" vertical="center"/>
    </xf>
    <xf numFmtId="1" fontId="4" fillId="15" borderId="11" xfId="0" applyNumberFormat="1" applyFont="1" applyFill="1" applyBorder="1" applyAlignment="1">
      <alignment horizontal="center" vertical="center"/>
    </xf>
    <xf numFmtId="1" fontId="4" fillId="15" borderId="12" xfId="0" applyNumberFormat="1" applyFont="1" applyFill="1" applyBorder="1" applyAlignment="1">
      <alignment horizontal="center" vertical="center"/>
    </xf>
    <xf numFmtId="1" fontId="4" fillId="15" borderId="4" xfId="0" applyNumberFormat="1" applyFont="1" applyFill="1" applyBorder="1" applyAlignment="1">
      <alignment horizontal="center" vertical="center"/>
    </xf>
    <xf numFmtId="1" fontId="4" fillId="15" borderId="15" xfId="0" applyNumberFormat="1" applyFont="1" applyFill="1" applyBorder="1" applyAlignment="1">
      <alignment horizontal="center" vertical="center"/>
    </xf>
    <xf numFmtId="9" fontId="60" fillId="5" borderId="0" xfId="2" applyFont="1" applyFill="1" applyBorder="1" applyAlignment="1">
      <alignment horizontal="center" vertical="center"/>
    </xf>
    <xf numFmtId="6" fontId="30" fillId="15" borderId="28" xfId="0" applyNumberFormat="1" applyFont="1" applyFill="1" applyBorder="1" applyAlignment="1">
      <alignment horizontal="right"/>
    </xf>
    <xf numFmtId="6" fontId="30" fillId="15" borderId="29" xfId="0" applyNumberFormat="1" applyFont="1" applyFill="1" applyBorder="1" applyAlignment="1">
      <alignment horizontal="right"/>
    </xf>
    <xf numFmtId="6" fontId="60" fillId="5" borderId="7" xfId="0" applyNumberFormat="1" applyFont="1" applyFill="1" applyBorder="1" applyAlignment="1">
      <alignment horizontal="right"/>
    </xf>
    <xf numFmtId="9" fontId="60" fillId="5" borderId="13" xfId="2" applyFont="1" applyFill="1" applyBorder="1" applyAlignment="1">
      <alignment horizontal="center" vertical="center"/>
    </xf>
    <xf numFmtId="43" fontId="0" fillId="5" borderId="0" xfId="0" applyNumberFormat="1" applyFont="1" applyFill="1" applyBorder="1" applyAlignment="1">
      <alignment horizontal="center"/>
    </xf>
    <xf numFmtId="1" fontId="0" fillId="5" borderId="0" xfId="0" applyNumberFormat="1" applyFont="1" applyFill="1" applyAlignment="1" applyProtection="1"/>
    <xf numFmtId="1" fontId="0" fillId="5" borderId="0" xfId="0" applyNumberFormat="1" applyFont="1" applyFill="1" applyAlignment="1" applyProtection="1">
      <alignment horizontal="center"/>
    </xf>
    <xf numFmtId="1" fontId="0" fillId="5" borderId="8" xfId="0" applyNumberFormat="1" applyFont="1" applyFill="1" applyBorder="1" applyAlignment="1" applyProtection="1">
      <alignment horizontal="center"/>
    </xf>
    <xf numFmtId="1" fontId="0" fillId="5" borderId="0" xfId="0" applyNumberFormat="1" applyFont="1" applyFill="1" applyBorder="1" applyAlignment="1" applyProtection="1">
      <alignment horizontal="center"/>
    </xf>
    <xf numFmtId="1" fontId="0" fillId="5" borderId="13" xfId="0" applyNumberFormat="1" applyFont="1" applyFill="1" applyBorder="1" applyAlignment="1" applyProtection="1">
      <alignment horizontal="center"/>
    </xf>
    <xf numFmtId="43" fontId="0" fillId="5" borderId="0" xfId="0" applyNumberFormat="1" applyFont="1" applyFill="1" applyAlignment="1" applyProtection="1">
      <alignment horizontal="center"/>
    </xf>
    <xf numFmtId="172" fontId="4" fillId="5" borderId="0" xfId="0" applyNumberFormat="1" applyFont="1" applyFill="1"/>
    <xf numFmtId="172" fontId="4" fillId="5" borderId="0" xfId="0" applyNumberFormat="1" applyFont="1" applyFill="1" applyAlignment="1">
      <alignment horizontal="center"/>
    </xf>
    <xf numFmtId="172" fontId="30" fillId="5" borderId="0" xfId="0" applyNumberFormat="1" applyFont="1" applyFill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43" fontId="0" fillId="5" borderId="8" xfId="0" applyNumberFormat="1" applyFont="1" applyFill="1" applyBorder="1" applyAlignment="1" applyProtection="1">
      <alignment horizontal="center"/>
    </xf>
    <xf numFmtId="43" fontId="0" fillId="5" borderId="0" xfId="0" applyNumberFormat="1" applyFont="1" applyFill="1" applyBorder="1" applyAlignment="1" applyProtection="1">
      <alignment horizontal="center"/>
    </xf>
    <xf numFmtId="43" fontId="0" fillId="5" borderId="13" xfId="0" applyNumberFormat="1" applyFont="1" applyFill="1" applyBorder="1" applyAlignment="1" applyProtection="1">
      <alignment horizontal="center"/>
    </xf>
    <xf numFmtId="0" fontId="0" fillId="5" borderId="0" xfId="0" applyFont="1" applyFill="1" applyAlignment="1" applyProtection="1"/>
    <xf numFmtId="8" fontId="0" fillId="5" borderId="0" xfId="0" applyNumberFormat="1" applyFont="1" applyFill="1" applyAlignment="1" applyProtection="1"/>
    <xf numFmtId="1" fontId="0" fillId="5" borderId="0" xfId="0" applyNumberFormat="1" applyFill="1" applyAlignment="1" applyProtection="1"/>
    <xf numFmtId="0" fontId="0" fillId="5" borderId="0" xfId="0" applyFill="1" applyAlignment="1" applyProtection="1"/>
    <xf numFmtId="0" fontId="4" fillId="5" borderId="0" xfId="0" applyFont="1" applyFill="1" applyAlignment="1" applyProtection="1">
      <alignment horizontal="right"/>
    </xf>
    <xf numFmtId="43" fontId="4" fillId="5" borderId="0" xfId="0" applyNumberFormat="1" applyFont="1" applyFill="1" applyAlignment="1" applyProtection="1">
      <alignment horizontal="center"/>
    </xf>
    <xf numFmtId="1" fontId="4" fillId="5" borderId="0" xfId="0" applyNumberFormat="1" applyFont="1" applyFill="1" applyAlignment="1" applyProtection="1">
      <alignment horizontal="center"/>
    </xf>
    <xf numFmtId="1" fontId="4" fillId="5" borderId="8" xfId="0" applyNumberFormat="1" applyFont="1" applyFill="1" applyBorder="1" applyAlignment="1" applyProtection="1">
      <alignment horizontal="center"/>
    </xf>
    <xf numFmtId="1" fontId="4" fillId="5" borderId="0" xfId="0" applyNumberFormat="1" applyFont="1" applyFill="1" applyBorder="1" applyAlignment="1" applyProtection="1">
      <alignment horizontal="center"/>
    </xf>
    <xf numFmtId="1" fontId="4" fillId="5" borderId="13" xfId="0" applyNumberFormat="1" applyFont="1" applyFill="1" applyBorder="1" applyAlignment="1" applyProtection="1">
      <alignment horizontal="center"/>
    </xf>
    <xf numFmtId="43" fontId="4" fillId="5" borderId="0" xfId="0" applyNumberFormat="1" applyFont="1" applyFill="1" applyAlignment="1">
      <alignment horizontal="center"/>
    </xf>
    <xf numFmtId="172" fontId="0" fillId="15" borderId="8" xfId="0" applyNumberFormat="1" applyFont="1" applyFill="1" applyBorder="1" applyAlignment="1" applyProtection="1">
      <alignment horizontal="center"/>
    </xf>
    <xf numFmtId="172" fontId="0" fillId="15" borderId="0" xfId="0" applyNumberFormat="1" applyFont="1" applyFill="1" applyBorder="1" applyAlignment="1" applyProtection="1">
      <alignment horizontal="center"/>
    </xf>
    <xf numFmtId="172" fontId="0" fillId="15" borderId="13" xfId="0" applyNumberFormat="1" applyFont="1" applyFill="1" applyBorder="1" applyAlignment="1" applyProtection="1">
      <alignment horizontal="center"/>
    </xf>
    <xf numFmtId="172" fontId="0" fillId="15" borderId="10" xfId="0" applyNumberFormat="1" applyFont="1" applyFill="1" applyBorder="1" applyAlignment="1" applyProtection="1"/>
    <xf numFmtId="172" fontId="0" fillId="15" borderId="11" xfId="0" applyNumberFormat="1" applyFont="1" applyFill="1" applyBorder="1" applyAlignment="1" applyProtection="1">
      <alignment horizontal="center"/>
    </xf>
    <xf numFmtId="172" fontId="0" fillId="15" borderId="10" xfId="0" applyNumberFormat="1" applyFont="1" applyFill="1" applyBorder="1" applyAlignment="1" applyProtection="1">
      <alignment horizontal="center"/>
    </xf>
    <xf numFmtId="172" fontId="0" fillId="15" borderId="12" xfId="0" applyNumberFormat="1" applyFont="1" applyFill="1" applyBorder="1" applyAlignment="1" applyProtection="1">
      <alignment horizontal="center"/>
    </xf>
    <xf numFmtId="0" fontId="0" fillId="15" borderId="14" xfId="0" applyFont="1" applyFill="1" applyBorder="1" applyAlignment="1" applyProtection="1">
      <alignment horizontal="right"/>
    </xf>
    <xf numFmtId="43" fontId="0" fillId="15" borderId="4" xfId="0" applyNumberFormat="1" applyFont="1" applyFill="1" applyBorder="1" applyAlignment="1" applyProtection="1">
      <alignment horizontal="center"/>
    </xf>
    <xf numFmtId="1" fontId="0" fillId="15" borderId="4" xfId="0" applyNumberFormat="1" applyFont="1" applyFill="1" applyBorder="1" applyAlignment="1" applyProtection="1">
      <alignment horizontal="center"/>
    </xf>
    <xf numFmtId="1" fontId="0" fillId="15" borderId="14" xfId="0" applyNumberFormat="1" applyFont="1" applyFill="1" applyBorder="1" applyAlignment="1" applyProtection="1">
      <alignment horizontal="center"/>
    </xf>
    <xf numFmtId="1" fontId="0" fillId="15" borderId="15" xfId="0" applyNumberFormat="1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right"/>
    </xf>
    <xf numFmtId="172" fontId="30" fillId="5" borderId="0" xfId="0" applyNumberFormat="1" applyFont="1" applyFill="1" applyAlignment="1">
      <alignment horizontal="right"/>
    </xf>
    <xf numFmtId="168" fontId="0" fillId="15" borderId="4" xfId="0" applyNumberFormat="1" applyFont="1" applyFill="1" applyBorder="1" applyAlignment="1" applyProtection="1">
      <alignment horizontal="center"/>
    </xf>
    <xf numFmtId="168" fontId="0" fillId="15" borderId="14" xfId="0" applyNumberFormat="1" applyFont="1" applyFill="1" applyBorder="1" applyAlignment="1" applyProtection="1">
      <alignment horizontal="center"/>
    </xf>
    <xf numFmtId="168" fontId="0" fillId="15" borderId="15" xfId="0" applyNumberFormat="1" applyFont="1" applyFill="1" applyBorder="1" applyAlignment="1" applyProtection="1">
      <alignment horizontal="center"/>
    </xf>
    <xf numFmtId="43" fontId="4" fillId="5" borderId="0" xfId="0" applyNumberFormat="1" applyFont="1" applyFill="1" applyAlignment="1" applyProtection="1">
      <alignment horizontal="right"/>
    </xf>
    <xf numFmtId="1" fontId="4" fillId="5" borderId="0" xfId="0" applyNumberFormat="1" applyFont="1" applyFill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4" fillId="5" borderId="13" xfId="0" applyNumberFormat="1" applyFont="1" applyFill="1" applyBorder="1" applyAlignment="1">
      <alignment horizontal="center"/>
    </xf>
    <xf numFmtId="1" fontId="4" fillId="5" borderId="0" xfId="0" applyNumberFormat="1" applyFont="1" applyFill="1" applyAlignment="1">
      <alignment horizontal="right"/>
    </xf>
    <xf numFmtId="172" fontId="0" fillId="15" borderId="57" xfId="0" applyNumberFormat="1" applyFont="1" applyFill="1" applyBorder="1" applyAlignment="1" applyProtection="1">
      <alignment horizontal="center"/>
    </xf>
    <xf numFmtId="0" fontId="0" fillId="15" borderId="14" xfId="0" applyFont="1" applyFill="1" applyBorder="1"/>
    <xf numFmtId="1" fontId="0" fillId="4" borderId="43" xfId="0" applyNumberFormat="1" applyFont="1" applyFill="1" applyBorder="1" applyAlignment="1">
      <alignment horizontal="center"/>
    </xf>
    <xf numFmtId="1" fontId="0" fillId="4" borderId="44" xfId="0" applyNumberFormat="1" applyFont="1" applyFill="1" applyBorder="1" applyAlignment="1">
      <alignment horizontal="center"/>
    </xf>
    <xf numFmtId="1" fontId="0" fillId="4" borderId="58" xfId="0" applyNumberFormat="1" applyFont="1" applyFill="1" applyBorder="1" applyAlignment="1">
      <alignment horizontal="center"/>
    </xf>
    <xf numFmtId="172" fontId="0" fillId="15" borderId="8" xfId="0" applyNumberFormat="1" applyFont="1" applyFill="1" applyBorder="1" applyAlignment="1" applyProtection="1"/>
    <xf numFmtId="1" fontId="0" fillId="15" borderId="14" xfId="0" applyNumberFormat="1" applyFont="1" applyFill="1" applyBorder="1" applyAlignment="1" applyProtection="1"/>
    <xf numFmtId="0" fontId="4" fillId="0" borderId="4" xfId="0" applyFont="1" applyBorder="1" applyAlignment="1">
      <alignment horizontal="center"/>
    </xf>
    <xf numFmtId="43" fontId="12" fillId="10" borderId="0" xfId="4" applyNumberFormat="1" applyFont="1" applyFill="1" applyBorder="1"/>
    <xf numFmtId="172" fontId="15" fillId="10" borderId="0" xfId="3" applyNumberFormat="1" applyFont="1" applyFill="1" applyBorder="1" applyAlignment="1">
      <alignment horizontal="right"/>
    </xf>
    <xf numFmtId="0" fontId="15" fillId="10" borderId="0" xfId="5" applyNumberFormat="1" applyFont="1" applyFill="1" applyBorder="1"/>
    <xf numFmtId="43" fontId="14" fillId="19" borderId="0" xfId="3" applyNumberFormat="1" applyFont="1" applyFill="1" applyBorder="1"/>
    <xf numFmtId="43" fontId="14" fillId="19" borderId="0" xfId="4" applyNumberFormat="1" applyFont="1" applyFill="1" applyBorder="1"/>
    <xf numFmtId="172" fontId="15" fillId="19" borderId="0" xfId="3" applyNumberFormat="1" applyFont="1" applyFill="1" applyBorder="1" applyAlignment="1">
      <alignment horizontal="right"/>
    </xf>
    <xf numFmtId="0" fontId="14" fillId="19" borderId="0" xfId="5" applyNumberFormat="1" applyFont="1" applyFill="1" applyBorder="1"/>
    <xf numFmtId="172" fontId="15" fillId="10" borderId="0" xfId="0" applyNumberFormat="1" applyFont="1" applyFill="1" applyBorder="1" applyAlignment="1">
      <alignment horizontal="right"/>
    </xf>
    <xf numFmtId="172" fontId="15" fillId="10" borderId="0" xfId="6" applyNumberFormat="1" applyFont="1" applyFill="1" applyBorder="1" applyAlignment="1">
      <alignment horizontal="right"/>
    </xf>
    <xf numFmtId="167" fontId="15" fillId="10" borderId="0" xfId="3" applyNumberFormat="1" applyFont="1" applyFill="1" applyBorder="1"/>
    <xf numFmtId="43" fontId="14" fillId="10" borderId="0" xfId="3" applyNumberFormat="1" applyFont="1" applyFill="1" applyBorder="1"/>
    <xf numFmtId="172" fontId="15" fillId="10" borderId="0" xfId="1" applyNumberFormat="1" applyFont="1" applyFill="1" applyBorder="1" applyAlignment="1">
      <alignment horizontal="right"/>
    </xf>
    <xf numFmtId="43" fontId="12" fillId="19" borderId="0" xfId="3" applyNumberFormat="1" applyFont="1" applyFill="1" applyBorder="1"/>
    <xf numFmtId="0" fontId="17" fillId="19" borderId="0" xfId="0" applyNumberFormat="1" applyFont="1" applyFill="1" applyBorder="1"/>
    <xf numFmtId="43" fontId="17" fillId="19" borderId="0" xfId="4" applyNumberFormat="1" applyFont="1" applyFill="1" applyBorder="1"/>
    <xf numFmtId="172" fontId="15" fillId="19" borderId="0" xfId="0" applyNumberFormat="1" applyFont="1" applyFill="1" applyBorder="1" applyAlignment="1">
      <alignment horizontal="right"/>
    </xf>
    <xf numFmtId="0" fontId="15" fillId="19" borderId="0" xfId="5" applyNumberFormat="1" applyFont="1" applyFill="1" applyBorder="1"/>
    <xf numFmtId="0" fontId="12" fillId="10" borderId="0" xfId="0" applyNumberFormat="1" applyFont="1" applyFill="1" applyBorder="1"/>
    <xf numFmtId="0" fontId="14" fillId="10" borderId="0" xfId="5" applyNumberFormat="1" applyFont="1" applyFill="1" applyBorder="1"/>
    <xf numFmtId="0" fontId="12" fillId="19" borderId="0" xfId="0" applyNumberFormat="1" applyFont="1" applyFill="1" applyBorder="1"/>
    <xf numFmtId="43" fontId="12" fillId="19" borderId="0" xfId="4" applyNumberFormat="1" applyFont="1" applyFill="1" applyBorder="1"/>
    <xf numFmtId="172" fontId="15" fillId="19" borderId="0" xfId="6" applyNumberFormat="1" applyFont="1" applyFill="1" applyBorder="1" applyAlignment="1">
      <alignment horizontal="right"/>
    </xf>
    <xf numFmtId="43" fontId="17" fillId="19" borderId="0" xfId="3" applyNumberFormat="1" applyFont="1" applyFill="1" applyBorder="1"/>
    <xf numFmtId="0" fontId="15" fillId="19" borderId="0" xfId="5" applyFont="1" applyFill="1" applyBorder="1"/>
    <xf numFmtId="43" fontId="12" fillId="19" borderId="4" xfId="3" applyNumberFormat="1" applyFont="1" applyFill="1" applyBorder="1" applyAlignment="1"/>
    <xf numFmtId="43" fontId="16" fillId="15" borderId="0" xfId="0" applyNumberFormat="1" applyFont="1" applyFill="1" applyBorder="1"/>
    <xf numFmtId="43" fontId="16" fillId="15" borderId="13" xfId="0" applyNumberFormat="1" applyFont="1" applyFill="1" applyBorder="1"/>
    <xf numFmtId="43" fontId="16" fillId="15" borderId="13" xfId="1" applyFont="1" applyFill="1" applyBorder="1"/>
    <xf numFmtId="43" fontId="16" fillId="5" borderId="0" xfId="0" applyNumberFormat="1" applyFont="1" applyFill="1" applyBorder="1"/>
    <xf numFmtId="43" fontId="16" fillId="5" borderId="13" xfId="0" applyNumberFormat="1" applyFont="1" applyFill="1" applyBorder="1"/>
    <xf numFmtId="1" fontId="16" fillId="5" borderId="0" xfId="0" applyNumberFormat="1" applyFont="1" applyFill="1" applyBorder="1"/>
    <xf numFmtId="1" fontId="16" fillId="5" borderId="13" xfId="0" applyNumberFormat="1" applyFont="1" applyFill="1" applyBorder="1"/>
    <xf numFmtId="43" fontId="12" fillId="4" borderId="30" xfId="3" applyNumberFormat="1" applyFont="1" applyFill="1" applyBorder="1"/>
    <xf numFmtId="43" fontId="16" fillId="15" borderId="11" xfId="0" applyNumberFormat="1" applyFont="1" applyFill="1" applyBorder="1"/>
    <xf numFmtId="43" fontId="16" fillId="15" borderId="12" xfId="0" applyNumberFormat="1" applyFont="1" applyFill="1" applyBorder="1"/>
    <xf numFmtId="172" fontId="15" fillId="19" borderId="30" xfId="6" applyNumberFormat="1" applyFont="1" applyFill="1" applyBorder="1" applyAlignment="1">
      <alignment horizontal="right"/>
    </xf>
    <xf numFmtId="1" fontId="12" fillId="19" borderId="6" xfId="3" applyNumberFormat="1" applyFont="1" applyFill="1" applyBorder="1"/>
    <xf numFmtId="1" fontId="12" fillId="10" borderId="6" xfId="0" applyNumberFormat="1" applyFont="1" applyFill="1" applyBorder="1"/>
    <xf numFmtId="1" fontId="12" fillId="10" borderId="6" xfId="4" applyNumberFormat="1" applyFont="1" applyFill="1" applyBorder="1"/>
    <xf numFmtId="9" fontId="47" fillId="10" borderId="6" xfId="0" applyNumberFormat="1" applyFont="1" applyFill="1" applyBorder="1"/>
    <xf numFmtId="174" fontId="14" fillId="19" borderId="6" xfId="3" applyNumberFormat="1" applyFont="1" applyFill="1" applyBorder="1" applyAlignment="1">
      <alignment horizontal="right"/>
    </xf>
    <xf numFmtId="9" fontId="12" fillId="10" borderId="6" xfId="0" applyNumberFormat="1" applyFont="1" applyFill="1" applyBorder="1"/>
    <xf numFmtId="0" fontId="15" fillId="10" borderId="6" xfId="5" applyFont="1" applyFill="1" applyBorder="1" applyAlignment="1">
      <alignment horizontal="left"/>
    </xf>
    <xf numFmtId="0" fontId="16" fillId="5" borderId="0" xfId="0" applyFont="1" applyFill="1" applyAlignment="1">
      <alignment wrapText="1"/>
    </xf>
    <xf numFmtId="172" fontId="16" fillId="5" borderId="0" xfId="0" applyNumberFormat="1" applyFont="1" applyFill="1" applyAlignment="1">
      <alignment horizontal="right"/>
    </xf>
    <xf numFmtId="172" fontId="17" fillId="20" borderId="48" xfId="4" applyNumberFormat="1" applyFont="1" applyFill="1" applyBorder="1"/>
    <xf numFmtId="172" fontId="15" fillId="20" borderId="48" xfId="3" applyNumberFormat="1" applyFont="1" applyFill="1" applyBorder="1"/>
    <xf numFmtId="172" fontId="16" fillId="15" borderId="11" xfId="1" applyNumberFormat="1" applyFont="1" applyFill="1" applyBorder="1"/>
    <xf numFmtId="172" fontId="17" fillId="20" borderId="6" xfId="4" applyNumberFormat="1" applyFont="1" applyFill="1" applyBorder="1"/>
    <xf numFmtId="172" fontId="15" fillId="20" borderId="6" xfId="3" applyNumberFormat="1" applyFont="1" applyFill="1" applyBorder="1"/>
    <xf numFmtId="172" fontId="16" fillId="15" borderId="0" xfId="1" applyNumberFormat="1" applyFont="1" applyFill="1" applyBorder="1"/>
    <xf numFmtId="172" fontId="12" fillId="4" borderId="50" xfId="3" applyNumberFormat="1" applyFont="1" applyFill="1" applyBorder="1"/>
    <xf numFmtId="172" fontId="17" fillId="4" borderId="6" xfId="0" applyNumberFormat="1" applyFont="1" applyFill="1" applyBorder="1"/>
    <xf numFmtId="172" fontId="17" fillId="4" borderId="6" xfId="4" applyNumberFormat="1" applyFont="1" applyFill="1" applyBorder="1"/>
    <xf numFmtId="172" fontId="15" fillId="4" borderId="6" xfId="3" applyNumberFormat="1" applyFont="1" applyFill="1" applyBorder="1"/>
    <xf numFmtId="172" fontId="12" fillId="20" borderId="50" xfId="3" applyNumberFormat="1" applyFont="1" applyFill="1" applyBorder="1"/>
    <xf numFmtId="172" fontId="17" fillId="20" borderId="6" xfId="0" applyNumberFormat="1" applyFont="1" applyFill="1" applyBorder="1"/>
    <xf numFmtId="172" fontId="12" fillId="4" borderId="51" xfId="3" applyNumberFormat="1" applyFont="1" applyFill="1" applyBorder="1"/>
    <xf numFmtId="172" fontId="17" fillId="4" borderId="52" xfId="0" applyNumberFormat="1" applyFont="1" applyFill="1" applyBorder="1"/>
    <xf numFmtId="172" fontId="17" fillId="4" borderId="52" xfId="4" applyNumberFormat="1" applyFont="1" applyFill="1" applyBorder="1"/>
    <xf numFmtId="172" fontId="15" fillId="4" borderId="52" xfId="3" applyNumberFormat="1" applyFont="1" applyFill="1" applyBorder="1"/>
    <xf numFmtId="172" fontId="16" fillId="15" borderId="4" xfId="1" applyNumberFormat="1" applyFont="1" applyFill="1" applyBorder="1"/>
    <xf numFmtId="172" fontId="12" fillId="20" borderId="53" xfId="3" applyNumberFormat="1" applyFont="1" applyFill="1" applyBorder="1"/>
    <xf numFmtId="172" fontId="17" fillId="20" borderId="48" xfId="0" applyNumberFormat="1" applyFont="1" applyFill="1" applyBorder="1"/>
    <xf numFmtId="172" fontId="12" fillId="20" borderId="51" xfId="3" applyNumberFormat="1" applyFont="1" applyFill="1" applyBorder="1"/>
    <xf numFmtId="172" fontId="17" fillId="20" borderId="52" xfId="0" applyNumberFormat="1" applyFont="1" applyFill="1" applyBorder="1"/>
    <xf numFmtId="172" fontId="17" fillId="20" borderId="52" xfId="4" applyNumberFormat="1" applyFont="1" applyFill="1" applyBorder="1"/>
    <xf numFmtId="0" fontId="17" fillId="19" borderId="30" xfId="0" applyNumberFormat="1" applyFont="1" applyFill="1" applyBorder="1"/>
    <xf numFmtId="43" fontId="17" fillId="19" borderId="30" xfId="4" applyNumberFormat="1" applyFont="1" applyFill="1" applyBorder="1"/>
    <xf numFmtId="167" fontId="15" fillId="19" borderId="30" xfId="3" applyNumberFormat="1" applyFont="1" applyFill="1" applyBorder="1"/>
    <xf numFmtId="0" fontId="12" fillId="20" borderId="48" xfId="0" applyNumberFormat="1" applyFont="1" applyFill="1" applyBorder="1"/>
    <xf numFmtId="43" fontId="12" fillId="20" borderId="48" xfId="4" applyNumberFormat="1" applyFont="1" applyFill="1" applyBorder="1"/>
    <xf numFmtId="172" fontId="15" fillId="20" borderId="48" xfId="6" applyNumberFormat="1" applyFont="1" applyFill="1" applyBorder="1" applyAlignment="1">
      <alignment horizontal="right"/>
    </xf>
    <xf numFmtId="0" fontId="14" fillId="20" borderId="48" xfId="5" applyFont="1" applyFill="1" applyBorder="1" applyAlignment="1">
      <alignment horizontal="left"/>
    </xf>
    <xf numFmtId="167" fontId="16" fillId="15" borderId="11" xfId="1" applyNumberFormat="1" applyFont="1" applyFill="1" applyBorder="1"/>
    <xf numFmtId="167" fontId="16" fillId="15" borderId="11" xfId="0" applyNumberFormat="1" applyFont="1" applyFill="1" applyBorder="1"/>
    <xf numFmtId="167" fontId="16" fillId="15" borderId="12" xfId="0" applyNumberFormat="1" applyFont="1" applyFill="1" applyBorder="1"/>
    <xf numFmtId="167" fontId="16" fillId="5" borderId="0" xfId="1" applyNumberFormat="1" applyFont="1" applyFill="1" applyAlignment="1">
      <alignment horizontal="center"/>
    </xf>
    <xf numFmtId="172" fontId="16" fillId="15" borderId="12" xfId="1" applyNumberFormat="1" applyFont="1" applyFill="1" applyBorder="1"/>
    <xf numFmtId="172" fontId="16" fillId="15" borderId="13" xfId="1" applyNumberFormat="1" applyFont="1" applyFill="1" applyBorder="1"/>
    <xf numFmtId="172" fontId="15" fillId="20" borderId="52" xfId="3" applyNumberFormat="1" applyFont="1" applyFill="1" applyBorder="1"/>
    <xf numFmtId="172" fontId="17" fillId="20" borderId="11" xfId="4" applyNumberFormat="1" applyFont="1" applyFill="1" applyBorder="1"/>
    <xf numFmtId="172" fontId="15" fillId="20" borderId="11" xfId="3" applyNumberFormat="1" applyFont="1" applyFill="1" applyBorder="1"/>
    <xf numFmtId="172" fontId="17" fillId="20" borderId="0" xfId="4" applyNumberFormat="1" applyFont="1" applyFill="1" applyBorder="1"/>
    <xf numFmtId="172" fontId="15" fillId="20" borderId="0" xfId="3" applyNumberFormat="1" applyFont="1" applyFill="1" applyBorder="1"/>
    <xf numFmtId="172" fontId="12" fillId="4" borderId="8" xfId="3" applyNumberFormat="1" applyFont="1" applyFill="1" applyBorder="1"/>
    <xf numFmtId="172" fontId="17" fillId="4" borderId="0" xfId="0" applyNumberFormat="1" applyFont="1" applyFill="1" applyBorder="1"/>
    <xf numFmtId="172" fontId="17" fillId="4" borderId="0" xfId="4" applyNumberFormat="1" applyFont="1" applyFill="1" applyBorder="1"/>
    <xf numFmtId="172" fontId="15" fillId="4" borderId="0" xfId="3" applyNumberFormat="1" applyFont="1" applyFill="1" applyBorder="1"/>
    <xf numFmtId="172" fontId="12" fillId="20" borderId="8" xfId="3" applyNumberFormat="1" applyFont="1" applyFill="1" applyBorder="1"/>
    <xf numFmtId="172" fontId="17" fillId="20" borderId="0" xfId="0" applyNumberFormat="1" applyFont="1" applyFill="1" applyBorder="1"/>
    <xf numFmtId="172" fontId="12" fillId="4" borderId="14" xfId="3" applyNumberFormat="1" applyFont="1" applyFill="1" applyBorder="1"/>
    <xf numFmtId="172" fontId="17" fillId="4" borderId="4" xfId="0" applyNumberFormat="1" applyFont="1" applyFill="1" applyBorder="1"/>
    <xf numFmtId="172" fontId="17" fillId="4" borderId="4" xfId="4" applyNumberFormat="1" applyFont="1" applyFill="1" applyBorder="1"/>
    <xf numFmtId="172" fontId="15" fillId="4" borderId="4" xfId="3" applyNumberFormat="1" applyFont="1" applyFill="1" applyBorder="1"/>
    <xf numFmtId="0" fontId="4" fillId="0" borderId="15" xfId="0" applyFont="1" applyBorder="1" applyAlignment="1">
      <alignment horizontal="center"/>
    </xf>
    <xf numFmtId="1" fontId="12" fillId="10" borderId="30" xfId="3" applyNumberFormat="1" applyFont="1" applyFill="1" applyBorder="1"/>
    <xf numFmtId="1" fontId="12" fillId="10" borderId="30" xfId="0" applyNumberFormat="1" applyFont="1" applyFill="1" applyBorder="1"/>
    <xf numFmtId="1" fontId="12" fillId="10" borderId="30" xfId="4" applyNumberFormat="1" applyFont="1" applyFill="1" applyBorder="1"/>
    <xf numFmtId="1" fontId="14" fillId="10" borderId="30" xfId="3" applyNumberFormat="1" applyFont="1" applyFill="1" applyBorder="1" applyAlignment="1">
      <alignment horizontal="right"/>
    </xf>
    <xf numFmtId="175" fontId="18" fillId="5" borderId="0" xfId="0" applyNumberFormat="1" applyFont="1" applyFill="1" applyBorder="1"/>
    <xf numFmtId="44" fontId="18" fillId="5" borderId="0" xfId="144" applyFont="1" applyFill="1" applyBorder="1"/>
    <xf numFmtId="44" fontId="18" fillId="5" borderId="13" xfId="144" applyFont="1" applyFill="1" applyBorder="1"/>
    <xf numFmtId="172" fontId="18" fillId="5" borderId="0" xfId="1" applyNumberFormat="1" applyFont="1" applyFill="1" applyBorder="1"/>
    <xf numFmtId="172" fontId="18" fillId="5" borderId="13" xfId="1" applyNumberFormat="1" applyFont="1" applyFill="1" applyBorder="1"/>
    <xf numFmtId="43" fontId="17" fillId="19" borderId="20" xfId="4" applyNumberFormat="1" applyFont="1" applyFill="1" applyBorder="1"/>
    <xf numFmtId="172" fontId="18" fillId="5" borderId="0" xfId="0" applyNumberFormat="1" applyFont="1" applyFill="1" applyBorder="1"/>
    <xf numFmtId="172" fontId="18" fillId="5" borderId="13" xfId="0" applyNumberFormat="1" applyFont="1" applyFill="1" applyBorder="1"/>
    <xf numFmtId="43" fontId="18" fillId="5" borderId="0" xfId="0" applyNumberFormat="1" applyFont="1" applyFill="1" applyBorder="1"/>
    <xf numFmtId="43" fontId="18" fillId="5" borderId="13" xfId="0" applyNumberFormat="1" applyFont="1" applyFill="1" applyBorder="1"/>
    <xf numFmtId="9" fontId="15" fillId="20" borderId="6" xfId="3" applyNumberFormat="1" applyFont="1" applyFill="1" applyBorder="1" applyAlignment="1">
      <alignment horizontal="right"/>
    </xf>
    <xf numFmtId="175" fontId="16" fillId="15" borderId="0" xfId="0" applyNumberFormat="1" applyFont="1" applyFill="1" applyBorder="1"/>
    <xf numFmtId="9" fontId="15" fillId="20" borderId="52" xfId="3" applyNumberFormat="1" applyFont="1" applyFill="1" applyBorder="1" applyAlignment="1">
      <alignment horizontal="right"/>
    </xf>
    <xf numFmtId="175" fontId="16" fillId="15" borderId="4" xfId="0" applyNumberFormat="1" applyFont="1" applyFill="1" applyBorder="1"/>
    <xf numFmtId="1" fontId="18" fillId="0" borderId="0" xfId="0" applyNumberFormat="1" applyFont="1"/>
    <xf numFmtId="1" fontId="18" fillId="0" borderId="0" xfId="1" applyNumberFormat="1" applyFont="1"/>
    <xf numFmtId="1" fontId="18" fillId="0" borderId="0" xfId="0" applyNumberFormat="1" applyFont="1" applyBorder="1"/>
    <xf numFmtId="1" fontId="18" fillId="0" borderId="13" xfId="0" applyNumberFormat="1" applyFont="1" applyBorder="1"/>
    <xf numFmtId="172" fontId="12" fillId="10" borderId="30" xfId="3" applyNumberFormat="1" applyFont="1" applyFill="1" applyBorder="1"/>
    <xf numFmtId="172" fontId="12" fillId="10" borderId="30" xfId="0" applyNumberFormat="1" applyFont="1" applyFill="1" applyBorder="1"/>
    <xf numFmtId="172" fontId="12" fillId="10" borderId="30" xfId="4" applyNumberFormat="1" applyFont="1" applyFill="1" applyBorder="1"/>
    <xf numFmtId="172" fontId="14" fillId="10" borderId="30" xfId="3" applyNumberFormat="1" applyFont="1" applyFill="1" applyBorder="1" applyAlignment="1">
      <alignment horizontal="right"/>
    </xf>
    <xf numFmtId="172" fontId="18" fillId="15" borderId="23" xfId="0" applyNumberFormat="1" applyFont="1" applyFill="1" applyBorder="1"/>
    <xf numFmtId="172" fontId="15" fillId="20" borderId="48" xfId="4" applyNumberFormat="1" applyFont="1" applyFill="1" applyBorder="1" applyAlignment="1">
      <alignment horizontal="right"/>
    </xf>
    <xf numFmtId="43" fontId="16" fillId="15" borderId="15" xfId="1" applyFont="1" applyFill="1" applyBorder="1"/>
    <xf numFmtId="9" fontId="15" fillId="9" borderId="52" xfId="6" applyNumberFormat="1" applyFont="1" applyFill="1" applyBorder="1" applyAlignment="1">
      <alignment horizontal="right"/>
    </xf>
    <xf numFmtId="1" fontId="18" fillId="5" borderId="0" xfId="0" applyNumberFormat="1" applyFont="1" applyFill="1"/>
    <xf numFmtId="1" fontId="18" fillId="5" borderId="0" xfId="1" applyNumberFormat="1" applyFont="1" applyFill="1" applyAlignment="1">
      <alignment horizontal="center"/>
    </xf>
    <xf numFmtId="1" fontId="18" fillId="5" borderId="0" xfId="1" applyNumberFormat="1" applyFont="1" applyFill="1"/>
    <xf numFmtId="1" fontId="18" fillId="5" borderId="0" xfId="0" applyNumberFormat="1" applyFont="1" applyFill="1" applyBorder="1"/>
    <xf numFmtId="1" fontId="18" fillId="5" borderId="13" xfId="0" applyNumberFormat="1" applyFont="1" applyFill="1" applyBorder="1"/>
    <xf numFmtId="1" fontId="14" fillId="10" borderId="30" xfId="3" applyNumberFormat="1" applyFont="1" applyFill="1" applyBorder="1" applyAlignment="1">
      <alignment horizontal="left"/>
    </xf>
    <xf numFmtId="1" fontId="12" fillId="19" borderId="6" xfId="0" applyNumberFormat="1" applyFont="1" applyFill="1" applyBorder="1"/>
    <xf numFmtId="1" fontId="12" fillId="19" borderId="6" xfId="4" applyNumberFormat="1" applyFont="1" applyFill="1" applyBorder="1"/>
    <xf numFmtId="1" fontId="14" fillId="19" borderId="6" xfId="3" applyNumberFormat="1" applyFont="1" applyFill="1" applyBorder="1"/>
    <xf numFmtId="1" fontId="18" fillId="0" borderId="0" xfId="1" applyNumberFormat="1" applyFont="1" applyBorder="1"/>
    <xf numFmtId="1" fontId="18" fillId="0" borderId="13" xfId="1" applyNumberFormat="1" applyFont="1" applyBorder="1"/>
    <xf numFmtId="49" fontId="5" fillId="15" borderId="11" xfId="0" applyNumberFormat="1" applyFont="1" applyFill="1" applyBorder="1"/>
    <xf numFmtId="164" fontId="7" fillId="15" borderId="11" xfId="0" applyNumberFormat="1" applyFont="1" applyFill="1" applyBorder="1"/>
    <xf numFmtId="165" fontId="7" fillId="15" borderId="11" xfId="0" applyNumberFormat="1" applyFont="1" applyFill="1" applyBorder="1"/>
    <xf numFmtId="164" fontId="7" fillId="15" borderId="12" xfId="0" applyNumberFormat="1" applyFont="1" applyFill="1" applyBorder="1"/>
    <xf numFmtId="164" fontId="7" fillId="15" borderId="10" xfId="0" applyNumberFormat="1" applyFont="1" applyFill="1" applyBorder="1"/>
    <xf numFmtId="164" fontId="7" fillId="15" borderId="28" xfId="0" applyNumberFormat="1" applyFont="1" applyFill="1" applyBorder="1"/>
    <xf numFmtId="10" fontId="7" fillId="15" borderId="11" xfId="2" applyNumberFormat="1" applyFont="1" applyFill="1" applyBorder="1"/>
    <xf numFmtId="49" fontId="5" fillId="15" borderId="4" xfId="0" applyNumberFormat="1" applyFont="1" applyFill="1" applyBorder="1"/>
    <xf numFmtId="164" fontId="7" fillId="15" borderId="4" xfId="0" applyNumberFormat="1" applyFont="1" applyFill="1" applyBorder="1"/>
    <xf numFmtId="165" fontId="7" fillId="15" borderId="4" xfId="0" applyNumberFormat="1" applyFont="1" applyFill="1" applyBorder="1"/>
    <xf numFmtId="164" fontId="7" fillId="15" borderId="15" xfId="0" applyNumberFormat="1" applyFont="1" applyFill="1" applyBorder="1"/>
    <xf numFmtId="164" fontId="7" fillId="15" borderId="14" xfId="0" applyNumberFormat="1" applyFont="1" applyFill="1" applyBorder="1"/>
    <xf numFmtId="164" fontId="7" fillId="15" borderId="29" xfId="0" applyNumberFormat="1" applyFont="1" applyFill="1" applyBorder="1"/>
    <xf numFmtId="10" fontId="7" fillId="15" borderId="4" xfId="2" applyNumberFormat="1" applyFont="1" applyFill="1" applyBorder="1"/>
    <xf numFmtId="172" fontId="5" fillId="2" borderId="0" xfId="0" applyNumberFormat="1" applyFont="1" applyFill="1" applyBorder="1"/>
    <xf numFmtId="172" fontId="5" fillId="0" borderId="0" xfId="2" applyNumberFormat="1" applyFont="1" applyBorder="1"/>
    <xf numFmtId="49" fontId="5" fillId="0" borderId="0" xfId="0" applyNumberFormat="1" applyFont="1" applyBorder="1"/>
    <xf numFmtId="164" fontId="7" fillId="2" borderId="0" xfId="0" applyNumberFormat="1" applyFont="1" applyFill="1" applyBorder="1"/>
    <xf numFmtId="49" fontId="5" fillId="15" borderId="0" xfId="0" applyNumberFormat="1" applyFont="1" applyFill="1" applyBorder="1"/>
    <xf numFmtId="164" fontId="7" fillId="15" borderId="0" xfId="0" applyNumberFormat="1" applyFont="1" applyFill="1" applyBorder="1"/>
    <xf numFmtId="10" fontId="7" fillId="15" borderId="0" xfId="2" applyNumberFormat="1" applyFont="1" applyFill="1" applyBorder="1"/>
    <xf numFmtId="164" fontId="7" fillId="15" borderId="13" xfId="0" applyNumberFormat="1" applyFont="1" applyFill="1" applyBorder="1"/>
    <xf numFmtId="164" fontId="7" fillId="15" borderId="7" xfId="0" applyNumberFormat="1" applyFont="1" applyFill="1" applyBorder="1"/>
    <xf numFmtId="164" fontId="7" fillId="15" borderId="8" xfId="0" applyNumberFormat="1" applyFont="1" applyFill="1" applyBorder="1"/>
    <xf numFmtId="49" fontId="22" fillId="15" borderId="0" xfId="0" applyNumberFormat="1" applyFont="1" applyFill="1" applyBorder="1"/>
    <xf numFmtId="172" fontId="5" fillId="2" borderId="0" xfId="2" applyNumberFormat="1" applyFont="1" applyFill="1" applyBorder="1"/>
    <xf numFmtId="172" fontId="4" fillId="0" borderId="0" xfId="0" applyNumberFormat="1" applyFont="1" applyBorder="1"/>
    <xf numFmtId="164" fontId="66" fillId="2" borderId="0" xfId="0" applyNumberFormat="1" applyFont="1" applyFill="1" applyBorder="1"/>
    <xf numFmtId="10" fontId="66" fillId="2" borderId="0" xfId="2" applyNumberFormat="1" applyFont="1" applyFill="1" applyBorder="1"/>
    <xf numFmtId="164" fontId="66" fillId="0" borderId="0" xfId="0" applyNumberFormat="1" applyFont="1" applyBorder="1"/>
    <xf numFmtId="10" fontId="66" fillId="0" borderId="0" xfId="2" applyNumberFormat="1" applyFont="1" applyBorder="1"/>
    <xf numFmtId="0" fontId="23" fillId="0" borderId="0" xfId="0" applyFont="1" applyBorder="1"/>
    <xf numFmtId="49" fontId="67" fillId="0" borderId="0" xfId="0" applyNumberFormat="1" applyFont="1" applyBorder="1"/>
    <xf numFmtId="49" fontId="5" fillId="0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/>
    </xf>
    <xf numFmtId="9" fontId="5" fillId="0" borderId="0" xfId="2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7" fillId="0" borderId="0" xfId="2" applyFont="1" applyBorder="1"/>
    <xf numFmtId="164" fontId="66" fillId="0" borderId="13" xfId="0" applyNumberFormat="1" applyFont="1" applyBorder="1"/>
    <xf numFmtId="172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66" fillId="0" borderId="0" xfId="0" applyNumberFormat="1" applyFont="1" applyBorder="1" applyAlignment="1">
      <alignment horizontal="right"/>
    </xf>
    <xf numFmtId="0" fontId="23" fillId="0" borderId="0" xfId="0" applyFont="1"/>
    <xf numFmtId="49" fontId="67" fillId="0" borderId="0" xfId="0" applyNumberFormat="1" applyFont="1" applyFill="1" applyBorder="1"/>
    <xf numFmtId="49" fontId="67" fillId="0" borderId="0" xfId="0" applyNumberFormat="1" applyFont="1" applyBorder="1" applyAlignment="1">
      <alignment horizontal="center"/>
    </xf>
    <xf numFmtId="49" fontId="67" fillId="15" borderId="10" xfId="0" applyNumberFormat="1" applyFont="1" applyFill="1" applyBorder="1"/>
    <xf numFmtId="49" fontId="67" fillId="15" borderId="14" xfId="0" applyNumberFormat="1" applyFont="1" applyFill="1" applyBorder="1"/>
    <xf numFmtId="49" fontId="67" fillId="0" borderId="0" xfId="0" applyNumberFormat="1" applyFont="1"/>
    <xf numFmtId="49" fontId="67" fillId="15" borderId="8" xfId="0" applyNumberFormat="1" applyFont="1" applyFill="1" applyBorder="1"/>
    <xf numFmtId="9" fontId="18" fillId="0" borderId="0" xfId="0" applyNumberFormat="1" applyFont="1"/>
    <xf numFmtId="0" fontId="67" fillId="0" borderId="0" xfId="0" applyNumberFormat="1" applyFont="1"/>
    <xf numFmtId="0" fontId="67" fillId="0" borderId="0" xfId="0" applyFont="1"/>
    <xf numFmtId="1" fontId="15" fillId="10" borderId="0" xfId="3" applyNumberFormat="1" applyFont="1" applyFill="1" applyBorder="1" applyAlignment="1">
      <alignment horizontal="center"/>
    </xf>
    <xf numFmtId="172" fontId="16" fillId="0" borderId="0" xfId="0" applyNumberFormat="1" applyFont="1" applyBorder="1" applyAlignment="1">
      <alignment horizontal="center" vertical="center"/>
    </xf>
    <xf numFmtId="172" fontId="16" fillId="0" borderId="0" xfId="1" applyNumberFormat="1" applyFont="1" applyBorder="1" applyAlignment="1">
      <alignment horizontal="center" vertical="center"/>
    </xf>
    <xf numFmtId="175" fontId="16" fillId="0" borderId="0" xfId="0" applyNumberFormat="1" applyFont="1" applyBorder="1" applyAlignment="1">
      <alignment horizontal="center" vertical="center"/>
    </xf>
    <xf numFmtId="172" fontId="15" fillId="10" borderId="0" xfId="3" applyNumberFormat="1" applyFont="1" applyFill="1" applyBorder="1" applyAlignment="1">
      <alignment horizontal="right" vertical="center"/>
    </xf>
    <xf numFmtId="172" fontId="14" fillId="10" borderId="0" xfId="3" applyNumberFormat="1" applyFont="1" applyFill="1" applyBorder="1" applyAlignment="1">
      <alignment horizontal="right"/>
    </xf>
    <xf numFmtId="1" fontId="58" fillId="10" borderId="30" xfId="3" applyNumberFormat="1" applyFont="1" applyFill="1" applyBorder="1" applyAlignment="1">
      <alignment horizontal="left" indent="1"/>
    </xf>
    <xf numFmtId="172" fontId="10" fillId="8" borderId="12" xfId="3" applyNumberFormat="1" applyFont="1" applyFill="1" applyBorder="1" applyAlignment="1">
      <alignment horizontal="center" vertical="center"/>
    </xf>
    <xf numFmtId="172" fontId="10" fillId="8" borderId="13" xfId="3" applyNumberFormat="1" applyFont="1" applyFill="1" applyBorder="1" applyAlignment="1">
      <alignment horizontal="center" vertical="center"/>
    </xf>
    <xf numFmtId="172" fontId="10" fillId="8" borderId="15" xfId="3" applyNumberFormat="1" applyFont="1" applyFill="1" applyBorder="1" applyAlignment="1">
      <alignment horizontal="center" vertical="center"/>
    </xf>
    <xf numFmtId="9" fontId="16" fillId="11" borderId="0" xfId="2" applyFont="1" applyFill="1" applyBorder="1" applyAlignment="1">
      <alignment horizontal="center" vertical="center"/>
    </xf>
    <xf numFmtId="9" fontId="16" fillId="15" borderId="0" xfId="2" applyFont="1" applyFill="1" applyBorder="1" applyAlignment="1">
      <alignment horizontal="center" vertical="center"/>
    </xf>
    <xf numFmtId="9" fontId="15" fillId="20" borderId="0" xfId="2" applyFont="1" applyFill="1" applyBorder="1" applyAlignment="1">
      <alignment horizontal="center" vertical="center"/>
    </xf>
    <xf numFmtId="9" fontId="16" fillId="15" borderId="10" xfId="2" applyFont="1" applyFill="1" applyBorder="1" applyAlignment="1">
      <alignment horizontal="center" vertical="center"/>
    </xf>
    <xf numFmtId="9" fontId="16" fillId="11" borderId="11" xfId="2" applyFont="1" applyFill="1" applyBorder="1" applyAlignment="1">
      <alignment horizontal="center" vertical="center"/>
    </xf>
    <xf numFmtId="9" fontId="15" fillId="20" borderId="11" xfId="2" applyFont="1" applyFill="1" applyBorder="1" applyAlignment="1">
      <alignment horizontal="center" vertical="center"/>
    </xf>
    <xf numFmtId="9" fontId="16" fillId="15" borderId="11" xfId="2" applyFont="1" applyFill="1" applyBorder="1" applyAlignment="1">
      <alignment horizontal="center" vertical="center"/>
    </xf>
    <xf numFmtId="9" fontId="16" fillId="15" borderId="8" xfId="2" applyFont="1" applyFill="1" applyBorder="1" applyAlignment="1">
      <alignment horizontal="center" vertical="center"/>
    </xf>
    <xf numFmtId="9" fontId="17" fillId="20" borderId="14" xfId="2" applyFont="1" applyFill="1" applyBorder="1" applyAlignment="1">
      <alignment horizontal="center"/>
    </xf>
    <xf numFmtId="9" fontId="16" fillId="11" borderId="4" xfId="2" applyFont="1" applyFill="1" applyBorder="1" applyAlignment="1">
      <alignment horizontal="center"/>
    </xf>
    <xf numFmtId="9" fontId="15" fillId="20" borderId="52" xfId="2" applyFont="1" applyFill="1" applyBorder="1" applyAlignment="1">
      <alignment horizontal="center"/>
    </xf>
    <xf numFmtId="9" fontId="16" fillId="15" borderId="4" xfId="2" applyFont="1" applyFill="1" applyBorder="1" applyAlignment="1">
      <alignment horizontal="center"/>
    </xf>
    <xf numFmtId="9" fontId="16" fillId="15" borderId="15" xfId="2" applyFont="1" applyFill="1" applyBorder="1" applyAlignment="1">
      <alignment horizontal="center"/>
    </xf>
    <xf numFmtId="9" fontId="16" fillId="15" borderId="4" xfId="2" applyFont="1" applyFill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9" fontId="16" fillId="15" borderId="12" xfId="2" applyFont="1" applyFill="1" applyBorder="1" applyAlignment="1">
      <alignment horizontal="center" vertical="center"/>
    </xf>
    <xf numFmtId="9" fontId="16" fillId="15" borderId="13" xfId="2" applyFont="1" applyFill="1" applyBorder="1" applyAlignment="1">
      <alignment horizontal="center" vertical="center"/>
    </xf>
    <xf numFmtId="1" fontId="58" fillId="10" borderId="0" xfId="3" applyNumberFormat="1" applyFont="1" applyFill="1" applyBorder="1" applyAlignment="1">
      <alignment horizontal="left" indent="1"/>
    </xf>
    <xf numFmtId="0" fontId="31" fillId="5" borderId="0" xfId="0" applyFont="1" applyFill="1" applyBorder="1" applyAlignment="1">
      <alignment horizontal="center"/>
    </xf>
    <xf numFmtId="1" fontId="0" fillId="5" borderId="11" xfId="0" applyNumberFormat="1" applyFill="1" applyBorder="1"/>
    <xf numFmtId="0" fontId="0" fillId="5" borderId="11" xfId="0" applyFill="1" applyBorder="1"/>
    <xf numFmtId="5" fontId="51" fillId="5" borderId="11" xfId="4" applyNumberFormat="1" applyFont="1" applyFill="1" applyBorder="1"/>
    <xf numFmtId="168" fontId="10" fillId="15" borderId="0" xfId="0" applyNumberFormat="1" applyFont="1" applyFill="1" applyBorder="1"/>
    <xf numFmtId="168" fontId="10" fillId="5" borderId="0" xfId="0" applyNumberFormat="1" applyFont="1" applyFill="1" applyBorder="1"/>
    <xf numFmtId="0" fontId="0" fillId="5" borderId="4" xfId="0" applyFill="1" applyBorder="1"/>
    <xf numFmtId="9" fontId="10" fillId="5" borderId="0" xfId="2" applyFont="1" applyFill="1" applyBorder="1"/>
    <xf numFmtId="1" fontId="17" fillId="10" borderId="0" xfId="0" applyNumberFormat="1" applyFont="1" applyFill="1" applyBorder="1"/>
    <xf numFmtId="1" fontId="17" fillId="10" borderId="0" xfId="4" applyNumberFormat="1" applyFont="1" applyFill="1" applyBorder="1"/>
    <xf numFmtId="1" fontId="14" fillId="10" borderId="0" xfId="3" applyNumberFormat="1" applyFont="1" applyFill="1" applyBorder="1" applyAlignment="1">
      <alignment horizontal="right"/>
    </xf>
    <xf numFmtId="1" fontId="16" fillId="5" borderId="0" xfId="1" applyNumberFormat="1" applyFont="1" applyFill="1" applyBorder="1"/>
    <xf numFmtId="0" fontId="55" fillId="0" borderId="0" xfId="0" applyFont="1" applyFill="1" applyBorder="1"/>
    <xf numFmtId="172" fontId="15" fillId="8" borderId="11" xfId="3" applyNumberFormat="1" applyFont="1" applyFill="1" applyBorder="1" applyAlignment="1">
      <alignment horizontal="right"/>
    </xf>
    <xf numFmtId="172" fontId="15" fillId="8" borderId="0" xfId="3" applyNumberFormat="1" applyFont="1" applyFill="1" applyBorder="1" applyAlignment="1">
      <alignment horizontal="right"/>
    </xf>
    <xf numFmtId="172" fontId="15" fillId="9" borderId="0" xfId="3" applyNumberFormat="1" applyFont="1" applyFill="1" applyBorder="1" applyAlignment="1">
      <alignment horizontal="right"/>
    </xf>
    <xf numFmtId="172" fontId="15" fillId="9" borderId="4" xfId="3" applyNumberFormat="1" applyFont="1" applyFill="1" applyBorder="1" applyAlignment="1">
      <alignment horizontal="right"/>
    </xf>
    <xf numFmtId="8" fontId="29" fillId="0" borderId="0" xfId="0" applyNumberFormat="1" applyFont="1" applyBorder="1" applyAlignment="1" applyProtection="1">
      <alignment horizontal="center"/>
    </xf>
    <xf numFmtId="3" fontId="69" fillId="0" borderId="0" xfId="10" applyNumberFormat="1" applyFont="1" applyFill="1" applyBorder="1" applyAlignment="1">
      <alignment horizontal="center" wrapText="1"/>
    </xf>
    <xf numFmtId="3" fontId="69" fillId="0" borderId="13" xfId="10" applyNumberFormat="1" applyFont="1" applyFill="1" applyBorder="1" applyAlignment="1">
      <alignment horizontal="center" wrapText="1"/>
    </xf>
    <xf numFmtId="6" fontId="23" fillId="0" borderId="0" xfId="0" applyNumberFormat="1" applyFont="1"/>
    <xf numFmtId="38" fontId="23" fillId="0" borderId="0" xfId="0" applyNumberFormat="1" applyFont="1"/>
    <xf numFmtId="9" fontId="38" fillId="15" borderId="15" xfId="2" applyFont="1" applyFill="1" applyBorder="1"/>
    <xf numFmtId="9" fontId="38" fillId="4" borderId="44" xfId="2" applyFont="1" applyFill="1" applyBorder="1"/>
    <xf numFmtId="0" fontId="62" fillId="15" borderId="8" xfId="0" applyFont="1" applyFill="1" applyBorder="1" applyAlignment="1">
      <alignment horizontal="center" vertical="center"/>
    </xf>
    <xf numFmtId="0" fontId="62" fillId="15" borderId="0" xfId="0" applyFont="1" applyFill="1" applyBorder="1" applyAlignment="1">
      <alignment horizontal="center" vertical="center"/>
    </xf>
    <xf numFmtId="9" fontId="62" fillId="15" borderId="7" xfId="2" applyFont="1" applyFill="1" applyBorder="1" applyAlignment="1">
      <alignment horizontal="center" vertical="center"/>
    </xf>
    <xf numFmtId="9" fontId="62" fillId="15" borderId="0" xfId="2" applyFont="1" applyFill="1" applyBorder="1" applyAlignment="1">
      <alignment horizontal="center" vertical="center"/>
    </xf>
    <xf numFmtId="9" fontId="62" fillId="15" borderId="13" xfId="2" applyFont="1" applyFill="1" applyBorder="1" applyAlignment="1">
      <alignment horizontal="center" vertical="center"/>
    </xf>
    <xf numFmtId="1" fontId="55" fillId="15" borderId="8" xfId="0" applyNumberFormat="1" applyFont="1" applyFill="1" applyBorder="1" applyAlignment="1">
      <alignment horizontal="center" vertical="center"/>
    </xf>
    <xf numFmtId="1" fontId="55" fillId="15" borderId="0" xfId="0" applyNumberFormat="1" applyFont="1" applyFill="1" applyBorder="1" applyAlignment="1">
      <alignment horizontal="center" vertical="center"/>
    </xf>
    <xf numFmtId="9" fontId="62" fillId="15" borderId="7" xfId="2" quotePrefix="1" applyFont="1" applyFill="1" applyBorder="1" applyAlignment="1">
      <alignment horizontal="center" vertical="center"/>
    </xf>
    <xf numFmtId="9" fontId="62" fillId="15" borderId="0" xfId="2" quotePrefix="1" applyFont="1" applyFill="1" applyBorder="1" applyAlignment="1">
      <alignment horizontal="center" vertical="center"/>
    </xf>
    <xf numFmtId="176" fontId="0" fillId="0" borderId="7" xfId="144" applyNumberFormat="1" applyFont="1" applyFill="1" applyBorder="1" applyAlignment="1"/>
    <xf numFmtId="176" fontId="0" fillId="0" borderId="0" xfId="144" applyNumberFormat="1" applyFont="1" applyFill="1" applyBorder="1"/>
    <xf numFmtId="176" fontId="0" fillId="0" borderId="13" xfId="144" applyNumberFormat="1" applyFont="1" applyFill="1" applyBorder="1"/>
    <xf numFmtId="9" fontId="55" fillId="0" borderId="14" xfId="0" applyNumberFormat="1" applyFont="1" applyFill="1" applyBorder="1"/>
    <xf numFmtId="9" fontId="0" fillId="0" borderId="4" xfId="0" applyNumberFormat="1" applyFill="1" applyBorder="1" applyAlignment="1">
      <alignment horizontal="left"/>
    </xf>
    <xf numFmtId="9" fontId="0" fillId="0" borderId="29" xfId="2" applyNumberFormat="1" applyFont="1" applyFill="1" applyBorder="1" applyAlignment="1"/>
    <xf numFmtId="9" fontId="0" fillId="5" borderId="4" xfId="144" applyNumberFormat="1" applyFont="1" applyFill="1" applyBorder="1" applyAlignment="1"/>
    <xf numFmtId="9" fontId="0" fillId="0" borderId="4" xfId="144" applyNumberFormat="1" applyFont="1" applyFill="1" applyBorder="1"/>
    <xf numFmtId="9" fontId="0" fillId="0" borderId="15" xfId="144" applyNumberFormat="1" applyFont="1" applyFill="1" applyBorder="1"/>
    <xf numFmtId="9" fontId="0" fillId="0" borderId="4" xfId="0" applyNumberFormat="1" applyFill="1" applyBorder="1"/>
    <xf numFmtId="0" fontId="4" fillId="15" borderId="10" xfId="0" applyFont="1" applyFill="1" applyBorder="1" applyAlignment="1">
      <alignment vertical="center"/>
    </xf>
    <xf numFmtId="0" fontId="4" fillId="15" borderId="11" xfId="0" applyFont="1" applyFill="1" applyBorder="1" applyAlignment="1">
      <alignment horizontal="right"/>
    </xf>
    <xf numFmtId="176" fontId="4" fillId="15" borderId="28" xfId="144" applyNumberFormat="1" applyFont="1" applyFill="1" applyBorder="1" applyAlignment="1">
      <alignment vertical="center"/>
    </xf>
    <xf numFmtId="176" fontId="4" fillId="15" borderId="11" xfId="144" applyNumberFormat="1" applyFont="1" applyFill="1" applyBorder="1" applyAlignment="1">
      <alignment vertical="center"/>
    </xf>
    <xf numFmtId="0" fontId="4" fillId="15" borderId="11" xfId="0" applyFont="1" applyFill="1" applyBorder="1" applyAlignment="1">
      <alignment vertical="center"/>
    </xf>
    <xf numFmtId="0" fontId="4" fillId="15" borderId="8" xfId="0" applyFont="1" applyFill="1" applyBorder="1" applyAlignment="1">
      <alignment vertical="center"/>
    </xf>
    <xf numFmtId="0" fontId="4" fillId="15" borderId="0" xfId="0" applyFont="1" applyFill="1" applyBorder="1" applyAlignment="1">
      <alignment horizontal="right"/>
    </xf>
    <xf numFmtId="176" fontId="4" fillId="15" borderId="7" xfId="144" applyNumberFormat="1" applyFont="1" applyFill="1" applyBorder="1" applyAlignment="1">
      <alignment vertical="center"/>
    </xf>
    <xf numFmtId="176" fontId="4" fillId="15" borderId="0" xfId="144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horizontal="left"/>
    </xf>
    <xf numFmtId="9" fontId="0" fillId="15" borderId="7" xfId="2" applyFont="1" applyFill="1" applyBorder="1"/>
    <xf numFmtId="9" fontId="0" fillId="15" borderId="13" xfId="2" applyFont="1" applyFill="1" applyBorder="1"/>
    <xf numFmtId="0" fontId="55" fillId="15" borderId="0" xfId="0" applyFont="1" applyFill="1" applyBorder="1"/>
    <xf numFmtId="0" fontId="18" fillId="15" borderId="0" xfId="0" applyFont="1" applyFill="1" applyBorder="1" applyAlignment="1">
      <alignment horizontal="right" vertical="center"/>
    </xf>
    <xf numFmtId="1" fontId="55" fillId="0" borderId="10" xfId="0" applyNumberFormat="1" applyFont="1" applyFill="1" applyBorder="1"/>
    <xf numFmtId="1" fontId="0" fillId="0" borderId="11" xfId="0" applyNumberFormat="1" applyFont="1" applyFill="1" applyBorder="1" applyAlignment="1">
      <alignment horizontal="left"/>
    </xf>
    <xf numFmtId="1" fontId="0" fillId="11" borderId="28" xfId="144" applyNumberFormat="1" applyFont="1" applyFill="1" applyBorder="1" applyAlignment="1"/>
    <xf numFmtId="1" fontId="0" fillId="5" borderId="11" xfId="144" applyNumberFormat="1" applyFont="1" applyFill="1" applyBorder="1"/>
    <xf numFmtId="1" fontId="0" fillId="0" borderId="11" xfId="144" applyNumberFormat="1" applyFont="1" applyFill="1" applyBorder="1"/>
    <xf numFmtId="1" fontId="0" fillId="0" borderId="12" xfId="144" applyNumberFormat="1" applyFont="1" applyFill="1" applyBorder="1"/>
    <xf numFmtId="1" fontId="0" fillId="0" borderId="11" xfId="0" applyNumberFormat="1" applyFill="1" applyBorder="1"/>
    <xf numFmtId="9" fontId="4" fillId="15" borderId="8" xfId="0" applyNumberFormat="1" applyFont="1" applyFill="1" applyBorder="1" applyAlignment="1">
      <alignment vertical="center"/>
    </xf>
    <xf numFmtId="9" fontId="4" fillId="15" borderId="0" xfId="0" applyNumberFormat="1" applyFont="1" applyFill="1" applyBorder="1" applyAlignment="1">
      <alignment horizontal="right"/>
    </xf>
    <xf numFmtId="9" fontId="4" fillId="15" borderId="7" xfId="2" applyNumberFormat="1" applyFont="1" applyFill="1" applyBorder="1" applyAlignment="1">
      <alignment vertical="center"/>
    </xf>
    <xf numFmtId="9" fontId="4" fillId="15" borderId="0" xfId="144" applyNumberFormat="1" applyFont="1" applyFill="1" applyBorder="1" applyAlignment="1">
      <alignment vertical="center"/>
    </xf>
    <xf numFmtId="9" fontId="4" fillId="15" borderId="0" xfId="0" applyNumberFormat="1" applyFont="1" applyFill="1" applyBorder="1" applyAlignment="1">
      <alignment vertical="center"/>
    </xf>
    <xf numFmtId="0" fontId="0" fillId="15" borderId="7" xfId="0" applyFill="1" applyBorder="1"/>
    <xf numFmtId="0" fontId="55" fillId="15" borderId="0" xfId="0" applyFont="1" applyFill="1"/>
    <xf numFmtId="172" fontId="55" fillId="15" borderId="0" xfId="0" applyNumberFormat="1" applyFont="1" applyFill="1"/>
    <xf numFmtId="172" fontId="0" fillId="15" borderId="0" xfId="0" applyNumberFormat="1" applyFont="1" applyFill="1" applyBorder="1" applyAlignment="1">
      <alignment horizontal="left"/>
    </xf>
    <xf numFmtId="172" fontId="0" fillId="15" borderId="7" xfId="0" applyNumberFormat="1" applyFill="1" applyBorder="1" applyAlignment="1"/>
    <xf numFmtId="172" fontId="0" fillId="15" borderId="0" xfId="0" applyNumberFormat="1" applyFill="1" applyBorder="1"/>
    <xf numFmtId="172" fontId="0" fillId="15" borderId="0" xfId="0" applyNumberFormat="1" applyFill="1"/>
    <xf numFmtId="172" fontId="0" fillId="15" borderId="13" xfId="0" applyNumberFormat="1" applyFill="1" applyBorder="1"/>
    <xf numFmtId="9" fontId="55" fillId="15" borderId="0" xfId="0" applyNumberFormat="1" applyFont="1" applyFill="1"/>
    <xf numFmtId="9" fontId="0" fillId="15" borderId="0" xfId="0" applyNumberFormat="1" applyFont="1" applyFill="1" applyBorder="1" applyAlignment="1">
      <alignment horizontal="left"/>
    </xf>
    <xf numFmtId="9" fontId="0" fillId="15" borderId="7" xfId="0" applyNumberFormat="1" applyFill="1" applyBorder="1" applyAlignment="1"/>
    <xf numFmtId="9" fontId="0" fillId="15" borderId="0" xfId="0" applyNumberFormat="1" applyFill="1" applyBorder="1"/>
    <xf numFmtId="9" fontId="0" fillId="15" borderId="0" xfId="0" applyNumberFormat="1" applyFill="1"/>
    <xf numFmtId="9" fontId="0" fillId="15" borderId="13" xfId="0" applyNumberFormat="1" applyFill="1" applyBorder="1"/>
    <xf numFmtId="0" fontId="4" fillId="15" borderId="7" xfId="0" applyFont="1" applyFill="1" applyBorder="1" applyAlignment="1"/>
    <xf numFmtId="172" fontId="0" fillId="15" borderId="8" xfId="0" applyNumberFormat="1" applyFill="1" applyBorder="1" applyAlignment="1" applyProtection="1"/>
    <xf numFmtId="3" fontId="4" fillId="5" borderId="0" xfId="0" applyNumberFormat="1" applyFont="1" applyFill="1"/>
    <xf numFmtId="3" fontId="4" fillId="5" borderId="0" xfId="0" applyNumberFormat="1" applyFont="1" applyFill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3" fontId="4" fillId="5" borderId="13" xfId="0" applyNumberFormat="1" applyFon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9" fontId="15" fillId="20" borderId="48" xfId="3" applyNumberFormat="1" applyFont="1" applyFill="1" applyBorder="1" applyAlignment="1">
      <alignment horizontal="right"/>
    </xf>
    <xf numFmtId="175" fontId="16" fillId="15" borderId="11" xfId="0" applyNumberFormat="1" applyFont="1" applyFill="1" applyBorder="1"/>
    <xf numFmtId="167" fontId="15" fillId="20" borderId="52" xfId="3" applyNumberFormat="1" applyFont="1" applyFill="1" applyBorder="1"/>
    <xf numFmtId="43" fontId="16" fillId="15" borderId="4" xfId="0" applyNumberFormat="1" applyFont="1" applyFill="1" applyBorder="1"/>
    <xf numFmtId="43" fontId="16" fillId="15" borderId="15" xfId="0" applyNumberFormat="1" applyFont="1" applyFill="1" applyBorder="1"/>
    <xf numFmtId="9" fontId="4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right"/>
    </xf>
    <xf numFmtId="9" fontId="0" fillId="5" borderId="0" xfId="0" applyNumberFormat="1" applyFill="1" applyAlignment="1">
      <alignment horizontal="left"/>
    </xf>
    <xf numFmtId="0" fontId="4" fillId="5" borderId="7" xfId="0" applyFont="1" applyFill="1" applyBorder="1"/>
    <xf numFmtId="0" fontId="55" fillId="5" borderId="21" xfId="0" applyFont="1" applyFill="1" applyBorder="1"/>
    <xf numFmtId="0" fontId="0" fillId="5" borderId="21" xfId="0" applyFont="1" applyFill="1" applyBorder="1" applyAlignment="1">
      <alignment horizontal="left"/>
    </xf>
    <xf numFmtId="176" fontId="0" fillId="5" borderId="59" xfId="144" applyNumberFormat="1" applyFont="1" applyFill="1" applyBorder="1" applyAlignment="1"/>
    <xf numFmtId="176" fontId="0" fillId="5" borderId="21" xfId="144" applyNumberFormat="1" applyFont="1" applyFill="1" applyBorder="1" applyAlignment="1"/>
    <xf numFmtId="176" fontId="0" fillId="5" borderId="21" xfId="144" applyNumberFormat="1" applyFont="1" applyFill="1" applyBorder="1"/>
    <xf numFmtId="0" fontId="0" fillId="5" borderId="21" xfId="0" applyFill="1" applyBorder="1"/>
    <xf numFmtId="1" fontId="55" fillId="11" borderId="60" xfId="0" applyNumberFormat="1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/>
    </xf>
    <xf numFmtId="0" fontId="37" fillId="5" borderId="8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5" borderId="13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3" fontId="46" fillId="20" borderId="49" xfId="3" applyNumberFormat="1" applyFont="1" applyFill="1" applyBorder="1" applyAlignment="1">
      <alignment horizontal="center"/>
    </xf>
    <xf numFmtId="43" fontId="46" fillId="20" borderId="5" xfId="3" applyNumberFormat="1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55" fillId="5" borderId="13" xfId="0" applyFont="1" applyFill="1" applyBorder="1" applyAlignment="1">
      <alignment horizontal="center"/>
    </xf>
    <xf numFmtId="0" fontId="55" fillId="5" borderId="8" xfId="0" applyFont="1" applyFill="1" applyBorder="1" applyAlignment="1">
      <alignment horizontal="center"/>
    </xf>
    <xf numFmtId="172" fontId="68" fillId="20" borderId="10" xfId="4" applyNumberFormat="1" applyFont="1" applyFill="1" applyBorder="1" applyAlignment="1">
      <alignment horizontal="center" vertical="center"/>
    </xf>
    <xf numFmtId="172" fontId="68" fillId="20" borderId="11" xfId="4" applyNumberFormat="1" applyFont="1" applyFill="1" applyBorder="1" applyAlignment="1">
      <alignment horizontal="center" vertical="center"/>
    </xf>
    <xf numFmtId="172" fontId="68" fillId="20" borderId="8" xfId="4" applyNumberFormat="1" applyFont="1" applyFill="1" applyBorder="1" applyAlignment="1">
      <alignment horizontal="center" vertical="center"/>
    </xf>
    <xf numFmtId="172" fontId="68" fillId="20" borderId="0" xfId="4" applyNumberFormat="1" applyFont="1" applyFill="1" applyBorder="1" applyAlignment="1">
      <alignment horizontal="center" vertical="center"/>
    </xf>
    <xf numFmtId="172" fontId="68" fillId="20" borderId="14" xfId="4" applyNumberFormat="1" applyFont="1" applyFill="1" applyBorder="1" applyAlignment="1">
      <alignment horizontal="center" vertical="center"/>
    </xf>
    <xf numFmtId="172" fontId="68" fillId="20" borderId="4" xfId="4" applyNumberFormat="1" applyFont="1" applyFill="1" applyBorder="1" applyAlignment="1">
      <alignment horizontal="center" vertical="center"/>
    </xf>
    <xf numFmtId="3" fontId="38" fillId="5" borderId="4" xfId="10" applyNumberFormat="1" applyFont="1" applyFill="1" applyBorder="1" applyAlignment="1">
      <alignment horizontal="center" wrapText="1"/>
    </xf>
    <xf numFmtId="9" fontId="68" fillId="20" borderId="11" xfId="2" applyFont="1" applyFill="1" applyBorder="1" applyAlignment="1">
      <alignment horizontal="center" vertical="center"/>
    </xf>
    <xf numFmtId="9" fontId="68" fillId="20" borderId="0" xfId="2" applyFont="1" applyFill="1" applyBorder="1" applyAlignment="1">
      <alignment horizontal="center" vertical="center"/>
    </xf>
    <xf numFmtId="9" fontId="68" fillId="20" borderId="4" xfId="2" applyFont="1" applyFill="1" applyBorder="1" applyAlignment="1">
      <alignment horizontal="center" vertical="center"/>
    </xf>
    <xf numFmtId="43" fontId="46" fillId="20" borderId="47" xfId="3" applyNumberFormat="1" applyFont="1" applyFill="1" applyBorder="1" applyAlignment="1">
      <alignment horizontal="center"/>
    </xf>
    <xf numFmtId="43" fontId="46" fillId="20" borderId="48" xfId="3" applyNumberFormat="1" applyFont="1" applyFill="1" applyBorder="1" applyAlignment="1">
      <alignment horizontal="center"/>
    </xf>
    <xf numFmtId="0" fontId="30" fillId="5" borderId="8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/>
    </xf>
    <xf numFmtId="0" fontId="30" fillId="5" borderId="13" xfId="0" applyFont="1" applyFill="1" applyBorder="1" applyAlignment="1">
      <alignment horizontal="center"/>
    </xf>
    <xf numFmtId="43" fontId="10" fillId="15" borderId="4" xfId="0" applyNumberFormat="1" applyFont="1" applyFill="1" applyBorder="1" applyAlignment="1" applyProtection="1">
      <alignment horizontal="center"/>
    </xf>
    <xf numFmtId="0" fontId="30" fillId="5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52" fillId="13" borderId="24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13" borderId="2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2" fillId="5" borderId="0" xfId="0" applyFont="1" applyFill="1" applyBorder="1" applyAlignment="1">
      <alignment horizontal="center" vertical="center"/>
    </xf>
    <xf numFmtId="3" fontId="64" fillId="15" borderId="32" xfId="10" applyNumberFormat="1" applyFont="1" applyFill="1" applyBorder="1" applyAlignment="1">
      <alignment horizontal="center" vertical="center" wrapText="1"/>
    </xf>
    <xf numFmtId="3" fontId="64" fillId="15" borderId="3" xfId="1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2" fontId="46" fillId="20" borderId="10" xfId="3" applyNumberFormat="1" applyFont="1" applyFill="1" applyBorder="1" applyAlignment="1">
      <alignment horizontal="center"/>
    </xf>
    <xf numFmtId="172" fontId="46" fillId="20" borderId="11" xfId="3" applyNumberFormat="1" applyFont="1" applyFill="1" applyBorder="1" applyAlignment="1">
      <alignment horizontal="center"/>
    </xf>
    <xf numFmtId="172" fontId="46" fillId="20" borderId="8" xfId="3" applyNumberFormat="1" applyFont="1" applyFill="1" applyBorder="1" applyAlignment="1">
      <alignment horizontal="center"/>
    </xf>
    <xf numFmtId="172" fontId="46" fillId="20" borderId="0" xfId="3" applyNumberFormat="1" applyFont="1" applyFill="1" applyBorder="1" applyAlignment="1">
      <alignment horizontal="center"/>
    </xf>
    <xf numFmtId="172" fontId="46" fillId="20" borderId="49" xfId="3" applyNumberFormat="1" applyFont="1" applyFill="1" applyBorder="1" applyAlignment="1">
      <alignment horizontal="center"/>
    </xf>
    <xf numFmtId="172" fontId="46" fillId="20" borderId="5" xfId="3" applyNumberFormat="1" applyFont="1" applyFill="1" applyBorder="1" applyAlignment="1">
      <alignment horizontal="center"/>
    </xf>
    <xf numFmtId="172" fontId="46" fillId="20" borderId="47" xfId="3" applyNumberFormat="1" applyFont="1" applyFill="1" applyBorder="1" applyAlignment="1">
      <alignment horizontal="center"/>
    </xf>
    <xf numFmtId="172" fontId="46" fillId="20" borderId="48" xfId="3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191">
    <cellStyle name="0" xfId="11"/>
    <cellStyle name="0.0" xfId="12"/>
    <cellStyle name="0;0;" xfId="13"/>
    <cellStyle name="Comma" xfId="1" builtinId="3"/>
    <cellStyle name="Comma 2" xfId="7"/>
    <cellStyle name="Comma 2 2" xfId="14"/>
    <cellStyle name="Comma 2 3" xfId="3"/>
    <cellStyle name="Comma 3" xfId="15"/>
    <cellStyle name="Comma 3 2" xfId="4"/>
    <cellStyle name="Comma 4 2" xfId="16"/>
    <cellStyle name="Currency" xfId="144" builtinId="4"/>
    <cellStyle name="Currency 2" xfId="17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ide_zeros" xfId="18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  <cellStyle name="Normal 2" xfId="8"/>
    <cellStyle name="Normal 3" xfId="19"/>
    <cellStyle name="Normal 4" xfId="5"/>
    <cellStyle name="Normal 4 2" xfId="20"/>
    <cellStyle name="Normal 5" xfId="21"/>
    <cellStyle name="Normal_Financials 8-02 draft tw" xfId="10"/>
    <cellStyle name="note entry" xfId="22"/>
    <cellStyle name="parameter entry" xfId="23"/>
    <cellStyle name="Percent" xfId="2" builtinId="5"/>
    <cellStyle name="Percent 2" xfId="24"/>
    <cellStyle name="Percent 2 2" xfId="25"/>
    <cellStyle name="Percent 2 2 2" xfId="6"/>
    <cellStyle name="Percent 2 3" xfId="9"/>
    <cellStyle name="Percent 3" xfId="26"/>
    <cellStyle name="Percent 4" xfId="27"/>
  </cellStyles>
  <dxfs count="15"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3" formatCode="0%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F8A892"/>
      <color rgb="FF067428"/>
      <color rgb="FFC033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770784645722718E-2"/>
          <c:y val="5.1400554097404495E-2"/>
          <c:w val="0.92495712363849025"/>
          <c:h val="0.89719889180519219"/>
        </c:manualLayout>
      </c:layout>
      <c:lineChart>
        <c:grouping val="standard"/>
        <c:ser>
          <c:idx val="0"/>
          <c:order val="0"/>
          <c:tx>
            <c:strRef>
              <c:f>'Prg. Dashboard'!$A$2</c:f>
              <c:strCache>
                <c:ptCount val="1"/>
                <c:pt idx="0">
                  <c:v>Program Revenue</c:v>
                </c:pt>
              </c:strCache>
            </c:strRef>
          </c:tx>
          <c:spPr>
            <a:ln w="635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'Prg. Dashboard'!$B$2:$BI$2</c:f>
              <c:numCache>
                <c:formatCode>"$"#,##0_);[Red]\("$"#,##0\)</c:formatCode>
                <c:ptCount val="60"/>
                <c:pt idx="0">
                  <c:v>9250</c:v>
                </c:pt>
                <c:pt idx="1">
                  <c:v>11535.779375999999</c:v>
                </c:pt>
                <c:pt idx="2">
                  <c:v>12087.251169124353</c:v>
                </c:pt>
                <c:pt idx="3">
                  <c:v>14524.725151031666</c:v>
                </c:pt>
                <c:pt idx="4">
                  <c:v>15237.547255986176</c:v>
                </c:pt>
                <c:pt idx="5">
                  <c:v>15996.557108615441</c:v>
                </c:pt>
                <c:pt idx="6">
                  <c:v>16804.495187435896</c:v>
                </c:pt>
                <c:pt idx="7">
                  <c:v>19514.221094348846</c:v>
                </c:pt>
                <c:pt idx="8">
                  <c:v>20515.872345391468</c:v>
                </c:pt>
                <c:pt idx="9">
                  <c:v>23431.106980726079</c:v>
                </c:pt>
                <c:pt idx="10">
                  <c:v>24650.667058476414</c:v>
                </c:pt>
                <c:pt idx="11">
                  <c:v>27796.837074521503</c:v>
                </c:pt>
                <c:pt idx="12">
                  <c:v>29265.042913015026</c:v>
                </c:pt>
                <c:pt idx="13">
                  <c:v>32679.373459769511</c:v>
                </c:pt>
                <c:pt idx="14">
                  <c:v>34432.304879899966</c:v>
                </c:pt>
                <c:pt idx="15">
                  <c:v>36298.707134925506</c:v>
                </c:pt>
                <c:pt idx="16">
                  <c:v>40134.70221192536</c:v>
                </c:pt>
                <c:pt idx="17">
                  <c:v>42333.779926698648</c:v>
                </c:pt>
                <c:pt idx="18">
                  <c:v>44671.040135659379</c:v>
                </c:pt>
                <c:pt idx="19">
                  <c:v>49004.406978945488</c:v>
                </c:pt>
                <c:pt idx="20">
                  <c:v>51728.454307206142</c:v>
                </c:pt>
                <c:pt idx="21">
                  <c:v>56470.197241200556</c:v>
                </c:pt>
                <c:pt idx="22">
                  <c:v>59625.106807343567</c:v>
                </c:pt>
                <c:pt idx="23">
                  <c:v>64821.117220285189</c:v>
                </c:pt>
                <c:pt idx="24">
                  <c:v>68459.908846911756</c:v>
                </c:pt>
                <c:pt idx="25">
                  <c:v>74171.696840639212</c:v>
                </c:pt>
                <c:pt idx="26">
                  <c:v>80204.175689457348</c:v>
                </c:pt>
                <c:pt idx="27">
                  <c:v>86574.924592870986</c:v>
                </c:pt>
                <c:pt idx="28">
                  <c:v>93301.962271253709</c:v>
                </c:pt>
                <c:pt idx="29">
                  <c:v>100403.21344908761</c:v>
                </c:pt>
                <c:pt idx="30">
                  <c:v>107897.26980388594</c:v>
                </c:pt>
                <c:pt idx="31">
                  <c:v>113955.27053385583</c:v>
                </c:pt>
                <c:pt idx="32">
                  <c:v>122210.16423815746</c:v>
                </c:pt>
                <c:pt idx="33">
                  <c:v>129066.09065588911</c:v>
                </c:pt>
                <c:pt idx="34">
                  <c:v>138157.23969587608</c:v>
                </c:pt>
                <c:pt idx="35">
                  <c:v>145889.01939904242</c:v>
                </c:pt>
                <c:pt idx="36">
                  <c:v>148856.04082590621</c:v>
                </c:pt>
                <c:pt idx="37">
                  <c:v>157591.15047368643</c:v>
                </c:pt>
                <c:pt idx="38">
                  <c:v>166342.88099469518</c:v>
                </c:pt>
                <c:pt idx="39">
                  <c:v>176008.27893223704</c:v>
                </c:pt>
                <c:pt idx="40">
                  <c:v>185732.46758841327</c:v>
                </c:pt>
                <c:pt idx="41">
                  <c:v>197822.05320166456</c:v>
                </c:pt>
                <c:pt idx="42">
                  <c:v>210535.67080347639</c:v>
                </c:pt>
                <c:pt idx="43">
                  <c:v>220643.19103844979</c:v>
                </c:pt>
                <c:pt idx="44">
                  <c:v>234523.08426248754</c:v>
                </c:pt>
                <c:pt idx="45">
                  <c:v>247696.02602316954</c:v>
                </c:pt>
                <c:pt idx="46">
                  <c:v>261079.20453707423</c:v>
                </c:pt>
                <c:pt idx="47">
                  <c:v>275576.30582812865</c:v>
                </c:pt>
                <c:pt idx="48">
                  <c:v>250325.52270255843</c:v>
                </c:pt>
                <c:pt idx="49">
                  <c:v>253994.07596703895</c:v>
                </c:pt>
                <c:pt idx="50">
                  <c:v>269461.97073406877</c:v>
                </c:pt>
                <c:pt idx="51">
                  <c:v>277324.4709824801</c:v>
                </c:pt>
                <c:pt idx="52">
                  <c:v>290675.62886132044</c:v>
                </c:pt>
                <c:pt idx="53">
                  <c:v>306085.37401540542</c:v>
                </c:pt>
                <c:pt idx="54">
                  <c:v>324100.96636890591</c:v>
                </c:pt>
                <c:pt idx="55">
                  <c:v>331357.70266064856</c:v>
                </c:pt>
                <c:pt idx="56">
                  <c:v>348711.75205188943</c:v>
                </c:pt>
                <c:pt idx="57">
                  <c:v>358966.90392991662</c:v>
                </c:pt>
                <c:pt idx="58">
                  <c:v>377598.71543961036</c:v>
                </c:pt>
                <c:pt idx="59">
                  <c:v>389180.76199960092</c:v>
                </c:pt>
              </c:numCache>
            </c:numRef>
          </c:val>
        </c:ser>
        <c:ser>
          <c:idx val="1"/>
          <c:order val="1"/>
          <c:tx>
            <c:strRef>
              <c:f>'Prg. Dashboard'!$A$3</c:f>
              <c:strCache>
                <c:ptCount val="1"/>
                <c:pt idx="0">
                  <c:v>Program P/L</c:v>
                </c:pt>
              </c:strCache>
            </c:strRef>
          </c:tx>
          <c:spPr>
            <a:ln w="635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'Prg. Dashboard'!$B$3:$BI$3</c:f>
              <c:numCache>
                <c:formatCode>"$"#,##0_);[Red]\("$"#,##0\)</c:formatCode>
                <c:ptCount val="60"/>
                <c:pt idx="0">
                  <c:v>-79098.953744493396</c:v>
                </c:pt>
                <c:pt idx="1">
                  <c:v>-89081.167648816569</c:v>
                </c:pt>
                <c:pt idx="2">
                  <c:v>-84943.305989922243</c:v>
                </c:pt>
                <c:pt idx="3">
                  <c:v>-103000.63162548101</c:v>
                </c:pt>
                <c:pt idx="4">
                  <c:v>-96617.145747234812</c:v>
                </c:pt>
                <c:pt idx="5">
                  <c:v>-91213.75114319993</c:v>
                </c:pt>
                <c:pt idx="6">
                  <c:v>-85796.283248954758</c:v>
                </c:pt>
                <c:pt idx="7">
                  <c:v>-96319.182878203952</c:v>
                </c:pt>
                <c:pt idx="8">
                  <c:v>-89397.951761514574</c:v>
                </c:pt>
                <c:pt idx="9">
                  <c:v>-90024.480712323173</c:v>
                </c:pt>
                <c:pt idx="10">
                  <c:v>-83034.745192974573</c:v>
                </c:pt>
                <c:pt idx="11">
                  <c:v>-81523.935737271546</c:v>
                </c:pt>
                <c:pt idx="12">
                  <c:v>-78885.594482606524</c:v>
                </c:pt>
                <c:pt idx="13">
                  <c:v>-82752.239686320871</c:v>
                </c:pt>
                <c:pt idx="14">
                  <c:v>-80018.374350076134</c:v>
                </c:pt>
                <c:pt idx="15">
                  <c:v>-78136.345904044138</c:v>
                </c:pt>
                <c:pt idx="16">
                  <c:v>-77544.930759546551</c:v>
                </c:pt>
                <c:pt idx="17">
                  <c:v>-90533.397204045032</c:v>
                </c:pt>
                <c:pt idx="18">
                  <c:v>-85597.56262776228</c:v>
                </c:pt>
                <c:pt idx="19">
                  <c:v>-84893.902662333829</c:v>
                </c:pt>
                <c:pt idx="20">
                  <c:v>-78548.028372898785</c:v>
                </c:pt>
                <c:pt idx="21">
                  <c:v>-75688.216730491302</c:v>
                </c:pt>
                <c:pt idx="22">
                  <c:v>-69511.799269979616</c:v>
                </c:pt>
                <c:pt idx="23">
                  <c:v>-72171.626808674468</c:v>
                </c:pt>
                <c:pt idx="24">
                  <c:v>-75729.796236390379</c:v>
                </c:pt>
                <c:pt idx="25">
                  <c:v>-70028.406063933493</c:v>
                </c:pt>
                <c:pt idx="26">
                  <c:v>-65482.485910912263</c:v>
                </c:pt>
                <c:pt idx="27">
                  <c:v>-60202.047690816486</c:v>
                </c:pt>
                <c:pt idx="28">
                  <c:v>-54207.007909203399</c:v>
                </c:pt>
                <c:pt idx="29">
                  <c:v>-47502.602507063857</c:v>
                </c:pt>
                <c:pt idx="30">
                  <c:v>-41254.649175577055</c:v>
                </c:pt>
                <c:pt idx="31">
                  <c:v>-39672.328633009223</c:v>
                </c:pt>
                <c:pt idx="32">
                  <c:v>-31496.145929501639</c:v>
                </c:pt>
                <c:pt idx="33">
                  <c:v>-21778.739037474428</c:v>
                </c:pt>
                <c:pt idx="34">
                  <c:v>-19480.413252411992</c:v>
                </c:pt>
                <c:pt idx="35">
                  <c:v>-7259.2979587492882</c:v>
                </c:pt>
                <c:pt idx="36">
                  <c:v>-11309.951218101487</c:v>
                </c:pt>
                <c:pt idx="37">
                  <c:v>-2071.8275880328438</c:v>
                </c:pt>
                <c:pt idx="38">
                  <c:v>8365.0115044530248</c:v>
                </c:pt>
                <c:pt idx="39">
                  <c:v>17705.696812828799</c:v>
                </c:pt>
                <c:pt idx="40">
                  <c:v>22171.441663712962</c:v>
                </c:pt>
                <c:pt idx="41">
                  <c:v>26413.993095181853</c:v>
                </c:pt>
                <c:pt idx="42">
                  <c:v>38672.46053864024</c:v>
                </c:pt>
                <c:pt idx="43">
                  <c:v>50399.208758255321</c:v>
                </c:pt>
                <c:pt idx="44">
                  <c:v>63156.692854878638</c:v>
                </c:pt>
                <c:pt idx="45">
                  <c:v>77519.791950262472</c:v>
                </c:pt>
                <c:pt idx="46">
                  <c:v>79383.1140656528</c:v>
                </c:pt>
                <c:pt idx="47">
                  <c:v>77497.244180244918</c:v>
                </c:pt>
                <c:pt idx="48">
                  <c:v>53564.305352482595</c:v>
                </c:pt>
                <c:pt idx="49">
                  <c:v>57097.435399652051</c:v>
                </c:pt>
                <c:pt idx="50">
                  <c:v>72166.789208013157</c:v>
                </c:pt>
                <c:pt idx="51">
                  <c:v>80167.293739477871</c:v>
                </c:pt>
                <c:pt idx="52">
                  <c:v>87902.892655542993</c:v>
                </c:pt>
                <c:pt idx="53">
                  <c:v>85274.869265730726</c:v>
                </c:pt>
                <c:pt idx="54">
                  <c:v>102741.187498807</c:v>
                </c:pt>
                <c:pt idx="55">
                  <c:v>109619.80825951233</c:v>
                </c:pt>
                <c:pt idx="56">
                  <c:v>121269.10552140913</c:v>
                </c:pt>
                <c:pt idx="57">
                  <c:v>124789.95910791395</c:v>
                </c:pt>
                <c:pt idx="58">
                  <c:v>142298.44981604224</c:v>
                </c:pt>
                <c:pt idx="59">
                  <c:v>138603.86350487417</c:v>
                </c:pt>
              </c:numCache>
            </c:numRef>
          </c:val>
        </c:ser>
        <c:marker val="1"/>
        <c:axId val="125249792"/>
        <c:axId val="160240000"/>
      </c:lineChart>
      <c:catAx>
        <c:axId val="125249792"/>
        <c:scaling>
          <c:orientation val="minMax"/>
        </c:scaling>
        <c:delete val="1"/>
        <c:axPos val="b"/>
        <c:tickLblPos val="none"/>
        <c:crossAx val="160240000"/>
        <c:crosses val="autoZero"/>
        <c:auto val="1"/>
        <c:lblAlgn val="ctr"/>
        <c:lblOffset val="100"/>
      </c:catAx>
      <c:valAx>
        <c:axId val="160240000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5249792"/>
        <c:crosses val="autoZero"/>
        <c:crossBetween val="between"/>
      </c:valAx>
      <c:spPr>
        <a:solidFill>
          <a:schemeClr val="bg1"/>
        </a:solidFill>
      </c:spPr>
    </c:plotArea>
    <c:legend>
      <c:legendPos val="l"/>
      <c:layout>
        <c:manualLayout>
          <c:xMode val="edge"/>
          <c:yMode val="edge"/>
          <c:x val="0"/>
          <c:y val="0.34978239844313291"/>
          <c:w val="4.8302434442657922E-2"/>
          <c:h val="0.30043481107417713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122" l="0.70000000000000118" r="0.70000000000000118" t="0.750000000000001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'Prg. Marketing'!$A$6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'Prg. Marketing'!$B$6:$BK$6</c:f>
              <c:numCache>
                <c:formatCode>"$"#,##0_);[Red]\("$"#,##0\)</c:formatCode>
                <c:ptCount val="62"/>
                <c:pt idx="1">
                  <c:v>0</c:v>
                </c:pt>
                <c:pt idx="2" formatCode="0">
                  <c:v>40</c:v>
                </c:pt>
                <c:pt idx="3" formatCode="0">
                  <c:v>49.912000000000006</c:v>
                </c:pt>
                <c:pt idx="4" formatCode="0">
                  <c:v>52.332480512000004</c:v>
                </c:pt>
                <c:pt idx="5" formatCode="0">
                  <c:v>62.912125395738634</c:v>
                </c:pt>
                <c:pt idx="6" formatCode="0">
                  <c:v>66.043143787617424</c:v>
                </c:pt>
                <c:pt idx="7" formatCode="0">
                  <c:v>69.378612508508439</c:v>
                </c:pt>
                <c:pt idx="8" formatCode="0">
                  <c:v>72.930829696250413</c:v>
                </c:pt>
                <c:pt idx="9" formatCode="0">
                  <c:v>84.712643284514925</c:v>
                </c:pt>
                <c:pt idx="10" formatCode="0">
                  <c:v>89.119865488287019</c:v>
                </c:pt>
                <c:pt idx="11" formatCode="0">
                  <c:v>101.80930349987366</c:v>
                </c:pt>
                <c:pt idx="12" formatCode="0">
                  <c:v>107.17951555196666</c:v>
                </c:pt>
                <c:pt idx="13" formatCode="0">
                  <c:v>120.89015799332256</c:v>
                </c:pt>
                <c:pt idx="14" formatCode="0">
                  <c:v>127.36033106421188</c:v>
                </c:pt>
                <c:pt idx="15" formatCode="0">
                  <c:v>142.25772676858566</c:v>
                </c:pt>
                <c:pt idx="16" formatCode="0">
                  <c:v>149.98877899944461</c:v>
                </c:pt>
                <c:pt idx="17" formatCode="0">
                  <c:v>158.2247526327069</c:v>
                </c:pt>
                <c:pt idx="18" formatCode="0">
                  <c:v>174.99335451846872</c:v>
                </c:pt>
                <c:pt idx="19" formatCode="0">
                  <c:v>184.70568974306988</c:v>
                </c:pt>
                <c:pt idx="20" formatCode="0">
                  <c:v>195.03429206165131</c:v>
                </c:pt>
                <c:pt idx="21" formatCode="0">
                  <c:v>214.01499726992841</c:v>
                </c:pt>
                <c:pt idx="22" formatCode="0">
                  <c:v>226.06393039327131</c:v>
                </c:pt>
                <c:pt idx="23" formatCode="0">
                  <c:v>246.8622832671717</c:v>
                </c:pt>
                <c:pt idx="24" formatCode="0">
                  <c:v>260.83032866632516</c:v>
                </c:pt>
                <c:pt idx="25" formatCode="0">
                  <c:v>283.65351391088927</c:v>
                </c:pt>
                <c:pt idx="26" formatCode="0">
                  <c:v>299.77962246797415</c:v>
                </c:pt>
                <c:pt idx="27" formatCode="0">
                  <c:v>324.90441173416701</c:v>
                </c:pt>
                <c:pt idx="28" formatCode="0">
                  <c:v>351.45846622873165</c:v>
                </c:pt>
                <c:pt idx="29" formatCode="0">
                  <c:v>379.52116887622532</c:v>
                </c:pt>
                <c:pt idx="30" formatCode="0">
                  <c:v>409.17397217773572</c:v>
                </c:pt>
                <c:pt idx="31" formatCode="0">
                  <c:v>440.49811430399961</c:v>
                </c:pt>
                <c:pt idx="32" formatCode="0">
                  <c:v>473.57793803333089</c:v>
                </c:pt>
                <c:pt idx="33" formatCode="0">
                  <c:v>500.50913333273917</c:v>
                </c:pt>
                <c:pt idx="34" formatCode="0">
                  <c:v>537.00067757343322</c:v>
                </c:pt>
                <c:pt idx="35" formatCode="0">
                  <c:v>567.51267022152092</c:v>
                </c:pt>
                <c:pt idx="36" formatCode="0">
                  <c:v>607.75994040074158</c:v>
                </c:pt>
                <c:pt idx="37" formatCode="0">
                  <c:v>642.20857496603765</c:v>
                </c:pt>
                <c:pt idx="38" formatCode="0">
                  <c:v>686.57953435590855</c:v>
                </c:pt>
                <c:pt idx="39" formatCode="0">
                  <c:v>733.34518979182928</c:v>
                </c:pt>
                <c:pt idx="40" formatCode="0">
                  <c:v>774.6188665833555</c:v>
                </c:pt>
                <c:pt idx="41" formatCode="0">
                  <c:v>826.13563540376833</c:v>
                </c:pt>
                <c:pt idx="42" formatCode="0">
                  <c:v>872.37906570142354</c:v>
                </c:pt>
                <c:pt idx="43" formatCode="0">
                  <c:v>929.0916151652558</c:v>
                </c:pt>
                <c:pt idx="44" formatCode="0">
                  <c:v>988.75982431094064</c:v>
                </c:pt>
                <c:pt idx="45" formatCode="0">
                  <c:v>1043.5172477999249</c:v>
                </c:pt>
                <c:pt idx="46" formatCode="0">
                  <c:v>1109.1186347931873</c:v>
                </c:pt>
                <c:pt idx="47" formatCode="0">
                  <c:v>1178.0643456414562</c:v>
                </c:pt>
                <c:pt idx="48" formatCode="0">
                  <c:v>1242.4999236310998</c:v>
                </c:pt>
                <c:pt idx="49" formatCode="0">
                  <c:v>1318.1948312001575</c:v>
                </c:pt>
                <c:pt idx="50" formatCode="0">
                  <c:v>1397.6623653176141</c:v>
                </c:pt>
                <c:pt idx="51" formatCode="0">
                  <c:v>1473.0673052036907</c:v>
                </c:pt>
                <c:pt idx="52" formatCode="0">
                  <c:v>1560.194517622898</c:v>
                </c:pt>
                <c:pt idx="53" formatCode="0">
                  <c:v>1651.5779038007126</c:v>
                </c:pt>
                <c:pt idx="54" formatCode="0">
                  <c:v>1739.3955436261838</c:v>
                </c:pt>
                <c:pt idx="55" formatCode="0">
                  <c:v>1831.4529652653439</c:v>
                </c:pt>
                <c:pt idx="56" formatCode="0">
                  <c:v>1935.919753700766</c:v>
                </c:pt>
                <c:pt idx="57" formatCode="0">
                  <c:v>2037.3453112337411</c:v>
                </c:pt>
                <c:pt idx="58" formatCode="0">
                  <c:v>2143.5528381315094</c:v>
                </c:pt>
                <c:pt idx="59" formatCode="0">
                  <c:v>2262.7256620268295</c:v>
                </c:pt>
                <c:pt idx="60" formatCode="0">
                  <c:v>2379.4366826755436</c:v>
                </c:pt>
                <c:pt idx="61" formatCode="0">
                  <c:v>2509.5243748874282</c:v>
                </c:pt>
              </c:numCache>
            </c:numRef>
          </c:val>
        </c:ser>
        <c:ser>
          <c:idx val="1"/>
          <c:order val="1"/>
          <c:tx>
            <c:strRef>
              <c:f>'Prg. Marketing'!$A$7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'Prg. Marketing'!$B$7:$BK$7</c:f>
              <c:numCache>
                <c:formatCode>"$"#,##0_);[Red]\("$"#,##0\)</c:formatCode>
                <c:ptCount val="62"/>
                <c:pt idx="1">
                  <c:v>0</c:v>
                </c:pt>
                <c:pt idx="2" formatCode="0">
                  <c:v>37.833333333333329</c:v>
                </c:pt>
                <c:pt idx="3" formatCode="0">
                  <c:v>41.493749999999999</c:v>
                </c:pt>
                <c:pt idx="4" formatCode="0">
                  <c:v>45.602656250000003</c:v>
                </c:pt>
                <c:pt idx="5" formatCode="0">
                  <c:v>50.225717013888897</c:v>
                </c:pt>
                <c:pt idx="6" formatCode="0">
                  <c:v>55.439397721956986</c:v>
                </c:pt>
                <c:pt idx="7" formatCode="0">
                  <c:v>61.332871057462967</c:v>
                </c:pt>
                <c:pt idx="8" formatCode="0">
                  <c:v>68.01027489342205</c:v>
                </c:pt>
                <c:pt idx="9" formatCode="0">
                  <c:v>75.593387770602305</c:v>
                </c:pt>
                <c:pt idx="10" formatCode="0">
                  <c:v>84.224801012695238</c:v>
                </c:pt>
                <c:pt idx="11" formatCode="0">
                  <c:v>94.071681782840301</c:v>
                </c:pt>
                <c:pt idx="12" formatCode="0">
                  <c:v>105.33023954583022</c:v>
                </c:pt>
                <c:pt idx="13" formatCode="0">
                  <c:v>118.23103008893722</c:v>
                </c:pt>
                <c:pt idx="14" formatCode="0">
                  <c:v>125.57606484430841</c:v>
                </c:pt>
                <c:pt idx="15" formatCode="0">
                  <c:v>133.64059443921192</c:v>
                </c:pt>
                <c:pt idx="16" formatCode="0">
                  <c:v>142.50928449057056</c:v>
                </c:pt>
                <c:pt idx="17" formatCode="0">
                  <c:v>152.27739732009837</c:v>
                </c:pt>
                <c:pt idx="18" formatCode="0">
                  <c:v>163.05214997702629</c:v>
                </c:pt>
                <c:pt idx="19" formatCode="0">
                  <c:v>174.95424832427929</c:v>
                </c:pt>
                <c:pt idx="20" formatCode="0">
                  <c:v>188.11962017459092</c:v>
                </c:pt>
                <c:pt idx="21" formatCode="0">
                  <c:v>202.70137347866557</c:v>
                </c:pt>
                <c:pt idx="22" formatCode="0">
                  <c:v>218.87200898015993</c:v>
                </c:pt>
                <c:pt idx="23" formatCode="0">
                  <c:v>236.82592061438089</c:v>
                </c:pt>
                <c:pt idx="24" formatCode="0">
                  <c:v>256.78222129853225</c:v>
                </c:pt>
                <c:pt idx="25" formatCode="0">
                  <c:v>278.98793670830793</c:v>
                </c:pt>
                <c:pt idx="26" formatCode="0">
                  <c:v>296.86292418803214</c:v>
                </c:pt>
                <c:pt idx="27" formatCode="0">
                  <c:v>316.32480806111812</c:v>
                </c:pt>
                <c:pt idx="28" formatCode="0">
                  <c:v>337.52521369023827</c:v>
                </c:pt>
                <c:pt idx="29" formatCode="0">
                  <c:v>360.63049957355003</c:v>
                </c:pt>
                <c:pt idx="30" formatCode="0">
                  <c:v>385.82319765091955</c:v>
                </c:pt>
                <c:pt idx="31" formatCode="0">
                  <c:v>413.30359494039857</c:v>
                </c:pt>
                <c:pt idx="32" formatCode="0">
                  <c:v>443.29147041388143</c:v>
                </c:pt>
                <c:pt idx="33" formatCode="0">
                  <c:v>476.02800239310801</c:v>
                </c:pt>
                <c:pt idx="34" formatCode="0">
                  <c:v>511.77786325507873</c:v>
                </c:pt>
                <c:pt idx="35" formatCode="0">
                  <c:v>550.83151989296414</c:v>
                </c:pt>
                <c:pt idx="36" formatCode="0">
                  <c:v>593.5077601994758</c:v>
                </c:pt>
                <c:pt idx="37" formatCode="0">
                  <c:v>640.15646784066928</c:v>
                </c:pt>
                <c:pt idx="38" formatCode="0">
                  <c:v>678.57055439716851</c:v>
                </c:pt>
                <c:pt idx="39" formatCode="0">
                  <c:v>719.484677067951</c:v>
                </c:pt>
                <c:pt idx="40" formatCode="0">
                  <c:v>763.06662650834551</c:v>
                </c:pt>
                <c:pt idx="41" formatCode="0">
                  <c:v>809.49561797823833</c:v>
                </c:pt>
                <c:pt idx="42" formatCode="0">
                  <c:v>858.96307578645178</c:v>
                </c:pt>
                <c:pt idx="43" formatCode="0">
                  <c:v>911.67347191563749</c:v>
                </c:pt>
                <c:pt idx="44" formatCode="0">
                  <c:v>967.84522258761274</c:v>
                </c:pt>
                <c:pt idx="45" formatCode="0">
                  <c:v>1027.7116467910821</c:v>
                </c:pt>
                <c:pt idx="46" formatCode="0">
                  <c:v>1091.5219910740263</c:v>
                </c:pt>
                <c:pt idx="47" formatCode="0">
                  <c:v>1159.5425252029968</c:v>
                </c:pt>
                <c:pt idx="48" formatCode="0">
                  <c:v>1232.0577136125089</c:v>
                </c:pt>
                <c:pt idx="49" formatCode="0">
                  <c:v>1309.3714679111465</c:v>
                </c:pt>
                <c:pt idx="50" formatCode="0">
                  <c:v>1381.1445054446938</c:v>
                </c:pt>
                <c:pt idx="51" formatCode="0">
                  <c:v>1457.0377498497649</c:v>
                </c:pt>
                <c:pt idx="52" formatCode="0">
                  <c:v>1537.2945368164339</c:v>
                </c:pt>
                <c:pt idx="53" formatCode="0">
                  <c:v>1622.1728342852825</c:v>
                </c:pt>
                <c:pt idx="54" formatCode="0">
                  <c:v>1711.9461327581687</c:v>
                </c:pt>
                <c:pt idx="55" formatCode="0">
                  <c:v>1806.9043902126068</c:v>
                </c:pt>
                <c:pt idx="56" formatCode="0">
                  <c:v>1907.3550349869549</c:v>
                </c:pt>
                <c:pt idx="57" formatCode="0">
                  <c:v>2013.6240302120029</c:v>
                </c:pt>
                <c:pt idx="58" formatCode="0">
                  <c:v>2126.0570035859505</c:v>
                </c:pt>
                <c:pt idx="59" formatCode="0">
                  <c:v>2245.0204465248516</c:v>
                </c:pt>
                <c:pt idx="60" formatCode="0">
                  <c:v>2370.9029869702977</c:v>
                </c:pt>
                <c:pt idx="61" formatCode="0">
                  <c:v>2504.1167404013345</c:v>
                </c:pt>
              </c:numCache>
            </c:numRef>
          </c:val>
        </c:ser>
        <c:marker val="1"/>
        <c:axId val="229309056"/>
        <c:axId val="229377920"/>
      </c:lineChart>
      <c:catAx>
        <c:axId val="229309056"/>
        <c:scaling>
          <c:orientation val="minMax"/>
        </c:scaling>
        <c:axPos val="b"/>
        <c:tickLblPos val="nextTo"/>
        <c:crossAx val="229377920"/>
        <c:crosses val="autoZero"/>
        <c:auto val="1"/>
        <c:lblAlgn val="ctr"/>
        <c:lblOffset val="100"/>
      </c:catAx>
      <c:valAx>
        <c:axId val="229377920"/>
        <c:scaling>
          <c:orientation val="minMax"/>
        </c:scaling>
        <c:axPos val="l"/>
        <c:majorGridlines/>
        <c:numFmt formatCode="#,##0" sourceLinked="0"/>
        <c:tickLblPos val="nextTo"/>
        <c:crossAx val="22930905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22" l="0.70000000000000118" r="0.70000000000000118" t="0.750000000000001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'Marketing Dashboard'!$C$53</c:f>
              <c:strCache>
                <c:ptCount val="1"/>
                <c:pt idx="0">
                  <c:v>Earned Media</c:v>
                </c:pt>
              </c:strCache>
            </c:strRef>
          </c:tx>
          <c:marker>
            <c:symbol val="none"/>
          </c:marker>
          <c:val>
            <c:numRef>
              <c:f>'Marketing Dashboard'!$D$53:$BK$53</c:f>
              <c:numCache>
                <c:formatCode>"$"#,##0</c:formatCode>
                <c:ptCount val="60"/>
                <c:pt idx="0">
                  <c:v>586.93333333333328</c:v>
                </c:pt>
                <c:pt idx="1">
                  <c:v>586.93333333333328</c:v>
                </c:pt>
                <c:pt idx="2">
                  <c:v>514.82000000000005</c:v>
                </c:pt>
                <c:pt idx="3">
                  <c:v>451.69520242214531</c:v>
                </c:pt>
                <c:pt idx="4">
                  <c:v>510.67951800580096</c:v>
                </c:pt>
                <c:pt idx="5">
                  <c:v>448.83405241790615</c:v>
                </c:pt>
                <c:pt idx="6">
                  <c:v>394.57239273833306</c:v>
                </c:pt>
                <c:pt idx="7">
                  <c:v>346.95469140301634</c:v>
                </c:pt>
                <c:pt idx="8">
                  <c:v>357.6232729823484</c:v>
                </c:pt>
                <c:pt idx="9">
                  <c:v>318.61455508960552</c:v>
                </c:pt>
                <c:pt idx="10">
                  <c:v>280.77623656403466</c:v>
                </c:pt>
                <c:pt idx="11">
                  <c:v>247.25664643912211</c:v>
                </c:pt>
                <c:pt idx="12">
                  <c:v>217.76972180792319</c:v>
                </c:pt>
                <c:pt idx="13">
                  <c:v>202.44336201946075</c:v>
                </c:pt>
                <c:pt idx="14">
                  <c:v>193.12518328440231</c:v>
                </c:pt>
                <c:pt idx="15">
                  <c:v>182.20137778846563</c:v>
                </c:pt>
                <c:pt idx="16">
                  <c:v>171.76340703802708</c:v>
                </c:pt>
                <c:pt idx="17">
                  <c:v>161.93790612268799</c:v>
                </c:pt>
                <c:pt idx="18">
                  <c:v>213.80259566451321</c:v>
                </c:pt>
                <c:pt idx="19">
                  <c:v>201.74745552963998</c:v>
                </c:pt>
                <c:pt idx="20">
                  <c:v>190.39537189657139</c:v>
                </c:pt>
                <c:pt idx="21">
                  <c:v>179.70418233445577</c:v>
                </c:pt>
                <c:pt idx="22">
                  <c:v>169.63430728206393</c:v>
                </c:pt>
                <c:pt idx="23">
                  <c:v>160.14859347361883</c:v>
                </c:pt>
                <c:pt idx="24">
                  <c:v>168.78148944402523</c:v>
                </c:pt>
                <c:pt idx="25">
                  <c:v>188.0658890569477</c:v>
                </c:pt>
                <c:pt idx="26">
                  <c:v>183.84599470249518</c:v>
                </c:pt>
                <c:pt idx="27">
                  <c:v>179.42214120211241</c:v>
                </c:pt>
                <c:pt idx="28">
                  <c:v>175.11963834593382</c:v>
                </c:pt>
                <c:pt idx="29">
                  <c:v>170.98305242239789</c:v>
                </c:pt>
                <c:pt idx="30">
                  <c:v>167.01147867132704</c:v>
                </c:pt>
                <c:pt idx="31">
                  <c:v>163.19707467007015</c:v>
                </c:pt>
                <c:pt idx="32">
                  <c:v>176.46376663732241</c:v>
                </c:pt>
                <c:pt idx="33">
                  <c:v>176.82468725478847</c:v>
                </c:pt>
                <c:pt idx="34">
                  <c:v>174.11490080601877</c:v>
                </c:pt>
                <c:pt idx="35">
                  <c:v>188.47206333960085</c:v>
                </c:pt>
                <c:pt idx="36">
                  <c:v>184.74476204886997</c:v>
                </c:pt>
                <c:pt idx="37">
                  <c:v>197.10636266715954</c:v>
                </c:pt>
                <c:pt idx="38">
                  <c:v>188.81101813605775</c:v>
                </c:pt>
                <c:pt idx="39">
                  <c:v>183.11269364840484</c:v>
                </c:pt>
                <c:pt idx="40">
                  <c:v>177.98664547571661</c:v>
                </c:pt>
                <c:pt idx="41">
                  <c:v>187.10617052270993</c:v>
                </c:pt>
                <c:pt idx="42">
                  <c:v>200.49861715237873</c:v>
                </c:pt>
                <c:pt idx="43">
                  <c:v>195.99185894912884</c:v>
                </c:pt>
                <c:pt idx="44">
                  <c:v>191.00430418926351</c:v>
                </c:pt>
                <c:pt idx="45">
                  <c:v>186.02075240028196</c:v>
                </c:pt>
                <c:pt idx="46">
                  <c:v>181.15446913631786</c:v>
                </c:pt>
                <c:pt idx="47">
                  <c:v>203.60682941468625</c:v>
                </c:pt>
                <c:pt idx="48">
                  <c:v>224.41636061674581</c:v>
                </c:pt>
                <c:pt idx="49">
                  <c:v>223.7551171022684</c:v>
                </c:pt>
                <c:pt idx="50">
                  <c:v>220.25250610236768</c:v>
                </c:pt>
                <c:pt idx="51">
                  <c:v>215.90414743107235</c:v>
                </c:pt>
                <c:pt idx="52">
                  <c:v>211.3589588823551</c:v>
                </c:pt>
                <c:pt idx="53">
                  <c:v>218.51954051261237</c:v>
                </c:pt>
                <c:pt idx="54">
                  <c:v>250.27119143271068</c:v>
                </c:pt>
                <c:pt idx="55">
                  <c:v>250.25021590587937</c:v>
                </c:pt>
                <c:pt idx="56">
                  <c:v>247.09802945958518</c:v>
                </c:pt>
                <c:pt idx="57">
                  <c:v>253.50792845278662</c:v>
                </c:pt>
                <c:pt idx="58">
                  <c:v>262.15578532463815</c:v>
                </c:pt>
                <c:pt idx="59">
                  <c:v>263.4929559669323</c:v>
                </c:pt>
              </c:numCache>
            </c:numRef>
          </c:val>
        </c:ser>
        <c:ser>
          <c:idx val="1"/>
          <c:order val="1"/>
          <c:tx>
            <c:strRef>
              <c:f>'Marketing Dashboard'!$C$54</c:f>
              <c:strCache>
                <c:ptCount val="1"/>
                <c:pt idx="0">
                  <c:v>TV</c:v>
                </c:pt>
              </c:strCache>
            </c:strRef>
          </c:tx>
          <c:marker>
            <c:symbol val="none"/>
          </c:marker>
          <c:val>
            <c:numRef>
              <c:f>'Marketing Dashboard'!$D$54:$BK$54</c:f>
              <c:numCache>
                <c:formatCode>"$"#,##0</c:formatCode>
                <c:ptCount val="60"/>
                <c:pt idx="0">
                  <c:v>1787.4285714285711</c:v>
                </c:pt>
                <c:pt idx="1">
                  <c:v>1736.6421768707478</c:v>
                </c:pt>
                <c:pt idx="2">
                  <c:v>1687.5743699384514</c:v>
                </c:pt>
                <c:pt idx="3">
                  <c:v>1708.5686361546882</c:v>
                </c:pt>
                <c:pt idx="4">
                  <c:v>1659.4664229610378</c:v>
                </c:pt>
                <c:pt idx="5">
                  <c:v>1612.0314017278156</c:v>
                </c:pt>
                <c:pt idx="6">
                  <c:v>1566.1941512934384</c:v>
                </c:pt>
                <c:pt idx="7">
                  <c:v>1564.5295706089064</c:v>
                </c:pt>
                <c:pt idx="8">
                  <c:v>1523.0468481815715</c:v>
                </c:pt>
                <c:pt idx="9">
                  <c:v>1479.7934551469273</c:v>
                </c:pt>
                <c:pt idx="10">
                  <c:v>1437.7324060822241</c:v>
                </c:pt>
                <c:pt idx="11">
                  <c:v>1397.0449678438013</c:v>
                </c:pt>
                <c:pt idx="12">
                  <c:v>1369.2147826638345</c:v>
                </c:pt>
                <c:pt idx="13">
                  <c:v>1347.8702166070557</c:v>
                </c:pt>
                <c:pt idx="14">
                  <c:v>1324.4620100530094</c:v>
                </c:pt>
                <c:pt idx="15">
                  <c:v>1301.3718420176785</c:v>
                </c:pt>
                <c:pt idx="16">
                  <c:v>1278.7772188090355</c:v>
                </c:pt>
                <c:pt idx="17">
                  <c:v>1334.4803177311558</c:v>
                </c:pt>
                <c:pt idx="18">
                  <c:v>1310.3541717355668</c:v>
                </c:pt>
                <c:pt idx="19">
                  <c:v>1286.7772802465042</c:v>
                </c:pt>
                <c:pt idx="20">
                  <c:v>1263.733385877641</c:v>
                </c:pt>
                <c:pt idx="21">
                  <c:v>1241.206811139758</c:v>
                </c:pt>
                <c:pt idx="22">
                  <c:v>1219.182441628137</c:v>
                </c:pt>
                <c:pt idx="23">
                  <c:v>1223.4666559738357</c:v>
                </c:pt>
                <c:pt idx="24">
                  <c:v>1241.3420449028852</c:v>
                </c:pt>
                <c:pt idx="25">
                  <c:v>1224.8112668910082</c:v>
                </c:pt>
                <c:pt idx="26">
                  <c:v>1208.119714308215</c:v>
                </c:pt>
                <c:pt idx="27">
                  <c:v>1191.7410560369717</c:v>
                </c:pt>
                <c:pt idx="28">
                  <c:v>1175.7368835749585</c:v>
                </c:pt>
                <c:pt idx="29">
                  <c:v>1160.1024398425589</c:v>
                </c:pt>
                <c:pt idx="30">
                  <c:v>1144.823044781587</c:v>
                </c:pt>
                <c:pt idx="31">
                  <c:v>1154.124979779242</c:v>
                </c:pt>
                <c:pt idx="32">
                  <c:v>1144.9762950978716</c:v>
                </c:pt>
                <c:pt idx="33">
                  <c:v>1131.546022606605</c:v>
                </c:pt>
                <c:pt idx="34">
                  <c:v>1142.424987959907</c:v>
                </c:pt>
                <c:pt idx="35">
                  <c:v>1127.704238988201</c:v>
                </c:pt>
                <c:pt idx="36">
                  <c:v>1137.5096166230089</c:v>
                </c:pt>
                <c:pt idx="37">
                  <c:v>1118.0655508589552</c:v>
                </c:pt>
                <c:pt idx="38">
                  <c:v>1102.3185482653562</c:v>
                </c:pt>
                <c:pt idx="39">
                  <c:v>1087.401510766392</c:v>
                </c:pt>
                <c:pt idx="40">
                  <c:v>1093.4582020488519</c:v>
                </c:pt>
                <c:pt idx="41">
                  <c:v>1106.2023357663688</c:v>
                </c:pt>
                <c:pt idx="42">
                  <c:v>1092.6186148554548</c:v>
                </c:pt>
                <c:pt idx="43">
                  <c:v>1078.3255961070761</c:v>
                </c:pt>
                <c:pt idx="44">
                  <c:v>1064.0403006363863</c:v>
                </c:pt>
                <c:pt idx="45">
                  <c:v>1049.9339788349666</c:v>
                </c:pt>
                <c:pt idx="46">
                  <c:v>1078.0566524103326</c:v>
                </c:pt>
                <c:pt idx="47">
                  <c:v>1104.308322886367</c:v>
                </c:pt>
                <c:pt idx="48">
                  <c:v>1083.4563385273314</c:v>
                </c:pt>
                <c:pt idx="49">
                  <c:v>1058.6750653348538</c:v>
                </c:pt>
                <c:pt idx="50">
                  <c:v>1033.0794058842571</c:v>
                </c:pt>
                <c:pt idx="51">
                  <c:v>1007.6692478038938</c:v>
                </c:pt>
                <c:pt idx="52">
                  <c:v>1000.6134906249475</c:v>
                </c:pt>
                <c:pt idx="53">
                  <c:v>1031.2802564612205</c:v>
                </c:pt>
                <c:pt idx="54">
                  <c:v>1013.831604417883</c:v>
                </c:pt>
                <c:pt idx="55">
                  <c:v>992.05308957747309</c:v>
                </c:pt>
                <c:pt idx="56">
                  <c:v>985.06302216765971</c:v>
                </c:pt>
                <c:pt idx="57">
                  <c:v>981.7178326614943</c:v>
                </c:pt>
                <c:pt idx="58">
                  <c:v>967.73883887587294</c:v>
                </c:pt>
                <c:pt idx="59">
                  <c:v>979.60946670550584</c:v>
                </c:pt>
              </c:numCache>
            </c:numRef>
          </c:val>
        </c:ser>
        <c:ser>
          <c:idx val="2"/>
          <c:order val="2"/>
          <c:tx>
            <c:strRef>
              <c:f>'Marketing Dashboard'!$C$55</c:f>
              <c:strCache>
                <c:ptCount val="1"/>
                <c:pt idx="0">
                  <c:v>Print</c:v>
                </c:pt>
              </c:strCache>
            </c:strRef>
          </c:tx>
          <c:marker>
            <c:symbol val="none"/>
          </c:marker>
          <c:val>
            <c:numRef>
              <c:f>'Marketing Dashboard'!$D$55:$BK$55</c:f>
              <c:numCache>
                <c:formatCode>"$"#,##0</c:formatCode>
                <c:ptCount val="60"/>
                <c:pt idx="0">
                  <c:v>902.95652173913049</c:v>
                </c:pt>
                <c:pt idx="1">
                  <c:v>857.28938321536896</c:v>
                </c:pt>
                <c:pt idx="2">
                  <c:v>814.05348319890891</c:v>
                </c:pt>
                <c:pt idx="3">
                  <c:v>802.21459729933542</c:v>
                </c:pt>
                <c:pt idx="4">
                  <c:v>761.40283531454702</c:v>
                </c:pt>
                <c:pt idx="5">
                  <c:v>722.77282803002004</c:v>
                </c:pt>
                <c:pt idx="6">
                  <c:v>686.20001973211799</c:v>
                </c:pt>
                <c:pt idx="7">
                  <c:v>668.07777713762914</c:v>
                </c:pt>
                <c:pt idx="8">
                  <c:v>635.40389212938953</c:v>
                </c:pt>
                <c:pt idx="9">
                  <c:v>603.26802605998569</c:v>
                </c:pt>
                <c:pt idx="10">
                  <c:v>572.74553342543311</c:v>
                </c:pt>
                <c:pt idx="11">
                  <c:v>543.83113532774598</c:v>
                </c:pt>
                <c:pt idx="12">
                  <c:v>542.03925890643268</c:v>
                </c:pt>
                <c:pt idx="13">
                  <c:v>542.41423827770632</c:v>
                </c:pt>
                <c:pt idx="14">
                  <c:v>541.902851490996</c:v>
                </c:pt>
                <c:pt idx="15">
                  <c:v>541.35917879583621</c:v>
                </c:pt>
                <c:pt idx="16">
                  <c:v>540.8521354654963</c:v>
                </c:pt>
                <c:pt idx="17">
                  <c:v>570.61448188019585</c:v>
                </c:pt>
                <c:pt idx="18">
                  <c:v>569.69368200728945</c:v>
                </c:pt>
                <c:pt idx="19">
                  <c:v>568.82052338390145</c:v>
                </c:pt>
                <c:pt idx="20">
                  <c:v>567.99381926182241</c:v>
                </c:pt>
                <c:pt idx="21">
                  <c:v>567.2124134688396</c:v>
                </c:pt>
                <c:pt idx="22">
                  <c:v>566.47518209423959</c:v>
                </c:pt>
                <c:pt idx="23">
                  <c:v>576.84128806253102</c:v>
                </c:pt>
                <c:pt idx="24">
                  <c:v>589.76267844874531</c:v>
                </c:pt>
                <c:pt idx="25">
                  <c:v>587.85760169159994</c:v>
                </c:pt>
                <c:pt idx="26">
                  <c:v>585.7912273661143</c:v>
                </c:pt>
                <c:pt idx="27">
                  <c:v>583.77089473964577</c:v>
                </c:pt>
                <c:pt idx="28">
                  <c:v>581.82681296821283</c:v>
                </c:pt>
                <c:pt idx="29">
                  <c:v>579.96019667164967</c:v>
                </c:pt>
                <c:pt idx="30">
                  <c:v>578.16769682669394</c:v>
                </c:pt>
                <c:pt idx="31">
                  <c:v>587.68077479856026</c:v>
                </c:pt>
                <c:pt idx="32">
                  <c:v>588.69471860178362</c:v>
                </c:pt>
                <c:pt idx="33">
                  <c:v>587.65241948912887</c:v>
                </c:pt>
                <c:pt idx="34">
                  <c:v>598.14156751630787</c:v>
                </c:pt>
                <c:pt idx="35">
                  <c:v>596.44432728883646</c:v>
                </c:pt>
                <c:pt idx="36">
                  <c:v>605.52923770975156</c:v>
                </c:pt>
                <c:pt idx="37">
                  <c:v>600.39539807492918</c:v>
                </c:pt>
                <c:pt idx="38">
                  <c:v>596.96930160873558</c:v>
                </c:pt>
                <c:pt idx="39">
                  <c:v>593.86610585855431</c:v>
                </c:pt>
                <c:pt idx="40">
                  <c:v>601.21409788009191</c:v>
                </c:pt>
                <c:pt idx="41">
                  <c:v>612.03718945028186</c:v>
                </c:pt>
                <c:pt idx="42">
                  <c:v>609.55961591002949</c:v>
                </c:pt>
                <c:pt idx="43">
                  <c:v>606.64098707718279</c:v>
                </c:pt>
                <c:pt idx="44">
                  <c:v>603.64339572300776</c:v>
                </c:pt>
                <c:pt idx="45">
                  <c:v>600.65538898804823</c:v>
                </c:pt>
                <c:pt idx="46">
                  <c:v>619.87147762763834</c:v>
                </c:pt>
                <c:pt idx="47">
                  <c:v>638.37534753179796</c:v>
                </c:pt>
                <c:pt idx="48">
                  <c:v>626.04193222660194</c:v>
                </c:pt>
                <c:pt idx="49">
                  <c:v>611.64772861410495</c:v>
                </c:pt>
                <c:pt idx="50">
                  <c:v>596.84958829048708</c:v>
                </c:pt>
                <c:pt idx="51">
                  <c:v>582.17888095276533</c:v>
                </c:pt>
                <c:pt idx="52">
                  <c:v>577.3034400189058</c:v>
                </c:pt>
                <c:pt idx="53">
                  <c:v>592.52927925200811</c:v>
                </c:pt>
                <c:pt idx="54">
                  <c:v>582.1772890513281</c:v>
                </c:pt>
                <c:pt idx="55">
                  <c:v>569.54719123436939</c:v>
                </c:pt>
                <c:pt idx="56">
                  <c:v>564.81211159508052</c:v>
                </c:pt>
                <c:pt idx="57">
                  <c:v>562.04140872151788</c:v>
                </c:pt>
                <c:pt idx="58">
                  <c:v>553.63611404050164</c:v>
                </c:pt>
                <c:pt idx="59">
                  <c:v>559.01020098656988</c:v>
                </c:pt>
              </c:numCache>
            </c:numRef>
          </c:val>
        </c:ser>
        <c:ser>
          <c:idx val="3"/>
          <c:order val="3"/>
          <c:tx>
            <c:strRef>
              <c:f>'Marketing Dashboard'!$C$56</c:f>
              <c:strCache>
                <c:ptCount val="1"/>
                <c:pt idx="0">
                  <c:v>Public Workshops</c:v>
                </c:pt>
              </c:strCache>
            </c:strRef>
          </c:tx>
          <c:marker>
            <c:symbol val="none"/>
          </c:marker>
          <c:val>
            <c:numRef>
              <c:f>'Marketing Dashboard'!$D$56:$BK$56</c:f>
              <c:numCache>
                <c:formatCode>"$"#,##0</c:formatCode>
                <c:ptCount val="60"/>
                <c:pt idx="0">
                  <c:v>513.4</c:v>
                </c:pt>
                <c:pt idx="1">
                  <c:v>489.09281249999998</c:v>
                </c:pt>
                <c:pt idx="2">
                  <c:v>466.06070654296883</c:v>
                </c:pt>
                <c:pt idx="3">
                  <c:v>478.48981113967903</c:v>
                </c:pt>
                <c:pt idx="4">
                  <c:v>455.64718635903239</c:v>
                </c:pt>
                <c:pt idx="5">
                  <c:v>434.00341771679047</c:v>
                </c:pt>
                <c:pt idx="6">
                  <c:v>413.48890917946574</c:v>
                </c:pt>
                <c:pt idx="7">
                  <c:v>414.08825652002093</c:v>
                </c:pt>
                <c:pt idx="8">
                  <c:v>395.95412788594604</c:v>
                </c:pt>
                <c:pt idx="9">
                  <c:v>377.30220360352484</c:v>
                </c:pt>
                <c:pt idx="10">
                  <c:v>359.50151747125915</c:v>
                </c:pt>
                <c:pt idx="11">
                  <c:v>342.60832489042258</c:v>
                </c:pt>
                <c:pt idx="12">
                  <c:v>338.2830486392927</c:v>
                </c:pt>
                <c:pt idx="13">
                  <c:v>336.67844234116615</c:v>
                </c:pt>
                <c:pt idx="14">
                  <c:v>333.98301075339276</c:v>
                </c:pt>
                <c:pt idx="15">
                  <c:v>331.26277801130186</c:v>
                </c:pt>
                <c:pt idx="16">
                  <c:v>328.60274483954726</c:v>
                </c:pt>
                <c:pt idx="17">
                  <c:v>362.95915950704051</c:v>
                </c:pt>
                <c:pt idx="18">
                  <c:v>359.67390252626154</c:v>
                </c:pt>
                <c:pt idx="19">
                  <c:v>356.46578650058649</c:v>
                </c:pt>
                <c:pt idx="20">
                  <c:v>353.33257051324421</c:v>
                </c:pt>
                <c:pt idx="21">
                  <c:v>350.27208007996001</c:v>
                </c:pt>
                <c:pt idx="22">
                  <c:v>347.28220813687284</c:v>
                </c:pt>
                <c:pt idx="23">
                  <c:v>357.55335054091211</c:v>
                </c:pt>
                <c:pt idx="24">
                  <c:v>372.04480735056148</c:v>
                </c:pt>
                <c:pt idx="25">
                  <c:v>368.86505068874749</c:v>
                </c:pt>
                <c:pt idx="26">
                  <c:v>365.50775761011789</c:v>
                </c:pt>
                <c:pt idx="27">
                  <c:v>362.21917209208812</c:v>
                </c:pt>
                <c:pt idx="28">
                  <c:v>359.03443122230982</c:v>
                </c:pt>
                <c:pt idx="29">
                  <c:v>355.95424786838566</c:v>
                </c:pt>
                <c:pt idx="30">
                  <c:v>352.9739742162725</c:v>
                </c:pt>
                <c:pt idx="31">
                  <c:v>363.2272199806676</c:v>
                </c:pt>
                <c:pt idx="32">
                  <c:v>363.51316138848563</c:v>
                </c:pt>
                <c:pt idx="33">
                  <c:v>361.40272404969062</c:v>
                </c:pt>
                <c:pt idx="34">
                  <c:v>372.68595747275998</c:v>
                </c:pt>
                <c:pt idx="35">
                  <c:v>369.80048841834525</c:v>
                </c:pt>
                <c:pt idx="36">
                  <c:v>378.25455106286358</c:v>
                </c:pt>
                <c:pt idx="37">
                  <c:v>370.34644694471405</c:v>
                </c:pt>
                <c:pt idx="38">
                  <c:v>364.46835183727683</c:v>
                </c:pt>
                <c:pt idx="39">
                  <c:v>359.02014876980024</c:v>
                </c:pt>
                <c:pt idx="40">
                  <c:v>365.24710805185032</c:v>
                </c:pt>
                <c:pt idx="41">
                  <c:v>375.17455134976012</c:v>
                </c:pt>
                <c:pt idx="42">
                  <c:v>370.3726690960533</c:v>
                </c:pt>
                <c:pt idx="43">
                  <c:v>365.14292143196417</c:v>
                </c:pt>
                <c:pt idx="44">
                  <c:v>359.88593846379865</c:v>
                </c:pt>
                <c:pt idx="45">
                  <c:v>354.69767959431732</c:v>
                </c:pt>
                <c:pt idx="46">
                  <c:v>373.05215641672476</c:v>
                </c:pt>
                <c:pt idx="47">
                  <c:v>390.33170699514682</c:v>
                </c:pt>
                <c:pt idx="48">
                  <c:v>382.65129712588748</c:v>
                </c:pt>
                <c:pt idx="49">
                  <c:v>372.71751721656415</c:v>
                </c:pt>
                <c:pt idx="50">
                  <c:v>362.27913235480628</c:v>
                </c:pt>
                <c:pt idx="51">
                  <c:v>351.89506836722245</c:v>
                </c:pt>
                <c:pt idx="52">
                  <c:v>351.50701217536783</c:v>
                </c:pt>
                <c:pt idx="53">
                  <c:v>371.54892064569208</c:v>
                </c:pt>
                <c:pt idx="54">
                  <c:v>365.19968629767732</c:v>
                </c:pt>
                <c:pt idx="55">
                  <c:v>356.44359929522659</c:v>
                </c:pt>
                <c:pt idx="56">
                  <c:v>355.60271803650085</c:v>
                </c:pt>
                <c:pt idx="57">
                  <c:v>356.61058055055389</c:v>
                </c:pt>
                <c:pt idx="58">
                  <c:v>351.82438920747325</c:v>
                </c:pt>
                <c:pt idx="59">
                  <c:v>360.71543646807527</c:v>
                </c:pt>
              </c:numCache>
            </c:numRef>
          </c:val>
        </c:ser>
        <c:ser>
          <c:idx val="4"/>
          <c:order val="4"/>
          <c:tx>
            <c:strRef>
              <c:f>'Marketing Dashboard'!$C$57</c:f>
              <c:strCache>
                <c:ptCount val="1"/>
                <c:pt idx="0">
                  <c:v>Presentations</c:v>
                </c:pt>
              </c:strCache>
            </c:strRef>
          </c:tx>
          <c:marker>
            <c:symbol val="none"/>
          </c:marker>
          <c:val>
            <c:numRef>
              <c:f>'Marketing Dashboard'!$D$57:$BK$57</c:f>
              <c:numCache>
                <c:formatCode>"$"#,##0</c:formatCode>
                <c:ptCount val="60"/>
                <c:pt idx="0">
                  <c:v>399.2592592592593</c:v>
                </c:pt>
                <c:pt idx="1">
                  <c:v>378.41319444444446</c:v>
                </c:pt>
                <c:pt idx="2">
                  <c:v>358.78338216145835</c:v>
                </c:pt>
                <c:pt idx="3">
                  <c:v>382.58890129089349</c:v>
                </c:pt>
                <c:pt idx="4">
                  <c:v>362.51856982433793</c:v>
                </c:pt>
                <c:pt idx="5">
                  <c:v>343.61071235712745</c:v>
                </c:pt>
                <c:pt idx="6">
                  <c:v>325.79181392695796</c:v>
                </c:pt>
                <c:pt idx="7">
                  <c:v>333.74613644898943</c:v>
                </c:pt>
                <c:pt idx="8">
                  <c:v>318.29089884115871</c:v>
                </c:pt>
                <c:pt idx="9">
                  <c:v>301.92560361520498</c:v>
                </c:pt>
                <c:pt idx="10">
                  <c:v>286.35099422521694</c:v>
                </c:pt>
                <c:pt idx="11">
                  <c:v>271.6466868409297</c:v>
                </c:pt>
                <c:pt idx="12">
                  <c:v>266.61566931887273</c:v>
                </c:pt>
                <c:pt idx="13">
                  <c:v>264.94287332595013</c:v>
                </c:pt>
                <c:pt idx="14">
                  <c:v>261.92275046613184</c:v>
                </c:pt>
                <c:pt idx="15">
                  <c:v>258.87138120246669</c:v>
                </c:pt>
                <c:pt idx="16">
                  <c:v>255.89370598220347</c:v>
                </c:pt>
                <c:pt idx="17">
                  <c:v>298.61472394659148</c:v>
                </c:pt>
                <c:pt idx="18">
                  <c:v>294.86391848559037</c:v>
                </c:pt>
                <c:pt idx="19">
                  <c:v>291.2077261851926</c:v>
                </c:pt>
                <c:pt idx="20">
                  <c:v>287.64338175206802</c:v>
                </c:pt>
                <c:pt idx="21">
                  <c:v>284.16820190572093</c:v>
                </c:pt>
                <c:pt idx="22">
                  <c:v>280.7795865981463</c:v>
                </c:pt>
                <c:pt idx="23">
                  <c:v>293.7619764217078</c:v>
                </c:pt>
                <c:pt idx="24">
                  <c:v>312.01726115741076</c:v>
                </c:pt>
                <c:pt idx="25">
                  <c:v>308.45533272509374</c:v>
                </c:pt>
                <c:pt idx="26">
                  <c:v>304.67332551380406</c:v>
                </c:pt>
                <c:pt idx="27">
                  <c:v>300.97524665125837</c:v>
                </c:pt>
                <c:pt idx="28">
                  <c:v>297.40447746986644</c:v>
                </c:pt>
                <c:pt idx="29">
                  <c:v>293.96190025947908</c:v>
                </c:pt>
                <c:pt idx="30">
                  <c:v>290.64177917901071</c:v>
                </c:pt>
                <c:pt idx="31">
                  <c:v>303.6584494050777</c:v>
                </c:pt>
                <c:pt idx="32">
                  <c:v>304.36892081531653</c:v>
                </c:pt>
                <c:pt idx="33">
                  <c:v>302.12001733510351</c:v>
                </c:pt>
                <c:pt idx="34">
                  <c:v>316.40562942579498</c:v>
                </c:pt>
                <c:pt idx="35">
                  <c:v>313.19813797814948</c:v>
                </c:pt>
                <c:pt idx="36">
                  <c:v>325.28020272161945</c:v>
                </c:pt>
                <c:pt idx="37">
                  <c:v>317.14318510562526</c:v>
                </c:pt>
                <c:pt idx="38">
                  <c:v>311.49369158918603</c:v>
                </c:pt>
                <c:pt idx="39">
                  <c:v>306.35648325158132</c:v>
                </c:pt>
                <c:pt idx="40">
                  <c:v>315.6148215300729</c:v>
                </c:pt>
                <c:pt idx="41">
                  <c:v>329.42363377458298</c:v>
                </c:pt>
                <c:pt idx="42">
                  <c:v>325.03027550942471</c:v>
                </c:pt>
                <c:pt idx="43">
                  <c:v>320.0910748343378</c:v>
                </c:pt>
                <c:pt idx="44">
                  <c:v>315.10083894106128</c:v>
                </c:pt>
                <c:pt idx="45">
                  <c:v>310.17823603085509</c:v>
                </c:pt>
                <c:pt idx="46">
                  <c:v>334.30372483986901</c:v>
                </c:pt>
                <c:pt idx="47">
                  <c:v>357.08532538209226</c:v>
                </c:pt>
                <c:pt idx="48">
                  <c:v>352.56774046741799</c:v>
                </c:pt>
                <c:pt idx="49">
                  <c:v>345.10186931426364</c:v>
                </c:pt>
                <c:pt idx="50">
                  <c:v>336.84028602692251</c:v>
                </c:pt>
                <c:pt idx="51">
                  <c:v>328.4778065370885</c:v>
                </c:pt>
                <c:pt idx="52">
                  <c:v>332.54155933090118</c:v>
                </c:pt>
                <c:pt idx="53">
                  <c:v>362.38501092251323</c:v>
                </c:pt>
                <c:pt idx="54">
                  <c:v>358.8561173127847</c:v>
                </c:pt>
                <c:pt idx="55">
                  <c:v>352.13596462440597</c:v>
                </c:pt>
                <c:pt idx="56">
                  <c:v>355.40546666201107</c:v>
                </c:pt>
                <c:pt idx="57">
                  <c:v>360.98968605683768</c:v>
                </c:pt>
                <c:pt idx="58">
                  <c:v>359.05292422572001</c:v>
                </c:pt>
                <c:pt idx="59">
                  <c:v>374.74333591447635</c:v>
                </c:pt>
              </c:numCache>
            </c:numRef>
          </c:val>
        </c:ser>
        <c:ser>
          <c:idx val="5"/>
          <c:order val="5"/>
          <c:tx>
            <c:strRef>
              <c:f>'Marketing Dashboard'!$C$58</c:f>
              <c:strCache>
                <c:ptCount val="1"/>
                <c:pt idx="0">
                  <c:v>Tabeling</c:v>
                </c:pt>
              </c:strCache>
            </c:strRef>
          </c:tx>
          <c:marker>
            <c:symbol val="none"/>
          </c:marker>
          <c:val>
            <c:numRef>
              <c:f>'Marketing Dashboard'!$D$58:$BK$58</c:f>
              <c:numCache>
                <c:formatCode>"$"#,##0</c:formatCode>
                <c:ptCount val="60"/>
                <c:pt idx="0">
                  <c:v>462.62499999999994</c:v>
                </c:pt>
                <c:pt idx="1">
                  <c:v>436.58027343750007</c:v>
                </c:pt>
                <c:pt idx="2">
                  <c:v>412.16338531494142</c:v>
                </c:pt>
                <c:pt idx="3">
                  <c:v>453.50312984991075</c:v>
                </c:pt>
                <c:pt idx="4">
                  <c:v>428.00388284076826</c:v>
                </c:pt>
                <c:pt idx="5">
                  <c:v>404.07551162025271</c:v>
                </c:pt>
                <c:pt idx="6">
                  <c:v>381.61396813615676</c:v>
                </c:pt>
                <c:pt idx="7">
                  <c:v>398.11578098467226</c:v>
                </c:pt>
                <c:pt idx="8">
                  <c:v>378.89162182665552</c:v>
                </c:pt>
                <c:pt idx="9">
                  <c:v>358.11935629553335</c:v>
                </c:pt>
                <c:pt idx="10">
                  <c:v>338.38847118273355</c:v>
                </c:pt>
                <c:pt idx="11">
                  <c:v>319.82611298725408</c:v>
                </c:pt>
                <c:pt idx="12">
                  <c:v>313.65473832830151</c:v>
                </c:pt>
                <c:pt idx="13">
                  <c:v>312.56920757969448</c:v>
                </c:pt>
                <c:pt idx="14">
                  <c:v>309.39760572816067</c:v>
                </c:pt>
                <c:pt idx="15">
                  <c:v>306.14612780811098</c:v>
                </c:pt>
                <c:pt idx="16">
                  <c:v>302.9766450038781</c:v>
                </c:pt>
                <c:pt idx="17">
                  <c:v>370.90479821550815</c:v>
                </c:pt>
                <c:pt idx="18">
                  <c:v>366.75529967838696</c:v>
                </c:pt>
                <c:pt idx="19">
                  <c:v>362.71363784829555</c:v>
                </c:pt>
                <c:pt idx="20">
                  <c:v>358.77701675516403</c:v>
                </c:pt>
                <c:pt idx="21">
                  <c:v>354.94271223372692</c:v>
                </c:pt>
                <c:pt idx="22">
                  <c:v>351.20807588267235</c:v>
                </c:pt>
                <c:pt idx="23">
                  <c:v>373.5506688298035</c:v>
                </c:pt>
                <c:pt idx="24">
                  <c:v>403.90254259803783</c:v>
                </c:pt>
                <c:pt idx="25">
                  <c:v>399.4275869219548</c:v>
                </c:pt>
                <c:pt idx="26">
                  <c:v>394.57374915291922</c:v>
                </c:pt>
                <c:pt idx="27">
                  <c:v>389.82806165214964</c:v>
                </c:pt>
                <c:pt idx="28">
                  <c:v>385.26148462305446</c:v>
                </c:pt>
                <c:pt idx="29">
                  <c:v>380.8768711632319</c:v>
                </c:pt>
                <c:pt idx="30">
                  <c:v>376.66635453943883</c:v>
                </c:pt>
                <c:pt idx="31">
                  <c:v>399.01222701284638</c:v>
                </c:pt>
                <c:pt idx="32">
                  <c:v>401.3939439491561</c:v>
                </c:pt>
                <c:pt idx="33">
                  <c:v>398.94562142731769</c:v>
                </c:pt>
                <c:pt idx="34">
                  <c:v>423.58424678739703</c:v>
                </c:pt>
                <c:pt idx="35">
                  <c:v>419.59749152354073</c:v>
                </c:pt>
                <c:pt idx="36">
                  <c:v>433.43566674259108</c:v>
                </c:pt>
                <c:pt idx="37">
                  <c:v>414.54566075806235</c:v>
                </c:pt>
                <c:pt idx="38">
                  <c:v>400.03331440255363</c:v>
                </c:pt>
                <c:pt idx="39">
                  <c:v>386.6585746113974</c:v>
                </c:pt>
                <c:pt idx="40">
                  <c:v>395.40747946100436</c:v>
                </c:pt>
                <c:pt idx="41">
                  <c:v>410.54493690546349</c:v>
                </c:pt>
                <c:pt idx="42">
                  <c:v>398.38902904966534</c:v>
                </c:pt>
                <c:pt idx="43">
                  <c:v>385.72067886956813</c:v>
                </c:pt>
                <c:pt idx="44">
                  <c:v>373.27492985425511</c:v>
                </c:pt>
                <c:pt idx="45">
                  <c:v>361.21506881327633</c:v>
                </c:pt>
                <c:pt idx="46">
                  <c:v>389.35144261344726</c:v>
                </c:pt>
                <c:pt idx="47">
                  <c:v>414.66025209743162</c:v>
                </c:pt>
                <c:pt idx="48">
                  <c:v>406.90530648144437</c:v>
                </c:pt>
                <c:pt idx="49">
                  <c:v>395.28687591167812</c:v>
                </c:pt>
                <c:pt idx="50">
                  <c:v>382.74090782629861</c:v>
                </c:pt>
                <c:pt idx="51">
                  <c:v>370.20221142501219</c:v>
                </c:pt>
                <c:pt idx="52">
                  <c:v>373.93716732475053</c:v>
                </c:pt>
                <c:pt idx="53">
                  <c:v>410.75158042511191</c:v>
                </c:pt>
                <c:pt idx="54">
                  <c:v>404.28422510654678</c:v>
                </c:pt>
                <c:pt idx="55">
                  <c:v>393.81809489265464</c:v>
                </c:pt>
                <c:pt idx="56">
                  <c:v>396.01860158213566</c:v>
                </c:pt>
                <c:pt idx="57">
                  <c:v>401.01320840239254</c:v>
                </c:pt>
                <c:pt idx="58">
                  <c:v>396.57071546817127</c:v>
                </c:pt>
                <c:pt idx="59">
                  <c:v>413.76862729496418</c:v>
                </c:pt>
              </c:numCache>
            </c:numRef>
          </c:val>
        </c:ser>
        <c:ser>
          <c:idx val="6"/>
          <c:order val="6"/>
          <c:tx>
            <c:strRef>
              <c:f>'Marketing Dashboard'!$C$59</c:f>
              <c:strCache>
                <c:ptCount val="1"/>
                <c:pt idx="0">
                  <c:v>Campaign</c:v>
                </c:pt>
              </c:strCache>
            </c:strRef>
          </c:tx>
          <c:marker>
            <c:symbol val="none"/>
          </c:marker>
          <c:val>
            <c:numRef>
              <c:f>'Marketing Dashboard'!$D$59:$BK$59</c:f>
              <c:numCache>
                <c:formatCode>"$"#,##0</c:formatCode>
                <c:ptCount val="60"/>
                <c:pt idx="0">
                  <c:v>551.57692307692321</c:v>
                </c:pt>
                <c:pt idx="1">
                  <c:v>503.22852203975799</c:v>
                </c:pt>
                <c:pt idx="2">
                  <c:v>459.25193516747106</c:v>
                </c:pt>
                <c:pt idx="3">
                  <c:v>456.01822995337369</c:v>
                </c:pt>
                <c:pt idx="4">
                  <c:v>415.87835054005831</c:v>
                </c:pt>
                <c:pt idx="5">
                  <c:v>379.37414256228664</c:v>
                </c:pt>
                <c:pt idx="6">
                  <c:v>346.16593021821808</c:v>
                </c:pt>
                <c:pt idx="7">
                  <c:v>334.13707841940504</c:v>
                </c:pt>
                <c:pt idx="8">
                  <c:v>306.1527105791061</c:v>
                </c:pt>
                <c:pt idx="9">
                  <c:v>279.41689192216245</c:v>
                </c:pt>
                <c:pt idx="10">
                  <c:v>254.99140842870767</c:v>
                </c:pt>
                <c:pt idx="11">
                  <c:v>232.75058620455326</c:v>
                </c:pt>
                <c:pt idx="12">
                  <c:v>226.71919599421494</c:v>
                </c:pt>
                <c:pt idx="13">
                  <c:v>222.83541302338048</c:v>
                </c:pt>
                <c:pt idx="14">
                  <c:v>218.20590997944302</c:v>
                </c:pt>
                <c:pt idx="15">
                  <c:v>213.63757249046947</c:v>
                </c:pt>
                <c:pt idx="16">
                  <c:v>209.19114421801882</c:v>
                </c:pt>
                <c:pt idx="17">
                  <c:v>231.20401898316962</c:v>
                </c:pt>
                <c:pt idx="18">
                  <c:v>226.14941337463827</c:v>
                </c:pt>
                <c:pt idx="19">
                  <c:v>221.23681162854476</c:v>
                </c:pt>
                <c:pt idx="20">
                  <c:v>216.4613303636113</c:v>
                </c:pt>
                <c:pt idx="21">
                  <c:v>211.81827375054155</c:v>
                </c:pt>
                <c:pt idx="22">
                  <c:v>207.30312794426669</c:v>
                </c:pt>
                <c:pt idx="23">
                  <c:v>211.65218159768494</c:v>
                </c:pt>
                <c:pt idx="24">
                  <c:v>219.68848194260653</c:v>
                </c:pt>
                <c:pt idx="25">
                  <c:v>216.05851693555155</c:v>
                </c:pt>
                <c:pt idx="26">
                  <c:v>212.35485518900293</c:v>
                </c:pt>
                <c:pt idx="27">
                  <c:v>208.73802689344225</c:v>
                </c:pt>
                <c:pt idx="28">
                  <c:v>205.22906843212556</c:v>
                </c:pt>
                <c:pt idx="29">
                  <c:v>201.82655475518877</c:v>
                </c:pt>
                <c:pt idx="30">
                  <c:v>198.5256999776561</c:v>
                </c:pt>
                <c:pt idx="31">
                  <c:v>203.5275030523577</c:v>
                </c:pt>
                <c:pt idx="32">
                  <c:v>202.26543621661889</c:v>
                </c:pt>
                <c:pt idx="33">
                  <c:v>199.53602414955319</c:v>
                </c:pt>
                <c:pt idx="34">
                  <c:v>205.01769857237403</c:v>
                </c:pt>
                <c:pt idx="35">
                  <c:v>201.81599841129946</c:v>
                </c:pt>
                <c:pt idx="36">
                  <c:v>202.22709158689003</c:v>
                </c:pt>
                <c:pt idx="37">
                  <c:v>193.04798803334697</c:v>
                </c:pt>
                <c:pt idx="38">
                  <c:v>185.3347512901897</c:v>
                </c:pt>
                <c:pt idx="39">
                  <c:v>178.11448076420902</c:v>
                </c:pt>
                <c:pt idx="40">
                  <c:v>177.40150921692495</c:v>
                </c:pt>
                <c:pt idx="41">
                  <c:v>178.55733378383826</c:v>
                </c:pt>
                <c:pt idx="42">
                  <c:v>172.01806996242567</c:v>
                </c:pt>
                <c:pt idx="43">
                  <c:v>165.47394286383258</c:v>
                </c:pt>
                <c:pt idx="44">
                  <c:v>159.12939011357921</c:v>
                </c:pt>
                <c:pt idx="45">
                  <c:v>153.02463673132112</c:v>
                </c:pt>
                <c:pt idx="46">
                  <c:v>158.04772197036277</c:v>
                </c:pt>
                <c:pt idx="47">
                  <c:v>162.25258689581702</c:v>
                </c:pt>
                <c:pt idx="48">
                  <c:v>156.02794575910184</c:v>
                </c:pt>
                <c:pt idx="49">
                  <c:v>148.99438445888745</c:v>
                </c:pt>
                <c:pt idx="50">
                  <c:v>141.95251100506877</c:v>
                </c:pt>
                <c:pt idx="51">
                  <c:v>135.143924838213</c:v>
                </c:pt>
                <c:pt idx="52">
                  <c:v>132.63687844112107</c:v>
                </c:pt>
                <c:pt idx="53">
                  <c:v>138.37414378796379</c:v>
                </c:pt>
                <c:pt idx="54">
                  <c:v>133.4309981121306</c:v>
                </c:pt>
                <c:pt idx="55">
                  <c:v>127.6922216908703</c:v>
                </c:pt>
                <c:pt idx="56">
                  <c:v>125.11486466455256</c:v>
                </c:pt>
                <c:pt idx="57">
                  <c:v>123.26737419346698</c:v>
                </c:pt>
                <c:pt idx="58">
                  <c:v>119.33098374821206</c:v>
                </c:pt>
                <c:pt idx="59">
                  <c:v>120.36738083913596</c:v>
                </c:pt>
              </c:numCache>
            </c:numRef>
          </c:val>
        </c:ser>
        <c:ser>
          <c:idx val="7"/>
          <c:order val="7"/>
          <c:tx>
            <c:strRef>
              <c:f>'Marketing Dashboard'!$C$60</c:f>
              <c:strCache>
                <c:ptCount val="1"/>
                <c:pt idx="0">
                  <c:v>Bill Inserts</c:v>
                </c:pt>
              </c:strCache>
            </c:strRef>
          </c:tx>
          <c:marker>
            <c:symbol val="none"/>
          </c:marker>
          <c:val>
            <c:numRef>
              <c:f>'Marketing Dashboard'!$D$60:$BK$60</c:f>
              <c:numCache>
                <c:formatCode>"$"#,##0</c:formatCode>
                <c:ptCount val="60"/>
                <c:pt idx="0">
                  <c:v>324.23529411764702</c:v>
                </c:pt>
                <c:pt idx="1">
                  <c:v>318.17760910815934</c:v>
                </c:pt>
                <c:pt idx="2">
                  <c:v>312.32981453143162</c:v>
                </c:pt>
                <c:pt idx="3">
                  <c:v>336.23918380205612</c:v>
                </c:pt>
                <c:pt idx="4">
                  <c:v>329.83048609337305</c:v>
                </c:pt>
                <c:pt idx="5">
                  <c:v>323.63601975500524</c:v>
                </c:pt>
                <c:pt idx="6">
                  <c:v>317.64678889118073</c:v>
                </c:pt>
                <c:pt idx="7">
                  <c:v>331.49310548907295</c:v>
                </c:pt>
                <c:pt idx="8">
                  <c:v>326.83921609867883</c:v>
                </c:pt>
                <c:pt idx="9">
                  <c:v>320.87920025425967</c:v>
                </c:pt>
                <c:pt idx="10">
                  <c:v>314.99215524041915</c:v>
                </c:pt>
                <c:pt idx="11">
                  <c:v>309.28210308926003</c:v>
                </c:pt>
                <c:pt idx="12">
                  <c:v>308.39445629333392</c:v>
                </c:pt>
                <c:pt idx="13">
                  <c:v>310.53822604030188</c:v>
                </c:pt>
                <c:pt idx="14">
                  <c:v>311.42861069158056</c:v>
                </c:pt>
                <c:pt idx="15">
                  <c:v>312.26405963538718</c:v>
                </c:pt>
                <c:pt idx="16">
                  <c:v>313.14325116542142</c:v>
                </c:pt>
                <c:pt idx="17">
                  <c:v>358.32208193063843</c:v>
                </c:pt>
                <c:pt idx="18">
                  <c:v>358.93898820241401</c:v>
                </c:pt>
                <c:pt idx="19">
                  <c:v>359.61047625319912</c:v>
                </c:pt>
                <c:pt idx="20">
                  <c:v>360.33619040752433</c:v>
                </c:pt>
                <c:pt idx="21">
                  <c:v>361.11578683188253</c:v>
                </c:pt>
                <c:pt idx="22">
                  <c:v>361.94893714540046</c:v>
                </c:pt>
                <c:pt idx="23">
                  <c:v>379.84494835088196</c:v>
                </c:pt>
                <c:pt idx="24">
                  <c:v>401.70545770965293</c:v>
                </c:pt>
                <c:pt idx="25">
                  <c:v>400.74494058589426</c:v>
                </c:pt>
                <c:pt idx="26">
                  <c:v>399.51314196964023</c:v>
                </c:pt>
                <c:pt idx="27">
                  <c:v>398.33139487773121</c:v>
                </c:pt>
                <c:pt idx="28">
                  <c:v>397.24821321989276</c:v>
                </c:pt>
                <c:pt idx="29">
                  <c:v>396.26712949894869</c:v>
                </c:pt>
                <c:pt idx="30">
                  <c:v>395.38446450056921</c:v>
                </c:pt>
                <c:pt idx="31">
                  <c:v>412.57429766786964</c:v>
                </c:pt>
                <c:pt idx="32">
                  <c:v>416.25748250519302</c:v>
                </c:pt>
                <c:pt idx="33">
                  <c:v>416.64390001303599</c:v>
                </c:pt>
                <c:pt idx="34">
                  <c:v>435.75316601259425</c:v>
                </c:pt>
                <c:pt idx="35">
                  <c:v>435.15073023777825</c:v>
                </c:pt>
                <c:pt idx="36">
                  <c:v>448.05671818299089</c:v>
                </c:pt>
                <c:pt idx="37">
                  <c:v>437.88611972946626</c:v>
                </c:pt>
                <c:pt idx="38">
                  <c:v>430.56594851564006</c:v>
                </c:pt>
                <c:pt idx="39">
                  <c:v>423.84069763727797</c:v>
                </c:pt>
                <c:pt idx="40">
                  <c:v>433.5626053511217</c:v>
                </c:pt>
                <c:pt idx="41">
                  <c:v>448.4901390857404</c:v>
                </c:pt>
                <c:pt idx="42">
                  <c:v>442.64348848561639</c:v>
                </c:pt>
                <c:pt idx="43">
                  <c:v>436.18310411206477</c:v>
                </c:pt>
                <c:pt idx="44">
                  <c:v>429.67386334935594</c:v>
                </c:pt>
                <c:pt idx="45">
                  <c:v>423.25115728504642</c:v>
                </c:pt>
                <c:pt idx="46">
                  <c:v>450.00569544197009</c:v>
                </c:pt>
                <c:pt idx="47">
                  <c:v>475.23483567987188</c:v>
                </c:pt>
                <c:pt idx="48">
                  <c:v>468.43008882326143</c:v>
                </c:pt>
                <c:pt idx="49">
                  <c:v>458.29905094779036</c:v>
                </c:pt>
                <c:pt idx="50">
                  <c:v>447.29862070541725</c:v>
                </c:pt>
                <c:pt idx="51">
                  <c:v>436.2212056470695</c:v>
                </c:pt>
                <c:pt idx="52">
                  <c:v>439.36975022411934</c:v>
                </c:pt>
                <c:pt idx="53">
                  <c:v>471.99076086255047</c:v>
                </c:pt>
                <c:pt idx="54">
                  <c:v>466.54165111359617</c:v>
                </c:pt>
                <c:pt idx="55">
                  <c:v>457.4832864718415</c:v>
                </c:pt>
                <c:pt idx="56">
                  <c:v>459.86521208954338</c:v>
                </c:pt>
                <c:pt idx="57">
                  <c:v>464.9231146045812</c:v>
                </c:pt>
                <c:pt idx="58">
                  <c:v>461.42547436376157</c:v>
                </c:pt>
                <c:pt idx="59">
                  <c:v>478.08647597120472</c:v>
                </c:pt>
              </c:numCache>
            </c:numRef>
          </c:val>
        </c:ser>
        <c:ser>
          <c:idx val="8"/>
          <c:order val="8"/>
          <c:tx>
            <c:strRef>
              <c:f>'Marketing Dashboard'!$C$61</c:f>
              <c:strCache>
                <c:ptCount val="1"/>
                <c:pt idx="0">
                  <c:v>Referral</c:v>
                </c:pt>
              </c:strCache>
            </c:strRef>
          </c:tx>
          <c:marker>
            <c:symbol val="none"/>
          </c:marker>
          <c:val>
            <c:numRef>
              <c:f>'Marketing Dashboard'!$D$61:$BK$61</c:f>
              <c:numCache>
                <c:formatCode>"$"#,##0</c:formatCode>
                <c:ptCount val="60"/>
                <c:pt idx="0">
                  <c:v>332.43478260869568</c:v>
                </c:pt>
                <c:pt idx="1">
                  <c:v>280.1199275362319</c:v>
                </c:pt>
                <c:pt idx="2">
                  <c:v>236.12138737922709</c:v>
                </c:pt>
                <c:pt idx="3">
                  <c:v>223.51449891178541</c:v>
                </c:pt>
                <c:pt idx="4">
                  <c:v>188.28923791596947</c:v>
                </c:pt>
                <c:pt idx="5">
                  <c:v>158.66573727607678</c:v>
                </c:pt>
                <c:pt idx="6">
                  <c:v>133.74486664515464</c:v>
                </c:pt>
                <c:pt idx="7">
                  <c:v>121.69164974009064</c:v>
                </c:pt>
                <c:pt idx="8">
                  <c:v>103.17045296243251</c:v>
                </c:pt>
                <c:pt idx="9">
                  <c:v>87.00537281522891</c:v>
                </c:pt>
                <c:pt idx="10">
                  <c:v>73.360392910088962</c:v>
                </c:pt>
                <c:pt idx="11">
                  <c:v>61.870520104937995</c:v>
                </c:pt>
                <c:pt idx="12">
                  <c:v>54.708232834325621</c:v>
                </c:pt>
                <c:pt idx="13">
                  <c:v>48.971090881035892</c:v>
                </c:pt>
                <c:pt idx="14">
                  <c:v>43.612403127331405</c:v>
                </c:pt>
                <c:pt idx="15">
                  <c:v>38.830412423938164</c:v>
                </c:pt>
                <c:pt idx="16">
                  <c:v>34.577883596242394</c:v>
                </c:pt>
                <c:pt idx="17">
                  <c:v>36.276623874093289</c:v>
                </c:pt>
                <c:pt idx="18">
                  <c:v>32.269045141748585</c:v>
                </c:pt>
                <c:pt idx="19">
                  <c:v>28.708860124792949</c:v>
                </c:pt>
                <c:pt idx="20">
                  <c:v>25.545578385769112</c:v>
                </c:pt>
                <c:pt idx="21">
                  <c:v>22.734470492106293</c:v>
                </c:pt>
                <c:pt idx="22">
                  <c:v>20.235903752830314</c:v>
                </c:pt>
                <c:pt idx="23">
                  <c:v>19.059625387471947</c:v>
                </c:pt>
                <c:pt idx="24">
                  <c:v>18.621019742313951</c:v>
                </c:pt>
                <c:pt idx="25">
                  <c:v>16.945753281264746</c:v>
                </c:pt>
                <c:pt idx="26">
                  <c:v>15.40817286619801</c:v>
                </c:pt>
                <c:pt idx="27">
                  <c:v>14.011849463370599</c:v>
                </c:pt>
                <c:pt idx="28">
                  <c:v>12.745570672319429</c:v>
                </c:pt>
                <c:pt idx="29">
                  <c:v>11.59708788743124</c:v>
                </c:pt>
                <c:pt idx="30">
                  <c:v>10.555069294689151</c:v>
                </c:pt>
                <c:pt idx="31">
                  <c:v>10.145464321789829</c:v>
                </c:pt>
                <c:pt idx="32">
                  <c:v>9.3598101639466691</c:v>
                </c:pt>
                <c:pt idx="33">
                  <c:v>8.5520725272571632</c:v>
                </c:pt>
                <c:pt idx="34">
                  <c:v>8.2398408531980536</c:v>
                </c:pt>
                <c:pt idx="35">
                  <c:v>7.5081035661802762</c:v>
                </c:pt>
                <c:pt idx="36">
                  <c:v>7.4285603882514781</c:v>
                </c:pt>
                <c:pt idx="37">
                  <c:v>6.9041616942758779</c:v>
                </c:pt>
                <c:pt idx="38">
                  <c:v>6.4637169793518376</c:v>
                </c:pt>
                <c:pt idx="39">
                  <c:v>6.059433232012144</c:v>
                </c:pt>
                <c:pt idx="40">
                  <c:v>5.9475317254691147</c:v>
                </c:pt>
                <c:pt idx="41">
                  <c:v>5.9137620749361695</c:v>
                </c:pt>
                <c:pt idx="42">
                  <c:v>5.5614777713310657</c:v>
                </c:pt>
                <c:pt idx="43">
                  <c:v>5.2204114580992291</c:v>
                </c:pt>
                <c:pt idx="44">
                  <c:v>4.8983200324928378</c:v>
                </c:pt>
                <c:pt idx="45">
                  <c:v>4.5959526519328247</c:v>
                </c:pt>
                <c:pt idx="46">
                  <c:v>4.717633560875556</c:v>
                </c:pt>
                <c:pt idx="47">
                  <c:v>4.7998903602832792</c:v>
                </c:pt>
                <c:pt idx="48">
                  <c:v>4.5714757699969883</c:v>
                </c:pt>
                <c:pt idx="49">
                  <c:v>4.316632373534012</c:v>
                </c:pt>
                <c:pt idx="50">
                  <c:v>4.0645751799491752</c:v>
                </c:pt>
                <c:pt idx="51">
                  <c:v>3.8237860754337709</c:v>
                </c:pt>
                <c:pt idx="52">
                  <c:v>3.733420363243749</c:v>
                </c:pt>
                <c:pt idx="53">
                  <c:v>3.9218246504483911</c:v>
                </c:pt>
                <c:pt idx="54">
                  <c:v>3.7461957358691977</c:v>
                </c:pt>
                <c:pt idx="55">
                  <c:v>3.5461653862909399</c:v>
                </c:pt>
                <c:pt idx="56">
                  <c:v>3.4520189007778792</c:v>
                </c:pt>
                <c:pt idx="57">
                  <c:v>3.3816659024772164</c:v>
                </c:pt>
                <c:pt idx="58">
                  <c:v>3.2444343829937701</c:v>
                </c:pt>
                <c:pt idx="59">
                  <c:v>3.2654349677597572</c:v>
                </c:pt>
              </c:numCache>
            </c:numRef>
          </c:val>
        </c:ser>
        <c:ser>
          <c:idx val="9"/>
          <c:order val="9"/>
          <c:tx>
            <c:strRef>
              <c:f>'Marketing Dashboard'!$C$62</c:f>
              <c:strCache>
                <c:ptCount val="1"/>
                <c:pt idx="0">
                  <c:v>Affiliate Partners</c:v>
                </c:pt>
              </c:strCache>
            </c:strRef>
          </c:tx>
          <c:marker>
            <c:symbol val="none"/>
          </c:marker>
          <c:val>
            <c:numRef>
              <c:f>'Marketing Dashboard'!$D$62:$BK$62</c:f>
              <c:numCache>
                <c:formatCode>"$"#,##0</c:formatCode>
                <c:ptCount val="60"/>
                <c:pt idx="0">
                  <c:v>1251.304347826087</c:v>
                </c:pt>
                <c:pt idx="1">
                  <c:v>1078.3208818126147</c:v>
                </c:pt>
                <c:pt idx="2">
                  <c:v>929.4142104309874</c:v>
                </c:pt>
                <c:pt idx="3">
                  <c:v>837.57428442314938</c:v>
                </c:pt>
                <c:pt idx="4">
                  <c:v>721.53207052908806</c:v>
                </c:pt>
                <c:pt idx="5">
                  <c:v>621.67269153641962</c:v>
                </c:pt>
                <c:pt idx="6">
                  <c:v>535.72238814835043</c:v>
                </c:pt>
                <c:pt idx="7">
                  <c:v>475.78072650539173</c:v>
                </c:pt>
                <c:pt idx="8">
                  <c:v>410.88251011151181</c:v>
                </c:pt>
                <c:pt idx="9">
                  <c:v>354.09163587645094</c:v>
                </c:pt>
                <c:pt idx="10">
                  <c:v>305.14130416086073</c:v>
                </c:pt>
                <c:pt idx="11">
                  <c:v>262.9937995002054</c:v>
                </c:pt>
                <c:pt idx="12">
                  <c:v>241.09787452472753</c:v>
                </c:pt>
                <c:pt idx="13">
                  <c:v>222.08534221460616</c:v>
                </c:pt>
                <c:pt idx="14">
                  <c:v>204.17083582602626</c:v>
                </c:pt>
                <c:pt idx="15">
                  <c:v>187.6873456172213</c:v>
                </c:pt>
                <c:pt idx="16">
                  <c:v>172.54808317655761</c:v>
                </c:pt>
                <c:pt idx="17">
                  <c:v>169.32079017985251</c:v>
                </c:pt>
                <c:pt idx="18">
                  <c:v>155.54265884466639</c:v>
                </c:pt>
                <c:pt idx="19">
                  <c:v>142.89907929015089</c:v>
                </c:pt>
                <c:pt idx="20">
                  <c:v>131.29531104362727</c:v>
                </c:pt>
                <c:pt idx="21">
                  <c:v>120.64465284984099</c:v>
                </c:pt>
                <c:pt idx="22">
                  <c:v>110.86774882152527</c:v>
                </c:pt>
                <c:pt idx="23">
                  <c:v>104.27239008616971</c:v>
                </c:pt>
                <c:pt idx="24">
                  <c:v>99.806695855544348</c:v>
                </c:pt>
                <c:pt idx="25">
                  <c:v>92.694162991882493</c:v>
                </c:pt>
                <c:pt idx="26">
                  <c:v>86.059086814950419</c:v>
                </c:pt>
                <c:pt idx="27">
                  <c:v>79.905036696583764</c:v>
                </c:pt>
                <c:pt idx="28">
                  <c:v>74.201365482567084</c:v>
                </c:pt>
                <c:pt idx="29">
                  <c:v>68.914687375354347</c:v>
                </c:pt>
                <c:pt idx="30">
                  <c:v>64.013501142521193</c:v>
                </c:pt>
                <c:pt idx="31">
                  <c:v>60.848934738125088</c:v>
                </c:pt>
                <c:pt idx="32">
                  <c:v>56.846058339559583</c:v>
                </c:pt>
                <c:pt idx="33">
                  <c:v>52.886722315383288</c:v>
                </c:pt>
                <c:pt idx="34">
                  <c:v>50.350897246457514</c:v>
                </c:pt>
                <c:pt idx="35">
                  <c:v>46.785005180454149</c:v>
                </c:pt>
                <c:pt idx="36">
                  <c:v>44.701084058017379</c:v>
                </c:pt>
                <c:pt idx="37">
                  <c:v>41.534558528772799</c:v>
                </c:pt>
                <c:pt idx="38">
                  <c:v>38.719587653037124</c:v>
                </c:pt>
                <c:pt idx="39">
                  <c:v>36.117147903579706</c:v>
                </c:pt>
                <c:pt idx="40">
                  <c:v>34.392793129850858</c:v>
                </c:pt>
                <c:pt idx="41">
                  <c:v>32.963001378420408</c:v>
                </c:pt>
                <c:pt idx="42">
                  <c:v>30.789637919641049</c:v>
                </c:pt>
                <c:pt idx="43">
                  <c:v>28.734482818467495</c:v>
                </c:pt>
                <c:pt idx="44">
                  <c:v>26.811645735252785</c:v>
                </c:pt>
                <c:pt idx="45">
                  <c:v>25.017210337792644</c:v>
                </c:pt>
                <c:pt idx="46">
                  <c:v>24.361211942010012</c:v>
                </c:pt>
                <c:pt idx="47">
                  <c:v>23.659661991650658</c:v>
                </c:pt>
                <c:pt idx="48">
                  <c:v>22.850379443750366</c:v>
                </c:pt>
                <c:pt idx="49">
                  <c:v>21.972840002908715</c:v>
                </c:pt>
                <c:pt idx="50">
                  <c:v>21.098852099216959</c:v>
                </c:pt>
                <c:pt idx="51">
                  <c:v>20.250321394184041</c:v>
                </c:pt>
                <c:pt idx="52">
                  <c:v>19.810588439403116</c:v>
                </c:pt>
                <c:pt idx="53">
                  <c:v>20.163370756678798</c:v>
                </c:pt>
                <c:pt idx="54">
                  <c:v>19.514485894987473</c:v>
                </c:pt>
                <c:pt idx="55">
                  <c:v>18.793285127163241</c:v>
                </c:pt>
                <c:pt idx="56">
                  <c:v>18.382453687915906</c:v>
                </c:pt>
                <c:pt idx="57">
                  <c:v>18.050335881622704</c:v>
                </c:pt>
                <c:pt idx="58">
                  <c:v>17.519492866268727</c:v>
                </c:pt>
                <c:pt idx="59">
                  <c:v>17.48834152924163</c:v>
                </c:pt>
              </c:numCache>
            </c:numRef>
          </c:val>
        </c:ser>
        <c:ser>
          <c:idx val="10"/>
          <c:order val="10"/>
          <c:tx>
            <c:strRef>
              <c:f>'Marketing Dashboard'!$C$63</c:f>
              <c:strCache>
                <c:ptCount val="1"/>
                <c:pt idx="0">
                  <c:v>Utility Partners</c:v>
                </c:pt>
              </c:strCache>
            </c:strRef>
          </c:tx>
          <c:marker>
            <c:symbol val="none"/>
          </c:marker>
          <c:val>
            <c:numRef>
              <c:f>'Marketing Dashboard'!$D$63:$BK$63</c:f>
              <c:numCache>
                <c:formatCode>"$"#,##0</c:formatCode>
                <c:ptCount val="60"/>
                <c:pt idx="0">
                  <c:v>911.27272727272737</c:v>
                </c:pt>
                <c:pt idx="1">
                  <c:v>886.13585454545444</c:v>
                </c:pt>
                <c:pt idx="2">
                  <c:v>861.97544587636355</c:v>
                </c:pt>
                <c:pt idx="3">
                  <c:v>927.92602612977998</c:v>
                </c:pt>
                <c:pt idx="4">
                  <c:v>902.01314752478527</c:v>
                </c:pt>
                <c:pt idx="5">
                  <c:v>877.0860476724697</c:v>
                </c:pt>
                <c:pt idx="6">
                  <c:v>853.09911516170087</c:v>
                </c:pt>
                <c:pt idx="7">
                  <c:v>887.39230425374672</c:v>
                </c:pt>
                <c:pt idx="8">
                  <c:v>867.45329699406136</c:v>
                </c:pt>
                <c:pt idx="9">
                  <c:v>844.01574815596007</c:v>
                </c:pt>
                <c:pt idx="10">
                  <c:v>821.10070765216881</c:v>
                </c:pt>
                <c:pt idx="11">
                  <c:v>798.994065745954</c:v>
                </c:pt>
                <c:pt idx="12">
                  <c:v>782.75783211819555</c:v>
                </c:pt>
                <c:pt idx="13">
                  <c:v>775.1313106670018</c:v>
                </c:pt>
                <c:pt idx="14">
                  <c:v>764.16174452135772</c:v>
                </c:pt>
                <c:pt idx="15">
                  <c:v>753.19062987338589</c:v>
                </c:pt>
                <c:pt idx="16">
                  <c:v>742.48057124582158</c:v>
                </c:pt>
                <c:pt idx="17">
                  <c:v>845.51671452055507</c:v>
                </c:pt>
                <c:pt idx="18">
                  <c:v>832.57898617046214</c:v>
                </c:pt>
                <c:pt idx="19">
                  <c:v>819.96632702044838</c:v>
                </c:pt>
                <c:pt idx="20">
                  <c:v>807.66856166283071</c:v>
                </c:pt>
                <c:pt idx="21">
                  <c:v>795.67585186332781</c:v>
                </c:pt>
                <c:pt idx="22">
                  <c:v>783.97869416036281</c:v>
                </c:pt>
                <c:pt idx="23">
                  <c:v>812.10205275608769</c:v>
                </c:pt>
                <c:pt idx="24">
                  <c:v>854.06067673439304</c:v>
                </c:pt>
                <c:pt idx="25">
                  <c:v>843.11083573405688</c:v>
                </c:pt>
                <c:pt idx="26">
                  <c:v>831.68008095345249</c:v>
                </c:pt>
                <c:pt idx="27">
                  <c:v>820.50283910516487</c:v>
                </c:pt>
                <c:pt idx="28">
                  <c:v>809.68144212669722</c:v>
                </c:pt>
                <c:pt idx="29">
                  <c:v>799.21556033221827</c:v>
                </c:pt>
                <c:pt idx="30">
                  <c:v>789.08906539163195</c:v>
                </c:pt>
                <c:pt idx="31">
                  <c:v>817.88861359448958</c:v>
                </c:pt>
                <c:pt idx="32">
                  <c:v>817.32632797390465</c:v>
                </c:pt>
                <c:pt idx="33">
                  <c:v>809.75397444565272</c:v>
                </c:pt>
                <c:pt idx="34">
                  <c:v>841.27547830045467</c:v>
                </c:pt>
                <c:pt idx="35">
                  <c:v>831.41365471458721</c:v>
                </c:pt>
                <c:pt idx="36">
                  <c:v>858.81475461508069</c:v>
                </c:pt>
                <c:pt idx="37">
                  <c:v>838.58047992501406</c:v>
                </c:pt>
                <c:pt idx="38">
                  <c:v>824.22037834555715</c:v>
                </c:pt>
                <c:pt idx="39">
                  <c:v>811.07952329939587</c:v>
                </c:pt>
                <c:pt idx="40">
                  <c:v>831.87464284591022</c:v>
                </c:pt>
                <c:pt idx="41">
                  <c:v>863.40500604461567</c:v>
                </c:pt>
                <c:pt idx="42">
                  <c:v>852.0522976861389</c:v>
                </c:pt>
                <c:pt idx="43">
                  <c:v>839.42474309632519</c:v>
                </c:pt>
                <c:pt idx="44">
                  <c:v>826.6882580352941</c:v>
                </c:pt>
                <c:pt idx="45">
                  <c:v>814.12236222463491</c:v>
                </c:pt>
                <c:pt idx="46">
                  <c:v>870.02138266372913</c:v>
                </c:pt>
                <c:pt idx="47">
                  <c:v>922.76438914777498</c:v>
                </c:pt>
                <c:pt idx="48">
                  <c:v>910.13623854236084</c:v>
                </c:pt>
                <c:pt idx="49">
                  <c:v>890.60859258517621</c:v>
                </c:pt>
                <c:pt idx="50">
                  <c:v>869.25296189909579</c:v>
                </c:pt>
                <c:pt idx="51">
                  <c:v>847.70557789888585</c:v>
                </c:pt>
                <c:pt idx="52">
                  <c:v>855.48636304110414</c:v>
                </c:pt>
                <c:pt idx="53">
                  <c:v>924.06258987759736</c:v>
                </c:pt>
                <c:pt idx="54">
                  <c:v>914.03730688728649</c:v>
                </c:pt>
                <c:pt idx="55">
                  <c:v>896.53328896839514</c:v>
                </c:pt>
                <c:pt idx="56">
                  <c:v>902.61125445777543</c:v>
                </c:pt>
                <c:pt idx="57">
                  <c:v>914.18369058843075</c:v>
                </c:pt>
                <c:pt idx="58">
                  <c:v>908.07112552488582</c:v>
                </c:pt>
                <c:pt idx="59">
                  <c:v>943.53598126238012</c:v>
                </c:pt>
              </c:numCache>
            </c:numRef>
          </c:val>
        </c:ser>
        <c:ser>
          <c:idx val="11"/>
          <c:order val="11"/>
          <c:tx>
            <c:strRef>
              <c:f>'Marketing Dashboard'!$C$64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val>
            <c:numRef>
              <c:f>'Marketing Dashboard'!$D$64:$BK$64</c:f>
              <c:numCache>
                <c:formatCode>"$"#,##0</c:formatCode>
                <c:ptCount val="60"/>
                <c:pt idx="0">
                  <c:v>293.66666666666669</c:v>
                </c:pt>
                <c:pt idx="1">
                  <c:v>277.07460317460317</c:v>
                </c:pt>
                <c:pt idx="2">
                  <c:v>261.4718745275888</c:v>
                </c:pt>
                <c:pt idx="3">
                  <c:v>326.6167301227369</c:v>
                </c:pt>
                <c:pt idx="4">
                  <c:v>309.01446581088464</c:v>
                </c:pt>
                <c:pt idx="5">
                  <c:v>292.41240995094302</c:v>
                </c:pt>
                <c:pt idx="6">
                  <c:v>276.75206758857075</c:v>
                </c:pt>
                <c:pt idx="7">
                  <c:v>311.72611493884972</c:v>
                </c:pt>
                <c:pt idx="8">
                  <c:v>299.36670982374193</c:v>
                </c:pt>
                <c:pt idx="9">
                  <c:v>284.0834960385958</c:v>
                </c:pt>
                <c:pt idx="10">
                  <c:v>269.35375312103361</c:v>
                </c:pt>
                <c:pt idx="11">
                  <c:v>255.40890185814899</c:v>
                </c:pt>
                <c:pt idx="12">
                  <c:v>246.31096944375386</c:v>
                </c:pt>
                <c:pt idx="13">
                  <c:v>244.37996779154722</c:v>
                </c:pt>
                <c:pt idx="14">
                  <c:v>239.50813296009306</c:v>
                </c:pt>
                <c:pt idx="15">
                  <c:v>234.52290090464518</c:v>
                </c:pt>
                <c:pt idx="16">
                  <c:v>229.65240362909049</c:v>
                </c:pt>
                <c:pt idx="17">
                  <c:v>324.98276897279351</c:v>
                </c:pt>
                <c:pt idx="18">
                  <c:v>318.72942757161258</c:v>
                </c:pt>
                <c:pt idx="19">
                  <c:v>312.62723579876263</c:v>
                </c:pt>
                <c:pt idx="20">
                  <c:v>306.67225144290762</c:v>
                </c:pt>
                <c:pt idx="21">
                  <c:v>300.86063348756471</c:v>
                </c:pt>
                <c:pt idx="22">
                  <c:v>295.18864769093597</c:v>
                </c:pt>
                <c:pt idx="23">
                  <c:v>326.2678544555917</c:v>
                </c:pt>
                <c:pt idx="24">
                  <c:v>369.04436862855744</c:v>
                </c:pt>
                <c:pt idx="25">
                  <c:v>362.73757497347515</c:v>
                </c:pt>
                <c:pt idx="26">
                  <c:v>355.896802581435</c:v>
                </c:pt>
                <c:pt idx="27">
                  <c:v>349.20845212942442</c:v>
                </c:pt>
                <c:pt idx="28">
                  <c:v>342.77253161596116</c:v>
                </c:pt>
                <c:pt idx="29">
                  <c:v>336.59306206362743</c:v>
                </c:pt>
                <c:pt idx="30">
                  <c:v>330.65895646578161</c:v>
                </c:pt>
                <c:pt idx="31">
                  <c:v>362.15218610508015</c:v>
                </c:pt>
                <c:pt idx="32">
                  <c:v>365.50886678515968</c:v>
                </c:pt>
                <c:pt idx="33">
                  <c:v>362.0583153017443</c:v>
                </c:pt>
                <c:pt idx="34">
                  <c:v>396.78284384208342</c:v>
                </c:pt>
                <c:pt idx="35">
                  <c:v>391.16409706055936</c:v>
                </c:pt>
                <c:pt idx="36">
                  <c:v>427.88868003681034</c:v>
                </c:pt>
                <c:pt idx="37">
                  <c:v>417.45093909274527</c:v>
                </c:pt>
                <c:pt idx="38">
                  <c:v>412.63179148051569</c:v>
                </c:pt>
                <c:pt idx="39">
                  <c:v>408.84188712395627</c:v>
                </c:pt>
                <c:pt idx="40">
                  <c:v>440.18134265853899</c:v>
                </c:pt>
                <c:pt idx="41">
                  <c:v>483.44200679559299</c:v>
                </c:pt>
                <c:pt idx="42">
                  <c:v>481.90273618661485</c:v>
                </c:pt>
                <c:pt idx="43">
                  <c:v>478.8312003665859</c:v>
                </c:pt>
                <c:pt idx="44">
                  <c:v>475.44725524995619</c:v>
                </c:pt>
                <c:pt idx="45">
                  <c:v>472.05097506747541</c:v>
                </c:pt>
                <c:pt idx="46">
                  <c:v>544.84337778935503</c:v>
                </c:pt>
                <c:pt idx="47">
                  <c:v>615.64264916351067</c:v>
                </c:pt>
                <c:pt idx="48">
                  <c:v>601.98810118473034</c:v>
                </c:pt>
                <c:pt idx="49">
                  <c:v>580.82739257310436</c:v>
                </c:pt>
                <c:pt idx="50">
                  <c:v>557.9884547398924</c:v>
                </c:pt>
                <c:pt idx="51">
                  <c:v>535.30269194900916</c:v>
                </c:pt>
                <c:pt idx="52">
                  <c:v>543.52065571462799</c:v>
                </c:pt>
                <c:pt idx="53">
                  <c:v>613.42004869985169</c:v>
                </c:pt>
                <c:pt idx="54">
                  <c:v>601.49851379588506</c:v>
                </c:pt>
                <c:pt idx="55">
                  <c:v>582.19009815708068</c:v>
                </c:pt>
                <c:pt idx="56">
                  <c:v>586.18156154182373</c:v>
                </c:pt>
                <c:pt idx="57">
                  <c:v>594.99708807645277</c:v>
                </c:pt>
                <c:pt idx="58">
                  <c:v>586.49480289662063</c:v>
                </c:pt>
                <c:pt idx="59">
                  <c:v>616.61916864830289</c:v>
                </c:pt>
              </c:numCache>
            </c:numRef>
          </c:val>
        </c:ser>
        <c:marker val="1"/>
        <c:axId val="241823104"/>
        <c:axId val="241833088"/>
      </c:lineChart>
      <c:catAx>
        <c:axId val="241823104"/>
        <c:scaling>
          <c:orientation val="minMax"/>
        </c:scaling>
        <c:axPos val="b"/>
        <c:tickLblPos val="nextTo"/>
        <c:crossAx val="241833088"/>
        <c:crosses val="autoZero"/>
        <c:auto val="1"/>
        <c:lblAlgn val="ctr"/>
        <c:lblOffset val="100"/>
      </c:catAx>
      <c:valAx>
        <c:axId val="241833088"/>
        <c:scaling>
          <c:orientation val="minMax"/>
        </c:scaling>
        <c:axPos val="l"/>
        <c:majorGridlines/>
        <c:numFmt formatCode="&quot;$&quot;#,##0;[Red]&quot;$&quot;#,##0" sourceLinked="0"/>
        <c:tickLblPos val="nextTo"/>
        <c:crossAx val="24182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9013333333344"/>
          <c:y val="8.068614297639766E-2"/>
          <c:w val="0.14163200000000001"/>
          <c:h val="0.83862771404720504"/>
        </c:manualLayout>
      </c:layout>
    </c:legend>
    <c:plotVisOnly val="1"/>
    <c:dispBlanksAs val="gap"/>
  </c:chart>
  <c:printSettings>
    <c:headerFooter/>
    <c:pageMargins b="0.75000000000000122" l="0.70000000000000118" r="0.70000000000000118" t="0.750000000000001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'Marketing Dashboard'!$C$67</c:f>
              <c:strCache>
                <c:ptCount val="1"/>
                <c:pt idx="0">
                  <c:v>Earned Media</c:v>
                </c:pt>
              </c:strCache>
            </c:strRef>
          </c:tx>
          <c:marker>
            <c:symbol val="none"/>
          </c:marker>
          <c:val>
            <c:numRef>
              <c:f>'Marketing Dashboard'!$D$67:$AM$67</c:f>
              <c:numCache>
                <c:formatCode>"$"#,##0</c:formatCode>
                <c:ptCount val="36"/>
                <c:pt idx="0">
                  <c:v>1354.4615384615386</c:v>
                </c:pt>
                <c:pt idx="1">
                  <c:v>1354.4615384615381</c:v>
                </c:pt>
                <c:pt idx="2">
                  <c:v>1185.5762034223574</c:v>
                </c:pt>
                <c:pt idx="3">
                  <c:v>1038.0438559194267</c:v>
                </c:pt>
                <c:pt idx="4">
                  <c:v>1171.1562090716168</c:v>
                </c:pt>
                <c:pt idx="5">
                  <c:v>1027.1842348107391</c:v>
                </c:pt>
                <c:pt idx="6">
                  <c:v>901.12575599717661</c:v>
                </c:pt>
                <c:pt idx="7">
                  <c:v>790.72893777483614</c:v>
                </c:pt>
                <c:pt idx="8">
                  <c:v>813.34874889777643</c:v>
                </c:pt>
                <c:pt idx="9">
                  <c:v>723.12404372518927</c:v>
                </c:pt>
                <c:pt idx="10">
                  <c:v>635.92178061087202</c:v>
                </c:pt>
                <c:pt idx="11">
                  <c:v>558.84000389739106</c:v>
                </c:pt>
                <c:pt idx="12">
                  <c:v>491.1715120274975</c:v>
                </c:pt>
                <c:pt idx="13">
                  <c:v>455.84373771362016</c:v>
                </c:pt>
                <c:pt idx="14">
                  <c:v>434.13833780694318</c:v>
                </c:pt>
                <c:pt idx="15">
                  <c:v>408.90052232284984</c:v>
                </c:pt>
                <c:pt idx="16">
                  <c:v>384.83399831377488</c:v>
                </c:pt>
                <c:pt idx="17">
                  <c:v>362.21637910171921</c:v>
                </c:pt>
                <c:pt idx="18">
                  <c:v>477.42957359096283</c:v>
                </c:pt>
                <c:pt idx="19">
                  <c:v>449.76037268954855</c:v>
                </c:pt>
                <c:pt idx="20">
                  <c:v>423.74665980689537</c:v>
                </c:pt>
                <c:pt idx="21">
                  <c:v>399.28671771320847</c:v>
                </c:pt>
                <c:pt idx="22">
                  <c:v>376.28520852946053</c:v>
                </c:pt>
                <c:pt idx="23">
                  <c:v>354.65277665833366</c:v>
                </c:pt>
                <c:pt idx="24">
                  <c:v>373.14861076864941</c:v>
                </c:pt>
                <c:pt idx="25">
                  <c:v>415.26422312560732</c:v>
                </c:pt>
                <c:pt idx="26">
                  <c:v>405.43956618950955</c:v>
                </c:pt>
                <c:pt idx="27">
                  <c:v>395.18955900770874</c:v>
                </c:pt>
                <c:pt idx="28">
                  <c:v>385.23146235539679</c:v>
                </c:pt>
                <c:pt idx="29">
                  <c:v>375.66214543513672</c:v>
                </c:pt>
                <c:pt idx="30">
                  <c:v>366.47821259425808</c:v>
                </c:pt>
                <c:pt idx="31">
                  <c:v>357.66107706628043</c:v>
                </c:pt>
                <c:pt idx="32">
                  <c:v>386.25340976803454</c:v>
                </c:pt>
                <c:pt idx="33">
                  <c:v>386.56021201632541</c:v>
                </c:pt>
                <c:pt idx="34">
                  <c:v>380.1610888295649</c:v>
                </c:pt>
                <c:pt idx="35">
                  <c:v>410.99465992750555</c:v>
                </c:pt>
              </c:numCache>
            </c:numRef>
          </c:val>
        </c:ser>
        <c:ser>
          <c:idx val="1"/>
          <c:order val="1"/>
          <c:tx>
            <c:strRef>
              <c:f>'Marketing Dashboard'!$C$68</c:f>
              <c:strCache>
                <c:ptCount val="1"/>
                <c:pt idx="0">
                  <c:v>TV</c:v>
                </c:pt>
              </c:strCache>
            </c:strRef>
          </c:tx>
          <c:marker>
            <c:symbol val="none"/>
          </c:marker>
          <c:val>
            <c:numRef>
              <c:f>'Marketing Dashboard'!$D$68:$AM$68</c:f>
              <c:numCache>
                <c:formatCode>"$"#,##0</c:formatCode>
                <c:ptCount val="36"/>
                <c:pt idx="0">
                  <c:v>2780.4444444444434</c:v>
                </c:pt>
                <c:pt idx="1">
                  <c:v>2695.8270798270787</c:v>
                </c:pt>
                <c:pt idx="2">
                  <c:v>2614.2117910362631</c:v>
                </c:pt>
                <c:pt idx="3">
                  <c:v>2641.2313233320597</c:v>
                </c:pt>
                <c:pt idx="4">
                  <c:v>2559.9921861731204</c:v>
                </c:pt>
                <c:pt idx="5">
                  <c:v>2481.6459886792363</c:v>
                </c:pt>
                <c:pt idx="6">
                  <c:v>2406.069068835227</c:v>
                </c:pt>
                <c:pt idx="7">
                  <c:v>2398.5149471073491</c:v>
                </c:pt>
                <c:pt idx="8">
                  <c:v>2330.065215216046</c:v>
                </c:pt>
                <c:pt idx="9">
                  <c:v>2259.1864647930474</c:v>
                </c:pt>
                <c:pt idx="10">
                  <c:v>2190.4089129893259</c:v>
                </c:pt>
                <c:pt idx="11">
                  <c:v>2123.9959416316606</c:v>
                </c:pt>
                <c:pt idx="12">
                  <c:v>2078.2206459123854</c:v>
                </c:pt>
                <c:pt idx="13">
                  <c:v>2042.4194188788747</c:v>
                </c:pt>
                <c:pt idx="14">
                  <c:v>2003.6097583880835</c:v>
                </c:pt>
                <c:pt idx="15">
                  <c:v>1965.4039130638964</c:v>
                </c:pt>
                <c:pt idx="16">
                  <c:v>1928.0668155960077</c:v>
                </c:pt>
                <c:pt idx="17">
                  <c:v>2008.7049060980096</c:v>
                </c:pt>
                <c:pt idx="18">
                  <c:v>1969.1075692554089</c:v>
                </c:pt>
                <c:pt idx="19">
                  <c:v>1930.4604502117122</c:v>
                </c:pt>
                <c:pt idx="20">
                  <c:v>1892.7347761920344</c:v>
                </c:pt>
                <c:pt idx="21">
                  <c:v>1855.9028179364516</c:v>
                </c:pt>
                <c:pt idx="22">
                  <c:v>1819.9378566757557</c:v>
                </c:pt>
                <c:pt idx="23">
                  <c:v>1823.2943052781977</c:v>
                </c:pt>
                <c:pt idx="24">
                  <c:v>1847.6239115514247</c:v>
                </c:pt>
                <c:pt idx="25">
                  <c:v>1820.7434336124788</c:v>
                </c:pt>
                <c:pt idx="26">
                  <c:v>1793.6884921690041</c:v>
                </c:pt>
                <c:pt idx="27">
                  <c:v>1767.1622382706535</c:v>
                </c:pt>
                <c:pt idx="28">
                  <c:v>1741.2540311390735</c:v>
                </c:pt>
                <c:pt idx="29">
                  <c:v>1715.9546401440298</c:v>
                </c:pt>
                <c:pt idx="30">
                  <c:v>1691.2402160164852</c:v>
                </c:pt>
                <c:pt idx="31">
                  <c:v>1702.8533421065815</c:v>
                </c:pt>
                <c:pt idx="32">
                  <c:v>1687.2458608156539</c:v>
                </c:pt>
                <c:pt idx="33">
                  <c:v>1665.3731916508832</c:v>
                </c:pt>
                <c:pt idx="34">
                  <c:v>1679.2853976479155</c:v>
                </c:pt>
                <c:pt idx="35">
                  <c:v>1655.5774471194895</c:v>
                </c:pt>
              </c:numCache>
            </c:numRef>
          </c:val>
        </c:ser>
        <c:ser>
          <c:idx val="2"/>
          <c:order val="2"/>
          <c:tx>
            <c:strRef>
              <c:f>'Marketing Dashboard'!$C$69</c:f>
              <c:strCache>
                <c:ptCount val="1"/>
                <c:pt idx="0">
                  <c:v>Print</c:v>
                </c:pt>
              </c:strCache>
            </c:strRef>
          </c:tx>
          <c:marker>
            <c:symbol val="none"/>
          </c:marker>
          <c:val>
            <c:numRef>
              <c:f>'Marketing Dashboard'!$D$69:$AM$69</c:f>
              <c:numCache>
                <c:formatCode>"$"#,##0</c:formatCode>
                <c:ptCount val="36"/>
                <c:pt idx="0">
                  <c:v>1888</c:v>
                </c:pt>
                <c:pt idx="1">
                  <c:v>1788.7875242293842</c:v>
                </c:pt>
                <c:pt idx="2">
                  <c:v>1695.0417973987355</c:v>
                </c:pt>
                <c:pt idx="3">
                  <c:v>1666.9178381327945</c:v>
                </c:pt>
                <c:pt idx="4">
                  <c:v>1578.8260540235181</c:v>
                </c:pt>
                <c:pt idx="5">
                  <c:v>1495.6079780999771</c:v>
                </c:pt>
                <c:pt idx="6">
                  <c:v>1416.9771374521822</c:v>
                </c:pt>
                <c:pt idx="7">
                  <c:v>1376.6872920641183</c:v>
                </c:pt>
                <c:pt idx="8">
                  <c:v>1306.6350675099552</c:v>
                </c:pt>
                <c:pt idx="9">
                  <c:v>1237.9722439615407</c:v>
                </c:pt>
                <c:pt idx="10">
                  <c:v>1172.8932093939975</c:v>
                </c:pt>
                <c:pt idx="11">
                  <c:v>1111.3657024032191</c:v>
                </c:pt>
                <c:pt idx="12">
                  <c:v>1105.8607475629797</c:v>
                </c:pt>
                <c:pt idx="13">
                  <c:v>1104.784467669801</c:v>
                </c:pt>
                <c:pt idx="14">
                  <c:v>1101.9063690228502</c:v>
                </c:pt>
                <c:pt idx="15">
                  <c:v>1098.9692484360235</c:v>
                </c:pt>
                <c:pt idx="16">
                  <c:v>1096.1130858580591</c:v>
                </c:pt>
                <c:pt idx="17">
                  <c:v>1154.5064983854529</c:v>
                </c:pt>
                <c:pt idx="18">
                  <c:v>1150.725596704181</c:v>
                </c:pt>
                <c:pt idx="19">
                  <c:v>1147.0501513125714</c:v>
                </c:pt>
                <c:pt idx="20">
                  <c:v>1143.4772727459435</c:v>
                </c:pt>
                <c:pt idx="21">
                  <c:v>1140.0041505324709</c:v>
                </c:pt>
                <c:pt idx="22">
                  <c:v>1136.6280559932204</c:v>
                </c:pt>
                <c:pt idx="23">
                  <c:v>1155.5017309405057</c:v>
                </c:pt>
                <c:pt idx="24">
                  <c:v>1179.9103732731708</c:v>
                </c:pt>
                <c:pt idx="25">
                  <c:v>1174.6306877028032</c:v>
                </c:pt>
                <c:pt idx="26">
                  <c:v>1169.0404506623217</c:v>
                </c:pt>
                <c:pt idx="27">
                  <c:v>1163.5541098779941</c:v>
                </c:pt>
                <c:pt idx="28">
                  <c:v>1158.231436863879</c:v>
                </c:pt>
                <c:pt idx="29">
                  <c:v>1153.0742569120769</c:v>
                </c:pt>
                <c:pt idx="30">
                  <c:v>1148.0753226218401</c:v>
                </c:pt>
                <c:pt idx="31">
                  <c:v>1165.5086828363847</c:v>
                </c:pt>
                <c:pt idx="32">
                  <c:v>1166.0619934954336</c:v>
                </c:pt>
                <c:pt idx="33">
                  <c:v>1162.5442704619379</c:v>
                </c:pt>
                <c:pt idx="34">
                  <c:v>1181.8175281787769</c:v>
                </c:pt>
                <c:pt idx="35">
                  <c:v>1176.9928531440562</c:v>
                </c:pt>
              </c:numCache>
            </c:numRef>
          </c:val>
        </c:ser>
        <c:ser>
          <c:idx val="3"/>
          <c:order val="3"/>
          <c:tx>
            <c:strRef>
              <c:f>'Marketing Dashboard'!$C$70</c:f>
              <c:strCache>
                <c:ptCount val="1"/>
                <c:pt idx="0">
                  <c:v>Public Workshops</c:v>
                </c:pt>
              </c:strCache>
            </c:strRef>
          </c:tx>
          <c:marker>
            <c:symbol val="none"/>
          </c:marker>
          <c:val>
            <c:numRef>
              <c:f>'Marketing Dashboard'!$D$70:$AM$70</c:f>
              <c:numCache>
                <c:formatCode>"$"#,##0</c:formatCode>
                <c:ptCount val="36"/>
                <c:pt idx="0">
                  <c:v>962.625</c:v>
                </c:pt>
                <c:pt idx="1">
                  <c:v>915.14247661122647</c:v>
                </c:pt>
                <c:pt idx="2">
                  <c:v>870.23407240875724</c:v>
                </c:pt>
                <c:pt idx="3">
                  <c:v>891.5843763015223</c:v>
                </c:pt>
                <c:pt idx="4">
                  <c:v>847.25591385793507</c:v>
                </c:pt>
                <c:pt idx="5">
                  <c:v>805.33250143210682</c:v>
                </c:pt>
                <c:pt idx="6">
                  <c:v>765.67083226253362</c:v>
                </c:pt>
                <c:pt idx="7">
                  <c:v>765.18652459102088</c:v>
                </c:pt>
                <c:pt idx="8">
                  <c:v>730.15562449715742</c:v>
                </c:pt>
                <c:pt idx="9">
                  <c:v>694.31422443404233</c:v>
                </c:pt>
                <c:pt idx="10">
                  <c:v>660.18189504080749</c:v>
                </c:pt>
                <c:pt idx="11">
                  <c:v>627.85152661592565</c:v>
                </c:pt>
                <c:pt idx="12">
                  <c:v>618.89369354418159</c:v>
                </c:pt>
                <c:pt idx="13">
                  <c:v>614.93315469644915</c:v>
                </c:pt>
                <c:pt idx="14">
                  <c:v>608.99503739395311</c:v>
                </c:pt>
                <c:pt idx="15">
                  <c:v>603.02983046147529</c:v>
                </c:pt>
                <c:pt idx="16">
                  <c:v>597.19219322651088</c:v>
                </c:pt>
                <c:pt idx="17">
                  <c:v>658.53289538104241</c:v>
                </c:pt>
                <c:pt idx="18">
                  <c:v>651.48649715589067</c:v>
                </c:pt>
                <c:pt idx="19">
                  <c:v>644.6012195521356</c:v>
                </c:pt>
                <c:pt idx="20">
                  <c:v>637.87226826502376</c:v>
                </c:pt>
                <c:pt idx="21">
                  <c:v>631.29499807824607</c:v>
                </c:pt>
                <c:pt idx="22">
                  <c:v>624.86491352673238</c:v>
                </c:pt>
                <c:pt idx="23">
                  <c:v>642.27532226121377</c:v>
                </c:pt>
                <c:pt idx="24">
                  <c:v>667.47207676518633</c:v>
                </c:pt>
                <c:pt idx="25">
                  <c:v>660.94121430427901</c:v>
                </c:pt>
                <c:pt idx="26">
                  <c:v>654.10790144436965</c:v>
                </c:pt>
                <c:pt idx="27">
                  <c:v>647.41342504129773</c:v>
                </c:pt>
                <c:pt idx="28">
                  <c:v>640.92001973796778</c:v>
                </c:pt>
                <c:pt idx="29">
                  <c:v>634.62823345482991</c:v>
                </c:pt>
                <c:pt idx="30">
                  <c:v>628.52906395809146</c:v>
                </c:pt>
                <c:pt idx="31">
                  <c:v>645.97920505536877</c:v>
                </c:pt>
                <c:pt idx="32">
                  <c:v>645.68063499157972</c:v>
                </c:pt>
                <c:pt idx="33">
                  <c:v>641.13061324048863</c:v>
                </c:pt>
                <c:pt idx="34">
                  <c:v>660.32173524923974</c:v>
                </c:pt>
                <c:pt idx="35">
                  <c:v>654.3912971749329</c:v>
                </c:pt>
              </c:numCache>
            </c:numRef>
          </c:val>
        </c:ser>
        <c:ser>
          <c:idx val="4"/>
          <c:order val="4"/>
          <c:tx>
            <c:strRef>
              <c:f>'Marketing Dashboard'!$C$71</c:f>
              <c:strCache>
                <c:ptCount val="1"/>
                <c:pt idx="0">
                  <c:v>Presentations</c:v>
                </c:pt>
              </c:strCache>
            </c:strRef>
          </c:tx>
          <c:marker>
            <c:symbol val="none"/>
          </c:marker>
          <c:val>
            <c:numRef>
              <c:f>'Marketing Dashboard'!$D$71:$AM$71</c:f>
              <c:numCache>
                <c:formatCode>"$"#,##0</c:formatCode>
                <c:ptCount val="36"/>
                <c:pt idx="0">
                  <c:v>937.39130434782612</c:v>
                </c:pt>
                <c:pt idx="1">
                  <c:v>886.60128355780512</c:v>
                </c:pt>
                <c:pt idx="2">
                  <c:v>838.86208462476179</c:v>
                </c:pt>
                <c:pt idx="3">
                  <c:v>892.66143777721754</c:v>
                </c:pt>
                <c:pt idx="4">
                  <c:v>844.07458867978562</c:v>
                </c:pt>
                <c:pt idx="5">
                  <c:v>798.38693913554425</c:v>
                </c:pt>
                <c:pt idx="6">
                  <c:v>755.41057032408435</c:v>
                </c:pt>
                <c:pt idx="7">
                  <c:v>772.24534247723284</c:v>
                </c:pt>
                <c:pt idx="8">
                  <c:v>734.95277236449715</c:v>
                </c:pt>
                <c:pt idx="9">
                  <c:v>695.71491823098086</c:v>
                </c:pt>
                <c:pt idx="10">
                  <c:v>658.45519607161759</c:v>
                </c:pt>
                <c:pt idx="11">
                  <c:v>623.34446473854848</c:v>
                </c:pt>
                <c:pt idx="12">
                  <c:v>610.78187806884637</c:v>
                </c:pt>
                <c:pt idx="13">
                  <c:v>605.93981996353818</c:v>
                </c:pt>
                <c:pt idx="14">
                  <c:v>598.03589615991825</c:v>
                </c:pt>
                <c:pt idx="15">
                  <c:v>590.08537262546133</c:v>
                </c:pt>
                <c:pt idx="16">
                  <c:v>582.3273537210124</c:v>
                </c:pt>
                <c:pt idx="17">
                  <c:v>678.4152206346871</c:v>
                </c:pt>
                <c:pt idx="18">
                  <c:v>668.77922875308877</c:v>
                </c:pt>
                <c:pt idx="19">
                  <c:v>659.38765971011821</c:v>
                </c:pt>
                <c:pt idx="20">
                  <c:v>650.2331192405976</c:v>
                </c:pt>
                <c:pt idx="21">
                  <c:v>641.30844349050051</c:v>
                </c:pt>
                <c:pt idx="22">
                  <c:v>632.60670004179769</c:v>
                </c:pt>
                <c:pt idx="23">
                  <c:v>660.75524142312736</c:v>
                </c:pt>
                <c:pt idx="24">
                  <c:v>700.94045582531214</c:v>
                </c:pt>
                <c:pt idx="25">
                  <c:v>692.07356381082093</c:v>
                </c:pt>
                <c:pt idx="26">
                  <c:v>682.7345500397829</c:v>
                </c:pt>
                <c:pt idx="27">
                  <c:v>673.60561405010276</c:v>
                </c:pt>
                <c:pt idx="28">
                  <c:v>664.78298088123654</c:v>
                </c:pt>
                <c:pt idx="29">
                  <c:v>656.26751439304337</c:v>
                </c:pt>
                <c:pt idx="30">
                  <c:v>648.04531485938844</c:v>
                </c:pt>
                <c:pt idx="31">
                  <c:v>676.22336526117124</c:v>
                </c:pt>
                <c:pt idx="32">
                  <c:v>676.95932977296047</c:v>
                </c:pt>
                <c:pt idx="33">
                  <c:v>671.11855363421091</c:v>
                </c:pt>
                <c:pt idx="34">
                  <c:v>701.97463087051347</c:v>
                </c:pt>
                <c:pt idx="35">
                  <c:v>693.99103093973508</c:v>
                </c:pt>
              </c:numCache>
            </c:numRef>
          </c:val>
        </c:ser>
        <c:ser>
          <c:idx val="5"/>
          <c:order val="5"/>
          <c:tx>
            <c:strRef>
              <c:f>'Marketing Dashboard'!$C$72</c:f>
              <c:strCache>
                <c:ptCount val="1"/>
                <c:pt idx="0">
                  <c:v>Tabeling</c:v>
                </c:pt>
              </c:strCache>
            </c:strRef>
          </c:tx>
          <c:marker>
            <c:symbol val="none"/>
          </c:marker>
          <c:val>
            <c:numRef>
              <c:f>'Marketing Dashboard'!$D$72:$AM$72</c:f>
              <c:numCache>
                <c:formatCode>"$"#,##0</c:formatCode>
                <c:ptCount val="36"/>
                <c:pt idx="0">
                  <c:v>704.95238095238085</c:v>
                </c:pt>
                <c:pt idx="1">
                  <c:v>663.88209088209089</c:v>
                </c:pt>
                <c:pt idx="2">
                  <c:v>625.4497367132501</c:v>
                </c:pt>
                <c:pt idx="3">
                  <c:v>686.75124477957559</c:v>
                </c:pt>
                <c:pt idx="4">
                  <c:v>646.78961257667902</c:v>
                </c:pt>
                <c:pt idx="5">
                  <c:v>609.36010873386056</c:v>
                </c:pt>
                <c:pt idx="6">
                  <c:v>574.29087043563788</c:v>
                </c:pt>
                <c:pt idx="7">
                  <c:v>597.87886803952074</c:v>
                </c:pt>
                <c:pt idx="8">
                  <c:v>567.82560685522083</c:v>
                </c:pt>
                <c:pt idx="9">
                  <c:v>535.57947820137792</c:v>
                </c:pt>
                <c:pt idx="10">
                  <c:v>505.01915617758084</c:v>
                </c:pt>
                <c:pt idx="11">
                  <c:v>476.32390143501675</c:v>
                </c:pt>
                <c:pt idx="12">
                  <c:v>466.35548142968565</c:v>
                </c:pt>
                <c:pt idx="13">
                  <c:v>463.96818687577735</c:v>
                </c:pt>
                <c:pt idx="14">
                  <c:v>458.49619760850476</c:v>
                </c:pt>
                <c:pt idx="15">
                  <c:v>452.92296207671814</c:v>
                </c:pt>
                <c:pt idx="16">
                  <c:v>447.48810823371775</c:v>
                </c:pt>
                <c:pt idx="17">
                  <c:v>546.90460035697913</c:v>
                </c:pt>
                <c:pt idx="18">
                  <c:v>539.88629301970582</c:v>
                </c:pt>
                <c:pt idx="19">
                  <c:v>533.04830510218198</c:v>
                </c:pt>
                <c:pt idx="20">
                  <c:v>526.38569012538187</c:v>
                </c:pt>
                <c:pt idx="21">
                  <c:v>519.89363683606234</c:v>
                </c:pt>
                <c:pt idx="22">
                  <c:v>513.56747400007475</c:v>
                </c:pt>
                <c:pt idx="23">
                  <c:v>545.32990396114099</c:v>
                </c:pt>
                <c:pt idx="24">
                  <c:v>588.90311724545234</c:v>
                </c:pt>
                <c:pt idx="25">
                  <c:v>581.65142123416183</c:v>
                </c:pt>
                <c:pt idx="26">
                  <c:v>573.86586995231676</c:v>
                </c:pt>
                <c:pt idx="27">
                  <c:v>566.25594846538354</c:v>
                </c:pt>
                <c:pt idx="28">
                  <c:v>558.92398085427521</c:v>
                </c:pt>
                <c:pt idx="29">
                  <c:v>551.87309456648734</c:v>
                </c:pt>
                <c:pt idx="30">
                  <c:v>545.09088573917791</c:v>
                </c:pt>
                <c:pt idx="31">
                  <c:v>576.70772191676679</c:v>
                </c:pt>
                <c:pt idx="32">
                  <c:v>579.42582674731329</c:v>
                </c:pt>
                <c:pt idx="33">
                  <c:v>575.17262403433858</c:v>
                </c:pt>
                <c:pt idx="34">
                  <c:v>609.93250026986743</c:v>
                </c:pt>
                <c:pt idx="35">
                  <c:v>603.43754696263193</c:v>
                </c:pt>
              </c:numCache>
            </c:numRef>
          </c:val>
        </c:ser>
        <c:ser>
          <c:idx val="6"/>
          <c:order val="6"/>
          <c:tx>
            <c:strRef>
              <c:f>'Marketing Dashboard'!$C$73</c:f>
              <c:strCache>
                <c:ptCount val="1"/>
                <c:pt idx="0">
                  <c:v>Campaign</c:v>
                </c:pt>
              </c:strCache>
            </c:strRef>
          </c:tx>
          <c:marker>
            <c:symbol val="none"/>
          </c:marker>
          <c:val>
            <c:numRef>
              <c:f>'Marketing Dashboard'!$D$73:$AM$73</c:f>
              <c:numCache>
                <c:formatCode>"$"#,##0</c:formatCode>
                <c:ptCount val="36"/>
                <c:pt idx="0">
                  <c:v>1062.2962962962965</c:v>
                </c:pt>
                <c:pt idx="1">
                  <c:v>967.16592824457985</c:v>
                </c:pt>
                <c:pt idx="2">
                  <c:v>880.81133826204848</c:v>
                </c:pt>
                <c:pt idx="3">
                  <c:v>872.79101555648595</c:v>
                </c:pt>
                <c:pt idx="4">
                  <c:v>794.31092569752525</c:v>
                </c:pt>
                <c:pt idx="5">
                  <c:v>723.08293363563575</c:v>
                </c:pt>
                <c:pt idx="6">
                  <c:v>658.41674543059833</c:v>
                </c:pt>
                <c:pt idx="7">
                  <c:v>634.21626760046195</c:v>
                </c:pt>
                <c:pt idx="8">
                  <c:v>579.89181170190079</c:v>
                </c:pt>
                <c:pt idx="9">
                  <c:v>528.15048870525311</c:v>
                </c:pt>
                <c:pt idx="10">
                  <c:v>480.97968904341724</c:v>
                </c:pt>
                <c:pt idx="11">
                  <c:v>438.11501143426284</c:v>
                </c:pt>
                <c:pt idx="12">
                  <c:v>426.05181686348681</c:v>
                </c:pt>
                <c:pt idx="13">
                  <c:v>418.05663194379287</c:v>
                </c:pt>
                <c:pt idx="14">
                  <c:v>408.69017251324436</c:v>
                </c:pt>
                <c:pt idx="15">
                  <c:v>399.46809506366725</c:v>
                </c:pt>
                <c:pt idx="16">
                  <c:v>390.50314670108281</c:v>
                </c:pt>
                <c:pt idx="17">
                  <c:v>430.87708689467252</c:v>
                </c:pt>
                <c:pt idx="18">
                  <c:v>420.75594859940242</c:v>
                </c:pt>
                <c:pt idx="19">
                  <c:v>410.93106009651558</c:v>
                </c:pt>
                <c:pt idx="20">
                  <c:v>401.39196925104255</c:v>
                </c:pt>
                <c:pt idx="21">
                  <c:v>392.12863596074033</c:v>
                </c:pt>
                <c:pt idx="22">
                  <c:v>383.1314187141511</c:v>
                </c:pt>
                <c:pt idx="23">
                  <c:v>390.51834522771333</c:v>
                </c:pt>
                <c:pt idx="24">
                  <c:v>404.8400313769954</c:v>
                </c:pt>
                <c:pt idx="25">
                  <c:v>397.65369618790726</c:v>
                </c:pt>
                <c:pt idx="26">
                  <c:v>390.34920459406271</c:v>
                </c:pt>
                <c:pt idx="27">
                  <c:v>383.22174901622657</c:v>
                </c:pt>
                <c:pt idx="28">
                  <c:v>376.30927221946808</c:v>
                </c:pt>
                <c:pt idx="29">
                  <c:v>369.6083918888645</c:v>
                </c:pt>
                <c:pt idx="30">
                  <c:v>363.10959357359627</c:v>
                </c:pt>
                <c:pt idx="31">
                  <c:v>371.79330316176345</c:v>
                </c:pt>
                <c:pt idx="32">
                  <c:v>369.02654288236033</c:v>
                </c:pt>
                <c:pt idx="33">
                  <c:v>363.5923311771449</c:v>
                </c:pt>
                <c:pt idx="34">
                  <c:v>373.11458431095224</c:v>
                </c:pt>
                <c:pt idx="35">
                  <c:v>366.82922875885936</c:v>
                </c:pt>
              </c:numCache>
            </c:numRef>
          </c:val>
        </c:ser>
        <c:ser>
          <c:idx val="7"/>
          <c:order val="7"/>
          <c:tx>
            <c:strRef>
              <c:f>'Marketing Dashboard'!$C$74</c:f>
              <c:strCache>
                <c:ptCount val="1"/>
                <c:pt idx="0">
                  <c:v>Bill Inserts</c:v>
                </c:pt>
              </c:strCache>
            </c:strRef>
          </c:tx>
          <c:marker>
            <c:symbol val="none"/>
          </c:marker>
          <c:val>
            <c:numRef>
              <c:f>'Marketing Dashboard'!$D$74:$AM$74</c:f>
              <c:numCache>
                <c:formatCode>"$"#,##0</c:formatCode>
                <c:ptCount val="36"/>
                <c:pt idx="0">
                  <c:v>612.44444444444446</c:v>
                </c:pt>
                <c:pt idx="1">
                  <c:v>599.75266581718176</c:v>
                </c:pt>
                <c:pt idx="2">
                  <c:v>587.50582545925624</c:v>
                </c:pt>
                <c:pt idx="3">
                  <c:v>631.16545022160142</c:v>
                </c:pt>
                <c:pt idx="4">
                  <c:v>617.84829247014306</c:v>
                </c:pt>
                <c:pt idx="5">
                  <c:v>604.98424973328099</c:v>
                </c:pt>
                <c:pt idx="6">
                  <c:v>592.55388155376988</c:v>
                </c:pt>
                <c:pt idx="7">
                  <c:v>617.097858330083</c:v>
                </c:pt>
                <c:pt idx="8">
                  <c:v>607.16937791307305</c:v>
                </c:pt>
                <c:pt idx="9">
                  <c:v>594.85816560378828</c:v>
                </c:pt>
                <c:pt idx="10">
                  <c:v>582.73051391331171</c:v>
                </c:pt>
                <c:pt idx="11">
                  <c:v>570.97747118901964</c:v>
                </c:pt>
                <c:pt idx="12">
                  <c:v>568.39143357229375</c:v>
                </c:pt>
                <c:pt idx="13">
                  <c:v>571.39022633230354</c:v>
                </c:pt>
                <c:pt idx="14">
                  <c:v>572.07507531759711</c:v>
                </c:pt>
                <c:pt idx="15">
                  <c:v>572.65531776980436</c:v>
                </c:pt>
                <c:pt idx="16">
                  <c:v>573.31213073428557</c:v>
                </c:pt>
                <c:pt idx="17">
                  <c:v>654.93534097965733</c:v>
                </c:pt>
                <c:pt idx="18">
                  <c:v>654.97129352330637</c:v>
                </c:pt>
                <c:pt idx="19">
                  <c:v>655.10474519087904</c:v>
                </c:pt>
                <c:pt idx="20">
                  <c:v>655.33455912406976</c:v>
                </c:pt>
                <c:pt idx="21">
                  <c:v>655.6596259066032</c:v>
                </c:pt>
                <c:pt idx="22">
                  <c:v>656.07886990771021</c:v>
                </c:pt>
                <c:pt idx="23">
                  <c:v>687.37206534043764</c:v>
                </c:pt>
                <c:pt idx="24">
                  <c:v>726.02358102868516</c:v>
                </c:pt>
                <c:pt idx="25">
                  <c:v>723.38335828519303</c:v>
                </c:pt>
                <c:pt idx="26">
                  <c:v>720.25951830541987</c:v>
                </c:pt>
                <c:pt idx="27">
                  <c:v>717.23247310290151</c:v>
                </c:pt>
                <c:pt idx="28">
                  <c:v>714.38911806939643</c:v>
                </c:pt>
                <c:pt idx="29">
                  <c:v>711.73512270504375</c:v>
                </c:pt>
                <c:pt idx="30">
                  <c:v>709.2631897125799</c:v>
                </c:pt>
                <c:pt idx="31">
                  <c:v>739.17532313104982</c:v>
                </c:pt>
                <c:pt idx="32">
                  <c:v>744.84312755492783</c:v>
                </c:pt>
                <c:pt idx="33">
                  <c:v>744.60382083010973</c:v>
                </c:pt>
                <c:pt idx="34">
                  <c:v>777.78265646626494</c:v>
                </c:pt>
                <c:pt idx="35">
                  <c:v>775.73768729946391</c:v>
                </c:pt>
              </c:numCache>
            </c:numRef>
          </c:val>
        </c:ser>
        <c:ser>
          <c:idx val="8"/>
          <c:order val="8"/>
          <c:tx>
            <c:strRef>
              <c:f>'Marketing Dashboard'!$C$75</c:f>
              <c:strCache>
                <c:ptCount val="1"/>
                <c:pt idx="0">
                  <c:v>Referral</c:v>
                </c:pt>
              </c:strCache>
            </c:strRef>
          </c:tx>
          <c:marker>
            <c:symbol val="none"/>
          </c:marker>
          <c:val>
            <c:numRef>
              <c:f>'Marketing Dashboard'!$D$75:$AM$75</c:f>
              <c:numCache>
                <c:formatCode>"$"#,##0</c:formatCode>
                <c:ptCount val="36"/>
                <c:pt idx="0">
                  <c:v>449.76470588235304</c:v>
                </c:pt>
                <c:pt idx="1">
                  <c:v>378.19787208022507</c:v>
                </c:pt>
                <c:pt idx="2">
                  <c:v>318.13141927169079</c:v>
                </c:pt>
                <c:pt idx="3">
                  <c:v>300.51980460152254</c:v>
                </c:pt>
                <c:pt idx="4">
                  <c:v>252.63240491076536</c:v>
                </c:pt>
                <c:pt idx="5">
                  <c:v>212.44321920037572</c:v>
                </c:pt>
                <c:pt idx="6">
                  <c:v>178.70347705352219</c:v>
                </c:pt>
                <c:pt idx="7">
                  <c:v>162.26050392252861</c:v>
                </c:pt>
                <c:pt idx="8">
                  <c:v>137.27882077706934</c:v>
                </c:pt>
                <c:pt idx="9">
                  <c:v>115.52884618318224</c:v>
                </c:pt>
                <c:pt idx="10">
                  <c:v>97.208037043981719</c:v>
                </c:pt>
                <c:pt idx="11">
                  <c:v>81.812648562143423</c:v>
                </c:pt>
                <c:pt idx="12">
                  <c:v>72.221441194763031</c:v>
                </c:pt>
                <c:pt idx="13">
                  <c:v>64.540157500510219</c:v>
                </c:pt>
                <c:pt idx="14">
                  <c:v>57.382179357742586</c:v>
                </c:pt>
                <c:pt idx="15">
                  <c:v>51.005358269453374</c:v>
                </c:pt>
                <c:pt idx="16">
                  <c:v>45.34391197800705</c:v>
                </c:pt>
                <c:pt idx="17">
                  <c:v>47.49241106095328</c:v>
                </c:pt>
                <c:pt idx="18">
                  <c:v>42.175500870485067</c:v>
                </c:pt>
                <c:pt idx="19">
                  <c:v>37.459921421546603</c:v>
                </c:pt>
                <c:pt idx="20">
                  <c:v>33.276943644297766</c:v>
                </c:pt>
                <c:pt idx="21">
                  <c:v>29.565778094358695</c:v>
                </c:pt>
                <c:pt idx="22">
                  <c:v>26.272648349325955</c:v>
                </c:pt>
                <c:pt idx="23">
                  <c:v>24.704290560529422</c:v>
                </c:pt>
                <c:pt idx="24">
                  <c:v>24.105656167782239</c:v>
                </c:pt>
                <c:pt idx="25">
                  <c:v>21.909569646928567</c:v>
                </c:pt>
                <c:pt idx="26">
                  <c:v>19.896724254285719</c:v>
                </c:pt>
                <c:pt idx="27">
                  <c:v>18.071049381860647</c:v>
                </c:pt>
                <c:pt idx="28">
                  <c:v>16.417410832124023</c:v>
                </c:pt>
                <c:pt idx="29">
                  <c:v>14.919415192704985</c:v>
                </c:pt>
                <c:pt idx="30">
                  <c:v>13.56192728240204</c:v>
                </c:pt>
                <c:pt idx="31">
                  <c:v>13.019362564006773</c:v>
                </c:pt>
                <c:pt idx="32">
                  <c:v>11.996161526815694</c:v>
                </c:pt>
                <c:pt idx="33">
                  <c:v>10.947226672007114</c:v>
                </c:pt>
                <c:pt idx="34">
                  <c:v>10.534381202217045</c:v>
                </c:pt>
                <c:pt idx="35">
                  <c:v>9.5868941374938199</c:v>
                </c:pt>
              </c:numCache>
            </c:numRef>
          </c:val>
        </c:ser>
        <c:ser>
          <c:idx val="9"/>
          <c:order val="9"/>
          <c:tx>
            <c:strRef>
              <c:f>'Marketing Dashboard'!$C$76</c:f>
              <c:strCache>
                <c:ptCount val="1"/>
                <c:pt idx="0">
                  <c:v>Affiliate Partners</c:v>
                </c:pt>
              </c:strCache>
            </c:strRef>
          </c:tx>
          <c:marker>
            <c:symbol val="none"/>
          </c:marker>
          <c:val>
            <c:numRef>
              <c:f>'Marketing Dashboard'!$D$76:$AM$76</c:f>
              <c:numCache>
                <c:formatCode>"$"#,##0</c:formatCode>
                <c:ptCount val="36"/>
                <c:pt idx="0">
                  <c:v>2616.3636363636365</c:v>
                </c:pt>
                <c:pt idx="1">
                  <c:v>2249.983469138398</c:v>
                </c:pt>
                <c:pt idx="2">
                  <c:v>1935.2486861012903</c:v>
                </c:pt>
                <c:pt idx="3">
                  <c:v>1740.3915612686085</c:v>
                </c:pt>
                <c:pt idx="4">
                  <c:v>1496.151024042679</c:v>
                </c:pt>
                <c:pt idx="5">
                  <c:v>1286.4050793981112</c:v>
                </c:pt>
                <c:pt idx="6">
                  <c:v>1106.2465085964873</c:v>
                </c:pt>
                <c:pt idx="7">
                  <c:v>980.42668444286744</c:v>
                </c:pt>
                <c:pt idx="8">
                  <c:v>844.93265305477473</c:v>
                </c:pt>
                <c:pt idx="9">
                  <c:v>726.63492527017354</c:v>
                </c:pt>
                <c:pt idx="10">
                  <c:v>624.88163183990571</c:v>
                </c:pt>
                <c:pt idx="11">
                  <c:v>537.45045055776347</c:v>
                </c:pt>
                <c:pt idx="12">
                  <c:v>491.88443710824453</c:v>
                </c:pt>
                <c:pt idx="13">
                  <c:v>452.34143807672541</c:v>
                </c:pt>
                <c:pt idx="14">
                  <c:v>415.16139608125894</c:v>
                </c:pt>
                <c:pt idx="15">
                  <c:v>381.00881860488056</c:v>
                </c:pt>
                <c:pt idx="16">
                  <c:v>349.69301128259178</c:v>
                </c:pt>
                <c:pt idx="17">
                  <c:v>342.58147800644531</c:v>
                </c:pt>
                <c:pt idx="18">
                  <c:v>314.1809792963324</c:v>
                </c:pt>
                <c:pt idx="19">
                  <c:v>288.16191361570998</c:v>
                </c:pt>
                <c:pt idx="20">
                  <c:v>264.32189771292536</c:v>
                </c:pt>
                <c:pt idx="21">
                  <c:v>242.4760137868941</c:v>
                </c:pt>
                <c:pt idx="22">
                  <c:v>222.45527747478761</c:v>
                </c:pt>
                <c:pt idx="23">
                  <c:v>208.87361866651204</c:v>
                </c:pt>
                <c:pt idx="24">
                  <c:v>199.67854878818278</c:v>
                </c:pt>
                <c:pt idx="25">
                  <c:v>185.21731811900887</c:v>
                </c:pt>
                <c:pt idx="26">
                  <c:v>171.74472565267573</c:v>
                </c:pt>
                <c:pt idx="27">
                  <c:v>159.2642502153642</c:v>
                </c:pt>
                <c:pt idx="28">
                  <c:v>147.71122994778656</c:v>
                </c:pt>
                <c:pt idx="29">
                  <c:v>137.01587176447907</c:v>
                </c:pt>
                <c:pt idx="30">
                  <c:v>127.11246473941782</c:v>
                </c:pt>
                <c:pt idx="31">
                  <c:v>120.67769581698259</c:v>
                </c:pt>
                <c:pt idx="32">
                  <c:v>112.5983060748725</c:v>
                </c:pt>
                <c:pt idx="33">
                  <c:v>104.62503679421631</c:v>
                </c:pt>
                <c:pt idx="34">
                  <c:v>99.484095667318144</c:v>
                </c:pt>
                <c:pt idx="35">
                  <c:v>92.32314603779588</c:v>
                </c:pt>
              </c:numCache>
            </c:numRef>
          </c:val>
        </c:ser>
        <c:ser>
          <c:idx val="10"/>
          <c:order val="10"/>
          <c:tx>
            <c:strRef>
              <c:f>'Marketing Dashboard'!$C$77</c:f>
              <c:strCache>
                <c:ptCount val="1"/>
                <c:pt idx="0">
                  <c:v>Utility Partners</c:v>
                </c:pt>
              </c:strCache>
            </c:strRef>
          </c:tx>
          <c:marker>
            <c:symbol val="none"/>
          </c:marker>
          <c:val>
            <c:numRef>
              <c:f>'Marketing Dashboard'!$D$77:$AM$77</c:f>
              <c:numCache>
                <c:formatCode>"$"#,##0</c:formatCode>
                <c:ptCount val="36"/>
                <c:pt idx="0">
                  <c:v>2004.8000000000002</c:v>
                </c:pt>
                <c:pt idx="1">
                  <c:v>1945.4458677754676</c:v>
                </c:pt>
                <c:pt idx="2">
                  <c:v>1888.4691629350282</c:v>
                </c:pt>
                <c:pt idx="3">
                  <c:v>2028.7312530382169</c:v>
                </c:pt>
                <c:pt idx="4">
                  <c:v>1967.9777890077157</c:v>
                </c:pt>
                <c:pt idx="5">
                  <c:v>1909.6144324519078</c:v>
                </c:pt>
                <c:pt idx="6">
                  <c:v>1853.527945914223</c:v>
                </c:pt>
                <c:pt idx="7">
                  <c:v>1924.0283453050549</c:v>
                </c:pt>
                <c:pt idx="8">
                  <c:v>1876.8867606290287</c:v>
                </c:pt>
                <c:pt idx="9">
                  <c:v>1822.3789062272804</c:v>
                </c:pt>
                <c:pt idx="10">
                  <c:v>1769.2154255107228</c:v>
                </c:pt>
                <c:pt idx="11">
                  <c:v>1718.0033470370729</c:v>
                </c:pt>
                <c:pt idx="12">
                  <c:v>1680.2915833574812</c:v>
                </c:pt>
                <c:pt idx="13">
                  <c:v>1661.1516761413238</c:v>
                </c:pt>
                <c:pt idx="14">
                  <c:v>1634.9183911458397</c:v>
                </c:pt>
                <c:pt idx="15">
                  <c:v>1608.76449847139</c:v>
                </c:pt>
                <c:pt idx="16">
                  <c:v>1583.2497843495853</c:v>
                </c:pt>
                <c:pt idx="17">
                  <c:v>1799.9619290832038</c:v>
                </c:pt>
                <c:pt idx="18">
                  <c:v>1769.4705783080824</c:v>
                </c:pt>
                <c:pt idx="19">
                  <c:v>1739.765429303412</c:v>
                </c:pt>
                <c:pt idx="20">
                  <c:v>1710.8212487876456</c:v>
                </c:pt>
                <c:pt idx="21">
                  <c:v>1682.6136719291819</c:v>
                </c:pt>
                <c:pt idx="22">
                  <c:v>1655.1191907165492</c:v>
                </c:pt>
                <c:pt idx="23">
                  <c:v>1711.6398957204585</c:v>
                </c:pt>
                <c:pt idx="24">
                  <c:v>1797.827377212275</c:v>
                </c:pt>
                <c:pt idx="25">
                  <c:v>1772.5618793827098</c:v>
                </c:pt>
                <c:pt idx="26">
                  <c:v>1746.3468502543901</c:v>
                </c:pt>
                <c:pt idx="27">
                  <c:v>1720.7261714786607</c:v>
                </c:pt>
                <c:pt idx="28">
                  <c:v>1695.9120747288571</c:v>
                </c:pt>
                <c:pt idx="29">
                  <c:v>1671.9009658188531</c:v>
                </c:pt>
                <c:pt idx="30">
                  <c:v>1648.6562528062514</c:v>
                </c:pt>
                <c:pt idx="31">
                  <c:v>1706.6942361361548</c:v>
                </c:pt>
                <c:pt idx="32">
                  <c:v>1703.3916709725827</c:v>
                </c:pt>
                <c:pt idx="33">
                  <c:v>1685.503232610637</c:v>
                </c:pt>
                <c:pt idx="34">
                  <c:v>1748.9290945491462</c:v>
                </c:pt>
                <c:pt idx="35">
                  <c:v>1726.2694950122495</c:v>
                </c:pt>
              </c:numCache>
            </c:numRef>
          </c:val>
        </c:ser>
        <c:ser>
          <c:idx val="11"/>
          <c:order val="11"/>
          <c:tx>
            <c:strRef>
              <c:f>'Marketing Dashboard'!$C$78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val>
            <c:numRef>
              <c:f>'Marketing Dashboard'!$D$78:$AM$78</c:f>
              <c:numCache>
                <c:formatCode>"$"#,##0</c:formatCode>
                <c:ptCount val="36"/>
                <c:pt idx="0">
                  <c:v>704.80000000000007</c:v>
                </c:pt>
                <c:pt idx="1">
                  <c:v>663.59655479655476</c:v>
                </c:pt>
                <c:pt idx="2">
                  <c:v>624.9259284787646</c:v>
                </c:pt>
                <c:pt idx="3">
                  <c:v>779.00124422885006</c:v>
                </c:pt>
                <c:pt idx="4">
                  <c:v>735.48648400325601</c:v>
                </c:pt>
                <c:pt idx="5">
                  <c:v>694.52494189306867</c:v>
                </c:pt>
                <c:pt idx="6">
                  <c:v>655.96260493906561</c:v>
                </c:pt>
                <c:pt idx="7">
                  <c:v>737.32261664263638</c:v>
                </c:pt>
                <c:pt idx="8">
                  <c:v>706.61692254363845</c:v>
                </c:pt>
                <c:pt idx="9">
                  <c:v>669.14878640699283</c:v>
                </c:pt>
                <c:pt idx="10">
                  <c:v>633.13435976830908</c:v>
                </c:pt>
                <c:pt idx="11">
                  <c:v>599.10789474425872</c:v>
                </c:pt>
                <c:pt idx="12">
                  <c:v>576.80570162594529</c:v>
                </c:pt>
                <c:pt idx="13">
                  <c:v>571.33150454160136</c:v>
                </c:pt>
                <c:pt idx="14">
                  <c:v>559.01004663598405</c:v>
                </c:pt>
                <c:pt idx="15">
                  <c:v>546.46378233840346</c:v>
                </c:pt>
                <c:pt idx="16">
                  <c:v>534.22462133587283</c:v>
                </c:pt>
                <c:pt idx="17">
                  <c:v>754.72722726386291</c:v>
                </c:pt>
                <c:pt idx="18">
                  <c:v>738.97309081601384</c:v>
                </c:pt>
                <c:pt idx="19">
                  <c:v>723.61914808836195</c:v>
                </c:pt>
                <c:pt idx="20">
                  <c:v>708.65441920010028</c:v>
                </c:pt>
                <c:pt idx="21">
                  <c:v>694.06822443533918</c:v>
                </c:pt>
                <c:pt idx="22">
                  <c:v>679.85019488297075</c:v>
                </c:pt>
                <c:pt idx="23">
                  <c:v>750.17854689394653</c:v>
                </c:pt>
                <c:pt idx="24">
                  <c:v>847.47404624053434</c:v>
                </c:pt>
                <c:pt idx="25">
                  <c:v>831.95117678198665</c:v>
                </c:pt>
                <c:pt idx="26">
                  <c:v>815.2425754311821</c:v>
                </c:pt>
                <c:pt idx="27">
                  <c:v>798.92310942040388</c:v>
                </c:pt>
                <c:pt idx="28">
                  <c:v>783.21991162713698</c:v>
                </c:pt>
                <c:pt idx="29">
                  <c:v>768.13992503737688</c:v>
                </c:pt>
                <c:pt idx="30">
                  <c:v>753.65561729745366</c:v>
                </c:pt>
                <c:pt idx="31">
                  <c:v>824.40616665828111</c:v>
                </c:pt>
                <c:pt idx="32">
                  <c:v>831.00858099140578</c:v>
                </c:pt>
                <c:pt idx="33">
                  <c:v>822.13585417932916</c:v>
                </c:pt>
                <c:pt idx="34">
                  <c:v>899.8609776089196</c:v>
                </c:pt>
                <c:pt idx="35">
                  <c:v>886.01074847825635</c:v>
                </c:pt>
              </c:numCache>
            </c:numRef>
          </c:val>
        </c:ser>
        <c:marker val="1"/>
        <c:axId val="241953024"/>
        <c:axId val="242868224"/>
      </c:lineChart>
      <c:catAx>
        <c:axId val="241953024"/>
        <c:scaling>
          <c:orientation val="minMax"/>
        </c:scaling>
        <c:axPos val="b"/>
        <c:tickLblPos val="nextTo"/>
        <c:crossAx val="242868224"/>
        <c:crosses val="autoZero"/>
        <c:auto val="1"/>
        <c:lblAlgn val="ctr"/>
        <c:lblOffset val="100"/>
      </c:catAx>
      <c:valAx>
        <c:axId val="242868224"/>
        <c:scaling>
          <c:orientation val="minMax"/>
        </c:scaling>
        <c:axPos val="l"/>
        <c:majorGridlines/>
        <c:numFmt formatCode="&quot;$&quot;#,##0" sourceLinked="1"/>
        <c:tickLblPos val="nextTo"/>
        <c:crossAx val="241953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'Marketing Dashboard'!$C$81</c:f>
              <c:strCache>
                <c:ptCount val="1"/>
                <c:pt idx="0">
                  <c:v>Earned Media</c:v>
                </c:pt>
              </c:strCache>
            </c:strRef>
          </c:tx>
          <c:marker>
            <c:symbol val="none"/>
          </c:marker>
          <c:val>
            <c:numRef>
              <c:f>'Marketing Dashboard'!$D$81:$BK$81</c:f>
              <c:numCache>
                <c:formatCode>"$"#,##0</c:formatCode>
                <c:ptCount val="60"/>
                <c:pt idx="0">
                  <c:v>4402</c:v>
                </c:pt>
                <c:pt idx="1">
                  <c:v>4401.9999999999991</c:v>
                </c:pt>
                <c:pt idx="2">
                  <c:v>3845.1120110995366</c:v>
                </c:pt>
                <c:pt idx="3">
                  <c:v>3359.6294937887819</c:v>
                </c:pt>
                <c:pt idx="4">
                  <c:v>3782.56734718097</c:v>
                </c:pt>
                <c:pt idx="5">
                  <c:v>3310.6734821886744</c:v>
                </c:pt>
                <c:pt idx="6">
                  <c:v>2898.3415903339401</c:v>
                </c:pt>
                <c:pt idx="7">
                  <c:v>2537.9786223078795</c:v>
                </c:pt>
                <c:pt idx="8">
                  <c:v>2605.1533393189075</c:v>
                </c:pt>
                <c:pt idx="9">
                  <c:v>2311.3485989579472</c:v>
                </c:pt>
                <c:pt idx="10">
                  <c:v>2028.394900410299</c:v>
                </c:pt>
                <c:pt idx="11">
                  <c:v>1778.8218605603449</c:v>
                </c:pt>
                <c:pt idx="12">
                  <c:v>1560.1785464765619</c:v>
                </c:pt>
                <c:pt idx="13">
                  <c:v>1445.5526137714887</c:v>
                </c:pt>
                <c:pt idx="14">
                  <c:v>1374.4306388083828</c:v>
                </c:pt>
                <c:pt idx="15">
                  <c:v>1292.3767382334161</c:v>
                </c:pt>
                <c:pt idx="16">
                  <c:v>1214.2879309604166</c:v>
                </c:pt>
                <c:pt idx="17">
                  <c:v>1141.0196107892209</c:v>
                </c:pt>
                <c:pt idx="18">
                  <c:v>1501.4508476150213</c:v>
                </c:pt>
                <c:pt idx="19">
                  <c:v>1412.0815179768456</c:v>
                </c:pt>
                <c:pt idx="20">
                  <c:v>1328.1944064866943</c:v>
                </c:pt>
                <c:pt idx="21">
                  <c:v>1249.4445903269514</c:v>
                </c:pt>
                <c:pt idx="22">
                  <c:v>1175.5092819030906</c:v>
                </c:pt>
                <c:pt idx="23">
                  <c:v>1106.0864156168454</c:v>
                </c:pt>
                <c:pt idx="24">
                  <c:v>1161.8345888103072</c:v>
                </c:pt>
                <c:pt idx="25">
                  <c:v>1291.3514656356485</c:v>
                </c:pt>
                <c:pt idx="26">
                  <c:v>1259.2255959737997</c:v>
                </c:pt>
                <c:pt idx="27">
                  <c:v>1225.858512541854</c:v>
                </c:pt>
                <c:pt idx="28">
                  <c:v>1193.4771416531532</c:v>
                </c:pt>
                <c:pt idx="29">
                  <c:v>1162.3776787521813</c:v>
                </c:pt>
                <c:pt idx="30">
                  <c:v>1132.5449779627679</c:v>
                </c:pt>
                <c:pt idx="31">
                  <c:v>1103.9170700952416</c:v>
                </c:pt>
                <c:pt idx="32">
                  <c:v>1190.6786493468517</c:v>
                </c:pt>
                <c:pt idx="33">
                  <c:v>1190.1367380664444</c:v>
                </c:pt>
                <c:pt idx="34">
                  <c:v>1168.9739802896331</c:v>
                </c:pt>
                <c:pt idx="35">
                  <c:v>1262.2077186929844</c:v>
                </c:pt>
                <c:pt idx="36">
                  <c:v>1234.1584535376778</c:v>
                </c:pt>
                <c:pt idx="37">
                  <c:v>1313.6711699728876</c:v>
                </c:pt>
                <c:pt idx="38">
                  <c:v>1255.4533972232821</c:v>
                </c:pt>
                <c:pt idx="39">
                  <c:v>1214.7277426526571</c:v>
                </c:pt>
                <c:pt idx="40">
                  <c:v>1177.9725052345059</c:v>
                </c:pt>
                <c:pt idx="41">
                  <c:v>1235.4440522788195</c:v>
                </c:pt>
                <c:pt idx="42">
                  <c:v>1320.7894497981047</c:v>
                </c:pt>
                <c:pt idx="43">
                  <c:v>1288.0937666708203</c:v>
                </c:pt>
                <c:pt idx="44">
                  <c:v>1252.3907096230091</c:v>
                </c:pt>
                <c:pt idx="45">
                  <c:v>1216.8731730806521</c:v>
                </c:pt>
                <c:pt idx="46">
                  <c:v>1182.2796375098892</c:v>
                </c:pt>
                <c:pt idx="47">
                  <c:v>1325.7167242273861</c:v>
                </c:pt>
                <c:pt idx="48">
                  <c:v>1457.8073848661936</c:v>
                </c:pt>
                <c:pt idx="49">
                  <c:v>1451.0924556788148</c:v>
                </c:pt>
                <c:pt idx="50">
                  <c:v>1425.9997325353493</c:v>
                </c:pt>
                <c:pt idx="51">
                  <c:v>1395.5199445319893</c:v>
                </c:pt>
                <c:pt idx="52">
                  <c:v>1363.8675641517718</c:v>
                </c:pt>
                <c:pt idx="53">
                  <c:v>1407.7265316770797</c:v>
                </c:pt>
                <c:pt idx="54">
                  <c:v>1609.5903352482405</c:v>
                </c:pt>
                <c:pt idx="55">
                  <c:v>1606.7763571517401</c:v>
                </c:pt>
                <c:pt idx="56">
                  <c:v>1583.8962521728681</c:v>
                </c:pt>
                <c:pt idx="57">
                  <c:v>1622.2787253535034</c:v>
                </c:pt>
                <c:pt idx="58">
                  <c:v>1674.8266006245146</c:v>
                </c:pt>
                <c:pt idx="59">
                  <c:v>1680.5672291271635</c:v>
                </c:pt>
              </c:numCache>
            </c:numRef>
          </c:val>
        </c:ser>
        <c:ser>
          <c:idx val="1"/>
          <c:order val="1"/>
          <c:tx>
            <c:strRef>
              <c:f>'Marketing Dashboard'!$C$82</c:f>
              <c:strCache>
                <c:ptCount val="1"/>
                <c:pt idx="0">
                  <c:v>TV</c:v>
                </c:pt>
              </c:strCache>
            </c:strRef>
          </c:tx>
          <c:marker>
            <c:symbol val="none"/>
          </c:marker>
          <c:val>
            <c:numRef>
              <c:f>'Marketing Dashboard'!$D$82:$BK$82</c:f>
              <c:numCache>
                <c:formatCode>"$"#,##0</c:formatCode>
                <c:ptCount val="60"/>
                <c:pt idx="0">
                  <c:v>12512</c:v>
                </c:pt>
                <c:pt idx="1">
                  <c:v>12511.999999999996</c:v>
                </c:pt>
                <c:pt idx="2">
                  <c:v>12106.001023755696</c:v>
                </c:pt>
                <c:pt idx="3">
                  <c:v>11715.089340668466</c:v>
                </c:pt>
                <c:pt idx="4">
                  <c:v>11811.56477195021</c:v>
                </c:pt>
                <c:pt idx="5">
                  <c:v>11424.463053514659</c:v>
                </c:pt>
                <c:pt idx="6">
                  <c:v>11051.803318486274</c:v>
                </c:pt>
                <c:pt idx="7">
                  <c:v>10692.950831916707</c:v>
                </c:pt>
                <c:pt idx="8">
                  <c:v>10637.218250894994</c:v>
                </c:pt>
                <c:pt idx="9">
                  <c:v>10312.165592021725</c:v>
                </c:pt>
                <c:pt idx="10">
                  <c:v>9977.6907731159645</c:v>
                </c:pt>
                <c:pt idx="11">
                  <c:v>9653.8227750240985</c:v>
                </c:pt>
                <c:pt idx="12">
                  <c:v>9341.6580807671871</c:v>
                </c:pt>
                <c:pt idx="13">
                  <c:v>9125.1228110098946</c:v>
                </c:pt>
                <c:pt idx="14">
                  <c:v>8953.0038767979058</c:v>
                </c:pt>
                <c:pt idx="15">
                  <c:v>8768.2668431304628</c:v>
                </c:pt>
                <c:pt idx="16">
                  <c:v>8586.7578284413685</c:v>
                </c:pt>
                <c:pt idx="17">
                  <c:v>8409.617765221743</c:v>
                </c:pt>
                <c:pt idx="18">
                  <c:v>8746.7576875067243</c:v>
                </c:pt>
                <c:pt idx="19">
                  <c:v>8560.0672196027808</c:v>
                </c:pt>
                <c:pt idx="20">
                  <c:v>8378.0976977542559</c:v>
                </c:pt>
                <c:pt idx="21">
                  <c:v>8200.7024022266924</c:v>
                </c:pt>
                <c:pt idx="22">
                  <c:v>8027.740028484006</c:v>
                </c:pt>
                <c:pt idx="23">
                  <c:v>7859.0745033792282</c:v>
                </c:pt>
                <c:pt idx="24">
                  <c:v>7860.4679434473092</c:v>
                </c:pt>
                <c:pt idx="25">
                  <c:v>7955.4118963669107</c:v>
                </c:pt>
                <c:pt idx="26">
                  <c:v>7829.8838474485092</c:v>
                </c:pt>
                <c:pt idx="27">
                  <c:v>7703.9075053006563</c:v>
                </c:pt>
                <c:pt idx="28">
                  <c:v>7580.5013898596344</c:v>
                </c:pt>
                <c:pt idx="29">
                  <c:v>7460.0392895384757</c:v>
                </c:pt>
                <c:pt idx="30">
                  <c:v>7342.4712427595832</c:v>
                </c:pt>
                <c:pt idx="31">
                  <c:v>7227.685036629764</c:v>
                </c:pt>
                <c:pt idx="32">
                  <c:v>7268.2296111074565</c:v>
                </c:pt>
                <c:pt idx="33">
                  <c:v>7192.6219648532879</c:v>
                </c:pt>
                <c:pt idx="34">
                  <c:v>7090.5170188408147</c:v>
                </c:pt>
                <c:pt idx="35">
                  <c:v>7140.8237988229321</c:v>
                </c:pt>
                <c:pt idx="36">
                  <c:v>7031.2214750899166</c:v>
                </c:pt>
                <c:pt idx="37">
                  <c:v>7075.8379593832788</c:v>
                </c:pt>
                <c:pt idx="38">
                  <c:v>6938.6871281907224</c:v>
                </c:pt>
                <c:pt idx="39">
                  <c:v>6825.0272667075405</c:v>
                </c:pt>
                <c:pt idx="40">
                  <c:v>6716.9860217078221</c:v>
                </c:pt>
                <c:pt idx="41">
                  <c:v>6738.6660728786283</c:v>
                </c:pt>
                <c:pt idx="42">
                  <c:v>6801.3254596383576</c:v>
                </c:pt>
                <c:pt idx="43">
                  <c:v>6702.1604147777807</c:v>
                </c:pt>
                <c:pt idx="44">
                  <c:v>6599.0797081550745</c:v>
                </c:pt>
                <c:pt idx="45">
                  <c:v>6496.4899965887817</c:v>
                </c:pt>
                <c:pt idx="46">
                  <c:v>6395.4325747681096</c:v>
                </c:pt>
                <c:pt idx="47">
                  <c:v>6551.4397954231235</c:v>
                </c:pt>
                <c:pt idx="48">
                  <c:v>6695.3417994663678</c:v>
                </c:pt>
                <c:pt idx="49">
                  <c:v>6557.9831944764001</c:v>
                </c:pt>
                <c:pt idx="50">
                  <c:v>6397.3195777721421</c:v>
                </c:pt>
                <c:pt idx="51">
                  <c:v>6232.2597173815939</c:v>
                </c:pt>
                <c:pt idx="52">
                  <c:v>6068.8488551620067</c:v>
                </c:pt>
                <c:pt idx="53">
                  <c:v>6016.3230484663345</c:v>
                </c:pt>
                <c:pt idx="54">
                  <c:v>6190.3894835616074</c:v>
                </c:pt>
                <c:pt idx="55">
                  <c:v>6075.521665921664</c:v>
                </c:pt>
                <c:pt idx="56">
                  <c:v>5935.1150191004999</c:v>
                </c:pt>
                <c:pt idx="57">
                  <c:v>5883.4859360482078</c:v>
                </c:pt>
                <c:pt idx="58">
                  <c:v>5853.7458144793782</c:v>
                </c:pt>
                <c:pt idx="59">
                  <c:v>5760.7871456506873</c:v>
                </c:pt>
              </c:numCache>
            </c:numRef>
          </c:val>
        </c:ser>
        <c:ser>
          <c:idx val="2"/>
          <c:order val="2"/>
          <c:tx>
            <c:strRef>
              <c:f>'Marketing Dashboard'!$C$83</c:f>
              <c:strCache>
                <c:ptCount val="1"/>
                <c:pt idx="0">
                  <c:v>Print</c:v>
                </c:pt>
              </c:strCache>
            </c:strRef>
          </c:tx>
          <c:marker>
            <c:symbol val="none"/>
          </c:marker>
          <c:val>
            <c:numRef>
              <c:f>'Marketing Dashboard'!$D$83:$BK$83</c:f>
              <c:numCache>
                <c:formatCode>"$"#,##0</c:formatCode>
                <c:ptCount val="60"/>
                <c:pt idx="0">
                  <c:v>6922.666666666667</c:v>
                </c:pt>
                <c:pt idx="1">
                  <c:v>6922.666666666667</c:v>
                </c:pt>
                <c:pt idx="2">
                  <c:v>6545.2516479079341</c:v>
                </c:pt>
                <c:pt idx="3">
                  <c:v>6189.3374874868778</c:v>
                </c:pt>
                <c:pt idx="4">
                  <c:v>6073.9904892553905</c:v>
                </c:pt>
                <c:pt idx="5">
                  <c:v>5741.0371743677997</c:v>
                </c:pt>
                <c:pt idx="6">
                  <c:v>5427.127300012382</c:v>
                </c:pt>
                <c:pt idx="7">
                  <c:v>5131.1089890013063</c:v>
                </c:pt>
                <c:pt idx="8">
                  <c:v>4974.8485156181305</c:v>
                </c:pt>
                <c:pt idx="9">
                  <c:v>4711.8887508242824</c:v>
                </c:pt>
                <c:pt idx="10">
                  <c:v>4455.0008077840648</c:v>
                </c:pt>
                <c:pt idx="11">
                  <c:v>4212.0305487458008</c:v>
                </c:pt>
                <c:pt idx="12">
                  <c:v>3982.778843145215</c:v>
                </c:pt>
                <c:pt idx="13">
                  <c:v>3956.4567529720675</c:v>
                </c:pt>
                <c:pt idx="14">
                  <c:v>3946.0294124561174</c:v>
                </c:pt>
                <c:pt idx="15">
                  <c:v>3929.2008551684316</c:v>
                </c:pt>
                <c:pt idx="16">
                  <c:v>3912.2072635026084</c:v>
                </c:pt>
                <c:pt idx="17">
                  <c:v>3895.5470666292681</c:v>
                </c:pt>
                <c:pt idx="18">
                  <c:v>4096.2481054190412</c:v>
                </c:pt>
                <c:pt idx="19">
                  <c:v>4076.0398730849329</c:v>
                </c:pt>
                <c:pt idx="20">
                  <c:v>4056.2604690169846</c:v>
                </c:pt>
                <c:pt idx="21">
                  <c:v>4036.8977007348553</c:v>
                </c:pt>
                <c:pt idx="22">
                  <c:v>4017.9397285337272</c:v>
                </c:pt>
                <c:pt idx="23">
                  <c:v>3999.3750727202219</c:v>
                </c:pt>
                <c:pt idx="24">
                  <c:v>4059.0195438689184</c:v>
                </c:pt>
                <c:pt idx="25">
                  <c:v>4139.587169688808</c:v>
                </c:pt>
                <c:pt idx="26">
                  <c:v>4115.91906846248</c:v>
                </c:pt>
                <c:pt idx="27">
                  <c:v>4091.2167943504774</c:v>
                </c:pt>
                <c:pt idx="28">
                  <c:v>4066.9329289629304</c:v>
                </c:pt>
                <c:pt idx="29">
                  <c:v>4043.2746693331492</c:v>
                </c:pt>
                <c:pt idx="30">
                  <c:v>4020.2461419186197</c:v>
                </c:pt>
                <c:pt idx="31">
                  <c:v>3997.8198540314033</c:v>
                </c:pt>
                <c:pt idx="32">
                  <c:v>4053.4593547757654</c:v>
                </c:pt>
                <c:pt idx="33">
                  <c:v>4050.3207828905752</c:v>
                </c:pt>
                <c:pt idx="34">
                  <c:v>4033.0606327228388</c:v>
                </c:pt>
                <c:pt idx="35">
                  <c:v>4094.8042838785714</c:v>
                </c:pt>
                <c:pt idx="36">
                  <c:v>4072.9963292209559</c:v>
                </c:pt>
                <c:pt idx="37">
                  <c:v>4125.4037672281438</c:v>
                </c:pt>
                <c:pt idx="38">
                  <c:v>4080.8998310766451</c:v>
                </c:pt>
                <c:pt idx="39">
                  <c:v>4048.1613633029597</c:v>
                </c:pt>
                <c:pt idx="40">
                  <c:v>4017.7378178041395</c:v>
                </c:pt>
                <c:pt idx="41">
                  <c:v>4057.9757409231252</c:v>
                </c:pt>
                <c:pt idx="42">
                  <c:v>4121.4054366381179</c:v>
                </c:pt>
                <c:pt idx="43">
                  <c:v>4095.160721967784</c:v>
                </c:pt>
                <c:pt idx="44">
                  <c:v>4066.0596998672554</c:v>
                </c:pt>
                <c:pt idx="45">
                  <c:v>4036.5440073735235</c:v>
                </c:pt>
                <c:pt idx="46">
                  <c:v>4007.2076967188218</c:v>
                </c:pt>
                <c:pt idx="47">
                  <c:v>4125.7733411163417</c:v>
                </c:pt>
                <c:pt idx="48">
                  <c:v>4239.0355236704791</c:v>
                </c:pt>
                <c:pt idx="49">
                  <c:v>4150.217422375732</c:v>
                </c:pt>
                <c:pt idx="50">
                  <c:v>4048.0444307450766</c:v>
                </c:pt>
                <c:pt idx="51">
                  <c:v>3943.531182265916</c:v>
                </c:pt>
                <c:pt idx="52">
                  <c:v>3840.1952391387049</c:v>
                </c:pt>
                <c:pt idx="53">
                  <c:v>3801.6968288902435</c:v>
                </c:pt>
                <c:pt idx="54">
                  <c:v>3895.4678816554365</c:v>
                </c:pt>
                <c:pt idx="55">
                  <c:v>3821.0396933486845</c:v>
                </c:pt>
                <c:pt idx="56">
                  <c:v>3731.9213418445588</c:v>
                </c:pt>
                <c:pt idx="57">
                  <c:v>3694.7345802755281</c:v>
                </c:pt>
                <c:pt idx="58">
                  <c:v>3670.4899160478958</c:v>
                </c:pt>
                <c:pt idx="59">
                  <c:v>3609.5794927511301</c:v>
                </c:pt>
              </c:numCache>
            </c:numRef>
          </c:val>
        </c:ser>
        <c:ser>
          <c:idx val="3"/>
          <c:order val="3"/>
          <c:tx>
            <c:strRef>
              <c:f>'Marketing Dashboard'!$C$84</c:f>
              <c:strCache>
                <c:ptCount val="1"/>
                <c:pt idx="0">
                  <c:v>Public Workshops</c:v>
                </c:pt>
              </c:strCache>
            </c:strRef>
          </c:tx>
          <c:marker>
            <c:symbol val="none"/>
          </c:marker>
          <c:val>
            <c:numRef>
              <c:f>'Marketing Dashboard'!$D$84:$BK$84</c:f>
              <c:numCache>
                <c:formatCode>"$"#,##0</c:formatCode>
                <c:ptCount val="60"/>
                <c:pt idx="0">
                  <c:v>2567</c:v>
                </c:pt>
                <c:pt idx="1">
                  <c:v>2567</c:v>
                </c:pt>
                <c:pt idx="2">
                  <c:v>2435.3063826660491</c:v>
                </c:pt>
                <c:pt idx="3">
                  <c:v>2310.9850583630787</c:v>
                </c:pt>
                <c:pt idx="4">
                  <c:v>2362.7602984659347</c:v>
                </c:pt>
                <c:pt idx="5">
                  <c:v>2240.6188493443105</c:v>
                </c:pt>
                <c:pt idx="6">
                  <c:v>2125.3221277273319</c:v>
                </c:pt>
                <c:pt idx="7">
                  <c:v>2016.4515964418222</c:v>
                </c:pt>
                <c:pt idx="8">
                  <c:v>2010.9865804681053</c:v>
                </c:pt>
                <c:pt idx="9">
                  <c:v>1914.9324350722447</c:v>
                </c:pt>
                <c:pt idx="10">
                  <c:v>1817.1477640426256</c:v>
                </c:pt>
                <c:pt idx="11">
                  <c:v>1724.2250576263566</c:v>
                </c:pt>
                <c:pt idx="12">
                  <c:v>1636.3773436167412</c:v>
                </c:pt>
                <c:pt idx="13">
                  <c:v>1610.3465195633637</c:v>
                </c:pt>
                <c:pt idx="14">
                  <c:v>1597.3789943231893</c:v>
                </c:pt>
                <c:pt idx="15">
                  <c:v>1579.3216615663825</c:v>
                </c:pt>
                <c:pt idx="16">
                  <c:v>1561.2498620519666</c:v>
                </c:pt>
                <c:pt idx="17">
                  <c:v>1543.5635588084597</c:v>
                </c:pt>
                <c:pt idx="18">
                  <c:v>1699.278832412961</c:v>
                </c:pt>
                <c:pt idx="19">
                  <c:v>1678.2991353310099</c:v>
                </c:pt>
                <c:pt idx="20">
                  <c:v>1657.798923078707</c:v>
                </c:pt>
                <c:pt idx="21">
                  <c:v>1637.7636590651691</c:v>
                </c:pt>
                <c:pt idx="22">
                  <c:v>1618.1792780114565</c:v>
                </c:pt>
                <c:pt idx="23">
                  <c:v>1599.0321841067498</c:v>
                </c:pt>
                <c:pt idx="24">
                  <c:v>1640.8507487871077</c:v>
                </c:pt>
                <c:pt idx="25">
                  <c:v>1703.0932072563826</c:v>
                </c:pt>
                <c:pt idx="26">
                  <c:v>1684.3239329711287</c:v>
                </c:pt>
                <c:pt idx="27">
                  <c:v>1664.829075031209</c:v>
                </c:pt>
                <c:pt idx="28">
                  <c:v>1645.7331922475566</c:v>
                </c:pt>
                <c:pt idx="29">
                  <c:v>1627.1928819600748</c:v>
                </c:pt>
                <c:pt idx="30">
                  <c:v>1609.2075387672764</c:v>
                </c:pt>
                <c:pt idx="31">
                  <c:v>1591.7523694361589</c:v>
                </c:pt>
                <c:pt idx="32">
                  <c:v>1633.9025434098046</c:v>
                </c:pt>
                <c:pt idx="33">
                  <c:v>1631.1084719210494</c:v>
                </c:pt>
                <c:pt idx="34">
                  <c:v>1617.5922867185909</c:v>
                </c:pt>
                <c:pt idx="35">
                  <c:v>1663.9321635093602</c:v>
                </c:pt>
                <c:pt idx="36">
                  <c:v>1646.9295036833385</c:v>
                </c:pt>
                <c:pt idx="37">
                  <c:v>1680.6563790177486</c:v>
                </c:pt>
                <c:pt idx="38">
                  <c:v>1641.686343506595</c:v>
                </c:pt>
                <c:pt idx="39">
                  <c:v>1611.8664758643699</c:v>
                </c:pt>
                <c:pt idx="40">
                  <c:v>1584.073392868592</c:v>
                </c:pt>
                <c:pt idx="41">
                  <c:v>1607.7943554509986</c:v>
                </c:pt>
                <c:pt idx="42">
                  <c:v>1647.6475708189073</c:v>
                </c:pt>
                <c:pt idx="43">
                  <c:v>1622.7705544024279</c:v>
                </c:pt>
                <c:pt idx="44">
                  <c:v>1596.1301829542799</c:v>
                </c:pt>
                <c:pt idx="45">
                  <c:v>1569.4863368190063</c:v>
                </c:pt>
                <c:pt idx="46">
                  <c:v>1543.256963907445</c:v>
                </c:pt>
                <c:pt idx="47">
                  <c:v>1619.3349512308309</c:v>
                </c:pt>
                <c:pt idx="48">
                  <c:v>1690.3950123218467</c:v>
                </c:pt>
                <c:pt idx="49">
                  <c:v>1654.3753057836655</c:v>
                </c:pt>
                <c:pt idx="50">
                  <c:v>1608.7447062994588</c:v>
                </c:pt>
                <c:pt idx="51">
                  <c:v>1561.087055542489</c:v>
                </c:pt>
                <c:pt idx="52">
                  <c:v>1513.8172906379743</c:v>
                </c:pt>
                <c:pt idx="53">
                  <c:v>1509.6308121126388</c:v>
                </c:pt>
                <c:pt idx="54">
                  <c:v>1593.0493859338562</c:v>
                </c:pt>
                <c:pt idx="55">
                  <c:v>1563.2200208318352</c:v>
                </c:pt>
                <c:pt idx="56">
                  <c:v>1523.2002787704855</c:v>
                </c:pt>
                <c:pt idx="57">
                  <c:v>1517.0774017979359</c:v>
                </c:pt>
                <c:pt idx="58">
                  <c:v>1518.8446966895567</c:v>
                </c:pt>
                <c:pt idx="59">
                  <c:v>1495.9654531434285</c:v>
                </c:pt>
              </c:numCache>
            </c:numRef>
          </c:val>
        </c:ser>
        <c:ser>
          <c:idx val="4"/>
          <c:order val="4"/>
          <c:tx>
            <c:strRef>
              <c:f>'Marketing Dashboard'!$C$85</c:f>
              <c:strCache>
                <c:ptCount val="1"/>
                <c:pt idx="0">
                  <c:v>Presentations</c:v>
                </c:pt>
              </c:strCache>
            </c:strRef>
          </c:tx>
          <c:marker>
            <c:symbol val="none"/>
          </c:marker>
          <c:val>
            <c:numRef>
              <c:f>'Marketing Dashboard'!$D$85:$BK$85</c:f>
              <c:numCache>
                <c:formatCode>"$"#,##0</c:formatCode>
                <c:ptCount val="60"/>
                <c:pt idx="0">
                  <c:v>2227.5555555555557</c:v>
                </c:pt>
                <c:pt idx="1">
                  <c:v>2395.5555555555552</c:v>
                </c:pt>
                <c:pt idx="2">
                  <c:v>2261.048318428775</c:v>
                </c:pt>
                <c:pt idx="3">
                  <c:v>2134.8541691428527</c:v>
                </c:pt>
                <c:pt idx="4">
                  <c:v>2267.0473115004993</c:v>
                </c:pt>
                <c:pt idx="5">
                  <c:v>2139.1970764302341</c:v>
                </c:pt>
                <c:pt idx="6">
                  <c:v>2019.201012209453</c:v>
                </c:pt>
                <c:pt idx="7">
                  <c:v>1906.5374922031392</c:v>
                </c:pt>
                <c:pt idx="8">
                  <c:v>1944.9737811616833</c:v>
                </c:pt>
                <c:pt idx="9">
                  <c:v>1847.2005408307323</c:v>
                </c:pt>
                <c:pt idx="10">
                  <c:v>1744.9464019344443</c:v>
                </c:pt>
                <c:pt idx="11">
                  <c:v>1648.0605578266409</c:v>
                </c:pt>
                <c:pt idx="12">
                  <c:v>1556.9375926538401</c:v>
                </c:pt>
                <c:pt idx="13">
                  <c:v>1523.0214468352192</c:v>
                </c:pt>
                <c:pt idx="14">
                  <c:v>1508.4334272319595</c:v>
                </c:pt>
                <c:pt idx="15">
                  <c:v>1486.2801764739399</c:v>
                </c:pt>
                <c:pt idx="16">
                  <c:v>1464.0808506813805</c:v>
                </c:pt>
                <c:pt idx="17">
                  <c:v>1442.4281197362868</c:v>
                </c:pt>
                <c:pt idx="18">
                  <c:v>1677.6422343663924</c:v>
                </c:pt>
                <c:pt idx="19">
                  <c:v>1651.0617733191145</c:v>
                </c:pt>
                <c:pt idx="20">
                  <c:v>1625.1675413832754</c:v>
                </c:pt>
                <c:pt idx="21">
                  <c:v>1599.9381321224269</c:v>
                </c:pt>
                <c:pt idx="22">
                  <c:v>1575.3528366473593</c:v>
                </c:pt>
                <c:pt idx="23">
                  <c:v>1551.3916408882246</c:v>
                </c:pt>
                <c:pt idx="24">
                  <c:v>1617.7263334186082</c:v>
                </c:pt>
                <c:pt idx="25">
                  <c:v>1713.9692881880785</c:v>
                </c:pt>
                <c:pt idx="26">
                  <c:v>1690.1748697243995</c:v>
                </c:pt>
                <c:pt idx="27">
                  <c:v>1665.2856202616083</c:v>
                </c:pt>
                <c:pt idx="28">
                  <c:v>1640.9676514845876</c:v>
                </c:pt>
                <c:pt idx="29">
                  <c:v>1617.4530575950548</c:v>
                </c:pt>
                <c:pt idx="30">
                  <c:v>1594.7410393579019</c:v>
                </c:pt>
                <c:pt idx="31">
                  <c:v>1572.7949632293437</c:v>
                </c:pt>
                <c:pt idx="32">
                  <c:v>1639.133695444657</c:v>
                </c:pt>
                <c:pt idx="33">
                  <c:v>1638.8690525593347</c:v>
                </c:pt>
                <c:pt idx="34">
                  <c:v>1622.7005847494038</c:v>
                </c:pt>
                <c:pt idx="35">
                  <c:v>1695.1886475802664</c:v>
                </c:pt>
                <c:pt idx="36">
                  <c:v>1673.8168934532237</c:v>
                </c:pt>
                <c:pt idx="37">
                  <c:v>1734.3376183138239</c:v>
                </c:pt>
                <c:pt idx="38">
                  <c:v>1687.0137900963182</c:v>
                </c:pt>
                <c:pt idx="39">
                  <c:v>1653.1023438984669</c:v>
                </c:pt>
                <c:pt idx="40">
                  <c:v>1622.0520954531244</c:v>
                </c:pt>
                <c:pt idx="41">
                  <c:v>1667.1794542363</c:v>
                </c:pt>
                <c:pt idx="42">
                  <c:v>1736.0688714294672</c:v>
                </c:pt>
                <c:pt idx="43">
                  <c:v>1708.925969100208</c:v>
                </c:pt>
                <c:pt idx="44">
                  <c:v>1679.0368784927168</c:v>
                </c:pt>
                <c:pt idx="45">
                  <c:v>1649.0106733790567</c:v>
                </c:pt>
                <c:pt idx="46">
                  <c:v>1619.4683540799124</c:v>
                </c:pt>
                <c:pt idx="47">
                  <c:v>1741.3641389762022</c:v>
                </c:pt>
                <c:pt idx="48">
                  <c:v>1855.6993721446802</c:v>
                </c:pt>
                <c:pt idx="49">
                  <c:v>1829.1725165745847</c:v>
                </c:pt>
                <c:pt idx="50">
                  <c:v>1787.4581571784402</c:v>
                </c:pt>
                <c:pt idx="51">
                  <c:v>1741.7630661217377</c:v>
                </c:pt>
                <c:pt idx="52">
                  <c:v>1695.6942946677482</c:v>
                </c:pt>
                <c:pt idx="53">
                  <c:v>1713.8149745591593</c:v>
                </c:pt>
                <c:pt idx="54">
                  <c:v>1864.5099593942919</c:v>
                </c:pt>
                <c:pt idx="55">
                  <c:v>1843.2800078280593</c:v>
                </c:pt>
                <c:pt idx="56">
                  <c:v>1805.750813452272</c:v>
                </c:pt>
                <c:pt idx="57">
                  <c:v>1819.4830621954113</c:v>
                </c:pt>
                <c:pt idx="58">
                  <c:v>1844.9949613292401</c:v>
                </c:pt>
                <c:pt idx="59">
                  <c:v>1832.0416217934887</c:v>
                </c:pt>
              </c:numCache>
            </c:numRef>
          </c:val>
        </c:ser>
        <c:ser>
          <c:idx val="5"/>
          <c:order val="5"/>
          <c:tx>
            <c:strRef>
              <c:f>'Marketing Dashboard'!$C$86</c:f>
              <c:strCache>
                <c:ptCount val="1"/>
                <c:pt idx="0">
                  <c:v>Tabeling</c:v>
                </c:pt>
              </c:strCache>
            </c:strRef>
          </c:tx>
          <c:marker>
            <c:symbol val="none"/>
          </c:marker>
          <c:val>
            <c:numRef>
              <c:f>'Marketing Dashboard'!$D$86:$BK$86</c:f>
              <c:numCache>
                <c:formatCode>"$"#,##0</c:formatCode>
                <c:ptCount val="60"/>
                <c:pt idx="0">
                  <c:v>1644.8888888888889</c:v>
                </c:pt>
                <c:pt idx="1">
                  <c:v>1644.8888888888887</c:v>
                </c:pt>
                <c:pt idx="2">
                  <c:v>1545.8377168148477</c:v>
                </c:pt>
                <c:pt idx="3">
                  <c:v>1453.3209074003103</c:v>
                </c:pt>
                <c:pt idx="4">
                  <c:v>1592.446034065742</c:v>
                </c:pt>
                <c:pt idx="5">
                  <c:v>1496.6645284751689</c:v>
                </c:pt>
                <c:pt idx="6">
                  <c:v>1407.121537346944</c:v>
                </c:pt>
                <c:pt idx="7">
                  <c:v>1323.3833417732767</c:v>
                </c:pt>
                <c:pt idx="8">
                  <c:v>1374.8746861278241</c:v>
                </c:pt>
                <c:pt idx="9">
                  <c:v>1303.0498993730505</c:v>
                </c:pt>
                <c:pt idx="10">
                  <c:v>1226.4960732509853</c:v>
                </c:pt>
                <c:pt idx="11">
                  <c:v>1154.1074572452023</c:v>
                </c:pt>
                <c:pt idx="12">
                  <c:v>1086.2678619911653</c:v>
                </c:pt>
                <c:pt idx="13">
                  <c:v>1061.7650372821772</c:v>
                </c:pt>
                <c:pt idx="14">
                  <c:v>1054.5721942753294</c:v>
                </c:pt>
                <c:pt idx="15">
                  <c:v>1040.400685794828</c:v>
                </c:pt>
                <c:pt idx="16">
                  <c:v>1026.0440558656026</c:v>
                </c:pt>
                <c:pt idx="17">
                  <c:v>1012.0452872895318</c:v>
                </c:pt>
                <c:pt idx="18">
                  <c:v>1234.8289509871433</c:v>
                </c:pt>
                <c:pt idx="19">
                  <c:v>1216.9544033056454</c:v>
                </c:pt>
                <c:pt idx="20">
                  <c:v>1199.5417002408767</c:v>
                </c:pt>
                <c:pt idx="21">
                  <c:v>1182.5775664281853</c:v>
                </c:pt>
                <c:pt idx="22">
                  <c:v>1166.0491107987912</c:v>
                </c:pt>
                <c:pt idx="23">
                  <c:v>1149.9438344624216</c:v>
                </c:pt>
                <c:pt idx="24">
                  <c:v>1219.0322926277424</c:v>
                </c:pt>
                <c:pt idx="25">
                  <c:v>1314.7925088145155</c:v>
                </c:pt>
                <c:pt idx="26">
                  <c:v>1296.9810547444613</c:v>
                </c:pt>
                <c:pt idx="27">
                  <c:v>1278.0231066398539</c:v>
                </c:pt>
                <c:pt idx="28">
                  <c:v>1259.5011192932106</c:v>
                </c:pt>
                <c:pt idx="29">
                  <c:v>1241.6408573535546</c:v>
                </c:pt>
                <c:pt idx="30">
                  <c:v>1224.446865468874</c:v>
                </c:pt>
                <c:pt idx="31">
                  <c:v>1207.889243077768</c:v>
                </c:pt>
                <c:pt idx="32">
                  <c:v>1276.3548431372872</c:v>
                </c:pt>
                <c:pt idx="33">
                  <c:v>1280.7695216242782</c:v>
                </c:pt>
                <c:pt idx="34">
                  <c:v>1269.780967147587</c:v>
                </c:pt>
                <c:pt idx="35">
                  <c:v>1344.8376287923304</c:v>
                </c:pt>
                <c:pt idx="36">
                  <c:v>1328.8558634746262</c:v>
                </c:pt>
                <c:pt idx="37">
                  <c:v>1369.4837285897111</c:v>
                </c:pt>
                <c:pt idx="38">
                  <c:v>1306.7479911494711</c:v>
                </c:pt>
                <c:pt idx="39">
                  <c:v>1258.0643763471944</c:v>
                </c:pt>
                <c:pt idx="40">
                  <c:v>1213.169789587017</c:v>
                </c:pt>
                <c:pt idx="41">
                  <c:v>1237.7304013946484</c:v>
                </c:pt>
                <c:pt idx="42">
                  <c:v>1282.1213010946624</c:v>
                </c:pt>
                <c:pt idx="43">
                  <c:v>1241.2607482759436</c:v>
                </c:pt>
                <c:pt idx="44">
                  <c:v>1198.9906911095779</c:v>
                </c:pt>
                <c:pt idx="45">
                  <c:v>1157.6011464502906</c:v>
                </c:pt>
                <c:pt idx="46">
                  <c:v>1117.5918397551088</c:v>
                </c:pt>
                <c:pt idx="47">
                  <c:v>1201.8392621645812</c:v>
                </c:pt>
                <c:pt idx="48">
                  <c:v>1276.9804360152502</c:v>
                </c:pt>
                <c:pt idx="49">
                  <c:v>1251.0125518993591</c:v>
                </c:pt>
                <c:pt idx="50">
                  <c:v>1213.2692377821022</c:v>
                </c:pt>
                <c:pt idx="51">
                  <c:v>1172.8059235808355</c:v>
                </c:pt>
                <c:pt idx="52">
                  <c:v>1132.4962019194654</c:v>
                </c:pt>
                <c:pt idx="53">
                  <c:v>1142.0177566307439</c:v>
                </c:pt>
                <c:pt idx="54">
                  <c:v>1252.3621778660424</c:v>
                </c:pt>
                <c:pt idx="55">
                  <c:v>1230.591676107658</c:v>
                </c:pt>
                <c:pt idx="56">
                  <c:v>1196.7386618226178</c:v>
                </c:pt>
                <c:pt idx="57">
                  <c:v>1201.4223802596798</c:v>
                </c:pt>
                <c:pt idx="58">
                  <c:v>1214.549687736356</c:v>
                </c:pt>
                <c:pt idx="59">
                  <c:v>1199.0953734973921</c:v>
                </c:pt>
              </c:numCache>
            </c:numRef>
          </c:val>
        </c:ser>
        <c:ser>
          <c:idx val="6"/>
          <c:order val="6"/>
          <c:tx>
            <c:strRef>
              <c:f>'Marketing Dashboard'!$C$87</c:f>
              <c:strCache>
                <c:ptCount val="1"/>
                <c:pt idx="0">
                  <c:v>Campaign</c:v>
                </c:pt>
              </c:strCache>
            </c:strRef>
          </c:tx>
          <c:marker>
            <c:symbol val="none"/>
          </c:marker>
          <c:val>
            <c:numRef>
              <c:f>'Marketing Dashboard'!$D$87:$BK$87</c:f>
              <c:numCache>
                <c:formatCode>"$"#,##0</c:formatCode>
                <c:ptCount val="60"/>
                <c:pt idx="0">
                  <c:v>2390.1666666666665</c:v>
                </c:pt>
                <c:pt idx="1">
                  <c:v>2390.166666666667</c:v>
                </c:pt>
                <c:pt idx="2">
                  <c:v>2171.5991736052938</c:v>
                </c:pt>
                <c:pt idx="3">
                  <c:v>1973.5936383186699</c:v>
                </c:pt>
                <c:pt idx="4">
                  <c:v>1951.5571244279026</c:v>
                </c:pt>
                <c:pt idx="5">
                  <c:v>1772.3835003574366</c:v>
                </c:pt>
                <c:pt idx="6">
                  <c:v>1610.0947520214634</c:v>
                </c:pt>
                <c:pt idx="7">
                  <c:v>1463.0539864776738</c:v>
                </c:pt>
                <c:pt idx="8">
                  <c:v>1406.3487210847463</c:v>
                </c:pt>
                <c:pt idx="9">
                  <c:v>1283.2130939247158</c:v>
                </c:pt>
                <c:pt idx="10">
                  <c:v>1166.2875862824858</c:v>
                </c:pt>
                <c:pt idx="11">
                  <c:v>1059.9145777932602</c:v>
                </c:pt>
                <c:pt idx="12">
                  <c:v>963.44831848554486</c:v>
                </c:pt>
                <c:pt idx="13">
                  <c:v>935.36149791890693</c:v>
                </c:pt>
                <c:pt idx="14">
                  <c:v>916.28159522895317</c:v>
                </c:pt>
                <c:pt idx="15">
                  <c:v>894.26208715516066</c:v>
                </c:pt>
                <c:pt idx="16">
                  <c:v>872.62871761388169</c:v>
                </c:pt>
                <c:pt idx="17">
                  <c:v>851.62562140183627</c:v>
                </c:pt>
                <c:pt idx="18">
                  <c:v>938.11128272880137</c:v>
                </c:pt>
                <c:pt idx="19">
                  <c:v>914.55115487178557</c:v>
                </c:pt>
                <c:pt idx="20">
                  <c:v>891.70968722844373</c:v>
                </c:pt>
                <c:pt idx="21">
                  <c:v>869.56084071484202</c:v>
                </c:pt>
                <c:pt idx="22">
                  <c:v>848.0796291685615</c:v>
                </c:pt>
                <c:pt idx="23">
                  <c:v>827.24208225433745</c:v>
                </c:pt>
                <c:pt idx="24">
                  <c:v>841.7886583378986</c:v>
                </c:pt>
                <c:pt idx="25">
                  <c:v>871.57055654192902</c:v>
                </c:pt>
                <c:pt idx="26">
                  <c:v>855.0304768866672</c:v>
                </c:pt>
                <c:pt idx="27">
                  <c:v>838.27659598905336</c:v>
                </c:pt>
                <c:pt idx="28">
                  <c:v>821.94292581896548</c:v>
                </c:pt>
                <c:pt idx="29">
                  <c:v>806.10924815445389</c:v>
                </c:pt>
                <c:pt idx="30">
                  <c:v>790.76652874076376</c:v>
                </c:pt>
                <c:pt idx="31">
                  <c:v>775.8926707378555</c:v>
                </c:pt>
                <c:pt idx="32">
                  <c:v>793.45620331250041</c:v>
                </c:pt>
                <c:pt idx="33">
                  <c:v>786.56835959473131</c:v>
                </c:pt>
                <c:pt idx="34">
                  <c:v>774.01798739654419</c:v>
                </c:pt>
                <c:pt idx="35">
                  <c:v>793.29740705998483</c:v>
                </c:pt>
                <c:pt idx="36">
                  <c:v>778.96010102927198</c:v>
                </c:pt>
                <c:pt idx="37">
                  <c:v>778.72872591557473</c:v>
                </c:pt>
                <c:pt idx="38">
                  <c:v>741.65064031878558</c:v>
                </c:pt>
                <c:pt idx="39">
                  <c:v>710.35949977516998</c:v>
                </c:pt>
                <c:pt idx="40">
                  <c:v>681.09516801767109</c:v>
                </c:pt>
                <c:pt idx="41">
                  <c:v>676.78872840440715</c:v>
                </c:pt>
                <c:pt idx="42">
                  <c:v>679.61152671136779</c:v>
                </c:pt>
                <c:pt idx="43">
                  <c:v>653.19725539124818</c:v>
                </c:pt>
                <c:pt idx="44">
                  <c:v>626.88392398995745</c:v>
                </c:pt>
                <c:pt idx="45">
                  <c:v>601.443939018371</c:v>
                </c:pt>
                <c:pt idx="46">
                  <c:v>577.02329774031091</c:v>
                </c:pt>
                <c:pt idx="47">
                  <c:v>594.57612824530599</c:v>
                </c:pt>
                <c:pt idx="48">
                  <c:v>608.97307994324444</c:v>
                </c:pt>
                <c:pt idx="49">
                  <c:v>584.63570207702196</c:v>
                </c:pt>
                <c:pt idx="50">
                  <c:v>557.35168691754359</c:v>
                </c:pt>
                <c:pt idx="51">
                  <c:v>530.12584299989851</c:v>
                </c:pt>
                <c:pt idx="52">
                  <c:v>503.85886228761228</c:v>
                </c:pt>
                <c:pt idx="53">
                  <c:v>493.6886511620728</c:v>
                </c:pt>
                <c:pt idx="54">
                  <c:v>514.18603276555825</c:v>
                </c:pt>
                <c:pt idx="55">
                  <c:v>494.99241121467389</c:v>
                </c:pt>
                <c:pt idx="56">
                  <c:v>472.91460505806003</c:v>
                </c:pt>
                <c:pt idx="57">
                  <c:v>462.59791510695914</c:v>
                </c:pt>
                <c:pt idx="58">
                  <c:v>455.00836694826944</c:v>
                </c:pt>
                <c:pt idx="59">
                  <c:v>439.74502630472983</c:v>
                </c:pt>
              </c:numCache>
            </c:numRef>
          </c:val>
        </c:ser>
        <c:ser>
          <c:idx val="7"/>
          <c:order val="7"/>
          <c:tx>
            <c:strRef>
              <c:f>'Marketing Dashboard'!$C$88</c:f>
              <c:strCache>
                <c:ptCount val="1"/>
                <c:pt idx="0">
                  <c:v>Bill Inserts</c:v>
                </c:pt>
              </c:strCache>
            </c:strRef>
          </c:tx>
          <c:marker>
            <c:symbol val="none"/>
          </c:marker>
          <c:val>
            <c:numRef>
              <c:f>'Marketing Dashboard'!$D$88:$BK$88</c:f>
              <c:numCache>
                <c:formatCode>"$"#,##0</c:formatCode>
                <c:ptCount val="60"/>
                <c:pt idx="0">
                  <c:v>1585.3333333333333</c:v>
                </c:pt>
                <c:pt idx="1">
                  <c:v>1837.3333333333333</c:v>
                </c:pt>
                <c:pt idx="2">
                  <c:v>1795.5173363341821</c:v>
                </c:pt>
                <c:pt idx="3">
                  <c:v>1755.1965394229705</c:v>
                </c:pt>
                <c:pt idx="4">
                  <c:v>1881.7111375928507</c:v>
                </c:pt>
                <c:pt idx="5">
                  <c:v>1838.1787851089764</c:v>
                </c:pt>
                <c:pt idx="6">
                  <c:v>1796.1645803726333</c:v>
                </c:pt>
                <c:pt idx="7">
                  <c:v>1755.6020046099993</c:v>
                </c:pt>
                <c:pt idx="8">
                  <c:v>1824.5191284252833</c:v>
                </c:pt>
                <c:pt idx="9">
                  <c:v>1791.4323102937644</c:v>
                </c:pt>
                <c:pt idx="10">
                  <c:v>1751.4596287212059</c:v>
                </c:pt>
                <c:pt idx="11">
                  <c:v>1712.1847503929939</c:v>
                </c:pt>
                <c:pt idx="12">
                  <c:v>1674.163998502878</c:v>
                </c:pt>
                <c:pt idx="13">
                  <c:v>1663.8084591818701</c:v>
                </c:pt>
                <c:pt idx="14">
                  <c:v>1669.8035882449112</c:v>
                </c:pt>
                <c:pt idx="15">
                  <c:v>1669.023252886044</c:v>
                </c:pt>
                <c:pt idx="16">
                  <c:v>1667.9362106940052</c:v>
                </c:pt>
                <c:pt idx="17">
                  <c:v>1667.0708160943755</c:v>
                </c:pt>
                <c:pt idx="18">
                  <c:v>1901.2451625399501</c:v>
                </c:pt>
                <c:pt idx="19">
                  <c:v>1898.1858878638259</c:v>
                </c:pt>
                <c:pt idx="20">
                  <c:v>1895.4136242019949</c:v>
                </c:pt>
                <c:pt idx="21">
                  <c:v>1892.9236717406384</c:v>
                </c:pt>
                <c:pt idx="22">
                  <c:v>1890.7114363540693</c:v>
                </c:pt>
                <c:pt idx="23">
                  <c:v>1888.7724471045608</c:v>
                </c:pt>
                <c:pt idx="24">
                  <c:v>1975.5691915044524</c:v>
                </c:pt>
                <c:pt idx="25">
                  <c:v>2084.0520618393007</c:v>
                </c:pt>
                <c:pt idx="26">
                  <c:v>2073.8809462801009</c:v>
                </c:pt>
                <c:pt idx="27">
                  <c:v>2062.3472184320044</c:v>
                </c:pt>
                <c:pt idx="28">
                  <c:v>2051.1158668071298</c:v>
                </c:pt>
                <c:pt idx="29">
                  <c:v>2040.4339989113605</c:v>
                </c:pt>
                <c:pt idx="30">
                  <c:v>2030.3157782325795</c:v>
                </c:pt>
                <c:pt idx="31">
                  <c:v>2020.7383491988992</c:v>
                </c:pt>
                <c:pt idx="32">
                  <c:v>2103.3308578939882</c:v>
                </c:pt>
                <c:pt idx="33">
                  <c:v>2116.8126369094443</c:v>
                </c:pt>
                <c:pt idx="34">
                  <c:v>2113.4906739856515</c:v>
                </c:pt>
                <c:pt idx="35">
                  <c:v>2204.9096643073017</c:v>
                </c:pt>
                <c:pt idx="36">
                  <c:v>2196.3669918579631</c:v>
                </c:pt>
                <c:pt idx="37">
                  <c:v>2256.2406631232657</c:v>
                </c:pt>
                <c:pt idx="38">
                  <c:v>2199.8893860826211</c:v>
                </c:pt>
                <c:pt idx="39">
                  <c:v>2158.0752434907927</c:v>
                </c:pt>
                <c:pt idx="40">
                  <c:v>2119.4188612393841</c:v>
                </c:pt>
                <c:pt idx="41">
                  <c:v>2162.9834345512913</c:v>
                </c:pt>
                <c:pt idx="42">
                  <c:v>2232.2432148306489</c:v>
                </c:pt>
                <c:pt idx="43">
                  <c:v>2198.0113447021822</c:v>
                </c:pt>
                <c:pt idx="44">
                  <c:v>2160.8863465736599</c:v>
                </c:pt>
                <c:pt idx="45">
                  <c:v>2123.6808958215834</c:v>
                </c:pt>
                <c:pt idx="46">
                  <c:v>2087.0637484960616</c:v>
                </c:pt>
                <c:pt idx="47">
                  <c:v>2213.8225539268751</c:v>
                </c:pt>
                <c:pt idx="48">
                  <c:v>2332.4927466921904</c:v>
                </c:pt>
                <c:pt idx="49">
                  <c:v>2295.2674342327073</c:v>
                </c:pt>
                <c:pt idx="50">
                  <c:v>2241.8881766090635</c:v>
                </c:pt>
                <c:pt idx="51">
                  <c:v>2184.4344897832821</c:v>
                </c:pt>
                <c:pt idx="52">
                  <c:v>2126.7905257787511</c:v>
                </c:pt>
                <c:pt idx="53">
                  <c:v>2138.5754343169006</c:v>
                </c:pt>
                <c:pt idx="54">
                  <c:v>2293.5298421683769</c:v>
                </c:pt>
                <c:pt idx="55">
                  <c:v>2263.277453937033</c:v>
                </c:pt>
                <c:pt idx="56">
                  <c:v>2215.6394269570392</c:v>
                </c:pt>
                <c:pt idx="57">
                  <c:v>2223.468017861001</c:v>
                </c:pt>
                <c:pt idx="58">
                  <c:v>2244.1813327059012</c:v>
                </c:pt>
                <c:pt idx="59">
                  <c:v>2223.5907137001759</c:v>
                </c:pt>
              </c:numCache>
            </c:numRef>
          </c:val>
        </c:ser>
        <c:ser>
          <c:idx val="8"/>
          <c:order val="8"/>
          <c:tx>
            <c:strRef>
              <c:f>'Marketing Dashboard'!$C$89</c:f>
              <c:strCache>
                <c:ptCount val="1"/>
                <c:pt idx="0">
                  <c:v>Referral</c:v>
                </c:pt>
              </c:strCache>
            </c:strRef>
          </c:tx>
          <c:marker>
            <c:symbol val="none"/>
          </c:marker>
          <c:val>
            <c:numRef>
              <c:f>'Marketing Dashboard'!$D$89:$BK$89</c:f>
              <c:numCache>
                <c:formatCode>"$"#,##0</c:formatCode>
                <c:ptCount val="60"/>
                <c:pt idx="0">
                  <c:v>695.09090909090912</c:v>
                </c:pt>
                <c:pt idx="1">
                  <c:v>695.09090909090924</c:v>
                </c:pt>
                <c:pt idx="2">
                  <c:v>583.27246950947574</c:v>
                </c:pt>
                <c:pt idx="3">
                  <c:v>489.61545848787978</c:v>
                </c:pt>
                <c:pt idx="4">
                  <c:v>461.54900282678693</c:v>
                </c:pt>
                <c:pt idx="5">
                  <c:v>387.19517482217719</c:v>
                </c:pt>
                <c:pt idx="6">
                  <c:v>324.92259643056826</c:v>
                </c:pt>
                <c:pt idx="7">
                  <c:v>272.75090792847533</c:v>
                </c:pt>
                <c:pt idx="8">
                  <c:v>247.13951134678419</c:v>
                </c:pt>
                <c:pt idx="9">
                  <c:v>208.65512875969983</c:v>
                </c:pt>
                <c:pt idx="10">
                  <c:v>175.2314768422489</c:v>
                </c:pt>
                <c:pt idx="11">
                  <c:v>147.13636398028999</c:v>
                </c:pt>
                <c:pt idx="12">
                  <c:v>123.57609282512696</c:v>
                </c:pt>
                <c:pt idx="13">
                  <c:v>108.90728620111717</c:v>
                </c:pt>
                <c:pt idx="14">
                  <c:v>97.162254839610299</c:v>
                </c:pt>
                <c:pt idx="15">
                  <c:v>86.242508660517174</c:v>
                </c:pt>
                <c:pt idx="16">
                  <c:v>76.530918076996826</c:v>
                </c:pt>
                <c:pt idx="17">
                  <c:v>67.923003945174955</c:v>
                </c:pt>
                <c:pt idx="18">
                  <c:v>71.022980823450254</c:v>
                </c:pt>
                <c:pt idx="19">
                  <c:v>62.966811887417364</c:v>
                </c:pt>
                <c:pt idx="20">
                  <c:v>55.833531274971399</c:v>
                </c:pt>
                <c:pt idx="21">
                  <c:v>49.516329460708597</c:v>
                </c:pt>
                <c:pt idx="22">
                  <c:v>43.920887177206488</c:v>
                </c:pt>
                <c:pt idx="23">
                  <c:v>38.963900209507123</c:v>
                </c:pt>
                <c:pt idx="24">
                  <c:v>36.576970704343182</c:v>
                </c:pt>
                <c:pt idx="25">
                  <c:v>35.646079914978721</c:v>
                </c:pt>
                <c:pt idx="26">
                  <c:v>32.358183740933583</c:v>
                </c:pt>
                <c:pt idx="27">
                  <c:v>29.348731947580347</c:v>
                </c:pt>
                <c:pt idx="28">
                  <c:v>26.622485803504773</c:v>
                </c:pt>
                <c:pt idx="29">
                  <c:v>24.156130576514848</c:v>
                </c:pt>
                <c:pt idx="30">
                  <c:v>21.924614876160419</c:v>
                </c:pt>
                <c:pt idx="31">
                  <c:v>19.904856710693405</c:v>
                </c:pt>
                <c:pt idx="32">
                  <c:v>19.084677984388076</c:v>
                </c:pt>
                <c:pt idx="33">
                  <c:v>17.562845902843595</c:v>
                </c:pt>
                <c:pt idx="34">
                  <c:v>16.007155634241897</c:v>
                </c:pt>
                <c:pt idx="35">
                  <c:v>15.384258110237042</c:v>
                </c:pt>
                <c:pt idx="36">
                  <c:v>13.983082836369785</c:v>
                </c:pt>
                <c:pt idx="37">
                  <c:v>13.802716593992361</c:v>
                </c:pt>
                <c:pt idx="38">
                  <c:v>12.798471435612791</c:v>
                </c:pt>
                <c:pt idx="39">
                  <c:v>11.954095432297706</c:v>
                </c:pt>
                <c:pt idx="40">
                  <c:v>11.18030439271174</c:v>
                </c:pt>
                <c:pt idx="41">
                  <c:v>10.948273235210925</c:v>
                </c:pt>
                <c:pt idx="42">
                  <c:v>10.860753199647389</c:v>
                </c:pt>
                <c:pt idx="43">
                  <c:v>10.189984881544463</c:v>
                </c:pt>
                <c:pt idx="44">
                  <c:v>9.5427886428598327</c:v>
                </c:pt>
                <c:pt idx="45">
                  <c:v>8.9331569448795047</c:v>
                </c:pt>
                <c:pt idx="46">
                  <c:v>8.3622007703686805</c:v>
                </c:pt>
                <c:pt idx="47">
                  <c:v>8.5636022133497143</c:v>
                </c:pt>
                <c:pt idx="48">
                  <c:v>8.6926228186342129</c:v>
                </c:pt>
                <c:pt idx="49">
                  <c:v>8.2651819354530947</c:v>
                </c:pt>
                <c:pt idx="50">
                  <c:v>7.791436515048539</c:v>
                </c:pt>
                <c:pt idx="51">
                  <c:v>7.3242660428691666</c:v>
                </c:pt>
                <c:pt idx="52">
                  <c:v>6.8789002968552113</c:v>
                </c:pt>
                <c:pt idx="53">
                  <c:v>6.7051546136606248</c:v>
                </c:pt>
                <c:pt idx="54">
                  <c:v>7.0318007127583062</c:v>
                </c:pt>
                <c:pt idx="55">
                  <c:v>6.705718597634216</c:v>
                </c:pt>
                <c:pt idx="56">
                  <c:v>6.3370965361868281</c:v>
                </c:pt>
                <c:pt idx="57">
                  <c:v>6.1585855524348094</c:v>
                </c:pt>
                <c:pt idx="58">
                  <c:v>6.0230294917497291</c:v>
                </c:pt>
                <c:pt idx="59">
                  <c:v>5.7689897015383416</c:v>
                </c:pt>
              </c:numCache>
            </c:numRef>
          </c:val>
        </c:ser>
        <c:ser>
          <c:idx val="9"/>
          <c:order val="9"/>
          <c:tx>
            <c:strRef>
              <c:f>'Marketing Dashboard'!$C$90</c:f>
              <c:strCache>
                <c:ptCount val="1"/>
                <c:pt idx="0">
                  <c:v>Affiliate Partners</c:v>
                </c:pt>
              </c:strCache>
            </c:strRef>
          </c:tx>
          <c:marker>
            <c:symbol val="none"/>
          </c:marker>
          <c:val>
            <c:numRef>
              <c:f>'Marketing Dashboard'!$D$90:$BK$90</c:f>
              <c:numCache>
                <c:formatCode>"$"#,##0</c:formatCode>
                <c:ptCount val="60"/>
                <c:pt idx="0">
                  <c:v>7195</c:v>
                </c:pt>
                <c:pt idx="1">
                  <c:v>7195</c:v>
                </c:pt>
                <c:pt idx="2">
                  <c:v>6174.5908092779318</c:v>
                </c:pt>
                <c:pt idx="3">
                  <c:v>5299.82826627555</c:v>
                </c:pt>
                <c:pt idx="4">
                  <c:v>4756.2880195255275</c:v>
                </c:pt>
                <c:pt idx="5">
                  <c:v>4080.3063575027263</c:v>
                </c:pt>
                <c:pt idx="6">
                  <c:v>3500.9930213190164</c:v>
                </c:pt>
                <c:pt idx="7">
                  <c:v>3004.4264234832981</c:v>
                </c:pt>
                <c:pt idx="8">
                  <c:v>2657.1798097627679</c:v>
                </c:pt>
                <c:pt idx="9">
                  <c:v>2285.1992661117933</c:v>
                </c:pt>
                <c:pt idx="10">
                  <c:v>1961.1662507980088</c:v>
                </c:pt>
                <c:pt idx="11">
                  <c:v>1683.0307961410901</c:v>
                </c:pt>
                <c:pt idx="12">
                  <c:v>1444.5377514518423</c:v>
                </c:pt>
                <c:pt idx="13">
                  <c:v>1319.8674700911738</c:v>
                </c:pt>
                <c:pt idx="14">
                  <c:v>1211.7426552585357</c:v>
                </c:pt>
                <c:pt idx="15">
                  <c:v>1110.2934140143645</c:v>
                </c:pt>
                <c:pt idx="16">
                  <c:v>1017.2614950731287</c:v>
                </c:pt>
                <c:pt idx="17">
                  <c:v>932.09742810633247</c:v>
                </c:pt>
                <c:pt idx="18">
                  <c:v>911.62245439807009</c:v>
                </c:pt>
                <c:pt idx="19">
                  <c:v>834.65654364812906</c:v>
                </c:pt>
                <c:pt idx="20">
                  <c:v>764.26024891206657</c:v>
                </c:pt>
                <c:pt idx="21">
                  <c:v>699.86554601701528</c:v>
                </c:pt>
                <c:pt idx="22">
                  <c:v>640.95425127781425</c:v>
                </c:pt>
                <c:pt idx="23">
                  <c:v>587.05357933710434</c:v>
                </c:pt>
                <c:pt idx="24">
                  <c:v>550.29478385717516</c:v>
                </c:pt>
                <c:pt idx="25">
                  <c:v>525.41284746015594</c:v>
                </c:pt>
                <c:pt idx="26">
                  <c:v>486.7526658185642</c:v>
                </c:pt>
                <c:pt idx="27">
                  <c:v>450.78310091831611</c:v>
                </c:pt>
                <c:pt idx="28">
                  <c:v>417.50337485940418</c:v>
                </c:pt>
                <c:pt idx="29">
                  <c:v>386.73428432472275</c:v>
                </c:pt>
                <c:pt idx="30">
                  <c:v>358.28407832850814</c:v>
                </c:pt>
                <c:pt idx="31">
                  <c:v>331.97260137270837</c:v>
                </c:pt>
                <c:pt idx="32">
                  <c:v>314.77380363549071</c:v>
                </c:pt>
                <c:pt idx="33">
                  <c:v>293.3329842821409</c:v>
                </c:pt>
                <c:pt idx="34">
                  <c:v>272.2213216819693</c:v>
                </c:pt>
                <c:pt idx="35">
                  <c:v>258.52208023015754</c:v>
                </c:pt>
                <c:pt idx="36">
                  <c:v>239.61392410514239</c:v>
                </c:pt>
                <c:pt idx="37">
                  <c:v>228.40765864949063</c:v>
                </c:pt>
                <c:pt idx="38">
                  <c:v>211.7334344509234</c:v>
                </c:pt>
                <c:pt idx="39">
                  <c:v>196.92361690666081</c:v>
                </c:pt>
                <c:pt idx="40">
                  <c:v>183.26003484445314</c:v>
                </c:pt>
                <c:pt idx="41">
                  <c:v>174.10410119577458</c:v>
                </c:pt>
                <c:pt idx="42">
                  <c:v>166.47749772887906</c:v>
                </c:pt>
                <c:pt idx="43">
                  <c:v>155.13886488020054</c:v>
                </c:pt>
                <c:pt idx="44">
                  <c:v>144.44637570684844</c:v>
                </c:pt>
                <c:pt idx="45">
                  <c:v>134.46646068764184</c:v>
                </c:pt>
                <c:pt idx="46">
                  <c:v>125.1747170514829</c:v>
                </c:pt>
                <c:pt idx="47">
                  <c:v>121.60848145364237</c:v>
                </c:pt>
                <c:pt idx="48">
                  <c:v>117.83132139471569</c:v>
                </c:pt>
                <c:pt idx="49">
                  <c:v>113.61145075944734</c:v>
                </c:pt>
                <c:pt idx="50">
                  <c:v>109.06649584430765</c:v>
                </c:pt>
                <c:pt idx="51">
                  <c:v>104.55395646865648</c:v>
                </c:pt>
                <c:pt idx="52">
                  <c:v>100.18207936584837</c:v>
                </c:pt>
                <c:pt idx="53">
                  <c:v>97.843498792500924</c:v>
                </c:pt>
                <c:pt idx="54">
                  <c:v>99.420103679568413</c:v>
                </c:pt>
                <c:pt idx="55">
                  <c:v>96.060461223350046</c:v>
                </c:pt>
                <c:pt idx="56">
                  <c:v>92.356344121495923</c:v>
                </c:pt>
                <c:pt idx="57">
                  <c:v>90.187009870303129</c:v>
                </c:pt>
                <c:pt idx="58">
                  <c:v>88.410179579314473</c:v>
                </c:pt>
                <c:pt idx="59">
                  <c:v>85.667282945062482</c:v>
                </c:pt>
              </c:numCache>
            </c:numRef>
          </c:val>
        </c:ser>
        <c:ser>
          <c:idx val="10"/>
          <c:order val="10"/>
          <c:tx>
            <c:strRef>
              <c:f>'Marketing Dashboard'!$C$91</c:f>
              <c:strCache>
                <c:ptCount val="1"/>
                <c:pt idx="0">
                  <c:v>Utility Partners</c:v>
                </c:pt>
              </c:strCache>
            </c:strRef>
          </c:tx>
          <c:marker>
            <c:symbol val="none"/>
          </c:marker>
          <c:val>
            <c:numRef>
              <c:f>'Marketing Dashboard'!$D$91:$BK$91</c:f>
              <c:numCache>
                <c:formatCode>"$"#,##0</c:formatCode>
                <c:ptCount val="60"/>
                <c:pt idx="0">
                  <c:v>6682.666666666667</c:v>
                </c:pt>
                <c:pt idx="1">
                  <c:v>6682.6666666666679</c:v>
                </c:pt>
                <c:pt idx="2">
                  <c:v>6471.337605905921</c:v>
                </c:pt>
                <c:pt idx="3">
                  <c:v>6268.7502091281649</c:v>
                </c:pt>
                <c:pt idx="4">
                  <c:v>6720.3477712616968</c:v>
                </c:pt>
                <c:pt idx="5">
                  <c:v>6505.5434506547999</c:v>
                </c:pt>
                <c:pt idx="6">
                  <c:v>6299.4877915337438</c:v>
                </c:pt>
                <c:pt idx="7">
                  <c:v>6101.7561791924418</c:v>
                </c:pt>
                <c:pt idx="8">
                  <c:v>6320.6732255849947</c:v>
                </c:pt>
                <c:pt idx="9">
                  <c:v>6152.98851077363</c:v>
                </c:pt>
                <c:pt idx="10">
                  <c:v>5961.8751102728083</c:v>
                </c:pt>
                <c:pt idx="11">
                  <c:v>5775.9187125544095</c:v>
                </c:pt>
                <c:pt idx="12">
                  <c:v>5597.0672089106592</c:v>
                </c:pt>
                <c:pt idx="13">
                  <c:v>5465.0979064269795</c:v>
                </c:pt>
                <c:pt idx="14">
                  <c:v>5393.8561727956348</c:v>
                </c:pt>
                <c:pt idx="15">
                  <c:v>5299.8420994512417</c:v>
                </c:pt>
                <c:pt idx="16">
                  <c:v>5206.38288613033</c:v>
                </c:pt>
                <c:pt idx="17">
                  <c:v>5115.2851195394787</c:v>
                </c:pt>
                <c:pt idx="18">
                  <c:v>5805.7790785654097</c:v>
                </c:pt>
                <c:pt idx="19">
                  <c:v>5697.9326404548519</c:v>
                </c:pt>
                <c:pt idx="20">
                  <c:v>5592.9564815140093</c:v>
                </c:pt>
                <c:pt idx="21">
                  <c:v>5490.756158834829</c:v>
                </c:pt>
                <c:pt idx="22">
                  <c:v>5391.2405949339845</c:v>
                </c:pt>
                <c:pt idx="23">
                  <c:v>5294.3220150399284</c:v>
                </c:pt>
                <c:pt idx="24">
                  <c:v>5466.0079314953127</c:v>
                </c:pt>
                <c:pt idx="25">
                  <c:v>5734.0743166154507</c:v>
                </c:pt>
                <c:pt idx="26">
                  <c:v>5646.4333202069574</c:v>
                </c:pt>
                <c:pt idx="27">
                  <c:v>5555.9812933247904</c:v>
                </c:pt>
                <c:pt idx="28">
                  <c:v>5467.6348713939115</c:v>
                </c:pt>
                <c:pt idx="29">
                  <c:v>5382.0601078219524</c:v>
                </c:pt>
                <c:pt idx="30">
                  <c:v>5299.235632059781</c:v>
                </c:pt>
                <c:pt idx="31">
                  <c:v>5219.0356963450404</c:v>
                </c:pt>
                <c:pt idx="32">
                  <c:v>5396.0174557915961</c:v>
                </c:pt>
                <c:pt idx="33">
                  <c:v>5378.852243182434</c:v>
                </c:pt>
                <c:pt idx="34">
                  <c:v>5315.7207205599507</c:v>
                </c:pt>
                <c:pt idx="35">
                  <c:v>5508.8663918869888</c:v>
                </c:pt>
                <c:pt idx="36">
                  <c:v>5430.7036457351551</c:v>
                </c:pt>
                <c:pt idx="37">
                  <c:v>5596.6182591446504</c:v>
                </c:pt>
                <c:pt idx="38">
                  <c:v>5452.0292067050368</c:v>
                </c:pt>
                <c:pt idx="39">
                  <c:v>5346.1853276444281</c:v>
                </c:pt>
                <c:pt idx="40">
                  <c:v>5248.6949880584107</c:v>
                </c:pt>
                <c:pt idx="41">
                  <c:v>5370.7263139513116</c:v>
                </c:pt>
                <c:pt idx="42">
                  <c:v>5561.3078278602197</c:v>
                </c:pt>
                <c:pt idx="43">
                  <c:v>5475.400119408383</c:v>
                </c:pt>
                <c:pt idx="44">
                  <c:v>5381.6891930877073</c:v>
                </c:pt>
                <c:pt idx="45">
                  <c:v>5287.6883695125762</c:v>
                </c:pt>
                <c:pt idx="46">
                  <c:v>5195.184838552238</c:v>
                </c:pt>
                <c:pt idx="47">
                  <c:v>5538.9632430232768</c:v>
                </c:pt>
                <c:pt idx="48">
                  <c:v>5861.0661045830648</c:v>
                </c:pt>
                <c:pt idx="49">
                  <c:v>5771.2339221218808</c:v>
                </c:pt>
                <c:pt idx="50">
                  <c:v>5638.0072370325197</c:v>
                </c:pt>
                <c:pt idx="51">
                  <c:v>5493.6552810040603</c:v>
                </c:pt>
                <c:pt idx="52">
                  <c:v>5348.5584168133009</c:v>
                </c:pt>
                <c:pt idx="53">
                  <c:v>5388.6660619606064</c:v>
                </c:pt>
                <c:pt idx="54">
                  <c:v>5810.9353772016366</c:v>
                </c:pt>
                <c:pt idx="55">
                  <c:v>5738.3238765933111</c:v>
                </c:pt>
                <c:pt idx="56">
                  <c:v>5619.0646868945505</c:v>
                </c:pt>
                <c:pt idx="57">
                  <c:v>5647.7417973181537</c:v>
                </c:pt>
                <c:pt idx="58">
                  <c:v>5710.6301703755798</c:v>
                </c:pt>
                <c:pt idx="59">
                  <c:v>5663.0045439301566</c:v>
                </c:pt>
              </c:numCache>
            </c:numRef>
          </c:val>
        </c:ser>
        <c:ser>
          <c:idx val="11"/>
          <c:order val="11"/>
          <c:tx>
            <c:strRef>
              <c:f>'Marketing Dashboard'!$C$92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val>
            <c:numRef>
              <c:f>'Marketing Dashboard'!$D$92:$BK$92</c:f>
              <c:numCache>
                <c:formatCode>"$"#,##0</c:formatCode>
                <c:ptCount val="60"/>
                <c:pt idx="0">
                  <c:v>1762</c:v>
                </c:pt>
                <c:pt idx="1">
                  <c:v>1762</c:v>
                </c:pt>
                <c:pt idx="2">
                  <c:v>1655.5423404487849</c:v>
                </c:pt>
                <c:pt idx="3">
                  <c:v>1555.8254623889434</c:v>
                </c:pt>
                <c:pt idx="4">
                  <c:v>1935.3817568085822</c:v>
                </c:pt>
                <c:pt idx="5">
                  <c:v>1823.4730490016275</c:v>
                </c:pt>
                <c:pt idx="6">
                  <c:v>1718.3382616485017</c:v>
                </c:pt>
                <c:pt idx="7">
                  <c:v>1619.5563250728057</c:v>
                </c:pt>
                <c:pt idx="8">
                  <c:v>1816.6476080004729</c:v>
                </c:pt>
                <c:pt idx="9">
                  <c:v>1737.374050927858</c:v>
                </c:pt>
                <c:pt idx="10">
                  <c:v>1641.8298691000507</c:v>
                </c:pt>
                <c:pt idx="11">
                  <c:v>1550.2348710974297</c:v>
                </c:pt>
                <c:pt idx="12">
                  <c:v>1463.8710503921805</c:v>
                </c:pt>
                <c:pt idx="13">
                  <c:v>1407.0324149063695</c:v>
                </c:pt>
                <c:pt idx="14">
                  <c:v>1391.3599854000436</c:v>
                </c:pt>
                <c:pt idx="15">
                  <c:v>1359.0884697467347</c:v>
                </c:pt>
                <c:pt idx="16">
                  <c:v>1326.3748455538673</c:v>
                </c:pt>
                <c:pt idx="17">
                  <c:v>1294.5104823432648</c:v>
                </c:pt>
                <c:pt idx="18">
                  <c:v>1825.7800937089987</c:v>
                </c:pt>
                <c:pt idx="19">
                  <c:v>1784.694365448752</c:v>
                </c:pt>
                <c:pt idx="20">
                  <c:v>1744.7052069264748</c:v>
                </c:pt>
                <c:pt idx="21">
                  <c:v>1705.7810479027903</c:v>
                </c:pt>
                <c:pt idx="22">
                  <c:v>1667.8912320999375</c:v>
                </c:pt>
                <c:pt idx="23">
                  <c:v>1631.0060359489134</c:v>
                </c:pt>
                <c:pt idx="24">
                  <c:v>1796.7338943250568</c:v>
                </c:pt>
                <c:pt idx="25">
                  <c:v>2027.2298765195549</c:v>
                </c:pt>
                <c:pt idx="26">
                  <c:v>1987.613338075583</c:v>
                </c:pt>
                <c:pt idx="27">
                  <c:v>1945.2632639777842</c:v>
                </c:pt>
                <c:pt idx="28">
                  <c:v>1903.9431978051471</c:v>
                </c:pt>
                <c:pt idx="29">
                  <c:v>1864.1900889942344</c:v>
                </c:pt>
                <c:pt idx="30">
                  <c:v>1826.0147630090682</c:v>
                </c:pt>
                <c:pt idx="31">
                  <c:v>1789.3461247900636</c:v>
                </c:pt>
                <c:pt idx="32">
                  <c:v>1954.8800709704699</c:v>
                </c:pt>
                <c:pt idx="33">
                  <c:v>1968.0760065962909</c:v>
                </c:pt>
                <c:pt idx="34">
                  <c:v>1944.6319549951297</c:v>
                </c:pt>
                <c:pt idx="35">
                  <c:v>2125.8211292143283</c:v>
                </c:pt>
                <c:pt idx="36">
                  <c:v>2090.4883981718281</c:v>
                </c:pt>
                <c:pt idx="37">
                  <c:v>2281.4282210515989</c:v>
                </c:pt>
                <c:pt idx="38">
                  <c:v>2220.5915939942688</c:v>
                </c:pt>
                <c:pt idx="39">
                  <c:v>2189.8439682145554</c:v>
                </c:pt>
                <c:pt idx="40">
                  <c:v>2164.677021618083</c:v>
                </c:pt>
                <c:pt idx="41">
                  <c:v>2325.1800630298985</c:v>
                </c:pt>
                <c:pt idx="42">
                  <c:v>2547.7486527682713</c:v>
                </c:pt>
                <c:pt idx="43">
                  <c:v>2533.7212023065013</c:v>
                </c:pt>
                <c:pt idx="44">
                  <c:v>2511.7077831817965</c:v>
                </c:pt>
                <c:pt idx="45">
                  <c:v>2488.1482422285867</c:v>
                </c:pt>
                <c:pt idx="46">
                  <c:v>2464.6204241044688</c:v>
                </c:pt>
                <c:pt idx="47">
                  <c:v>2838.0500991890112</c:v>
                </c:pt>
                <c:pt idx="48">
                  <c:v>3199.3688799610018</c:v>
                </c:pt>
                <c:pt idx="49">
                  <c:v>3123.2014833013045</c:v>
                </c:pt>
                <c:pt idx="50">
                  <c:v>3008.4005712007561</c:v>
                </c:pt>
                <c:pt idx="51">
                  <c:v>2885.2952633777481</c:v>
                </c:pt>
                <c:pt idx="52">
                  <c:v>2763.3821908017767</c:v>
                </c:pt>
                <c:pt idx="53">
                  <c:v>2801.1351141198074</c:v>
                </c:pt>
                <c:pt idx="54">
                  <c:v>3156.1122994062293</c:v>
                </c:pt>
                <c:pt idx="55">
                  <c:v>3089.6231991828022</c:v>
                </c:pt>
                <c:pt idx="56">
                  <c:v>2985.4668336769578</c:v>
                </c:pt>
                <c:pt idx="57">
                  <c:v>3000.931394257047</c:v>
                </c:pt>
                <c:pt idx="58">
                  <c:v>3040.9916734678745</c:v>
                </c:pt>
                <c:pt idx="59">
                  <c:v>2992.5473861248915</c:v>
                </c:pt>
              </c:numCache>
            </c:numRef>
          </c:val>
        </c:ser>
        <c:marker val="1"/>
        <c:axId val="243565312"/>
        <c:axId val="243566848"/>
      </c:lineChart>
      <c:catAx>
        <c:axId val="243565312"/>
        <c:scaling>
          <c:orientation val="minMax"/>
        </c:scaling>
        <c:axPos val="b"/>
        <c:tickLblPos val="nextTo"/>
        <c:crossAx val="243566848"/>
        <c:crosses val="autoZero"/>
        <c:auto val="1"/>
        <c:lblAlgn val="ctr"/>
        <c:lblOffset val="100"/>
      </c:catAx>
      <c:valAx>
        <c:axId val="243566848"/>
        <c:scaling>
          <c:orientation val="minMax"/>
        </c:scaling>
        <c:axPos val="l"/>
        <c:majorGridlines/>
        <c:numFmt formatCode="&quot;$&quot;#,##0" sourceLinked="1"/>
        <c:tickLblPos val="nextTo"/>
        <c:crossAx val="2435653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>
        <c:manualLayout>
          <c:layoutTarget val="inner"/>
          <c:xMode val="edge"/>
          <c:yMode val="edge"/>
          <c:x val="8.210056812518722E-2"/>
          <c:y val="8.8538541877682175E-2"/>
          <c:w val="0.90222947606233017"/>
          <c:h val="0.69373633078558805"/>
        </c:manualLayout>
      </c:layout>
      <c:barChart>
        <c:barDir val="col"/>
        <c:grouping val="stacked"/>
        <c:ser>
          <c:idx val="1"/>
          <c:order val="0"/>
          <c:tx>
            <c:strRef>
              <c:f>Summary!$B$5</c:f>
              <c:strCache>
                <c:ptCount val="1"/>
                <c:pt idx="0">
                  <c:v>Revenue</c:v>
                </c:pt>
              </c:strCache>
            </c:strRef>
          </c:tx>
          <c:cat>
            <c:strRef>
              <c:f>Summary!$C$4:$V$4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</c:strCache>
            </c:strRef>
          </c:cat>
          <c:val>
            <c:numRef>
              <c:f>Summary!$C$5:$V$5</c:f>
              <c:numCache>
                <c:formatCode>_(* #,##0_);_(* \(#,##0\);_(* "-"??_);_(@_)</c:formatCode>
                <c:ptCount val="20"/>
                <c:pt idx="0">
                  <c:v>38642.975713556203</c:v>
                </c:pt>
                <c:pt idx="1">
                  <c:v>52131.830472389294</c:v>
                </c:pt>
                <c:pt idx="2">
                  <c:v>67317.966174887566</c:v>
                </c:pt>
                <c:pt idx="3">
                  <c:v>84378.897657127483</c:v>
                </c:pt>
                <c:pt idx="4">
                  <c:v>89926.880211887008</c:v>
                </c:pt>
                <c:pt idx="5">
                  <c:v>95934.206016913915</c:v>
                </c:pt>
                <c:pt idx="6">
                  <c:v>102448.25527036574</c:v>
                </c:pt>
                <c:pt idx="7">
                  <c:v>110349.87100937992</c:v>
                </c:pt>
                <c:pt idx="8">
                  <c:v>118943.51745210332</c:v>
                </c:pt>
                <c:pt idx="9">
                  <c:v>128280.01124723295</c:v>
                </c:pt>
                <c:pt idx="10">
                  <c:v>138412.06175325063</c:v>
                </c:pt>
                <c:pt idx="11">
                  <c:v>149394.13966691872</c:v>
                </c:pt>
                <c:pt idx="12">
                  <c:v>161282.34071301366</c:v>
                </c:pt>
                <c:pt idx="13">
                  <c:v>174134.25037140708</c:v>
                </c:pt>
                <c:pt idx="14">
                  <c:v>188008.81576937661</c:v>
                </c:pt>
                <c:pt idx="15">
                  <c:v>202966.23068312125</c:v>
                </c:pt>
                <c:pt idx="16">
                  <c:v>219080.56196473551</c:v>
                </c:pt>
                <c:pt idx="17">
                  <c:v>236142.10853344074</c:v>
                </c:pt>
                <c:pt idx="18">
                  <c:v>254192.69775923472</c:v>
                </c:pt>
                <c:pt idx="19">
                  <c:v>273262.11187312444</c:v>
                </c:pt>
              </c:numCache>
            </c:numRef>
          </c:val>
        </c:ser>
        <c:ser>
          <c:idx val="3"/>
          <c:order val="2"/>
          <c:tx>
            <c:strRef>
              <c:f>Summary!$B$7</c:f>
              <c:strCache>
                <c:ptCount val="1"/>
                <c:pt idx="0">
                  <c:v>Gross Profit</c:v>
                </c:pt>
              </c:strCache>
            </c:strRef>
          </c:tx>
          <c:cat>
            <c:strRef>
              <c:f>Summary!$C$4:$V$4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</c:strCache>
            </c:strRef>
          </c:cat>
          <c:val>
            <c:numRef>
              <c:f>Summary!$C$7:$V$7</c:f>
              <c:numCache>
                <c:formatCode>_(* #,##0_);_(* \(#,##0\);_(* "-"??_);_(@_)</c:formatCode>
                <c:ptCount val="20"/>
                <c:pt idx="0">
                  <c:v>5731.6427229045876</c:v>
                </c:pt>
                <c:pt idx="1">
                  <c:v>10184.958683705168</c:v>
                </c:pt>
                <c:pt idx="2">
                  <c:v>12377.826675163989</c:v>
                </c:pt>
                <c:pt idx="3">
                  <c:v>23101.795202678375</c:v>
                </c:pt>
                <c:pt idx="4">
                  <c:v>26961.35633253894</c:v>
                </c:pt>
                <c:pt idx="5">
                  <c:v>31478.365222377855</c:v>
                </c:pt>
                <c:pt idx="6">
                  <c:v>33640.467191548931</c:v>
                </c:pt>
                <c:pt idx="7">
                  <c:v>36240.942293723143</c:v>
                </c:pt>
                <c:pt idx="8">
                  <c:v>38838.847237993963</c:v>
                </c:pt>
                <c:pt idx="9">
                  <c:v>44479.234024071819</c:v>
                </c:pt>
                <c:pt idx="10">
                  <c:v>50456.158407342242</c:v>
                </c:pt>
                <c:pt idx="11">
                  <c:v>56919.184300595181</c:v>
                </c:pt>
                <c:pt idx="12">
                  <c:v>60726.594841888058</c:v>
                </c:pt>
                <c:pt idx="13">
                  <c:v>56709.981186050471</c:v>
                </c:pt>
                <c:pt idx="14">
                  <c:v>53438.578586445889</c:v>
                </c:pt>
                <c:pt idx="15">
                  <c:v>47229.490495104896</c:v>
                </c:pt>
                <c:pt idx="16">
                  <c:v>47553.835194062965</c:v>
                </c:pt>
                <c:pt idx="17">
                  <c:v>48673.42707915022</c:v>
                </c:pt>
                <c:pt idx="18">
                  <c:v>57558.182149269822</c:v>
                </c:pt>
                <c:pt idx="19">
                  <c:v>67298.979937943164</c:v>
                </c:pt>
              </c:numCache>
            </c:numRef>
          </c:val>
        </c:ser>
        <c:ser>
          <c:idx val="4"/>
          <c:order val="3"/>
          <c:tx>
            <c:strRef>
              <c:f>Summary!$B$8</c:f>
              <c:strCache>
                <c:ptCount val="1"/>
                <c:pt idx="0">
                  <c:v>Delivery &amp; Support</c:v>
                </c:pt>
              </c:strCache>
            </c:strRef>
          </c:tx>
          <c:cat>
            <c:strRef>
              <c:f>Summary!$C$4:$V$4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</c:strCache>
            </c:strRef>
          </c:cat>
          <c:val>
            <c:numRef>
              <c:f>Summary!$C$8:$V$8</c:f>
              <c:numCache>
                <c:formatCode>_(* #,##0_);_(* \(#,##0\);_(* "-"??_);_(@_)</c:formatCode>
                <c:ptCount val="20"/>
                <c:pt idx="0">
                  <c:v>24220</c:v>
                </c:pt>
                <c:pt idx="1">
                  <c:v>8435</c:v>
                </c:pt>
                <c:pt idx="2">
                  <c:v>7165</c:v>
                </c:pt>
                <c:pt idx="3">
                  <c:v>7165</c:v>
                </c:pt>
                <c:pt idx="4">
                  <c:v>7005</c:v>
                </c:pt>
                <c:pt idx="5">
                  <c:v>6162.1428599999999</c:v>
                </c:pt>
                <c:pt idx="6">
                  <c:v>5319.2857100000001</c:v>
                </c:pt>
                <c:pt idx="7">
                  <c:v>4636.42857</c:v>
                </c:pt>
                <c:pt idx="8">
                  <c:v>4636.42857</c:v>
                </c:pt>
                <c:pt idx="9">
                  <c:v>4636.42857</c:v>
                </c:pt>
                <c:pt idx="10">
                  <c:v>4636.42857</c:v>
                </c:pt>
                <c:pt idx="11">
                  <c:v>4636.42857</c:v>
                </c:pt>
                <c:pt idx="12">
                  <c:v>13169.7619</c:v>
                </c:pt>
                <c:pt idx="13">
                  <c:v>14203.095240000001</c:v>
                </c:pt>
                <c:pt idx="14">
                  <c:v>15236.42857</c:v>
                </c:pt>
                <c:pt idx="15">
                  <c:v>11936.42857</c:v>
                </c:pt>
                <c:pt idx="16">
                  <c:v>16479.28571</c:v>
                </c:pt>
                <c:pt idx="17">
                  <c:v>23922.14286</c:v>
                </c:pt>
                <c:pt idx="18">
                  <c:v>25465</c:v>
                </c:pt>
                <c:pt idx="19">
                  <c:v>26980</c:v>
                </c:pt>
              </c:numCache>
            </c:numRef>
          </c:val>
        </c:ser>
        <c:ser>
          <c:idx val="5"/>
          <c:order val="4"/>
          <c:tx>
            <c:strRef>
              <c:f>Summary!$B$9</c:f>
              <c:strCache>
                <c:ptCount val="1"/>
                <c:pt idx="0">
                  <c:v>Sales &amp; Marketing</c:v>
                </c:pt>
              </c:strCache>
            </c:strRef>
          </c:tx>
          <c:cat>
            <c:strRef>
              <c:f>Summary!$C$4:$V$4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</c:strCache>
            </c:strRef>
          </c:cat>
          <c:val>
            <c:numRef>
              <c:f>Summary!$C$9:$V$9</c:f>
              <c:numCache>
                <c:formatCode>_(* #,##0_);_(* \(#,##0\);_(* "-"??_);_(@_)</c:formatCode>
                <c:ptCount val="20"/>
                <c:pt idx="0">
                  <c:v>20095.4938</c:v>
                </c:pt>
                <c:pt idx="1">
                  <c:v>21622.772720000001</c:v>
                </c:pt>
                <c:pt idx="2">
                  <c:v>23395.158630000002</c:v>
                </c:pt>
                <c:pt idx="3">
                  <c:v>25450.133689999999</c:v>
                </c:pt>
                <c:pt idx="4">
                  <c:v>26229.321029999999</c:v>
                </c:pt>
                <c:pt idx="5">
                  <c:v>27036.275710000002</c:v>
                </c:pt>
                <c:pt idx="6">
                  <c:v>27895.79262</c:v>
                </c:pt>
                <c:pt idx="7">
                  <c:v>28796.193859999999</c:v>
                </c:pt>
                <c:pt idx="8">
                  <c:v>30072.24296</c:v>
                </c:pt>
                <c:pt idx="9">
                  <c:v>31650.30443</c:v>
                </c:pt>
                <c:pt idx="10">
                  <c:v>33519.32185</c:v>
                </c:pt>
                <c:pt idx="11">
                  <c:v>35402.176599999999</c:v>
                </c:pt>
                <c:pt idx="12">
                  <c:v>37372.914940000002</c:v>
                </c:pt>
                <c:pt idx="13">
                  <c:v>39464.776510000003</c:v>
                </c:pt>
                <c:pt idx="14">
                  <c:v>41684.017119999997</c:v>
                </c:pt>
                <c:pt idx="15">
                  <c:v>44037.04909</c:v>
                </c:pt>
                <c:pt idx="16">
                  <c:v>45160.90238</c:v>
                </c:pt>
                <c:pt idx="17">
                  <c:v>46554.856200000002</c:v>
                </c:pt>
                <c:pt idx="18">
                  <c:v>48020.627809999998</c:v>
                </c:pt>
                <c:pt idx="19">
                  <c:v>50930.765729999999</c:v>
                </c:pt>
              </c:numCache>
            </c:numRef>
          </c:val>
        </c:ser>
        <c:overlap val="100"/>
        <c:axId val="165832576"/>
        <c:axId val="165834112"/>
      </c:barChart>
      <c:lineChart>
        <c:grouping val="standard"/>
        <c:ser>
          <c:idx val="2"/>
          <c:order val="1"/>
          <c:tx>
            <c:strRef>
              <c:f>Summary!$B$6</c:f>
              <c:strCache>
                <c:ptCount val="1"/>
                <c:pt idx="0">
                  <c:v>Cost of Goods Sold</c:v>
                </c:pt>
              </c:strCache>
            </c:strRef>
          </c:tx>
          <c:marker>
            <c:symbol val="none"/>
          </c:marker>
          <c:cat>
            <c:strRef>
              <c:f>Summary!$C$4:$V$4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</c:strCache>
            </c:strRef>
          </c:cat>
          <c:val>
            <c:numRef>
              <c:f>Summary!$C$6:$V$6</c:f>
              <c:numCache>
                <c:formatCode>_(* #,##0_);_(* \(#,##0\);_(* "-"??_);_(@_)</c:formatCode>
                <c:ptCount val="20"/>
                <c:pt idx="0">
                  <c:v>32911.332990651616</c:v>
                </c:pt>
                <c:pt idx="1">
                  <c:v>41946.871788684126</c:v>
                </c:pt>
                <c:pt idx="2">
                  <c:v>54940.139499723577</c:v>
                </c:pt>
                <c:pt idx="3">
                  <c:v>61277.102454449108</c:v>
                </c:pt>
                <c:pt idx="4">
                  <c:v>62965.523879348068</c:v>
                </c:pt>
                <c:pt idx="5">
                  <c:v>64455.84079453606</c:v>
                </c:pt>
                <c:pt idx="6">
                  <c:v>68807.788078816811</c:v>
                </c:pt>
                <c:pt idx="7">
                  <c:v>74108.928715656773</c:v>
                </c:pt>
                <c:pt idx="8">
                  <c:v>80104.670214109356</c:v>
                </c:pt>
                <c:pt idx="9">
                  <c:v>83800.777223161131</c:v>
                </c:pt>
                <c:pt idx="10">
                  <c:v>87955.903345908388</c:v>
                </c:pt>
                <c:pt idx="11">
                  <c:v>92474.955366323542</c:v>
                </c:pt>
                <c:pt idx="12">
                  <c:v>100555.7458711256</c:v>
                </c:pt>
                <c:pt idx="13">
                  <c:v>117424.26918535661</c:v>
                </c:pt>
                <c:pt idx="14">
                  <c:v>134570.23718293072</c:v>
                </c:pt>
                <c:pt idx="15">
                  <c:v>155736.74018801635</c:v>
                </c:pt>
                <c:pt idx="16">
                  <c:v>171526.72677067254</c:v>
                </c:pt>
                <c:pt idx="17">
                  <c:v>187468.68145429052</c:v>
                </c:pt>
                <c:pt idx="18">
                  <c:v>196634.5156099649</c:v>
                </c:pt>
                <c:pt idx="19">
                  <c:v>205963.13193518127</c:v>
                </c:pt>
              </c:numCache>
            </c:numRef>
          </c:val>
        </c:ser>
        <c:ser>
          <c:idx val="6"/>
          <c:order val="5"/>
          <c:tx>
            <c:strRef>
              <c:f>Summary!$B$10</c:f>
              <c:strCache>
                <c:ptCount val="1"/>
                <c:pt idx="0">
                  <c:v>General &amp; Administrative</c:v>
                </c:pt>
              </c:strCache>
            </c:strRef>
          </c:tx>
          <c:marker>
            <c:symbol val="none"/>
          </c:marker>
          <c:cat>
            <c:strRef>
              <c:f>Summary!$C$4:$V$4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</c:strCache>
            </c:strRef>
          </c:cat>
          <c:val>
            <c:numRef>
              <c:f>Summary!$C$10:$V$10</c:f>
              <c:numCache>
                <c:formatCode>_(* #,##0_);_(* \(#,##0\);_(* "-"??_);_(@_)</c:formatCode>
                <c:ptCount val="20"/>
                <c:pt idx="0">
                  <c:v>23706.975788495147</c:v>
                </c:pt>
                <c:pt idx="1">
                  <c:v>23821.676672641388</c:v>
                </c:pt>
                <c:pt idx="2">
                  <c:v>23972.664475063004</c:v>
                </c:pt>
                <c:pt idx="3">
                  <c:v>24086.119669419899</c:v>
                </c:pt>
                <c:pt idx="4">
                  <c:v>24088.013753409046</c:v>
                </c:pt>
                <c:pt idx="5">
                  <c:v>23977.962470012477</c:v>
                </c:pt>
                <c:pt idx="6">
                  <c:v>23871.280897547931</c:v>
                </c:pt>
                <c:pt idx="7">
                  <c:v>23808.826642212378</c:v>
                </c:pt>
                <c:pt idx="8">
                  <c:v>23872.559530987841</c:v>
                </c:pt>
                <c:pt idx="9">
                  <c:v>23949.600055851704</c:v>
                </c:pt>
                <c:pt idx="10">
                  <c:v>24040.792730326164</c:v>
                </c:pt>
                <c:pt idx="11">
                  <c:v>24140.435737686621</c:v>
                </c:pt>
                <c:pt idx="12">
                  <c:v>24247.668529733826</c:v>
                </c:pt>
                <c:pt idx="13">
                  <c:v>33813.957666914168</c:v>
                </c:pt>
                <c:pt idx="14">
                  <c:v>43388.781029889593</c:v>
                </c:pt>
                <c:pt idx="15">
                  <c:v>53052.62697227946</c:v>
                </c:pt>
                <c:pt idx="16">
                  <c:v>59001.822922590567</c:v>
                </c:pt>
                <c:pt idx="17">
                  <c:v>65003.36912629447</c:v>
                </c:pt>
                <c:pt idx="18">
                  <c:v>70927.098134421816</c:v>
                </c:pt>
                <c:pt idx="19">
                  <c:v>71151.199023809924</c:v>
                </c:pt>
              </c:numCache>
            </c:numRef>
          </c:val>
        </c:ser>
        <c:marker val="1"/>
        <c:axId val="165832576"/>
        <c:axId val="165834112"/>
      </c:lineChart>
      <c:catAx>
        <c:axId val="165832576"/>
        <c:scaling>
          <c:orientation val="minMax"/>
        </c:scaling>
        <c:axPos val="b"/>
        <c:tickLblPos val="nextTo"/>
        <c:crossAx val="165834112"/>
        <c:crosses val="autoZero"/>
        <c:auto val="1"/>
        <c:lblAlgn val="ctr"/>
        <c:lblOffset val="100"/>
      </c:catAx>
      <c:valAx>
        <c:axId val="165834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</a:p>
            </c:rich>
          </c:tx>
        </c:title>
        <c:numFmt formatCode="_(* #,##0_);_(* \(#,##0\);_(* &quot;-&quot;??_);_(@_)" sourceLinked="1"/>
        <c:tickLblPos val="nextTo"/>
        <c:crossAx val="165832576"/>
        <c:crosses val="autoZero"/>
        <c:crossBetween val="between"/>
      </c:valAx>
    </c:plotArea>
    <c:legend>
      <c:legendPos val="b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0.75000000000000522" l="0.70000000000000318" r="0.70000000000000318" t="0.750000000000005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autoTitleDeleted val="1"/>
    <c:plotArea>
      <c:layout>
        <c:manualLayout>
          <c:layoutTarget val="inner"/>
          <c:xMode val="edge"/>
          <c:yMode val="edge"/>
          <c:x val="6.6761810283150508E-2"/>
          <c:y val="0.12989441668688601"/>
          <c:w val="0.9148038707565942"/>
          <c:h val="0.74907347822806025"/>
        </c:manualLayout>
      </c:layout>
      <c:barChart>
        <c:barDir val="col"/>
        <c:grouping val="stacked"/>
        <c:ser>
          <c:idx val="2"/>
          <c:order val="1"/>
          <c:tx>
            <c:strRef>
              <c:f>Summary!$B$27</c:f>
              <c:strCache>
                <c:ptCount val="1"/>
                <c:pt idx="0">
                  <c:v>Gross Margin </c:v>
                </c:pt>
              </c:strCache>
            </c:strRef>
          </c:tx>
          <c:cat>
            <c:strRef>
              <c:f>Summary!$C$25:$BJ$25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 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 </c:v>
                </c:pt>
                <c:pt idx="23">
                  <c:v>Dec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 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 </c:v>
                </c:pt>
                <c:pt idx="35">
                  <c:v>Dec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 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 </c:v>
                </c:pt>
                <c:pt idx="47">
                  <c:v>Dec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 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 </c:v>
                </c:pt>
                <c:pt idx="59">
                  <c:v>Dec</c:v>
                </c:pt>
              </c:strCache>
            </c:strRef>
          </c:cat>
          <c:val>
            <c:numRef>
              <c:f>Summary!$C$27:$BJ$27</c:f>
              <c:numCache>
                <c:formatCode>0.0%</c:formatCode>
                <c:ptCount val="60"/>
                <c:pt idx="0">
                  <c:v>9.6149486836233714E-2</c:v>
                </c:pt>
                <c:pt idx="1">
                  <c:v>0.15107087409876652</c:v>
                </c:pt>
                <c:pt idx="2">
                  <c:v>0.18992130367402901</c:v>
                </c:pt>
                <c:pt idx="3">
                  <c:v>0.23530105479959296</c:v>
                </c:pt>
                <c:pt idx="4">
                  <c:v>0.26688464619289592</c:v>
                </c:pt>
                <c:pt idx="5">
                  <c:v>9.7035974845667089E-2</c:v>
                </c:pt>
                <c:pt idx="6">
                  <c:v>0.13568457461204994</c:v>
                </c:pt>
                <c:pt idx="7">
                  <c:v>0.18770345491407089</c:v>
                </c:pt>
                <c:pt idx="8">
                  <c:v>0.22120544047817475</c:v>
                </c:pt>
                <c:pt idx="9">
                  <c:v>0.24795630432352062</c:v>
                </c:pt>
                <c:pt idx="10">
                  <c:v>0.27312249175229669</c:v>
                </c:pt>
                <c:pt idx="11">
                  <c:v>0.29674612857086491</c:v>
                </c:pt>
                <c:pt idx="12">
                  <c:v>0.32640258699758179</c:v>
                </c:pt>
                <c:pt idx="13">
                  <c:v>0.35752506183835109</c:v>
                </c:pt>
                <c:pt idx="14">
                  <c:v>0.30298707340623832</c:v>
                </c:pt>
                <c:pt idx="15">
                  <c:v>0.32694263712407823</c:v>
                </c:pt>
                <c:pt idx="16">
                  <c:v>0.34640435836713313</c:v>
                </c:pt>
                <c:pt idx="17">
                  <c:v>0.36405068556473541</c:v>
                </c:pt>
                <c:pt idx="18">
                  <c:v>0.38055356907910753</c:v>
                </c:pt>
                <c:pt idx="19">
                  <c:v>0.39595888442172283</c:v>
                </c:pt>
                <c:pt idx="20">
                  <c:v>0.35506593312835349</c:v>
                </c:pt>
                <c:pt idx="21">
                  <c:v>0.23814671020266434</c:v>
                </c:pt>
                <c:pt idx="22">
                  <c:v>0.26615911442935758</c:v>
                </c:pt>
                <c:pt idx="23">
                  <c:v>0.19701708418700667</c:v>
                </c:pt>
                <c:pt idx="24">
                  <c:v>0.19348529751122603</c:v>
                </c:pt>
                <c:pt idx="25">
                  <c:v>0.22571107385713343</c:v>
                </c:pt>
                <c:pt idx="26">
                  <c:v>0.25561098281448652</c:v>
                </c:pt>
                <c:pt idx="27">
                  <c:v>0.25540032926478429</c:v>
                </c:pt>
                <c:pt idx="28">
                  <c:v>0.28302144747407876</c:v>
                </c:pt>
                <c:pt idx="29">
                  <c:v>0.30860413940859227</c:v>
                </c:pt>
                <c:pt idx="30">
                  <c:v>0.30105296686954003</c:v>
                </c:pt>
                <c:pt idx="31">
                  <c:v>0.32509890717700729</c:v>
                </c:pt>
                <c:pt idx="32">
                  <c:v>0.31334988557866744</c:v>
                </c:pt>
                <c:pt idx="33">
                  <c:v>0.33510053024802511</c:v>
                </c:pt>
                <c:pt idx="34">
                  <c:v>0.30297508545618662</c:v>
                </c:pt>
                <c:pt idx="35">
                  <c:v>0.3261272588114662</c:v>
                </c:pt>
                <c:pt idx="36">
                  <c:v>0.31077566181528399</c:v>
                </c:pt>
                <c:pt idx="37">
                  <c:v>0.33097564201261798</c:v>
                </c:pt>
                <c:pt idx="38">
                  <c:v>0.33660103766047589</c:v>
                </c:pt>
                <c:pt idx="39">
                  <c:v>0.3550210048747327</c:v>
                </c:pt>
                <c:pt idx="40">
                  <c:v>0.35593562386111771</c:v>
                </c:pt>
                <c:pt idx="41">
                  <c:v>0.36186178436500521</c:v>
                </c:pt>
                <c:pt idx="42">
                  <c:v>0.37843256394284541</c:v>
                </c:pt>
                <c:pt idx="43">
                  <c:v>0.38022856215508405</c:v>
                </c:pt>
                <c:pt idx="44">
                  <c:v>0.35303354470842369</c:v>
                </c:pt>
                <c:pt idx="45">
                  <c:v>0.36967621209876117</c:v>
                </c:pt>
                <c:pt idx="46">
                  <c:v>0.37014665002942793</c:v>
                </c:pt>
                <c:pt idx="47">
                  <c:v>0.37462029900165</c:v>
                </c:pt>
                <c:pt idx="48">
                  <c:v>0.38218931491299013</c:v>
                </c:pt>
                <c:pt idx="49">
                  <c:v>0.38730884853947622</c:v>
                </c:pt>
                <c:pt idx="50">
                  <c:v>0.39514728836876684</c:v>
                </c:pt>
                <c:pt idx="51">
                  <c:v>0.40281392308667635</c:v>
                </c:pt>
                <c:pt idx="52">
                  <c:v>0.3829468153541189</c:v>
                </c:pt>
                <c:pt idx="53">
                  <c:v>0.39046669790197619</c:v>
                </c:pt>
                <c:pt idx="54">
                  <c:v>0.39676963640225082</c:v>
                </c:pt>
                <c:pt idx="55">
                  <c:v>0.39724750951379983</c:v>
                </c:pt>
                <c:pt idx="56">
                  <c:v>0.39903243893854179</c:v>
                </c:pt>
                <c:pt idx="57">
                  <c:v>0.40761130146129299</c:v>
                </c:pt>
                <c:pt idx="58">
                  <c:v>0.41420739807469786</c:v>
                </c:pt>
                <c:pt idx="59">
                  <c:v>0.41203564793339481</c:v>
                </c:pt>
              </c:numCache>
            </c:numRef>
          </c:val>
        </c:ser>
        <c:ser>
          <c:idx val="3"/>
          <c:order val="2"/>
          <c:tx>
            <c:strRef>
              <c:f>Summary!$B$28</c:f>
              <c:strCache>
                <c:ptCount val="1"/>
                <c:pt idx="0">
                  <c:v>Delivery Support</c:v>
                </c:pt>
              </c:strCache>
            </c:strRef>
          </c:tx>
          <c:cat>
            <c:strRef>
              <c:f>Summary!$C$25:$BJ$25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 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 </c:v>
                </c:pt>
                <c:pt idx="23">
                  <c:v>Dec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 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 </c:v>
                </c:pt>
                <c:pt idx="35">
                  <c:v>Dec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 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 </c:v>
                </c:pt>
                <c:pt idx="47">
                  <c:v>Dec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 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 </c:v>
                </c:pt>
                <c:pt idx="59">
                  <c:v>Dec</c:v>
                </c:pt>
              </c:strCache>
            </c:strRef>
          </c:cat>
          <c:val>
            <c:numRef>
              <c:f>Summary!$C$28:$BJ$28</c:f>
              <c:numCache>
                <c:formatCode>0.0%</c:formatCode>
                <c:ptCount val="60"/>
                <c:pt idx="0">
                  <c:v>1.677542267555407</c:v>
                </c:pt>
                <c:pt idx="1">
                  <c:v>0.17002762186398154</c:v>
                </c:pt>
                <c:pt idx="2">
                  <c:v>0.15508253779753334</c:v>
                </c:pt>
                <c:pt idx="3">
                  <c:v>0.13760280255082852</c:v>
                </c:pt>
                <c:pt idx="4">
                  <c:v>0.12545029876412542</c:v>
                </c:pt>
                <c:pt idx="5">
                  <c:v>0.21502468759973165</c:v>
                </c:pt>
                <c:pt idx="6">
                  <c:v>0.11582737025220362</c:v>
                </c:pt>
                <c:pt idx="7">
                  <c:v>0.10670606930835561</c:v>
                </c:pt>
                <c:pt idx="8">
                  <c:v>9.8221285443976403E-2</c:v>
                </c:pt>
                <c:pt idx="9">
                  <c:v>9.1451758912586958E-2</c:v>
                </c:pt>
                <c:pt idx="10">
                  <c:v>8.508278001997252E-2</c:v>
                </c:pt>
                <c:pt idx="11">
                  <c:v>7.9103730303997935E-2</c:v>
                </c:pt>
                <c:pt idx="12">
                  <c:v>7.0374891623569927E-2</c:v>
                </c:pt>
                <c:pt idx="13">
                  <c:v>4.5351104722876123E-2</c:v>
                </c:pt>
                <c:pt idx="14">
                  <c:v>4.2103641996007239E-2</c:v>
                </c:pt>
                <c:pt idx="15">
                  <c:v>3.9061334677312723E-2</c:v>
                </c:pt>
                <c:pt idx="16">
                  <c:v>3.6217847820787498E-2</c:v>
                </c:pt>
                <c:pt idx="17">
                  <c:v>3.3565955976654925E-2</c:v>
                </c:pt>
                <c:pt idx="18">
                  <c:v>3.1097713920455225E-2</c:v>
                </c:pt>
                <c:pt idx="19">
                  <c:v>2.8804624821292084E-2</c:v>
                </c:pt>
                <c:pt idx="20">
                  <c:v>0.17397905012393744</c:v>
                </c:pt>
                <c:pt idx="21">
                  <c:v>4.1228410931254511E-2</c:v>
                </c:pt>
                <c:pt idx="22">
                  <c:v>3.8188564858971374E-2</c:v>
                </c:pt>
                <c:pt idx="23">
                  <c:v>9.300235073499144E-2</c:v>
                </c:pt>
                <c:pt idx="24">
                  <c:v>9.0533118694262213E-2</c:v>
                </c:pt>
                <c:pt idx="25">
                  <c:v>0.11847361169837395</c:v>
                </c:pt>
                <c:pt idx="26">
                  <c:v>9.1508054300581801E-2</c:v>
                </c:pt>
                <c:pt idx="27">
                  <c:v>8.8369945904640645E-2</c:v>
                </c:pt>
                <c:pt idx="28">
                  <c:v>8.2259098690071433E-2</c:v>
                </c:pt>
                <c:pt idx="29">
                  <c:v>7.6605211771045928E-2</c:v>
                </c:pt>
                <c:pt idx="30">
                  <c:v>0.14189732310673508</c:v>
                </c:pt>
                <c:pt idx="31">
                  <c:v>7.4500506049339776E-2</c:v>
                </c:pt>
                <c:pt idx="32">
                  <c:v>6.9493200873869829E-2</c:v>
                </c:pt>
                <c:pt idx="33">
                  <c:v>7.8378440477059108E-2</c:v>
                </c:pt>
                <c:pt idx="34">
                  <c:v>0.12982577874729209</c:v>
                </c:pt>
                <c:pt idx="35">
                  <c:v>7.7422514567145662E-2</c:v>
                </c:pt>
                <c:pt idx="36">
                  <c:v>8.8316242641006251E-2</c:v>
                </c:pt>
                <c:pt idx="37">
                  <c:v>8.3151769096276376E-2</c:v>
                </c:pt>
                <c:pt idx="38">
                  <c:v>7.8326599021986437E-2</c:v>
                </c:pt>
                <c:pt idx="39">
                  <c:v>7.381743141314967E-2</c:v>
                </c:pt>
                <c:pt idx="40">
                  <c:v>0.10718360229111448</c:v>
                </c:pt>
                <c:pt idx="41">
                  <c:v>7.0580600278929331E-2</c:v>
                </c:pt>
                <c:pt idx="42">
                  <c:v>6.6617985369109622E-2</c:v>
                </c:pt>
                <c:pt idx="43">
                  <c:v>0.10067920339164484</c:v>
                </c:pt>
                <c:pt idx="44">
                  <c:v>7.7981928609875573E-2</c:v>
                </c:pt>
                <c:pt idx="45">
                  <c:v>7.4284749144183163E-2</c:v>
                </c:pt>
                <c:pt idx="46">
                  <c:v>7.7017912078473805E-2</c:v>
                </c:pt>
                <c:pt idx="47">
                  <c:v>0.1030729885368889</c:v>
                </c:pt>
                <c:pt idx="48">
                  <c:v>7.1660999846797191E-2</c:v>
                </c:pt>
                <c:pt idx="49">
                  <c:v>9.0357345321047472E-2</c:v>
                </c:pt>
                <c:pt idx="50">
                  <c:v>6.7068363827992736E-2</c:v>
                </c:pt>
                <c:pt idx="51">
                  <c:v>6.3862381297701915E-2</c:v>
                </c:pt>
                <c:pt idx="52">
                  <c:v>7.9295882024853326E-2</c:v>
                </c:pt>
                <c:pt idx="53">
                  <c:v>6.3354294236652675E-2</c:v>
                </c:pt>
                <c:pt idx="54">
                  <c:v>7.3901197713212491E-2</c:v>
                </c:pt>
                <c:pt idx="55">
                  <c:v>6.3890898472809071E-2</c:v>
                </c:pt>
                <c:pt idx="56">
                  <c:v>7.9132809413845387E-2</c:v>
                </c:pt>
                <c:pt idx="57">
                  <c:v>5.9821024608492972E-2</c:v>
                </c:pt>
                <c:pt idx="58">
                  <c:v>7.050803001308617E-2</c:v>
                </c:pt>
                <c:pt idx="59">
                  <c:v>6.1866035575098413E-2</c:v>
                </c:pt>
              </c:numCache>
            </c:numRef>
          </c:val>
        </c:ser>
        <c:ser>
          <c:idx val="4"/>
          <c:order val="3"/>
          <c:tx>
            <c:strRef>
              <c:f>Summary!$B$29</c:f>
              <c:strCache>
                <c:ptCount val="1"/>
                <c:pt idx="0">
                  <c:v>Sales &amp; Marketing </c:v>
                </c:pt>
              </c:strCache>
            </c:strRef>
          </c:tx>
          <c:cat>
            <c:strRef>
              <c:f>Summary!$C$25:$BJ$25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 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 </c:v>
                </c:pt>
                <c:pt idx="23">
                  <c:v>Dec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 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 </c:v>
                </c:pt>
                <c:pt idx="35">
                  <c:v>Dec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 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 </c:v>
                </c:pt>
                <c:pt idx="47">
                  <c:v>Dec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 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 </c:v>
                </c:pt>
                <c:pt idx="59">
                  <c:v>Dec</c:v>
                </c:pt>
              </c:strCache>
            </c:strRef>
          </c:cat>
          <c:val>
            <c:numRef>
              <c:f>Summary!$C$29:$BJ$29</c:f>
              <c:numCache>
                <c:formatCode>0.0%</c:formatCode>
                <c:ptCount val="60"/>
                <c:pt idx="0">
                  <c:v>0.55333886937751009</c:v>
                </c:pt>
                <c:pt idx="1">
                  <c:v>0.52363037784097788</c:v>
                </c:pt>
                <c:pt idx="2">
                  <c:v>0.488587696158024</c:v>
                </c:pt>
                <c:pt idx="3">
                  <c:v>0.4448698007585854</c:v>
                </c:pt>
                <c:pt idx="4">
                  <c:v>0.41580105247009985</c:v>
                </c:pt>
                <c:pt idx="5">
                  <c:v>0.38882962484643641</c:v>
                </c:pt>
                <c:pt idx="6">
                  <c:v>0.36793760087127397</c:v>
                </c:pt>
                <c:pt idx="7">
                  <c:v>0.34820815224722351</c:v>
                </c:pt>
                <c:pt idx="8">
                  <c:v>0.32960618135393449</c:v>
                </c:pt>
                <c:pt idx="9">
                  <c:v>0.31549305162910685</c:v>
                </c:pt>
                <c:pt idx="10">
                  <c:v>0.30203475916322853</c:v>
                </c:pt>
                <c:pt idx="11">
                  <c:v>0.28922690868213574</c:v>
                </c:pt>
                <c:pt idx="12">
                  <c:v>0.28482193870931621</c:v>
                </c:pt>
                <c:pt idx="13">
                  <c:v>0.27247123688249508</c:v>
                </c:pt>
                <c:pt idx="14">
                  <c:v>0.26131571645270807</c:v>
                </c:pt>
                <c:pt idx="15">
                  <c:v>0.25069734296267737</c:v>
                </c:pt>
                <c:pt idx="16">
                  <c:v>0.24750215835143186</c:v>
                </c:pt>
                <c:pt idx="17">
                  <c:v>0.24260034798660141</c:v>
                </c:pt>
                <c:pt idx="18">
                  <c:v>0.23719441457840612</c:v>
                </c:pt>
                <c:pt idx="19">
                  <c:v>0.23193505988660795</c:v>
                </c:pt>
                <c:pt idx="20">
                  <c:v>0.22683433794751162</c:v>
                </c:pt>
                <c:pt idx="21">
                  <c:v>0.22190185104390694</c:v>
                </c:pt>
                <c:pt idx="22">
                  <c:v>0.21714485648217446</c:v>
                </c:pt>
                <c:pt idx="23">
                  <c:v>0.21256840900751378</c:v>
                </c:pt>
                <c:pt idx="24">
                  <c:v>0.19073184725720252</c:v>
                </c:pt>
                <c:pt idx="25">
                  <c:v>0.18982629656334982</c:v>
                </c:pt>
                <c:pt idx="26">
                  <c:v>0.18649368920568291</c:v>
                </c:pt>
                <c:pt idx="27">
                  <c:v>0.18329315109395794</c:v>
                </c:pt>
                <c:pt idx="28">
                  <c:v>0.18022403893522224</c:v>
                </c:pt>
                <c:pt idx="29">
                  <c:v>0.17728487367693896</c:v>
                </c:pt>
                <c:pt idx="30">
                  <c:v>0.17447346618132292</c:v>
                </c:pt>
                <c:pt idx="31">
                  <c:v>0.17178703517199256</c:v>
                </c:pt>
                <c:pt idx="32">
                  <c:v>0.1692223165897149</c:v>
                </c:pt>
                <c:pt idx="33">
                  <c:v>0.16677566282709533</c:v>
                </c:pt>
                <c:pt idx="34">
                  <c:v>0.16444313220069484</c:v>
                </c:pt>
                <c:pt idx="35">
                  <c:v>0.16222056841349342</c:v>
                </c:pt>
                <c:pt idx="36">
                  <c:v>0.15079786241450077</c:v>
                </c:pt>
                <c:pt idx="37">
                  <c:v>0.15137111060221814</c:v>
                </c:pt>
                <c:pt idx="38">
                  <c:v>0.15004886047990867</c:v>
                </c:pt>
                <c:pt idx="39">
                  <c:v>0.14877866532223061</c:v>
                </c:pt>
                <c:pt idx="40">
                  <c:v>0.14755884413677814</c:v>
                </c:pt>
                <c:pt idx="41">
                  <c:v>0.14638770037211174</c:v>
                </c:pt>
                <c:pt idx="42">
                  <c:v>0.1452635345657084</c:v>
                </c:pt>
                <c:pt idx="43">
                  <c:v>0.14418465482147974</c:v>
                </c:pt>
                <c:pt idx="44">
                  <c:v>0.14314938585915904</c:v>
                </c:pt>
                <c:pt idx="45">
                  <c:v>0.14215607617943424</c:v>
                </c:pt>
                <c:pt idx="46">
                  <c:v>0.14120310409124712</c:v>
                </c:pt>
                <c:pt idx="47">
                  <c:v>0.14028888253696906</c:v>
                </c:pt>
                <c:pt idx="48">
                  <c:v>0.11518723303705634</c:v>
                </c:pt>
                <c:pt idx="49">
                  <c:v>0.11602608804999087</c:v>
                </c:pt>
                <c:pt idx="50">
                  <c:v>0.11521061657726962</c:v>
                </c:pt>
                <c:pt idx="51">
                  <c:v>0.11442652550786048</c:v>
                </c:pt>
                <c:pt idx="52">
                  <c:v>0.11367251674111384</c:v>
                </c:pt>
                <c:pt idx="53">
                  <c:v>0.11294733357096486</c:v>
                </c:pt>
                <c:pt idx="54">
                  <c:v>0.11224976113225657</c:v>
                </c:pt>
                <c:pt idx="55">
                  <c:v>0.11157862662804394</c:v>
                </c:pt>
                <c:pt idx="56">
                  <c:v>0.11093279895301704</c:v>
                </c:pt>
                <c:pt idx="57">
                  <c:v>0.11031118833924748</c:v>
                </c:pt>
                <c:pt idx="58">
                  <c:v>0.10971274570824899</c:v>
                </c:pt>
                <c:pt idx="59">
                  <c:v>0.10913646184221169</c:v>
                </c:pt>
              </c:numCache>
            </c:numRef>
          </c:val>
        </c:ser>
        <c:overlap val="100"/>
        <c:axId val="167876480"/>
        <c:axId val="167878016"/>
      </c:barChart>
      <c:lineChart>
        <c:grouping val="standard"/>
        <c:ser>
          <c:idx val="1"/>
          <c:order val="0"/>
          <c:tx>
            <c:strRef>
              <c:f>Summary!$B$26</c:f>
              <c:strCache>
                <c:ptCount val="1"/>
                <c:pt idx="0">
                  <c:v>Revenues</c:v>
                </c:pt>
              </c:strCache>
            </c:strRef>
          </c:tx>
          <c:marker>
            <c:symbol val="none"/>
          </c:marker>
          <c:cat>
            <c:strRef>
              <c:f>Summary!$C$25:$BJ$25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 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 </c:v>
                </c:pt>
                <c:pt idx="23">
                  <c:v>Dec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 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 </c:v>
                </c:pt>
                <c:pt idx="35">
                  <c:v>Dec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 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 </c:v>
                </c:pt>
                <c:pt idx="47">
                  <c:v>Dec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 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 </c:v>
                </c:pt>
                <c:pt idx="59">
                  <c:v>Dec</c:v>
                </c:pt>
              </c:strCache>
            </c:strRef>
          </c:cat>
          <c:val>
            <c:numRef>
              <c:f>Summary!$C$26:$BJ$26</c:f>
              <c:numCache>
                <c:formatCode>0.0%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</c:ser>
        <c:ser>
          <c:idx val="5"/>
          <c:order val="4"/>
          <c:tx>
            <c:strRef>
              <c:f>Summary!$B$30</c:f>
              <c:strCache>
                <c:ptCount val="1"/>
                <c:pt idx="0">
                  <c:v>General &amp; Admin</c:v>
                </c:pt>
              </c:strCache>
            </c:strRef>
          </c:tx>
          <c:marker>
            <c:symbol val="none"/>
          </c:marker>
          <c:cat>
            <c:strRef>
              <c:f>Summary!$C$25:$BJ$25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 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 </c:v>
                </c:pt>
                <c:pt idx="23">
                  <c:v>Dec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 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 </c:v>
                </c:pt>
                <c:pt idx="35">
                  <c:v>Dec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 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 </c:v>
                </c:pt>
                <c:pt idx="47">
                  <c:v>Dec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 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 </c:v>
                </c:pt>
                <c:pt idx="59">
                  <c:v>Dec</c:v>
                </c:pt>
              </c:strCache>
            </c:strRef>
          </c:cat>
          <c:val>
            <c:numRef>
              <c:f>Summary!$C$30:$BJ$30</c:f>
              <c:numCache>
                <c:formatCode>0.0%</c:formatCode>
                <c:ptCount val="60"/>
                <c:pt idx="0">
                  <c:v>0.6664682854876296</c:v>
                </c:pt>
                <c:pt idx="1">
                  <c:v>0.61817572681374611</c:v>
                </c:pt>
                <c:pt idx="2">
                  <c:v>0.56442385228986125</c:v>
                </c:pt>
                <c:pt idx="3">
                  <c:v>0.50155578600705308</c:v>
                </c:pt>
                <c:pt idx="4">
                  <c:v>0.45784777768876056</c:v>
                </c:pt>
                <c:pt idx="5">
                  <c:v>0.41908014919755304</c:v>
                </c:pt>
                <c:pt idx="6">
                  <c:v>0.38694851904899868</c:v>
                </c:pt>
                <c:pt idx="7">
                  <c:v>0.35700035366120991</c:v>
                </c:pt>
                <c:pt idx="8">
                  <c:v>0.32914207861751094</c:v>
                </c:pt>
                <c:pt idx="9">
                  <c:v>0.30691554520882958</c:v>
                </c:pt>
                <c:pt idx="10">
                  <c:v>0.28600413855734752</c:v>
                </c:pt>
                <c:pt idx="11">
                  <c:v>0.26637299483583832</c:v>
                </c:pt>
                <c:pt idx="12">
                  <c:v>0.25319898493485377</c:v>
                </c:pt>
                <c:pt idx="13">
                  <c:v>0.23235750863101651</c:v>
                </c:pt>
                <c:pt idx="14">
                  <c:v>0.21619524034819046</c:v>
                </c:pt>
                <c:pt idx="15">
                  <c:v>0.20105400818662694</c:v>
                </c:pt>
                <c:pt idx="16">
                  <c:v>0.18705660491668244</c:v>
                </c:pt>
                <c:pt idx="17">
                  <c:v>0.17402886536278961</c:v>
                </c:pt>
                <c:pt idx="18">
                  <c:v>0.16189912569524956</c:v>
                </c:pt>
                <c:pt idx="19">
                  <c:v>0.15062621305020876</c:v>
                </c:pt>
                <c:pt idx="20">
                  <c:v>0.14016700089765591</c:v>
                </c:pt>
                <c:pt idx="21">
                  <c:v>0.28157388617529799</c:v>
                </c:pt>
                <c:pt idx="22">
                  <c:v>0.26146786338637423</c:v>
                </c:pt>
                <c:pt idx="23">
                  <c:v>0.24398723839946113</c:v>
                </c:pt>
                <c:pt idx="24">
                  <c:v>0.29952144961345034</c:v>
                </c:pt>
                <c:pt idx="25">
                  <c:v>0.27967926612732613</c:v>
                </c:pt>
                <c:pt idx="26">
                  <c:v>0.26069748065887155</c:v>
                </c:pt>
                <c:pt idx="27">
                  <c:v>0.24337262186426051</c:v>
                </c:pt>
                <c:pt idx="28">
                  <c:v>0.22708102700335556</c:v>
                </c:pt>
                <c:pt idx="29">
                  <c:v>0.21202555315070756</c:v>
                </c:pt>
                <c:pt idx="30">
                  <c:v>0.19810267529286124</c:v>
                </c:pt>
                <c:pt idx="31">
                  <c:v>0.18522598950506497</c:v>
                </c:pt>
                <c:pt idx="32">
                  <c:v>0.187704965604195</c:v>
                </c:pt>
                <c:pt idx="33">
                  <c:v>0.17701865771321335</c:v>
                </c:pt>
                <c:pt idx="34">
                  <c:v>0.18198497191065738</c:v>
                </c:pt>
                <c:pt idx="35">
                  <c:v>0.17061393034364161</c:v>
                </c:pt>
                <c:pt idx="36">
                  <c:v>0.16049499754498289</c:v>
                </c:pt>
                <c:pt idx="37">
                  <c:v>0.15191403225894384</c:v>
                </c:pt>
                <c:pt idx="38">
                  <c:v>0.14356291365065704</c:v>
                </c:pt>
                <c:pt idx="39">
                  <c:v>0.13575839304306334</c:v>
                </c:pt>
                <c:pt idx="40">
                  <c:v>0.1285706551364626</c:v>
                </c:pt>
                <c:pt idx="41">
                  <c:v>0.13346754808552966</c:v>
                </c:pt>
                <c:pt idx="42">
                  <c:v>0.12642231425047701</c:v>
                </c:pt>
                <c:pt idx="43">
                  <c:v>0.11992054625666103</c:v>
                </c:pt>
                <c:pt idx="44">
                  <c:v>0.13273830854755131</c:v>
                </c:pt>
                <c:pt idx="45">
                  <c:v>0.12599651732403067</c:v>
                </c:pt>
                <c:pt idx="46">
                  <c:v>0.11972229277481268</c:v>
                </c:pt>
                <c:pt idx="47">
                  <c:v>0.11386459699148468</c:v>
                </c:pt>
                <c:pt idx="48">
                  <c:v>0.10776824363694557</c:v>
                </c:pt>
                <c:pt idx="49">
                  <c:v>0.10299208517748726</c:v>
                </c:pt>
                <c:pt idx="50">
                  <c:v>9.7885850713935463E-2</c:v>
                </c:pt>
                <c:pt idx="51">
                  <c:v>9.3150682580508362E-2</c:v>
                </c:pt>
                <c:pt idx="52">
                  <c:v>0.11368825793013312</c:v>
                </c:pt>
                <c:pt idx="53">
                  <c:v>0.10941824269534985</c:v>
                </c:pt>
                <c:pt idx="54">
                  <c:v>0.10434449472545249</c:v>
                </c:pt>
                <c:pt idx="55">
                  <c:v>9.9539910981286783E-2</c:v>
                </c:pt>
                <c:pt idx="56">
                  <c:v>9.4895676198563483E-2</c:v>
                </c:pt>
                <c:pt idx="57">
                  <c:v>9.0603006000136807E-2</c:v>
                </c:pt>
                <c:pt idx="58">
                  <c:v>8.6433052887184253E-2</c:v>
                </c:pt>
                <c:pt idx="59">
                  <c:v>8.270120557602878E-2</c:v>
                </c:pt>
              </c:numCache>
            </c:numRef>
          </c:val>
        </c:ser>
        <c:ser>
          <c:idx val="0"/>
          <c:order val="5"/>
          <c:tx>
            <c:strRef>
              <c:f>Summary!$B$31</c:f>
              <c:strCache>
                <c:ptCount val="1"/>
                <c:pt idx="0">
                  <c:v>EBITDA </c:v>
                </c:pt>
              </c:strCache>
            </c:strRef>
          </c:tx>
          <c:marker>
            <c:symbol val="none"/>
          </c:marker>
          <c:cat>
            <c:strRef>
              <c:f>Summary!$C$25:$BJ$25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 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 </c:v>
                </c:pt>
                <c:pt idx="23">
                  <c:v>Dec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 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 </c:v>
                </c:pt>
                <c:pt idx="35">
                  <c:v>Dec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 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 </c:v>
                </c:pt>
                <c:pt idx="47">
                  <c:v>Dec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 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 </c:v>
                </c:pt>
                <c:pt idx="59">
                  <c:v>Dec</c:v>
                </c:pt>
              </c:strCache>
            </c:strRef>
          </c:cat>
          <c:val>
            <c:numRef>
              <c:f>Summary!$C$31:$BJ$31</c:f>
              <c:numCache>
                <c:formatCode>0.0%</c:formatCode>
                <c:ptCount val="60"/>
                <c:pt idx="0">
                  <c:v>-2.8011999355843131</c:v>
                </c:pt>
                <c:pt idx="1">
                  <c:v>-1.1607628524199392</c:v>
                </c:pt>
                <c:pt idx="2">
                  <c:v>-1.0181727825713895</c:v>
                </c:pt>
                <c:pt idx="3">
                  <c:v>-0.84872733451687399</c:v>
                </c:pt>
                <c:pt idx="4">
                  <c:v>-0.73221448273008982</c:v>
                </c:pt>
                <c:pt idx="5">
                  <c:v>-0.92589848679805398</c:v>
                </c:pt>
                <c:pt idx="6">
                  <c:v>-0.73502891556042638</c:v>
                </c:pt>
                <c:pt idx="7">
                  <c:v>-0.62421112030271808</c:v>
                </c:pt>
                <c:pt idx="8">
                  <c:v>-0.53576410493724702</c:v>
                </c:pt>
                <c:pt idx="9">
                  <c:v>-0.46590405142700275</c:v>
                </c:pt>
                <c:pt idx="10">
                  <c:v>-0.3999991859882519</c:v>
                </c:pt>
                <c:pt idx="11">
                  <c:v>-0.33795750525110707</c:v>
                </c:pt>
                <c:pt idx="12">
                  <c:v>-0.2819932282701581</c:v>
                </c:pt>
                <c:pt idx="13">
                  <c:v>-0.19265478839803662</c:v>
                </c:pt>
                <c:pt idx="14">
                  <c:v>-0.21662752539066746</c:v>
                </c:pt>
                <c:pt idx="15">
                  <c:v>-0.1638700487025388</c:v>
                </c:pt>
                <c:pt idx="16">
                  <c:v>-0.12437225272176869</c:v>
                </c:pt>
                <c:pt idx="17">
                  <c:v>-8.6144483761310509E-2</c:v>
                </c:pt>
                <c:pt idx="18">
                  <c:v>-4.9637685115003383E-2</c:v>
                </c:pt>
                <c:pt idx="19">
                  <c:v>-1.5407013336385972E-2</c:v>
                </c:pt>
                <c:pt idx="20">
                  <c:v>-0.18591445584075147</c:v>
                </c:pt>
                <c:pt idx="21">
                  <c:v>-0.30655743794779511</c:v>
                </c:pt>
                <c:pt idx="22">
                  <c:v>-0.25064217029816249</c:v>
                </c:pt>
                <c:pt idx="23">
                  <c:v>-0.35254091395495968</c:v>
                </c:pt>
                <c:pt idx="24">
                  <c:v>-0.38730111805368905</c:v>
                </c:pt>
                <c:pt idx="25">
                  <c:v>-0.36226810053191649</c:v>
                </c:pt>
                <c:pt idx="26">
                  <c:v>-0.28308824135064969</c:v>
                </c:pt>
                <c:pt idx="27">
                  <c:v>-0.25963538959807481</c:v>
                </c:pt>
                <c:pt idx="28">
                  <c:v>-0.20654271715457045</c:v>
                </c:pt>
                <c:pt idx="29">
                  <c:v>-0.15731149919010018</c:v>
                </c:pt>
                <c:pt idx="30">
                  <c:v>-0.21342049771137922</c:v>
                </c:pt>
                <c:pt idx="31">
                  <c:v>-0.10641462354939002</c:v>
                </c:pt>
                <c:pt idx="32">
                  <c:v>-0.1130705974891123</c:v>
                </c:pt>
                <c:pt idx="33">
                  <c:v>-8.7072230769342673E-2</c:v>
                </c:pt>
                <c:pt idx="34">
                  <c:v>-0.17327879740245769</c:v>
                </c:pt>
                <c:pt idx="35">
                  <c:v>-8.4129754512814486E-2</c:v>
                </c:pt>
                <c:pt idx="36">
                  <c:v>-8.8833440785205914E-2</c:v>
                </c:pt>
                <c:pt idx="37">
                  <c:v>-5.5461269944820368E-2</c:v>
                </c:pt>
                <c:pt idx="38">
                  <c:v>-3.5337335492076294E-2</c:v>
                </c:pt>
                <c:pt idx="39">
                  <c:v>-3.3334849037109093E-3</c:v>
                </c:pt>
                <c:pt idx="40">
                  <c:v>-2.7377477703237507E-2</c:v>
                </c:pt>
                <c:pt idx="41">
                  <c:v>1.1425935628434497E-2</c:v>
                </c:pt>
                <c:pt idx="42">
                  <c:v>4.0128729757550385E-2</c:v>
                </c:pt>
                <c:pt idx="43">
                  <c:v>1.5444157685298457E-2</c:v>
                </c:pt>
                <c:pt idx="44">
                  <c:v>-8.3607830816223583E-4</c:v>
                </c:pt>
                <c:pt idx="45">
                  <c:v>2.7238869451113118E-2</c:v>
                </c:pt>
                <c:pt idx="46">
                  <c:v>3.2203341084894324E-2</c:v>
                </c:pt>
                <c:pt idx="47">
                  <c:v>1.7393830936307364E-2</c:v>
                </c:pt>
                <c:pt idx="48">
                  <c:v>8.7572838392191016E-2</c:v>
                </c:pt>
                <c:pt idx="49">
                  <c:v>7.7933329990950651E-2</c:v>
                </c:pt>
                <c:pt idx="50">
                  <c:v>0.11498245724956901</c:v>
                </c:pt>
                <c:pt idx="51">
                  <c:v>0.13137433370060564</c:v>
                </c:pt>
                <c:pt idx="52">
                  <c:v>7.6290158658018609E-2</c:v>
                </c:pt>
                <c:pt idx="53">
                  <c:v>0.1047468273990088</c:v>
                </c:pt>
                <c:pt idx="54">
                  <c:v>0.10627418283132931</c:v>
                </c:pt>
                <c:pt idx="55">
                  <c:v>0.12223807343166007</c:v>
                </c:pt>
                <c:pt idx="56">
                  <c:v>0.11407115437311588</c:v>
                </c:pt>
                <c:pt idx="57">
                  <c:v>0.14687608251341572</c:v>
                </c:pt>
                <c:pt idx="58">
                  <c:v>0.14755356946617848</c:v>
                </c:pt>
                <c:pt idx="59">
                  <c:v>0.15833194494005592</c:v>
                </c:pt>
              </c:numCache>
            </c:numRef>
          </c:val>
        </c:ser>
        <c:marker val="1"/>
        <c:axId val="167876480"/>
        <c:axId val="167878016"/>
      </c:lineChart>
      <c:catAx>
        <c:axId val="167876480"/>
        <c:scaling>
          <c:orientation val="minMax"/>
        </c:scaling>
        <c:axPos val="b"/>
        <c:tickLblPos val="nextTo"/>
        <c:txPr>
          <a:bodyPr rot="-3000000"/>
          <a:lstStyle/>
          <a:p>
            <a:pPr>
              <a:defRPr sz="1050"/>
            </a:pPr>
            <a:endParaRPr lang="en-US"/>
          </a:p>
        </c:txPr>
        <c:crossAx val="167878016"/>
        <c:crosses val="autoZero"/>
        <c:auto val="1"/>
        <c:lblAlgn val="ctr"/>
        <c:lblOffset val="100"/>
      </c:catAx>
      <c:valAx>
        <c:axId val="167878016"/>
        <c:scaling>
          <c:orientation val="minMax"/>
          <c:max val="1"/>
          <c:min val="-0.70000000000000218"/>
        </c:scaling>
        <c:axPos val="l"/>
        <c:majorGridlines/>
        <c:numFmt formatCode="0.0%" sourceLinked="1"/>
        <c:tickLblPos val="nextTo"/>
        <c:crossAx val="167876480"/>
        <c:crossesAt val="1"/>
        <c:crossBetween val="midCat"/>
      </c:valAx>
    </c:plotArea>
    <c:legend>
      <c:legendPos val="b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printSettings>
    <c:headerFooter/>
    <c:pageMargins b="0.75000000000000622" l="0.70000000000000417" r="0.70000000000000417" t="0.750000000000006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29</xdr:row>
      <xdr:rowOff>209871</xdr:rowOff>
    </xdr:from>
    <xdr:to>
      <xdr:col>67</xdr:col>
      <xdr:colOff>613475</xdr:colOff>
      <xdr:row>33</xdr:row>
      <xdr:rowOff>193728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19</xdr:col>
      <xdr:colOff>7144</xdr:colOff>
      <xdr:row>37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18</xdr:col>
      <xdr:colOff>542925</xdr:colOff>
      <xdr:row>16</xdr:row>
      <xdr:rowOff>90488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18</xdr:col>
      <xdr:colOff>523874</xdr:colOff>
      <xdr:row>33</xdr:row>
      <xdr:rowOff>71438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18</xdr:col>
      <xdr:colOff>514350</xdr:colOff>
      <xdr:row>50</xdr:row>
      <xdr:rowOff>71438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104774</xdr:rowOff>
    </xdr:from>
    <xdr:to>
      <xdr:col>20</xdr:col>
      <xdr:colOff>171450</xdr:colOff>
      <xdr:row>23</xdr:row>
      <xdr:rowOff>35719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71437</xdr:colOff>
      <xdr:row>25</xdr:row>
      <xdr:rowOff>59530</xdr:rowOff>
    </xdr:from>
    <xdr:to>
      <xdr:col>20</xdr:col>
      <xdr:colOff>154781</xdr:colOff>
      <xdr:row>48</xdr:row>
      <xdr:rowOff>95249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inlebaron-mbp\Library\Mail%20Downloads\PSDB\Ingrid\BOD\3-16-00\Ingrid\Business\Peakstone\Dec99\My%20Documents\Sylantro\Board%20Meetings\Jul99\99Model.Jul99.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inlebaron-mbp\Library\Mail%20Downloads\PSDA\Finance\Accounting%20Docs\close00\0600\Kaplan's%20PTO%20Accrual%20Model%20Apr%20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up Tabl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5" displayName="Table5" ref="A2:M65" totalsRowShown="0" headerRowDxfId="14" dataDxfId="13">
  <tableColumns count="13">
    <tableColumn id="1" name="Column1" dataDxfId="12"/>
    <tableColumn id="2" name="Column2" dataDxfId="11"/>
    <tableColumn id="3" name="Column3" dataDxfId="10"/>
    <tableColumn id="4" name="Column4" dataDxfId="9"/>
    <tableColumn id="5" name="Column5" dataDxfId="8"/>
    <tableColumn id="6" name="Column6" dataDxfId="7"/>
    <tableColumn id="7" name="Column7" dataDxfId="6"/>
    <tableColumn id="8" name="Column8" dataDxfId="5"/>
    <tableColumn id="9" name="Column9" dataDxfId="4"/>
    <tableColumn id="10" name="Column10" dataDxfId="3"/>
    <tableColumn id="11" name="Column11" dataDxfId="2"/>
    <tableColumn id="12" name="Column12" dataDxfId="1"/>
    <tableColumn id="13" name="Column1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opLeftCell="B1" workbookViewId="0">
      <selection activeCell="F28" sqref="F28"/>
    </sheetView>
  </sheetViews>
  <sheetFormatPr defaultColWidth="8.85546875" defaultRowHeight="15"/>
  <cols>
    <col min="1" max="1" width="3" style="4" customWidth="1"/>
    <col min="2" max="2" width="22.7109375" style="4" customWidth="1"/>
    <col min="3" max="3" width="11.7109375" style="2" bestFit="1" customWidth="1"/>
    <col min="4" max="6" width="11.42578125" style="2" bestFit="1" customWidth="1"/>
    <col min="7" max="23" width="11.42578125" style="2" customWidth="1"/>
    <col min="24" max="24" width="11.42578125" bestFit="1" customWidth="1"/>
  </cols>
  <sheetData>
    <row r="1" spans="1:24" s="75" customFormat="1" ht="18.75">
      <c r="A1" s="104" t="s">
        <v>172</v>
      </c>
      <c r="B1" s="106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4">
      <c r="A2" s="3" t="s">
        <v>173</v>
      </c>
      <c r="B2" s="1"/>
    </row>
    <row r="3" spans="1:24">
      <c r="A3" s="7"/>
      <c r="B3" s="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4">
      <c r="A4" s="8"/>
      <c r="B4" s="8"/>
      <c r="C4" s="76" t="s">
        <v>15</v>
      </c>
      <c r="D4" s="77" t="s">
        <v>16</v>
      </c>
      <c r="E4" s="77" t="s">
        <v>17</v>
      </c>
      <c r="F4" s="77" t="s">
        <v>18</v>
      </c>
      <c r="G4" s="77" t="s">
        <v>208</v>
      </c>
      <c r="H4" s="77" t="s">
        <v>209</v>
      </c>
      <c r="I4" s="77" t="s">
        <v>210</v>
      </c>
      <c r="J4" s="77" t="s">
        <v>211</v>
      </c>
      <c r="K4" s="77" t="s">
        <v>212</v>
      </c>
      <c r="L4" s="77" t="s">
        <v>213</v>
      </c>
      <c r="M4" s="77" t="s">
        <v>214</v>
      </c>
      <c r="N4" s="77" t="s">
        <v>215</v>
      </c>
      <c r="O4" s="77" t="s">
        <v>216</v>
      </c>
      <c r="P4" s="77" t="s">
        <v>217</v>
      </c>
      <c r="Q4" s="77" t="s">
        <v>218</v>
      </c>
      <c r="R4" s="77" t="s">
        <v>219</v>
      </c>
      <c r="S4" s="77" t="s">
        <v>220</v>
      </c>
      <c r="T4" s="77" t="s">
        <v>221</v>
      </c>
      <c r="U4" s="77" t="s">
        <v>222</v>
      </c>
      <c r="V4" s="77" t="s">
        <v>223</v>
      </c>
      <c r="W4" s="77"/>
      <c r="X4" s="77" t="s">
        <v>13</v>
      </c>
    </row>
    <row r="5" spans="1:24">
      <c r="B5" s="7" t="s">
        <v>19</v>
      </c>
      <c r="C5" s="46">
        <f>'Pro Forma'!BP6</f>
        <v>38642.975713556203</v>
      </c>
      <c r="D5" s="46">
        <f>'Pro Forma'!BQ6</f>
        <v>52131.830472389294</v>
      </c>
      <c r="E5" s="46">
        <f>'Pro Forma'!BR6</f>
        <v>67317.966174887566</v>
      </c>
      <c r="F5" s="46">
        <f>'Pro Forma'!BS6</f>
        <v>84378.897657127483</v>
      </c>
      <c r="G5" s="46">
        <f>'Pro Forma'!BT6</f>
        <v>89926.880211887008</v>
      </c>
      <c r="H5" s="46">
        <f>'Pro Forma'!BU6</f>
        <v>95934.206016913915</v>
      </c>
      <c r="I5" s="46">
        <f>'Pro Forma'!BV6</f>
        <v>102448.25527036574</v>
      </c>
      <c r="J5" s="46">
        <f>'Pro Forma'!BW6</f>
        <v>110349.87100937992</v>
      </c>
      <c r="K5" s="46">
        <f>'Pro Forma'!BX6</f>
        <v>118943.51745210332</v>
      </c>
      <c r="L5" s="46">
        <f>'Pro Forma'!BY6</f>
        <v>128280.01124723295</v>
      </c>
      <c r="M5" s="46">
        <f>'Pro Forma'!BZ6</f>
        <v>138412.06175325063</v>
      </c>
      <c r="N5" s="46">
        <f>'Pro Forma'!CA6</f>
        <v>149394.13966691872</v>
      </c>
      <c r="O5" s="46">
        <f>'Pro Forma'!CB6</f>
        <v>161282.34071301366</v>
      </c>
      <c r="P5" s="46">
        <f>'Pro Forma'!CC6</f>
        <v>174134.25037140708</v>
      </c>
      <c r="Q5" s="46">
        <f>'Pro Forma'!CD6</f>
        <v>188008.81576937661</v>
      </c>
      <c r="R5" s="46">
        <f>'Pro Forma'!CE6</f>
        <v>202966.23068312125</v>
      </c>
      <c r="S5" s="46">
        <f>'Pro Forma'!CF6</f>
        <v>219080.56196473551</v>
      </c>
      <c r="T5" s="46">
        <f>'Pro Forma'!CG6</f>
        <v>236142.10853344074</v>
      </c>
      <c r="U5" s="46">
        <f>'Pro Forma'!CH6</f>
        <v>254192.69775923472</v>
      </c>
      <c r="V5" s="46">
        <f>'Pro Forma'!CI6</f>
        <v>273262.11187312444</v>
      </c>
      <c r="W5" s="46"/>
      <c r="X5" s="46">
        <f>SUM(C5:F5)</f>
        <v>242471.67001796054</v>
      </c>
    </row>
    <row r="6" spans="1:24">
      <c r="B6" s="7" t="s">
        <v>23</v>
      </c>
      <c r="C6" s="46">
        <f>'Pro Forma'!BP11</f>
        <v>32911.332990651616</v>
      </c>
      <c r="D6" s="46">
        <f>'Pro Forma'!BQ11</f>
        <v>41946.871788684126</v>
      </c>
      <c r="E6" s="46">
        <f>'Pro Forma'!BR11</f>
        <v>54940.139499723577</v>
      </c>
      <c r="F6" s="46">
        <f>'Pro Forma'!BS11</f>
        <v>61277.102454449108</v>
      </c>
      <c r="G6" s="46">
        <f>'Pro Forma'!BT11</f>
        <v>62965.523879348068</v>
      </c>
      <c r="H6" s="46">
        <f>'Pro Forma'!BU11</f>
        <v>64455.84079453606</v>
      </c>
      <c r="I6" s="46">
        <f>'Pro Forma'!BV11</f>
        <v>68807.788078816811</v>
      </c>
      <c r="J6" s="46">
        <f>'Pro Forma'!BW11</f>
        <v>74108.928715656773</v>
      </c>
      <c r="K6" s="46">
        <f>'Pro Forma'!BX11</f>
        <v>80104.670214109356</v>
      </c>
      <c r="L6" s="46">
        <f>'Pro Forma'!BY11</f>
        <v>83800.777223161131</v>
      </c>
      <c r="M6" s="46">
        <f>'Pro Forma'!BZ11</f>
        <v>87955.903345908388</v>
      </c>
      <c r="N6" s="46">
        <f>'Pro Forma'!CA11</f>
        <v>92474.955366323542</v>
      </c>
      <c r="O6" s="46">
        <f>'Pro Forma'!CB11</f>
        <v>100555.7458711256</v>
      </c>
      <c r="P6" s="46">
        <f>'Pro Forma'!CC11</f>
        <v>117424.26918535661</v>
      </c>
      <c r="Q6" s="46">
        <f>'Pro Forma'!CD11</f>
        <v>134570.23718293072</v>
      </c>
      <c r="R6" s="46">
        <f>'Pro Forma'!CE11</f>
        <v>155736.74018801635</v>
      </c>
      <c r="S6" s="46">
        <f>'Pro Forma'!CF11</f>
        <v>171526.72677067254</v>
      </c>
      <c r="T6" s="46">
        <f>'Pro Forma'!CG11</f>
        <v>187468.68145429052</v>
      </c>
      <c r="U6" s="46">
        <f>'Pro Forma'!CH11</f>
        <v>196634.5156099649</v>
      </c>
      <c r="V6" s="46">
        <f>'Pro Forma'!CI11</f>
        <v>205963.13193518127</v>
      </c>
      <c r="W6" s="46"/>
      <c r="X6" s="46">
        <f t="shared" ref="X6:X11" si="0">SUM(C6:F6)</f>
        <v>191075.44673350843</v>
      </c>
    </row>
    <row r="7" spans="1:24">
      <c r="B7" s="7" t="s">
        <v>27</v>
      </c>
      <c r="C7" s="46">
        <f>'Pro Forma'!BP12</f>
        <v>5731.6427229045876</v>
      </c>
      <c r="D7" s="46">
        <f>'Pro Forma'!BQ12</f>
        <v>10184.958683705168</v>
      </c>
      <c r="E7" s="46">
        <f>'Pro Forma'!BR12</f>
        <v>12377.826675163989</v>
      </c>
      <c r="F7" s="46">
        <f>'Pro Forma'!BS12</f>
        <v>23101.795202678375</v>
      </c>
      <c r="G7" s="46">
        <f>'Pro Forma'!BT12</f>
        <v>26961.35633253894</v>
      </c>
      <c r="H7" s="46">
        <f>'Pro Forma'!BU12</f>
        <v>31478.365222377855</v>
      </c>
      <c r="I7" s="46">
        <f>'Pro Forma'!BV12</f>
        <v>33640.467191548931</v>
      </c>
      <c r="J7" s="46">
        <f>'Pro Forma'!BW12</f>
        <v>36240.942293723143</v>
      </c>
      <c r="K7" s="46">
        <f>'Pro Forma'!BX12</f>
        <v>38838.847237993963</v>
      </c>
      <c r="L7" s="46">
        <f>'Pro Forma'!BY12</f>
        <v>44479.234024071819</v>
      </c>
      <c r="M7" s="46">
        <f>'Pro Forma'!BZ12</f>
        <v>50456.158407342242</v>
      </c>
      <c r="N7" s="46">
        <f>'Pro Forma'!CA12</f>
        <v>56919.184300595181</v>
      </c>
      <c r="O7" s="46">
        <f>'Pro Forma'!CB12</f>
        <v>60726.594841888058</v>
      </c>
      <c r="P7" s="46">
        <f>'Pro Forma'!CC12</f>
        <v>56709.981186050471</v>
      </c>
      <c r="Q7" s="46">
        <f>'Pro Forma'!CD12</f>
        <v>53438.578586445889</v>
      </c>
      <c r="R7" s="46">
        <f>'Pro Forma'!CE12</f>
        <v>47229.490495104896</v>
      </c>
      <c r="S7" s="46">
        <f>'Pro Forma'!CF12</f>
        <v>47553.835194062965</v>
      </c>
      <c r="T7" s="46">
        <f>'Pro Forma'!CG12</f>
        <v>48673.42707915022</v>
      </c>
      <c r="U7" s="46">
        <f>'Pro Forma'!CH12</f>
        <v>57558.182149269822</v>
      </c>
      <c r="V7" s="46">
        <f>'Pro Forma'!CI12</f>
        <v>67298.979937943164</v>
      </c>
      <c r="W7" s="46"/>
      <c r="X7" s="46">
        <f t="shared" si="0"/>
        <v>51396.22328445212</v>
      </c>
    </row>
    <row r="8" spans="1:24">
      <c r="B8" s="7" t="s">
        <v>103</v>
      </c>
      <c r="C8" s="46">
        <f>'Pro Forma'!BP18</f>
        <v>24220</v>
      </c>
      <c r="D8" s="46">
        <f>'Pro Forma'!BQ18</f>
        <v>8435</v>
      </c>
      <c r="E8" s="46">
        <f>'Pro Forma'!BR18</f>
        <v>7165</v>
      </c>
      <c r="F8" s="46">
        <f>'Pro Forma'!BS18</f>
        <v>7165</v>
      </c>
      <c r="G8" s="46">
        <f>'Pro Forma'!BT18</f>
        <v>7005</v>
      </c>
      <c r="H8" s="46">
        <f>'Pro Forma'!BU18</f>
        <v>6162.1428599999999</v>
      </c>
      <c r="I8" s="46">
        <f>'Pro Forma'!BV18</f>
        <v>5319.2857100000001</v>
      </c>
      <c r="J8" s="46">
        <f>'Pro Forma'!BW18</f>
        <v>4636.42857</v>
      </c>
      <c r="K8" s="46">
        <f>'Pro Forma'!BX18</f>
        <v>4636.42857</v>
      </c>
      <c r="L8" s="46">
        <f>'Pro Forma'!BY18</f>
        <v>4636.42857</v>
      </c>
      <c r="M8" s="46">
        <f>'Pro Forma'!BZ18</f>
        <v>4636.42857</v>
      </c>
      <c r="N8" s="46">
        <f>'Pro Forma'!CA18</f>
        <v>4636.42857</v>
      </c>
      <c r="O8" s="46">
        <f>'Pro Forma'!CB18</f>
        <v>13169.7619</v>
      </c>
      <c r="P8" s="46">
        <f>'Pro Forma'!CC18</f>
        <v>14203.095240000001</v>
      </c>
      <c r="Q8" s="46">
        <f>'Pro Forma'!CD18</f>
        <v>15236.42857</v>
      </c>
      <c r="R8" s="46">
        <f>'Pro Forma'!CE18</f>
        <v>11936.42857</v>
      </c>
      <c r="S8" s="46">
        <f>'Pro Forma'!CF18</f>
        <v>16479.28571</v>
      </c>
      <c r="T8" s="46">
        <f>'Pro Forma'!CG18</f>
        <v>23922.14286</v>
      </c>
      <c r="U8" s="46">
        <f>'Pro Forma'!CH18</f>
        <v>25465</v>
      </c>
      <c r="V8" s="46">
        <f>'Pro Forma'!CI18</f>
        <v>26980</v>
      </c>
      <c r="W8" s="46"/>
      <c r="X8" s="46">
        <f t="shared" si="0"/>
        <v>46985</v>
      </c>
    </row>
    <row r="9" spans="1:24">
      <c r="B9" s="7" t="s">
        <v>32</v>
      </c>
      <c r="C9" s="46">
        <f>'Pro Forma'!BP25</f>
        <v>20095.4938</v>
      </c>
      <c r="D9" s="46">
        <f>'Pro Forma'!BQ25</f>
        <v>21622.772720000001</v>
      </c>
      <c r="E9" s="46">
        <f>'Pro Forma'!BR25</f>
        <v>23395.158630000002</v>
      </c>
      <c r="F9" s="46">
        <f>'Pro Forma'!BS25</f>
        <v>25450.133689999999</v>
      </c>
      <c r="G9" s="46">
        <f>'Pro Forma'!BT25</f>
        <v>26229.321029999999</v>
      </c>
      <c r="H9" s="46">
        <f>'Pro Forma'!BU25</f>
        <v>27036.275710000002</v>
      </c>
      <c r="I9" s="46">
        <f>'Pro Forma'!BV25</f>
        <v>27895.79262</v>
      </c>
      <c r="J9" s="46">
        <f>'Pro Forma'!BW25</f>
        <v>28796.193859999999</v>
      </c>
      <c r="K9" s="46">
        <f>'Pro Forma'!BX25</f>
        <v>30072.24296</v>
      </c>
      <c r="L9" s="46">
        <f>'Pro Forma'!BY25</f>
        <v>31650.30443</v>
      </c>
      <c r="M9" s="46">
        <f>'Pro Forma'!BZ25</f>
        <v>33519.32185</v>
      </c>
      <c r="N9" s="46">
        <f>'Pro Forma'!CA25</f>
        <v>35402.176599999999</v>
      </c>
      <c r="O9" s="46">
        <f>'Pro Forma'!CB25</f>
        <v>37372.914940000002</v>
      </c>
      <c r="P9" s="46">
        <f>'Pro Forma'!CC25</f>
        <v>39464.776510000003</v>
      </c>
      <c r="Q9" s="46">
        <f>'Pro Forma'!CD25</f>
        <v>41684.017119999997</v>
      </c>
      <c r="R9" s="46">
        <f>'Pro Forma'!CE25</f>
        <v>44037.04909</v>
      </c>
      <c r="S9" s="46">
        <f>'Pro Forma'!CF25</f>
        <v>45160.90238</v>
      </c>
      <c r="T9" s="46">
        <f>'Pro Forma'!CG25</f>
        <v>46554.856200000002</v>
      </c>
      <c r="U9" s="46">
        <f>'Pro Forma'!CH25</f>
        <v>48020.627809999998</v>
      </c>
      <c r="V9" s="46">
        <f>'Pro Forma'!CI25</f>
        <v>50930.765729999999</v>
      </c>
      <c r="W9" s="46"/>
      <c r="X9" s="46">
        <f t="shared" si="0"/>
        <v>90563.558840000012</v>
      </c>
    </row>
    <row r="10" spans="1:24" ht="15.75" thickBot="1">
      <c r="B10" s="7" t="s">
        <v>36</v>
      </c>
      <c r="C10" s="47">
        <f>'Pro Forma'!BP35</f>
        <v>23706.975788495147</v>
      </c>
      <c r="D10" s="47">
        <f>'Pro Forma'!BQ35</f>
        <v>23821.676672641388</v>
      </c>
      <c r="E10" s="47">
        <f>'Pro Forma'!BR35</f>
        <v>23972.664475063004</v>
      </c>
      <c r="F10" s="47">
        <f>'Pro Forma'!BS35</f>
        <v>24086.119669419899</v>
      </c>
      <c r="G10" s="47">
        <f>'Pro Forma'!BT35</f>
        <v>24088.013753409046</v>
      </c>
      <c r="H10" s="47">
        <f>'Pro Forma'!BU35</f>
        <v>23977.962470012477</v>
      </c>
      <c r="I10" s="47">
        <f>'Pro Forma'!BV35</f>
        <v>23871.280897547931</v>
      </c>
      <c r="J10" s="47">
        <f>'Pro Forma'!BW35</f>
        <v>23808.826642212378</v>
      </c>
      <c r="K10" s="47">
        <f>'Pro Forma'!BX35</f>
        <v>23872.559530987841</v>
      </c>
      <c r="L10" s="47">
        <f>'Pro Forma'!BY35</f>
        <v>23949.600055851704</v>
      </c>
      <c r="M10" s="47">
        <f>'Pro Forma'!BZ35</f>
        <v>24040.792730326164</v>
      </c>
      <c r="N10" s="47">
        <f>'Pro Forma'!CA35</f>
        <v>24140.435737686621</v>
      </c>
      <c r="O10" s="47">
        <f>'Pro Forma'!CB35</f>
        <v>24247.668529733826</v>
      </c>
      <c r="P10" s="47">
        <f>'Pro Forma'!CC35</f>
        <v>33813.957666914168</v>
      </c>
      <c r="Q10" s="47">
        <f>'Pro Forma'!CD35</f>
        <v>43388.781029889593</v>
      </c>
      <c r="R10" s="47">
        <f>'Pro Forma'!CE35</f>
        <v>53052.62697227946</v>
      </c>
      <c r="S10" s="47">
        <f>'Pro Forma'!CF35</f>
        <v>59001.822922590567</v>
      </c>
      <c r="T10" s="47">
        <f>'Pro Forma'!CG35</f>
        <v>65003.36912629447</v>
      </c>
      <c r="U10" s="47">
        <f>'Pro Forma'!CH35</f>
        <v>70927.098134421816</v>
      </c>
      <c r="V10" s="47">
        <f>'Pro Forma'!CI35</f>
        <v>71151.199023809924</v>
      </c>
      <c r="W10" s="47"/>
      <c r="X10" s="47">
        <f t="shared" si="0"/>
        <v>95587.436605619441</v>
      </c>
    </row>
    <row r="11" spans="1:24" ht="15.75" thickBot="1">
      <c r="B11" s="82" t="s">
        <v>45</v>
      </c>
      <c r="C11" s="78">
        <f>'Pro Forma'!BP37</f>
        <v>-62290.826865590563</v>
      </c>
      <c r="D11" s="78">
        <f>'Pro Forma'!BQ37</f>
        <v>-43694.490708936217</v>
      </c>
      <c r="E11" s="78">
        <f>'Pro Forma'!BR37</f>
        <v>-42154.996429899016</v>
      </c>
      <c r="F11" s="78">
        <f>'Pro Forma'!BS37</f>
        <v>-33599.458156741523</v>
      </c>
      <c r="G11" s="78">
        <f>'Pro Forma'!BT37</f>
        <v>-30360.978450870105</v>
      </c>
      <c r="H11" s="78">
        <f>'Pro Forma'!BU37</f>
        <v>-25698.015817634623</v>
      </c>
      <c r="I11" s="78">
        <f>'Pro Forma'!BV37</f>
        <v>-23445.892035999001</v>
      </c>
      <c r="J11" s="78">
        <f>'Pro Forma'!BW37</f>
        <v>-21000.506778489238</v>
      </c>
      <c r="K11" s="78">
        <f>'Pro Forma'!BX37</f>
        <v>-19742.383822993877</v>
      </c>
      <c r="L11" s="78">
        <f>'Pro Forma'!BY37</f>
        <v>-15757.099031779886</v>
      </c>
      <c r="M11" s="78">
        <f>'Pro Forma'!BZ37</f>
        <v>-11740.384742983922</v>
      </c>
      <c r="N11" s="78">
        <f>'Pro Forma'!CA37</f>
        <v>-7259.8566070914385</v>
      </c>
      <c r="O11" s="78">
        <f>'Pro Forma'!CB37</f>
        <v>-14063.750527845768</v>
      </c>
      <c r="P11" s="78">
        <f>'Pro Forma'!CC37</f>
        <v>-30771.848230863703</v>
      </c>
      <c r="Q11" s="78">
        <f>'Pro Forma'!CD37</f>
        <v>-46870.648133443698</v>
      </c>
      <c r="R11" s="78">
        <f>'Pro Forma'!CE37</f>
        <v>-61796.614137174562</v>
      </c>
      <c r="S11" s="78">
        <f>'Pro Forma'!CF37</f>
        <v>-73088.175818527598</v>
      </c>
      <c r="T11" s="78">
        <f>'Pro Forma'!CG37</f>
        <v>-86806.941107144259</v>
      </c>
      <c r="U11" s="78">
        <f>'Pro Forma'!CH37</f>
        <v>-86854.543795152014</v>
      </c>
      <c r="V11" s="78">
        <f>'Pro Forma'!CI37</f>
        <v>-81762.984815866745</v>
      </c>
      <c r="W11" s="78"/>
      <c r="X11" s="78">
        <f t="shared" si="0"/>
        <v>-181739.77216116732</v>
      </c>
    </row>
    <row r="12" spans="1:24">
      <c r="B12"/>
    </row>
    <row r="13" spans="1:24" hidden="1">
      <c r="A13" s="17"/>
      <c r="B13" s="7" t="s">
        <v>19</v>
      </c>
      <c r="C13" s="15">
        <f>'Pro Forma'!CM6</f>
        <v>1</v>
      </c>
      <c r="D13" s="15">
        <f>'Pro Forma'!CN6</f>
        <v>1</v>
      </c>
      <c r="E13" s="15">
        <f>'Pro Forma'!CO6</f>
        <v>0.99999999999999989</v>
      </c>
      <c r="F13" s="15">
        <f>'Pro Forma'!CP6</f>
        <v>0.99999999999999989</v>
      </c>
      <c r="G13" s="15">
        <f>'Pro Forma'!CQ6</f>
        <v>1</v>
      </c>
      <c r="H13" s="15">
        <f>'Pro Forma'!CR6</f>
        <v>0</v>
      </c>
      <c r="I13" s="15">
        <f>'Pro Forma'!CS6</f>
        <v>0</v>
      </c>
      <c r="J13" s="15">
        <f>'Pro Forma'!CT6</f>
        <v>0</v>
      </c>
      <c r="K13" s="15">
        <f>'Pro Forma'!CU6</f>
        <v>0</v>
      </c>
      <c r="L13" s="15">
        <f>'Pro Forma'!CV6</f>
        <v>0</v>
      </c>
      <c r="M13" s="15">
        <f>'Pro Forma'!CW6</f>
        <v>0</v>
      </c>
      <c r="N13" s="15">
        <f>'Pro Forma'!CX6</f>
        <v>0</v>
      </c>
      <c r="O13" s="15">
        <f>'Pro Forma'!CY6</f>
        <v>0</v>
      </c>
      <c r="P13" s="15">
        <f>'Pro Forma'!CZ6</f>
        <v>0</v>
      </c>
      <c r="Q13" s="15">
        <f>'Pro Forma'!DA6</f>
        <v>0</v>
      </c>
      <c r="R13" s="15">
        <f>'Pro Forma'!DB6</f>
        <v>0</v>
      </c>
      <c r="S13" s="15">
        <f>'Pro Forma'!DC6</f>
        <v>0</v>
      </c>
      <c r="T13" s="15">
        <f>'Pro Forma'!DD6</f>
        <v>0</v>
      </c>
      <c r="U13" s="15">
        <f>'Pro Forma'!DE6</f>
        <v>0</v>
      </c>
      <c r="V13" s="15">
        <f>'Pro Forma'!DF6</f>
        <v>0</v>
      </c>
      <c r="W13" s="15"/>
      <c r="X13" s="15">
        <f>'Pro Forma'!CQ6</f>
        <v>1</v>
      </c>
    </row>
    <row r="14" spans="1:24" hidden="1">
      <c r="A14"/>
      <c r="B14" s="7" t="s">
        <v>23</v>
      </c>
      <c r="C14" s="15">
        <f>'Pro Forma'!CM11</f>
        <v>0.85167698353794496</v>
      </c>
      <c r="D14" s="15">
        <f>'Pro Forma'!CN11</f>
        <v>0.80463071042365453</v>
      </c>
      <c r="E14" s="15">
        <f>'Pro Forma'!CO11</f>
        <v>0.81612892696420414</v>
      </c>
      <c r="F14" s="15">
        <f>'Pro Forma'!CP11</f>
        <v>0.7262135931598418</v>
      </c>
      <c r="G14" s="15">
        <f>'Pro Forma'!CQ11</f>
        <v>0.78803204811248628</v>
      </c>
      <c r="H14" s="15">
        <f>'Pro Forma'!CR11</f>
        <v>0</v>
      </c>
      <c r="I14" s="15">
        <f>'Pro Forma'!CS11</f>
        <v>0</v>
      </c>
      <c r="J14" s="15">
        <f>'Pro Forma'!CT11</f>
        <v>0</v>
      </c>
      <c r="K14" s="15">
        <f>'Pro Forma'!CU11</f>
        <v>0</v>
      </c>
      <c r="L14" s="15">
        <f>'Pro Forma'!CV11</f>
        <v>0</v>
      </c>
      <c r="M14" s="15">
        <f>'Pro Forma'!CW11</f>
        <v>0</v>
      </c>
      <c r="N14" s="15">
        <f>'Pro Forma'!CX11</f>
        <v>0</v>
      </c>
      <c r="O14" s="15">
        <f>'Pro Forma'!CY11</f>
        <v>0</v>
      </c>
      <c r="P14" s="15">
        <f>'Pro Forma'!CZ11</f>
        <v>0</v>
      </c>
      <c r="Q14" s="15">
        <f>'Pro Forma'!DA11</f>
        <v>0</v>
      </c>
      <c r="R14" s="15">
        <f>'Pro Forma'!DB11</f>
        <v>0</v>
      </c>
      <c r="S14" s="15">
        <f>'Pro Forma'!DC11</f>
        <v>0</v>
      </c>
      <c r="T14" s="15">
        <f>'Pro Forma'!DD11</f>
        <v>0</v>
      </c>
      <c r="U14" s="15">
        <f>'Pro Forma'!DE11</f>
        <v>0</v>
      </c>
      <c r="V14" s="15">
        <f>'Pro Forma'!DF11</f>
        <v>0</v>
      </c>
      <c r="W14" s="15"/>
      <c r="X14" s="15">
        <f>'Pro Forma'!CQ11</f>
        <v>0.78803204811248628</v>
      </c>
    </row>
    <row r="15" spans="1:24" hidden="1">
      <c r="A15"/>
      <c r="B15" s="7" t="s">
        <v>117</v>
      </c>
      <c r="C15" s="15">
        <f>'Pro Forma'!CM12</f>
        <v>0.14832301646205504</v>
      </c>
      <c r="D15" s="15">
        <f>'Pro Forma'!CN12</f>
        <v>0.19536928957634547</v>
      </c>
      <c r="E15" s="15">
        <f>'Pro Forma'!CO12</f>
        <v>0.18387107303579575</v>
      </c>
      <c r="F15" s="15">
        <f>'Pro Forma'!CP12</f>
        <v>0.27378640684015809</v>
      </c>
      <c r="G15" s="15">
        <f>'Pro Forma'!CQ12</f>
        <v>0.21196795188751372</v>
      </c>
      <c r="H15" s="15">
        <f>'Pro Forma'!CR12</f>
        <v>0</v>
      </c>
      <c r="I15" s="15">
        <f>'Pro Forma'!CS12</f>
        <v>0</v>
      </c>
      <c r="J15" s="15">
        <f>'Pro Forma'!CT12</f>
        <v>0</v>
      </c>
      <c r="K15" s="15">
        <f>'Pro Forma'!CU12</f>
        <v>0</v>
      </c>
      <c r="L15" s="15">
        <f>'Pro Forma'!CV12</f>
        <v>0</v>
      </c>
      <c r="M15" s="15">
        <f>'Pro Forma'!CW12</f>
        <v>0</v>
      </c>
      <c r="N15" s="15">
        <f>'Pro Forma'!CX12</f>
        <v>0</v>
      </c>
      <c r="O15" s="15">
        <f>'Pro Forma'!CY12</f>
        <v>0</v>
      </c>
      <c r="P15" s="15">
        <f>'Pro Forma'!CZ12</f>
        <v>0</v>
      </c>
      <c r="Q15" s="15">
        <f>'Pro Forma'!DA12</f>
        <v>0</v>
      </c>
      <c r="R15" s="15">
        <f>'Pro Forma'!DB12</f>
        <v>0</v>
      </c>
      <c r="S15" s="15">
        <f>'Pro Forma'!DC12</f>
        <v>0</v>
      </c>
      <c r="T15" s="15">
        <f>'Pro Forma'!DD12</f>
        <v>0</v>
      </c>
      <c r="U15" s="15">
        <f>'Pro Forma'!DE12</f>
        <v>0</v>
      </c>
      <c r="V15" s="15">
        <f>'Pro Forma'!DF12</f>
        <v>0</v>
      </c>
      <c r="W15" s="15"/>
      <c r="X15" s="15">
        <f>'Pro Forma'!CQ12</f>
        <v>0.21196795188751372</v>
      </c>
    </row>
    <row r="16" spans="1:24" hidden="1">
      <c r="A16"/>
      <c r="B16" s="7" t="s">
        <v>103</v>
      </c>
      <c r="C16" s="15">
        <f>'Pro Forma'!CM18</f>
        <v>0.62676332639423182</v>
      </c>
      <c r="D16" s="15">
        <f>'Pro Forma'!CN18</f>
        <v>0.16180133948044373</v>
      </c>
      <c r="E16" s="15">
        <f>'Pro Forma'!CO18</f>
        <v>0.10643518227193333</v>
      </c>
      <c r="F16" s="15">
        <f>'Pro Forma'!CP18</f>
        <v>8.491459593505099E-2</v>
      </c>
      <c r="G16" s="15">
        <f>'Pro Forma'!CQ18</f>
        <v>0.19377999999999998</v>
      </c>
      <c r="H16" s="15">
        <f>'Pro Forma'!CR18</f>
        <v>0</v>
      </c>
      <c r="I16" s="15">
        <f>'Pro Forma'!CS18</f>
        <v>0</v>
      </c>
      <c r="J16" s="15">
        <f>'Pro Forma'!CT18</f>
        <v>0</v>
      </c>
      <c r="K16" s="15">
        <f>'Pro Forma'!CU18</f>
        <v>0</v>
      </c>
      <c r="L16" s="15">
        <f>'Pro Forma'!CV18</f>
        <v>0</v>
      </c>
      <c r="M16" s="15">
        <f>'Pro Forma'!CW18</f>
        <v>0</v>
      </c>
      <c r="N16" s="15">
        <f>'Pro Forma'!CX18</f>
        <v>0</v>
      </c>
      <c r="O16" s="15">
        <f>'Pro Forma'!CY18</f>
        <v>0</v>
      </c>
      <c r="P16" s="15">
        <f>'Pro Forma'!CZ18</f>
        <v>0</v>
      </c>
      <c r="Q16" s="15">
        <f>'Pro Forma'!DA18</f>
        <v>0</v>
      </c>
      <c r="R16" s="15">
        <f>'Pro Forma'!DB18</f>
        <v>0</v>
      </c>
      <c r="S16" s="15">
        <f>'Pro Forma'!DC18</f>
        <v>0</v>
      </c>
      <c r="T16" s="15">
        <f>'Pro Forma'!DD18</f>
        <v>0</v>
      </c>
      <c r="U16" s="15">
        <f>'Pro Forma'!DE18</f>
        <v>0</v>
      </c>
      <c r="V16" s="15">
        <f>'Pro Forma'!DF18</f>
        <v>0</v>
      </c>
      <c r="W16" s="15"/>
      <c r="X16" s="15">
        <f>'Pro Forma'!CQ18</f>
        <v>0.19377999999999998</v>
      </c>
    </row>
    <row r="17" spans="1:62" hidden="1">
      <c r="A17"/>
      <c r="B17" s="7" t="s">
        <v>32</v>
      </c>
      <c r="C17" s="15">
        <f>'Pro Forma'!CM25</f>
        <v>0.52002966714046606</v>
      </c>
      <c r="D17" s="15">
        <f>'Pro Forma'!CN25</f>
        <v>0.41477102421091538</v>
      </c>
      <c r="E17" s="15">
        <f>'Pro Forma'!CO25</f>
        <v>0.34753216653499913</v>
      </c>
      <c r="F17" s="15">
        <f>'Pro Forma'!CP25</f>
        <v>0.30161728109015851</v>
      </c>
      <c r="G17" s="15">
        <f>'Pro Forma'!CQ25</f>
        <v>0.37351000000000001</v>
      </c>
      <c r="H17" s="15">
        <f>'Pro Forma'!CR25</f>
        <v>0</v>
      </c>
      <c r="I17" s="15">
        <f>'Pro Forma'!CS25</f>
        <v>0</v>
      </c>
      <c r="J17" s="15">
        <f>'Pro Forma'!CT25</f>
        <v>0</v>
      </c>
      <c r="K17" s="15">
        <f>'Pro Forma'!CU25</f>
        <v>0</v>
      </c>
      <c r="L17" s="15">
        <f>'Pro Forma'!CV25</f>
        <v>0</v>
      </c>
      <c r="M17" s="15">
        <f>'Pro Forma'!CW25</f>
        <v>0</v>
      </c>
      <c r="N17" s="15">
        <f>'Pro Forma'!CX25</f>
        <v>0</v>
      </c>
      <c r="O17" s="15">
        <f>'Pro Forma'!CY25</f>
        <v>0</v>
      </c>
      <c r="P17" s="15">
        <f>'Pro Forma'!CZ25</f>
        <v>0</v>
      </c>
      <c r="Q17" s="15">
        <f>'Pro Forma'!DA25</f>
        <v>0</v>
      </c>
      <c r="R17" s="15">
        <f>'Pro Forma'!DB25</f>
        <v>0</v>
      </c>
      <c r="S17" s="15">
        <f>'Pro Forma'!DC25</f>
        <v>0</v>
      </c>
      <c r="T17" s="15">
        <f>'Pro Forma'!DD25</f>
        <v>0</v>
      </c>
      <c r="U17" s="15">
        <f>'Pro Forma'!DE25</f>
        <v>0</v>
      </c>
      <c r="V17" s="15">
        <f>'Pro Forma'!DF25</f>
        <v>0</v>
      </c>
      <c r="W17" s="15"/>
      <c r="X17" s="15">
        <f>'Pro Forma'!CQ25</f>
        <v>0.37351000000000001</v>
      </c>
    </row>
    <row r="18" spans="1:62" ht="15.75" hidden="1" thickBot="1">
      <c r="A18"/>
      <c r="B18" s="7" t="s">
        <v>36</v>
      </c>
      <c r="C18" s="13">
        <f>'Pro Forma'!CM35</f>
        <v>0.61348732468805689</v>
      </c>
      <c r="D18" s="13">
        <f>'Pro Forma'!CN35</f>
        <v>0.45695070471884003</v>
      </c>
      <c r="E18" s="13">
        <f>'Pro Forma'!CO35</f>
        <v>0.356110943886564</v>
      </c>
      <c r="F18" s="13">
        <f>'Pro Forma'!CP35</f>
        <v>0.28545193571138511</v>
      </c>
      <c r="G18" s="13">
        <f>'Pro Forma'!CQ35</f>
        <v>0.39422999999999997</v>
      </c>
      <c r="H18" s="13">
        <f>'Pro Forma'!CR35</f>
        <v>0</v>
      </c>
      <c r="I18" s="13">
        <f>'Pro Forma'!CS35</f>
        <v>0</v>
      </c>
      <c r="J18" s="13">
        <f>'Pro Forma'!CT35</f>
        <v>0</v>
      </c>
      <c r="K18" s="13">
        <f>'Pro Forma'!CU35</f>
        <v>0</v>
      </c>
      <c r="L18" s="13">
        <f>'Pro Forma'!CV35</f>
        <v>0</v>
      </c>
      <c r="M18" s="13">
        <f>'Pro Forma'!CW35</f>
        <v>0</v>
      </c>
      <c r="N18" s="13">
        <f>'Pro Forma'!CX35</f>
        <v>0</v>
      </c>
      <c r="O18" s="13">
        <f>'Pro Forma'!CY35</f>
        <v>0</v>
      </c>
      <c r="P18" s="13">
        <f>'Pro Forma'!CZ35</f>
        <v>0</v>
      </c>
      <c r="Q18" s="13">
        <f>'Pro Forma'!DA35</f>
        <v>0</v>
      </c>
      <c r="R18" s="13">
        <f>'Pro Forma'!DB35</f>
        <v>0</v>
      </c>
      <c r="S18" s="13">
        <f>'Pro Forma'!DC35</f>
        <v>0</v>
      </c>
      <c r="T18" s="13">
        <f>'Pro Forma'!DD35</f>
        <v>0</v>
      </c>
      <c r="U18" s="13">
        <f>'Pro Forma'!DE35</f>
        <v>0</v>
      </c>
      <c r="V18" s="13">
        <f>'Pro Forma'!DF35</f>
        <v>0</v>
      </c>
      <c r="W18" s="13"/>
      <c r="X18" s="13">
        <f>'Pro Forma'!CQ35</f>
        <v>0.39422999999999997</v>
      </c>
    </row>
    <row r="19" spans="1:62" ht="15.75" hidden="1" thickBot="1">
      <c r="A19"/>
      <c r="B19" s="82" t="s">
        <v>45</v>
      </c>
      <c r="C19" s="79">
        <f>'Pro Forma'!CM37</f>
        <v>-1.6119573018218301</v>
      </c>
      <c r="D19" s="79">
        <f>'Pro Forma'!CN37</f>
        <v>-0.83815377885260012</v>
      </c>
      <c r="E19" s="79">
        <f>'Pro Forma'!CO37</f>
        <v>-0.62620721963558967</v>
      </c>
      <c r="F19" s="79">
        <f>'Pro Forma'!CP37</f>
        <v>-0.39819740586411151</v>
      </c>
      <c r="G19" s="79">
        <f>'Pro Forma'!CQ37</f>
        <v>-0.74952992301205901</v>
      </c>
      <c r="H19" s="79">
        <f>'Pro Forma'!CR37</f>
        <v>0</v>
      </c>
      <c r="I19" s="79">
        <f>'Pro Forma'!CS37</f>
        <v>0</v>
      </c>
      <c r="J19" s="79">
        <f>'Pro Forma'!CT37</f>
        <v>0</v>
      </c>
      <c r="K19" s="79">
        <f>'Pro Forma'!CU37</f>
        <v>0</v>
      </c>
      <c r="L19" s="79">
        <f>'Pro Forma'!CV37</f>
        <v>0</v>
      </c>
      <c r="M19" s="79">
        <f>'Pro Forma'!CW37</f>
        <v>0</v>
      </c>
      <c r="N19" s="79">
        <f>'Pro Forma'!CX37</f>
        <v>0</v>
      </c>
      <c r="O19" s="79">
        <f>'Pro Forma'!CY37</f>
        <v>0</v>
      </c>
      <c r="P19" s="79">
        <f>'Pro Forma'!CZ37</f>
        <v>0</v>
      </c>
      <c r="Q19" s="79">
        <f>'Pro Forma'!DA37</f>
        <v>0</v>
      </c>
      <c r="R19" s="79">
        <f>'Pro Forma'!DB37</f>
        <v>0</v>
      </c>
      <c r="S19" s="79">
        <f>'Pro Forma'!DC37</f>
        <v>0</v>
      </c>
      <c r="T19" s="79">
        <f>'Pro Forma'!DD37</f>
        <v>0</v>
      </c>
      <c r="U19" s="79">
        <f>'Pro Forma'!DE37</f>
        <v>0</v>
      </c>
      <c r="V19" s="79">
        <f>'Pro Forma'!DF37</f>
        <v>0</v>
      </c>
      <c r="W19" s="79"/>
      <c r="X19" s="79">
        <f>'Pro Forma'!CQ37</f>
        <v>-0.74952992301205901</v>
      </c>
    </row>
    <row r="20" spans="1:62" hidden="1">
      <c r="A20"/>
      <c r="B20" s="18"/>
    </row>
    <row r="21" spans="1:62">
      <c r="A21"/>
      <c r="B21" s="81" t="s">
        <v>120</v>
      </c>
      <c r="C21" s="89">
        <f>C5</f>
        <v>38642.975713556203</v>
      </c>
      <c r="D21" s="89">
        <f>C21+D5</f>
        <v>90774.80618594549</v>
      </c>
      <c r="E21" s="89">
        <f t="shared" ref="E21:V21" si="1">D21+E5</f>
        <v>158092.77236083307</v>
      </c>
      <c r="F21" s="89">
        <f t="shared" si="1"/>
        <v>242471.67001796054</v>
      </c>
      <c r="G21" s="89">
        <f t="shared" si="1"/>
        <v>332398.55022984755</v>
      </c>
      <c r="H21" s="89">
        <f t="shared" si="1"/>
        <v>428332.75624676148</v>
      </c>
      <c r="I21" s="89">
        <f t="shared" si="1"/>
        <v>530781.01151712728</v>
      </c>
      <c r="J21" s="89">
        <f t="shared" si="1"/>
        <v>641130.88252650714</v>
      </c>
      <c r="K21" s="89">
        <f t="shared" si="1"/>
        <v>760074.39997861045</v>
      </c>
      <c r="L21" s="89">
        <f t="shared" si="1"/>
        <v>888354.41122584336</v>
      </c>
      <c r="M21" s="89">
        <f t="shared" si="1"/>
        <v>1026766.472979094</v>
      </c>
      <c r="N21" s="89">
        <f t="shared" si="1"/>
        <v>1176160.6126460128</v>
      </c>
      <c r="O21" s="89">
        <f t="shared" si="1"/>
        <v>1337442.9533590265</v>
      </c>
      <c r="P21" s="89">
        <f t="shared" si="1"/>
        <v>1511577.2037304335</v>
      </c>
      <c r="Q21" s="89">
        <f t="shared" si="1"/>
        <v>1699586.0194998102</v>
      </c>
      <c r="R21" s="89">
        <f t="shared" si="1"/>
        <v>1902552.2501829313</v>
      </c>
      <c r="S21" s="89">
        <f t="shared" si="1"/>
        <v>2121632.8121476667</v>
      </c>
      <c r="T21" s="89">
        <f t="shared" si="1"/>
        <v>2357774.9206811073</v>
      </c>
      <c r="U21" s="89">
        <f t="shared" si="1"/>
        <v>2611967.6184403421</v>
      </c>
      <c r="V21" s="89">
        <f t="shared" si="1"/>
        <v>2885229.7303134664</v>
      </c>
      <c r="W21" s="89"/>
      <c r="X21" s="80"/>
    </row>
    <row r="25" spans="1:62" s="21" customFormat="1">
      <c r="A25" s="4"/>
      <c r="C25" s="83" t="s">
        <v>105</v>
      </c>
      <c r="D25" s="83" t="s">
        <v>106</v>
      </c>
      <c r="E25" s="83" t="s">
        <v>107</v>
      </c>
      <c r="F25" s="83" t="s">
        <v>108</v>
      </c>
      <c r="G25" s="83" t="s">
        <v>109</v>
      </c>
      <c r="H25" s="83" t="s">
        <v>110</v>
      </c>
      <c r="I25" s="83" t="s">
        <v>145</v>
      </c>
      <c r="J25" s="83" t="s">
        <v>8</v>
      </c>
      <c r="K25" s="83" t="s">
        <v>9</v>
      </c>
      <c r="L25" s="83" t="s">
        <v>10</v>
      </c>
      <c r="M25" s="83" t="s">
        <v>175</v>
      </c>
      <c r="N25" s="83" t="s">
        <v>12</v>
      </c>
      <c r="O25" s="83" t="s">
        <v>105</v>
      </c>
      <c r="P25" s="83" t="s">
        <v>106</v>
      </c>
      <c r="Q25" s="83" t="s">
        <v>107</v>
      </c>
      <c r="R25" s="83" t="s">
        <v>108</v>
      </c>
      <c r="S25" s="83" t="s">
        <v>109</v>
      </c>
      <c r="T25" s="83" t="s">
        <v>110</v>
      </c>
      <c r="U25" s="83" t="s">
        <v>145</v>
      </c>
      <c r="V25" s="83" t="s">
        <v>8</v>
      </c>
      <c r="W25" s="83" t="s">
        <v>9</v>
      </c>
      <c r="X25" s="83" t="s">
        <v>10</v>
      </c>
      <c r="Y25" s="83" t="s">
        <v>175</v>
      </c>
      <c r="Z25" s="83" t="s">
        <v>12</v>
      </c>
      <c r="AA25" s="83" t="s">
        <v>105</v>
      </c>
      <c r="AB25" s="83" t="s">
        <v>106</v>
      </c>
      <c r="AC25" s="83" t="s">
        <v>107</v>
      </c>
      <c r="AD25" s="83" t="s">
        <v>108</v>
      </c>
      <c r="AE25" s="83" t="s">
        <v>109</v>
      </c>
      <c r="AF25" s="83" t="s">
        <v>110</v>
      </c>
      <c r="AG25" s="83" t="s">
        <v>145</v>
      </c>
      <c r="AH25" s="83" t="s">
        <v>8</v>
      </c>
      <c r="AI25" s="83" t="s">
        <v>9</v>
      </c>
      <c r="AJ25" s="83" t="s">
        <v>10</v>
      </c>
      <c r="AK25" s="83" t="s">
        <v>175</v>
      </c>
      <c r="AL25" s="83" t="s">
        <v>12</v>
      </c>
      <c r="AM25" s="83" t="s">
        <v>105</v>
      </c>
      <c r="AN25" s="83" t="s">
        <v>106</v>
      </c>
      <c r="AO25" s="83" t="s">
        <v>107</v>
      </c>
      <c r="AP25" s="83" t="s">
        <v>108</v>
      </c>
      <c r="AQ25" s="83" t="s">
        <v>109</v>
      </c>
      <c r="AR25" s="83" t="s">
        <v>110</v>
      </c>
      <c r="AS25" s="83" t="s">
        <v>145</v>
      </c>
      <c r="AT25" s="83" t="s">
        <v>8</v>
      </c>
      <c r="AU25" s="83" t="s">
        <v>9</v>
      </c>
      <c r="AV25" s="83" t="s">
        <v>10</v>
      </c>
      <c r="AW25" s="83" t="s">
        <v>175</v>
      </c>
      <c r="AX25" s="83" t="s">
        <v>12</v>
      </c>
      <c r="AY25" s="83" t="s">
        <v>105</v>
      </c>
      <c r="AZ25" s="83" t="s">
        <v>106</v>
      </c>
      <c r="BA25" s="83" t="s">
        <v>107</v>
      </c>
      <c r="BB25" s="83" t="s">
        <v>108</v>
      </c>
      <c r="BC25" s="83" t="s">
        <v>109</v>
      </c>
      <c r="BD25" s="83" t="s">
        <v>110</v>
      </c>
      <c r="BE25" s="83" t="s">
        <v>145</v>
      </c>
      <c r="BF25" s="83" t="s">
        <v>8</v>
      </c>
      <c r="BG25" s="83" t="s">
        <v>9</v>
      </c>
      <c r="BH25" s="83" t="s">
        <v>10</v>
      </c>
      <c r="BI25" s="83" t="s">
        <v>175</v>
      </c>
      <c r="BJ25" s="83" t="s">
        <v>12</v>
      </c>
    </row>
    <row r="26" spans="1:62">
      <c r="B26" s="7" t="s">
        <v>111</v>
      </c>
      <c r="C26" s="90">
        <f>'Pro Forma'!E6/'Pro Forma'!E6</f>
        <v>1</v>
      </c>
      <c r="D26" s="91">
        <f>'Pro Forma'!F6/'Pro Forma'!F6</f>
        <v>1</v>
      </c>
      <c r="E26" s="91">
        <f>'Pro Forma'!G6/'Pro Forma'!G6</f>
        <v>1</v>
      </c>
      <c r="F26" s="91">
        <f>'Pro Forma'!H6/'Pro Forma'!H6</f>
        <v>1</v>
      </c>
      <c r="G26" s="91">
        <f>'Pro Forma'!I6/'Pro Forma'!I6</f>
        <v>1</v>
      </c>
      <c r="H26" s="91">
        <f>'Pro Forma'!J6/'Pro Forma'!J6</f>
        <v>1</v>
      </c>
      <c r="I26" s="91">
        <f>SUM('Pro Forma'!K6:P6)/SUM('Pro Forma'!K6:P6)</f>
        <v>1</v>
      </c>
      <c r="J26" s="91">
        <f>SUM('Pro Forma'!L6:BN6)/SUM('Pro Forma'!L6:BN6)</f>
        <v>1</v>
      </c>
      <c r="K26" s="91">
        <f>SUM('Pro Forma'!M6:BO6)/SUM('Pro Forma'!M6:BO6)</f>
        <v>1</v>
      </c>
      <c r="L26" s="91">
        <f>SUM('Pro Forma'!N6:BP6)/SUM('Pro Forma'!N6:BP6)</f>
        <v>1</v>
      </c>
      <c r="M26" s="91">
        <f>SUM('Pro Forma'!O6:BQ6)/SUM('Pro Forma'!O6:BQ6)</f>
        <v>1</v>
      </c>
      <c r="N26" s="92">
        <f>SUM('Pro Forma'!P6:BR6)/SUM('Pro Forma'!P6:BR6)</f>
        <v>1</v>
      </c>
      <c r="O26" s="90">
        <f>'Pro Forma'!Q6/'Pro Forma'!Q6</f>
        <v>1</v>
      </c>
      <c r="P26" s="91">
        <f>'Pro Forma'!R6/'Pro Forma'!R6</f>
        <v>1</v>
      </c>
      <c r="Q26" s="91">
        <f>'Pro Forma'!S6/'Pro Forma'!S6</f>
        <v>1</v>
      </c>
      <c r="R26" s="91">
        <f>'Pro Forma'!T6/'Pro Forma'!T6</f>
        <v>1</v>
      </c>
      <c r="S26" s="91">
        <f>'Pro Forma'!U6/'Pro Forma'!U6</f>
        <v>1</v>
      </c>
      <c r="T26" s="91">
        <f>'Pro Forma'!V6/'Pro Forma'!V6</f>
        <v>1</v>
      </c>
      <c r="U26" s="91">
        <f>SUM('Pro Forma'!W6:AB6)/SUM('Pro Forma'!W6:AB6)</f>
        <v>1</v>
      </c>
      <c r="V26" s="91">
        <f>SUM('Pro Forma'!X6:BZ6)/SUM('Pro Forma'!X6:BZ6)</f>
        <v>1</v>
      </c>
      <c r="W26" s="91">
        <f>SUM('Pro Forma'!Y6:CA6)/SUM('Pro Forma'!Y6:CA6)</f>
        <v>1</v>
      </c>
      <c r="X26" s="91">
        <f>SUM('Pro Forma'!Z6:CB6)/SUM('Pro Forma'!Z6:CB6)</f>
        <v>1</v>
      </c>
      <c r="Y26" s="91">
        <f>SUM('Pro Forma'!AA6:CC6)/SUM('Pro Forma'!AA6:CC6)</f>
        <v>1</v>
      </c>
      <c r="Z26" s="92">
        <f>SUM('Pro Forma'!AB6:CD6)/SUM('Pro Forma'!AB6:CD6)</f>
        <v>1</v>
      </c>
      <c r="AA26" s="90">
        <f>'Pro Forma'!AC6/'Pro Forma'!AC6</f>
        <v>1</v>
      </c>
      <c r="AB26" s="91">
        <f>'Pro Forma'!AD6/'Pro Forma'!AD6</f>
        <v>1</v>
      </c>
      <c r="AC26" s="91">
        <f>'Pro Forma'!AE6/'Pro Forma'!AE6</f>
        <v>1</v>
      </c>
      <c r="AD26" s="91">
        <f>'Pro Forma'!AF6/'Pro Forma'!AF6</f>
        <v>1</v>
      </c>
      <c r="AE26" s="91">
        <f>'Pro Forma'!AG6/'Pro Forma'!AG6</f>
        <v>1</v>
      </c>
      <c r="AF26" s="91">
        <f>'Pro Forma'!AH6/'Pro Forma'!AH6</f>
        <v>1</v>
      </c>
      <c r="AG26" s="91">
        <f>SUM('Pro Forma'!AI6:AN6)/SUM('Pro Forma'!AI6:AN6)</f>
        <v>1</v>
      </c>
      <c r="AH26" s="91">
        <f>SUM('Pro Forma'!AJ6:CL6)/SUM('Pro Forma'!AJ6:CL6)</f>
        <v>1</v>
      </c>
      <c r="AI26" s="91">
        <f>SUM('Pro Forma'!AK6:CM6)/SUM('Pro Forma'!AK6:CM6)</f>
        <v>1</v>
      </c>
      <c r="AJ26" s="91">
        <f>SUM('Pro Forma'!AL6:CN6)/SUM('Pro Forma'!AL6:CN6)</f>
        <v>1</v>
      </c>
      <c r="AK26" s="91">
        <f>SUM('Pro Forma'!AM6:CO6)/SUM('Pro Forma'!AM6:CO6)</f>
        <v>1</v>
      </c>
      <c r="AL26" s="92">
        <f>SUM('Pro Forma'!AN6:CP6)/SUM('Pro Forma'!AN6:CP6)</f>
        <v>1</v>
      </c>
      <c r="AM26" s="90">
        <f>'Pro Forma'!AO6/'Pro Forma'!AO6</f>
        <v>1</v>
      </c>
      <c r="AN26" s="91">
        <f>'Pro Forma'!AP6/'Pro Forma'!AP6</f>
        <v>1</v>
      </c>
      <c r="AO26" s="91">
        <f>'Pro Forma'!AQ6/'Pro Forma'!AQ6</f>
        <v>1</v>
      </c>
      <c r="AP26" s="91">
        <f>'Pro Forma'!AR6/'Pro Forma'!AR6</f>
        <v>1</v>
      </c>
      <c r="AQ26" s="91">
        <f>'Pro Forma'!AS6/'Pro Forma'!AS6</f>
        <v>1</v>
      </c>
      <c r="AR26" s="91">
        <f>'Pro Forma'!AT6/'Pro Forma'!AT6</f>
        <v>1</v>
      </c>
      <c r="AS26" s="91">
        <f>SUM('Pro Forma'!AU6:AZ6)/SUM('Pro Forma'!AU6:AZ6)</f>
        <v>1</v>
      </c>
      <c r="AT26" s="91">
        <f>SUM('Pro Forma'!AV6:CX6)/SUM('Pro Forma'!AV6:CX6)</f>
        <v>1</v>
      </c>
      <c r="AU26" s="91">
        <f>SUM('Pro Forma'!AW6:CY6)/SUM('Pro Forma'!AW6:CY6)</f>
        <v>1</v>
      </c>
      <c r="AV26" s="91">
        <f>SUM('Pro Forma'!AX6:CZ6)/SUM('Pro Forma'!AX6:CZ6)</f>
        <v>1</v>
      </c>
      <c r="AW26" s="91">
        <f>SUM('Pro Forma'!AY6:DA6)/SUM('Pro Forma'!AY6:DA6)</f>
        <v>1</v>
      </c>
      <c r="AX26" s="92">
        <f>SUM('Pro Forma'!AZ6:DB6)/SUM('Pro Forma'!AZ6:DB6)</f>
        <v>1</v>
      </c>
      <c r="AY26" s="90">
        <f>'Pro Forma'!BA6/'Pro Forma'!BA6</f>
        <v>1</v>
      </c>
      <c r="AZ26" s="91">
        <f>'Pro Forma'!BB6/'Pro Forma'!BB6</f>
        <v>1</v>
      </c>
      <c r="BA26" s="91">
        <f>'Pro Forma'!BC6/'Pro Forma'!BC6</f>
        <v>1</v>
      </c>
      <c r="BB26" s="91">
        <f>'Pro Forma'!BD6/'Pro Forma'!BD6</f>
        <v>1</v>
      </c>
      <c r="BC26" s="91">
        <f>'Pro Forma'!BE6/'Pro Forma'!BE6</f>
        <v>1</v>
      </c>
      <c r="BD26" s="91">
        <f>'Pro Forma'!BF6/'Pro Forma'!BF6</f>
        <v>1</v>
      </c>
      <c r="BE26" s="91">
        <f>SUM('Pro Forma'!BG6:BL6)/SUM('Pro Forma'!BG6:BL6)</f>
        <v>1</v>
      </c>
      <c r="BF26" s="91">
        <f>SUM('Pro Forma'!BH6:DJ6)/SUM('Pro Forma'!BH6:DJ6)</f>
        <v>1</v>
      </c>
      <c r="BG26" s="91">
        <f>SUM('Pro Forma'!BI6:DK6)/SUM('Pro Forma'!BI6:DK6)</f>
        <v>1</v>
      </c>
      <c r="BH26" s="91">
        <f>SUM('Pro Forma'!BJ6:DL6)/SUM('Pro Forma'!BJ6:DL6)</f>
        <v>1</v>
      </c>
      <c r="BI26" s="91">
        <f>SUM('Pro Forma'!BK6:DM6)/SUM('Pro Forma'!BK6:DM6)</f>
        <v>1</v>
      </c>
      <c r="BJ26" s="92">
        <f>SUM('Pro Forma'!BL6:DN6)/SUM('Pro Forma'!BL6:DN6)</f>
        <v>1</v>
      </c>
    </row>
    <row r="27" spans="1:62">
      <c r="B27" s="7" t="s">
        <v>112</v>
      </c>
      <c r="C27" s="93">
        <f>'Pro Forma'!E12/'Pro Forma'!E6</f>
        <v>9.6149486836233714E-2</v>
      </c>
      <c r="D27" s="94">
        <f>'Pro Forma'!F12/'Pro Forma'!F6</f>
        <v>0.15107087409876652</v>
      </c>
      <c r="E27" s="94">
        <f>'Pro Forma'!G12/'Pro Forma'!G6</f>
        <v>0.18992130367402901</v>
      </c>
      <c r="F27" s="94">
        <f>'Pro Forma'!H12/'Pro Forma'!H6</f>
        <v>0.23530105479959296</v>
      </c>
      <c r="G27" s="94">
        <f>'Pro Forma'!I12/'Pro Forma'!I6</f>
        <v>0.26688464619289592</v>
      </c>
      <c r="H27" s="94">
        <f>'Pro Forma'!J12/'Pro Forma'!J6</f>
        <v>9.7035974845667089E-2</v>
      </c>
      <c r="I27" s="94">
        <f>'Pro Forma'!K12/'Pro Forma'!K6</f>
        <v>0.13568457461204994</v>
      </c>
      <c r="J27" s="94">
        <f>'Pro Forma'!L12/'Pro Forma'!L6</f>
        <v>0.18770345491407089</v>
      </c>
      <c r="K27" s="94">
        <f>'Pro Forma'!M12/'Pro Forma'!M6</f>
        <v>0.22120544047817475</v>
      </c>
      <c r="L27" s="94">
        <f>'Pro Forma'!N12/'Pro Forma'!N6</f>
        <v>0.24795630432352062</v>
      </c>
      <c r="M27" s="94">
        <f>'Pro Forma'!O12/'Pro Forma'!O6</f>
        <v>0.27312249175229669</v>
      </c>
      <c r="N27" s="95">
        <f>'Pro Forma'!P12/'Pro Forma'!P6</f>
        <v>0.29674612857086491</v>
      </c>
      <c r="O27" s="93">
        <f>'Pro Forma'!Q12/'Pro Forma'!Q6</f>
        <v>0.32640258699758179</v>
      </c>
      <c r="P27" s="94">
        <f>'Pro Forma'!R12/'Pro Forma'!R6</f>
        <v>0.35752506183835109</v>
      </c>
      <c r="Q27" s="94">
        <f>'Pro Forma'!S12/'Pro Forma'!S6</f>
        <v>0.30298707340623832</v>
      </c>
      <c r="R27" s="94">
        <f>'Pro Forma'!T12/'Pro Forma'!T6</f>
        <v>0.32694263712407823</v>
      </c>
      <c r="S27" s="94">
        <f>'Pro Forma'!U12/'Pro Forma'!U6</f>
        <v>0.34640435836713313</v>
      </c>
      <c r="T27" s="94">
        <f>'Pro Forma'!V12/'Pro Forma'!V6</f>
        <v>0.36405068556473541</v>
      </c>
      <c r="U27" s="94">
        <f>'Pro Forma'!W12/'Pro Forma'!W6</f>
        <v>0.38055356907910753</v>
      </c>
      <c r="V27" s="94">
        <f>'Pro Forma'!X12/'Pro Forma'!X6</f>
        <v>0.39595888442172283</v>
      </c>
      <c r="W27" s="94">
        <f>'Pro Forma'!Y12/'Pro Forma'!Y6</f>
        <v>0.35506593312835349</v>
      </c>
      <c r="X27" s="94">
        <f>'Pro Forma'!Z12/'Pro Forma'!Z6</f>
        <v>0.23814671020266434</v>
      </c>
      <c r="Y27" s="94">
        <f>'Pro Forma'!AA12/'Pro Forma'!AA6</f>
        <v>0.26615911442935758</v>
      </c>
      <c r="Z27" s="95">
        <f>'Pro Forma'!AB12/'Pro Forma'!AB6</f>
        <v>0.19701708418700667</v>
      </c>
      <c r="AA27" s="93">
        <f>'Pro Forma'!AC12/'Pro Forma'!AC6</f>
        <v>0.19348529751122603</v>
      </c>
      <c r="AB27" s="94">
        <f>'Pro Forma'!AD12/'Pro Forma'!AD6</f>
        <v>0.22571107385713343</v>
      </c>
      <c r="AC27" s="94">
        <f>'Pro Forma'!AE12/'Pro Forma'!AE6</f>
        <v>0.25561098281448652</v>
      </c>
      <c r="AD27" s="94">
        <f>'Pro Forma'!AF12/'Pro Forma'!AF6</f>
        <v>0.25540032926478429</v>
      </c>
      <c r="AE27" s="94">
        <f>'Pro Forma'!AG12/'Pro Forma'!AG6</f>
        <v>0.28302144747407876</v>
      </c>
      <c r="AF27" s="94">
        <f>'Pro Forma'!AH12/'Pro Forma'!AH6</f>
        <v>0.30860413940859227</v>
      </c>
      <c r="AG27" s="94">
        <f>'Pro Forma'!AI12/'Pro Forma'!AI6</f>
        <v>0.30105296686954003</v>
      </c>
      <c r="AH27" s="94">
        <f>'Pro Forma'!AJ12/'Pro Forma'!AJ6</f>
        <v>0.32509890717700729</v>
      </c>
      <c r="AI27" s="94">
        <f>'Pro Forma'!AK12/'Pro Forma'!AK6</f>
        <v>0.31334988557866744</v>
      </c>
      <c r="AJ27" s="94">
        <f>'Pro Forma'!AL12/'Pro Forma'!AL6</f>
        <v>0.33510053024802511</v>
      </c>
      <c r="AK27" s="94">
        <f>'Pro Forma'!AM12/'Pro Forma'!AM6</f>
        <v>0.30297508545618662</v>
      </c>
      <c r="AL27" s="95">
        <f>'Pro Forma'!AN12/'Pro Forma'!AN6</f>
        <v>0.3261272588114662</v>
      </c>
      <c r="AM27" s="93">
        <f>'Pro Forma'!AO12/'Pro Forma'!AO6</f>
        <v>0.31077566181528399</v>
      </c>
      <c r="AN27" s="94">
        <f>'Pro Forma'!AP12/'Pro Forma'!AP6</f>
        <v>0.33097564201261798</v>
      </c>
      <c r="AO27" s="94">
        <f>'Pro Forma'!AQ12/'Pro Forma'!AQ6</f>
        <v>0.33660103766047589</v>
      </c>
      <c r="AP27" s="94">
        <f>'Pro Forma'!AR12/'Pro Forma'!AR6</f>
        <v>0.3550210048747327</v>
      </c>
      <c r="AQ27" s="94">
        <f>'Pro Forma'!AS12/'Pro Forma'!AS6</f>
        <v>0.35593562386111771</v>
      </c>
      <c r="AR27" s="94">
        <f>'Pro Forma'!AT12/'Pro Forma'!AT6</f>
        <v>0.36186178436500521</v>
      </c>
      <c r="AS27" s="94">
        <f>'Pro Forma'!AU12/'Pro Forma'!AU6</f>
        <v>0.37843256394284541</v>
      </c>
      <c r="AT27" s="94">
        <f>'Pro Forma'!AV12/'Pro Forma'!AV6</f>
        <v>0.38022856215508405</v>
      </c>
      <c r="AU27" s="94">
        <f>'Pro Forma'!AW12/'Pro Forma'!AW6</f>
        <v>0.35303354470842369</v>
      </c>
      <c r="AV27" s="94">
        <f>'Pro Forma'!AX12/'Pro Forma'!AX6</f>
        <v>0.36967621209876117</v>
      </c>
      <c r="AW27" s="94">
        <f>'Pro Forma'!AY12/'Pro Forma'!AY6</f>
        <v>0.37014665002942793</v>
      </c>
      <c r="AX27" s="95">
        <f>'Pro Forma'!AZ12/'Pro Forma'!AZ6</f>
        <v>0.37462029900165</v>
      </c>
      <c r="AY27" s="93">
        <f>'Pro Forma'!BA12/'Pro Forma'!BA6</f>
        <v>0.38218931491299013</v>
      </c>
      <c r="AZ27" s="94">
        <f>'Pro Forma'!BB12/'Pro Forma'!BB6</f>
        <v>0.38730884853947622</v>
      </c>
      <c r="BA27" s="94">
        <f>'Pro Forma'!BC12/'Pro Forma'!BC6</f>
        <v>0.39514728836876684</v>
      </c>
      <c r="BB27" s="94">
        <f>'Pro Forma'!BD12/'Pro Forma'!BD6</f>
        <v>0.40281392308667635</v>
      </c>
      <c r="BC27" s="94">
        <f>'Pro Forma'!BE12/'Pro Forma'!BE6</f>
        <v>0.3829468153541189</v>
      </c>
      <c r="BD27" s="94">
        <f>'Pro Forma'!BF12/'Pro Forma'!BF6</f>
        <v>0.39046669790197619</v>
      </c>
      <c r="BE27" s="94">
        <f>'Pro Forma'!BG12/'Pro Forma'!BG6</f>
        <v>0.39676963640225082</v>
      </c>
      <c r="BF27" s="94">
        <f>'Pro Forma'!BH12/'Pro Forma'!BH6</f>
        <v>0.39724750951379983</v>
      </c>
      <c r="BG27" s="94">
        <f>'Pro Forma'!BI12/'Pro Forma'!BI6</f>
        <v>0.39903243893854179</v>
      </c>
      <c r="BH27" s="94">
        <f>'Pro Forma'!BJ12/'Pro Forma'!BJ6</f>
        <v>0.40761130146129299</v>
      </c>
      <c r="BI27" s="94">
        <f>'Pro Forma'!BK12/'Pro Forma'!BK6</f>
        <v>0.41420739807469786</v>
      </c>
      <c r="BJ27" s="95">
        <f>'Pro Forma'!BL12/'Pro Forma'!BL6</f>
        <v>0.41203564793339481</v>
      </c>
    </row>
    <row r="28" spans="1:62">
      <c r="B28" s="7" t="s">
        <v>113</v>
      </c>
      <c r="C28" s="93">
        <f>'Pro Forma'!E18/'Pro Forma'!E6</f>
        <v>1.677542267555407</v>
      </c>
      <c r="D28" s="94">
        <f>'Pro Forma'!F18/'Pro Forma'!F6</f>
        <v>0.17002762186398154</v>
      </c>
      <c r="E28" s="94">
        <f>'Pro Forma'!G18/'Pro Forma'!G6</f>
        <v>0.15508253779753334</v>
      </c>
      <c r="F28" s="94">
        <f>'Pro Forma'!H18/'Pro Forma'!H6</f>
        <v>0.13760280255082852</v>
      </c>
      <c r="G28" s="94">
        <f>'Pro Forma'!I18/'Pro Forma'!I6</f>
        <v>0.12545029876412542</v>
      </c>
      <c r="H28" s="94">
        <f>'Pro Forma'!J18/'Pro Forma'!J6</f>
        <v>0.21502468759973165</v>
      </c>
      <c r="I28" s="94">
        <f>'Pro Forma'!K18/'Pro Forma'!K6</f>
        <v>0.11582737025220362</v>
      </c>
      <c r="J28" s="94">
        <f>'Pro Forma'!L18/'Pro Forma'!L6</f>
        <v>0.10670606930835561</v>
      </c>
      <c r="K28" s="94">
        <f>'Pro Forma'!M18/'Pro Forma'!M6</f>
        <v>9.8221285443976403E-2</v>
      </c>
      <c r="L28" s="94">
        <f>'Pro Forma'!N18/'Pro Forma'!N6</f>
        <v>9.1451758912586958E-2</v>
      </c>
      <c r="M28" s="94">
        <f>'Pro Forma'!O18/'Pro Forma'!O6</f>
        <v>8.508278001997252E-2</v>
      </c>
      <c r="N28" s="95">
        <f>'Pro Forma'!P18/'Pro Forma'!P6</f>
        <v>7.9103730303997935E-2</v>
      </c>
      <c r="O28" s="93">
        <f>'Pro Forma'!Q18/'Pro Forma'!Q6</f>
        <v>7.0374891623569927E-2</v>
      </c>
      <c r="P28" s="94">
        <f>'Pro Forma'!R18/'Pro Forma'!R6</f>
        <v>4.5351104722876123E-2</v>
      </c>
      <c r="Q28" s="94">
        <f>'Pro Forma'!S18/'Pro Forma'!S6</f>
        <v>4.2103641996007239E-2</v>
      </c>
      <c r="R28" s="94">
        <f>'Pro Forma'!T18/'Pro Forma'!T6</f>
        <v>3.9061334677312723E-2</v>
      </c>
      <c r="S28" s="94">
        <f>'Pro Forma'!U18/'Pro Forma'!U6</f>
        <v>3.6217847820787498E-2</v>
      </c>
      <c r="T28" s="94">
        <f>'Pro Forma'!V18/'Pro Forma'!V6</f>
        <v>3.3565955976654925E-2</v>
      </c>
      <c r="U28" s="94">
        <f>'Pro Forma'!W18/'Pro Forma'!W6</f>
        <v>3.1097713920455225E-2</v>
      </c>
      <c r="V28" s="94">
        <f>'Pro Forma'!X18/'Pro Forma'!X6</f>
        <v>2.8804624821292084E-2</v>
      </c>
      <c r="W28" s="94">
        <f>'Pro Forma'!Y18/'Pro Forma'!Y6</f>
        <v>0.17397905012393744</v>
      </c>
      <c r="X28" s="94">
        <f>'Pro Forma'!Z18/'Pro Forma'!Z6</f>
        <v>4.1228410931254511E-2</v>
      </c>
      <c r="Y28" s="94">
        <f>'Pro Forma'!AA18/'Pro Forma'!AA6</f>
        <v>3.8188564858971374E-2</v>
      </c>
      <c r="Z28" s="95">
        <f>'Pro Forma'!AB18/'Pro Forma'!AB6</f>
        <v>9.300235073499144E-2</v>
      </c>
      <c r="AA28" s="93">
        <f>'Pro Forma'!AC18/'Pro Forma'!AC6</f>
        <v>9.0533118694262213E-2</v>
      </c>
      <c r="AB28" s="94">
        <f>'Pro Forma'!AD18/'Pro Forma'!AD6</f>
        <v>0.11847361169837395</v>
      </c>
      <c r="AC28" s="94">
        <f>'Pro Forma'!AE18/'Pro Forma'!AE6</f>
        <v>9.1508054300581801E-2</v>
      </c>
      <c r="AD28" s="94">
        <f>'Pro Forma'!AF18/'Pro Forma'!AF6</f>
        <v>8.8369945904640645E-2</v>
      </c>
      <c r="AE28" s="94">
        <f>'Pro Forma'!AG18/'Pro Forma'!AG6</f>
        <v>8.2259098690071433E-2</v>
      </c>
      <c r="AF28" s="94">
        <f>'Pro Forma'!AH18/'Pro Forma'!AH6</f>
        <v>7.6605211771045928E-2</v>
      </c>
      <c r="AG28" s="94">
        <f>'Pro Forma'!AI18/'Pro Forma'!AI6</f>
        <v>0.14189732310673508</v>
      </c>
      <c r="AH28" s="94">
        <f>'Pro Forma'!AJ18/'Pro Forma'!AJ6</f>
        <v>7.4500506049339776E-2</v>
      </c>
      <c r="AI28" s="94">
        <f>'Pro Forma'!AK18/'Pro Forma'!AK6</f>
        <v>6.9493200873869829E-2</v>
      </c>
      <c r="AJ28" s="94">
        <f>'Pro Forma'!AL18/'Pro Forma'!AL6</f>
        <v>7.8378440477059108E-2</v>
      </c>
      <c r="AK28" s="94">
        <f>'Pro Forma'!AM18/'Pro Forma'!AM6</f>
        <v>0.12982577874729209</v>
      </c>
      <c r="AL28" s="95">
        <f>'Pro Forma'!AN18/'Pro Forma'!AN6</f>
        <v>7.7422514567145662E-2</v>
      </c>
      <c r="AM28" s="93">
        <f>'Pro Forma'!AO18/'Pro Forma'!AO6</f>
        <v>8.8316242641006251E-2</v>
      </c>
      <c r="AN28" s="94">
        <f>'Pro Forma'!AP18/'Pro Forma'!AP6</f>
        <v>8.3151769096276376E-2</v>
      </c>
      <c r="AO28" s="94">
        <f>'Pro Forma'!AQ18/'Pro Forma'!AQ6</f>
        <v>7.8326599021986437E-2</v>
      </c>
      <c r="AP28" s="94">
        <f>'Pro Forma'!AR18/'Pro Forma'!AR6</f>
        <v>7.381743141314967E-2</v>
      </c>
      <c r="AQ28" s="94">
        <f>'Pro Forma'!AS18/'Pro Forma'!AS6</f>
        <v>0.10718360229111448</v>
      </c>
      <c r="AR28" s="94">
        <f>'Pro Forma'!AT18/'Pro Forma'!AT6</f>
        <v>7.0580600278929331E-2</v>
      </c>
      <c r="AS28" s="94">
        <f>'Pro Forma'!AU18/'Pro Forma'!AU6</f>
        <v>6.6617985369109622E-2</v>
      </c>
      <c r="AT28" s="94">
        <f>'Pro Forma'!AV18/'Pro Forma'!AV6</f>
        <v>0.10067920339164484</v>
      </c>
      <c r="AU28" s="94">
        <f>'Pro Forma'!AW18/'Pro Forma'!AW6</f>
        <v>7.7981928609875573E-2</v>
      </c>
      <c r="AV28" s="94">
        <f>'Pro Forma'!AX18/'Pro Forma'!AX6</f>
        <v>7.4284749144183163E-2</v>
      </c>
      <c r="AW28" s="94">
        <f>'Pro Forma'!AY18/'Pro Forma'!AY6</f>
        <v>7.7017912078473805E-2</v>
      </c>
      <c r="AX28" s="95">
        <f>'Pro Forma'!AZ18/'Pro Forma'!AZ6</f>
        <v>0.1030729885368889</v>
      </c>
      <c r="AY28" s="93">
        <f>'Pro Forma'!BA18/'Pro Forma'!BA6</f>
        <v>7.1660999846797191E-2</v>
      </c>
      <c r="AZ28" s="94">
        <f>'Pro Forma'!BB18/'Pro Forma'!BB6</f>
        <v>9.0357345321047472E-2</v>
      </c>
      <c r="BA28" s="94">
        <f>'Pro Forma'!BC18/'Pro Forma'!BC6</f>
        <v>6.7068363827992736E-2</v>
      </c>
      <c r="BB28" s="94">
        <f>'Pro Forma'!BD18/'Pro Forma'!BD6</f>
        <v>6.3862381297701915E-2</v>
      </c>
      <c r="BC28" s="94">
        <f>'Pro Forma'!BE18/'Pro Forma'!BE6</f>
        <v>7.9295882024853326E-2</v>
      </c>
      <c r="BD28" s="94">
        <f>'Pro Forma'!BF18/'Pro Forma'!BF6</f>
        <v>6.3354294236652675E-2</v>
      </c>
      <c r="BE28" s="94">
        <f>'Pro Forma'!BG18/'Pro Forma'!BG6</f>
        <v>7.3901197713212491E-2</v>
      </c>
      <c r="BF28" s="94">
        <f>'Pro Forma'!BH18/'Pro Forma'!BH6</f>
        <v>6.3890898472809071E-2</v>
      </c>
      <c r="BG28" s="94">
        <f>'Pro Forma'!BI18/'Pro Forma'!BI6</f>
        <v>7.9132809413845387E-2</v>
      </c>
      <c r="BH28" s="94">
        <f>'Pro Forma'!BJ18/'Pro Forma'!BJ6</f>
        <v>5.9821024608492972E-2</v>
      </c>
      <c r="BI28" s="94">
        <f>'Pro Forma'!BK18/'Pro Forma'!BK6</f>
        <v>7.050803001308617E-2</v>
      </c>
      <c r="BJ28" s="95">
        <f>'Pro Forma'!BL18/'Pro Forma'!BL6</f>
        <v>6.1866035575098413E-2</v>
      </c>
    </row>
    <row r="29" spans="1:62">
      <c r="B29" s="7" t="s">
        <v>114</v>
      </c>
      <c r="C29" s="93">
        <f>'Pro Forma'!E25/'Pro Forma'!E6</f>
        <v>0.55333886937751009</v>
      </c>
      <c r="D29" s="94">
        <f>'Pro Forma'!F25/'Pro Forma'!F6</f>
        <v>0.52363037784097788</v>
      </c>
      <c r="E29" s="94">
        <f>'Pro Forma'!G25/'Pro Forma'!G6</f>
        <v>0.488587696158024</v>
      </c>
      <c r="F29" s="94">
        <f>'Pro Forma'!H25/'Pro Forma'!H6</f>
        <v>0.4448698007585854</v>
      </c>
      <c r="G29" s="94">
        <f>'Pro Forma'!I25/'Pro Forma'!I6</f>
        <v>0.41580105247009985</v>
      </c>
      <c r="H29" s="94">
        <f>'Pro Forma'!J25/'Pro Forma'!J6</f>
        <v>0.38882962484643641</v>
      </c>
      <c r="I29" s="94">
        <f>'Pro Forma'!K25/'Pro Forma'!K6</f>
        <v>0.36793760087127397</v>
      </c>
      <c r="J29" s="94">
        <f>'Pro Forma'!L25/'Pro Forma'!L6</f>
        <v>0.34820815224722351</v>
      </c>
      <c r="K29" s="94">
        <f>'Pro Forma'!M25/'Pro Forma'!M6</f>
        <v>0.32960618135393449</v>
      </c>
      <c r="L29" s="94">
        <f>'Pro Forma'!N25/'Pro Forma'!N6</f>
        <v>0.31549305162910685</v>
      </c>
      <c r="M29" s="94">
        <f>'Pro Forma'!O25/'Pro Forma'!O6</f>
        <v>0.30203475916322853</v>
      </c>
      <c r="N29" s="95">
        <f>'Pro Forma'!P25/'Pro Forma'!P6</f>
        <v>0.28922690868213574</v>
      </c>
      <c r="O29" s="93">
        <f>'Pro Forma'!Q25/'Pro Forma'!Q6</f>
        <v>0.28482193870931621</v>
      </c>
      <c r="P29" s="94">
        <f>'Pro Forma'!R25/'Pro Forma'!R6</f>
        <v>0.27247123688249508</v>
      </c>
      <c r="Q29" s="94">
        <f>'Pro Forma'!S25/'Pro Forma'!S6</f>
        <v>0.26131571645270807</v>
      </c>
      <c r="R29" s="94">
        <f>'Pro Forma'!T25/'Pro Forma'!T6</f>
        <v>0.25069734296267737</v>
      </c>
      <c r="S29" s="94">
        <f>'Pro Forma'!U25/'Pro Forma'!U6</f>
        <v>0.24750215835143186</v>
      </c>
      <c r="T29" s="94">
        <f>'Pro Forma'!V25/'Pro Forma'!V6</f>
        <v>0.24260034798660141</v>
      </c>
      <c r="U29" s="94">
        <f>'Pro Forma'!W25/'Pro Forma'!W6</f>
        <v>0.23719441457840612</v>
      </c>
      <c r="V29" s="94">
        <f>'Pro Forma'!X25/'Pro Forma'!X6</f>
        <v>0.23193505988660795</v>
      </c>
      <c r="W29" s="94">
        <f>'Pro Forma'!Y25/'Pro Forma'!Y6</f>
        <v>0.22683433794751162</v>
      </c>
      <c r="X29" s="94">
        <f>'Pro Forma'!Z25/'Pro Forma'!Z6</f>
        <v>0.22190185104390694</v>
      </c>
      <c r="Y29" s="94">
        <f>'Pro Forma'!AA25/'Pro Forma'!AA6</f>
        <v>0.21714485648217446</v>
      </c>
      <c r="Z29" s="95">
        <f>'Pro Forma'!AB25/'Pro Forma'!AB6</f>
        <v>0.21256840900751378</v>
      </c>
      <c r="AA29" s="93">
        <f>'Pro Forma'!AC25/'Pro Forma'!AC6</f>
        <v>0.19073184725720252</v>
      </c>
      <c r="AB29" s="94">
        <f>'Pro Forma'!AD25/'Pro Forma'!AD6</f>
        <v>0.18982629656334982</v>
      </c>
      <c r="AC29" s="94">
        <f>'Pro Forma'!AE25/'Pro Forma'!AE6</f>
        <v>0.18649368920568291</v>
      </c>
      <c r="AD29" s="94">
        <f>'Pro Forma'!AF25/'Pro Forma'!AF6</f>
        <v>0.18329315109395794</v>
      </c>
      <c r="AE29" s="94">
        <f>'Pro Forma'!AG25/'Pro Forma'!AG6</f>
        <v>0.18022403893522224</v>
      </c>
      <c r="AF29" s="94">
        <f>'Pro Forma'!AH25/'Pro Forma'!AH6</f>
        <v>0.17728487367693896</v>
      </c>
      <c r="AG29" s="94">
        <f>'Pro Forma'!AI25/'Pro Forma'!AI6</f>
        <v>0.17447346618132292</v>
      </c>
      <c r="AH29" s="94">
        <f>'Pro Forma'!AJ25/'Pro Forma'!AJ6</f>
        <v>0.17178703517199256</v>
      </c>
      <c r="AI29" s="94">
        <f>'Pro Forma'!AK25/'Pro Forma'!AK6</f>
        <v>0.1692223165897149</v>
      </c>
      <c r="AJ29" s="94">
        <f>'Pro Forma'!AL25/'Pro Forma'!AL6</f>
        <v>0.16677566282709533</v>
      </c>
      <c r="AK29" s="94">
        <f>'Pro Forma'!AM25/'Pro Forma'!AM6</f>
        <v>0.16444313220069484</v>
      </c>
      <c r="AL29" s="95">
        <f>'Pro Forma'!AN25/'Pro Forma'!AN6</f>
        <v>0.16222056841349342</v>
      </c>
      <c r="AM29" s="93">
        <f>'Pro Forma'!AO25/'Pro Forma'!AO6</f>
        <v>0.15079786241450077</v>
      </c>
      <c r="AN29" s="94">
        <f>'Pro Forma'!AP25/'Pro Forma'!AP6</f>
        <v>0.15137111060221814</v>
      </c>
      <c r="AO29" s="94">
        <f>'Pro Forma'!AQ25/'Pro Forma'!AQ6</f>
        <v>0.15004886047990867</v>
      </c>
      <c r="AP29" s="94">
        <f>'Pro Forma'!AR25/'Pro Forma'!AR6</f>
        <v>0.14877866532223061</v>
      </c>
      <c r="AQ29" s="94">
        <f>'Pro Forma'!AS25/'Pro Forma'!AS6</f>
        <v>0.14755884413677814</v>
      </c>
      <c r="AR29" s="94">
        <f>'Pro Forma'!AT25/'Pro Forma'!AT6</f>
        <v>0.14638770037211174</v>
      </c>
      <c r="AS29" s="94">
        <f>'Pro Forma'!AU25/'Pro Forma'!AU6</f>
        <v>0.1452635345657084</v>
      </c>
      <c r="AT29" s="94">
        <f>'Pro Forma'!AV25/'Pro Forma'!AV6</f>
        <v>0.14418465482147974</v>
      </c>
      <c r="AU29" s="94">
        <f>'Pro Forma'!AW25/'Pro Forma'!AW6</f>
        <v>0.14314938585915904</v>
      </c>
      <c r="AV29" s="94">
        <f>'Pro Forma'!AX25/'Pro Forma'!AX6</f>
        <v>0.14215607617943424</v>
      </c>
      <c r="AW29" s="94">
        <f>'Pro Forma'!AY25/'Pro Forma'!AY6</f>
        <v>0.14120310409124712</v>
      </c>
      <c r="AX29" s="95">
        <f>'Pro Forma'!AZ25/'Pro Forma'!AZ6</f>
        <v>0.14028888253696906</v>
      </c>
      <c r="AY29" s="93">
        <f>'Pro Forma'!BA25/'Pro Forma'!BA6</f>
        <v>0.11518723303705634</v>
      </c>
      <c r="AZ29" s="94">
        <f>'Pro Forma'!BB25/'Pro Forma'!BB6</f>
        <v>0.11602608804999087</v>
      </c>
      <c r="BA29" s="94">
        <f>'Pro Forma'!BC25/'Pro Forma'!BC6</f>
        <v>0.11521061657726962</v>
      </c>
      <c r="BB29" s="94">
        <f>'Pro Forma'!BD25/'Pro Forma'!BD6</f>
        <v>0.11442652550786048</v>
      </c>
      <c r="BC29" s="94">
        <f>'Pro Forma'!BE25/'Pro Forma'!BE6</f>
        <v>0.11367251674111384</v>
      </c>
      <c r="BD29" s="94">
        <f>'Pro Forma'!BF25/'Pro Forma'!BF6</f>
        <v>0.11294733357096486</v>
      </c>
      <c r="BE29" s="94">
        <f>'Pro Forma'!BG25/'Pro Forma'!BG6</f>
        <v>0.11224976113225657</v>
      </c>
      <c r="BF29" s="94">
        <f>'Pro Forma'!BH25/'Pro Forma'!BH6</f>
        <v>0.11157862662804394</v>
      </c>
      <c r="BG29" s="94">
        <f>'Pro Forma'!BI25/'Pro Forma'!BI6</f>
        <v>0.11093279895301704</v>
      </c>
      <c r="BH29" s="94">
        <f>'Pro Forma'!BJ25/'Pro Forma'!BJ6</f>
        <v>0.11031118833924748</v>
      </c>
      <c r="BI29" s="94">
        <f>'Pro Forma'!BK25/'Pro Forma'!BK6</f>
        <v>0.10971274570824899</v>
      </c>
      <c r="BJ29" s="95">
        <f>'Pro Forma'!BL25/'Pro Forma'!BL6</f>
        <v>0.10913646184221169</v>
      </c>
    </row>
    <row r="30" spans="1:62">
      <c r="B30" s="7" t="s">
        <v>115</v>
      </c>
      <c r="C30" s="93">
        <f>'Pro Forma'!E35/'Pro Forma'!E6</f>
        <v>0.6664682854876296</v>
      </c>
      <c r="D30" s="94">
        <f>'Pro Forma'!F35/'Pro Forma'!F6</f>
        <v>0.61817572681374611</v>
      </c>
      <c r="E30" s="94">
        <f>'Pro Forma'!G35/'Pro Forma'!G6</f>
        <v>0.56442385228986125</v>
      </c>
      <c r="F30" s="94">
        <f>'Pro Forma'!H35/'Pro Forma'!H6</f>
        <v>0.50155578600705308</v>
      </c>
      <c r="G30" s="94">
        <f>'Pro Forma'!I35/'Pro Forma'!I6</f>
        <v>0.45784777768876056</v>
      </c>
      <c r="H30" s="94">
        <f>'Pro Forma'!J35/'Pro Forma'!J6</f>
        <v>0.41908014919755304</v>
      </c>
      <c r="I30" s="94">
        <f>'Pro Forma'!K35/'Pro Forma'!K6</f>
        <v>0.38694851904899868</v>
      </c>
      <c r="J30" s="94">
        <f>'Pro Forma'!L35/'Pro Forma'!L6</f>
        <v>0.35700035366120991</v>
      </c>
      <c r="K30" s="94">
        <f>'Pro Forma'!M35/'Pro Forma'!M6</f>
        <v>0.32914207861751094</v>
      </c>
      <c r="L30" s="94">
        <f>'Pro Forma'!N35/'Pro Forma'!N6</f>
        <v>0.30691554520882958</v>
      </c>
      <c r="M30" s="94">
        <f>'Pro Forma'!O35/'Pro Forma'!O6</f>
        <v>0.28600413855734752</v>
      </c>
      <c r="N30" s="95">
        <f>'Pro Forma'!P35/'Pro Forma'!P6</f>
        <v>0.26637299483583832</v>
      </c>
      <c r="O30" s="93">
        <f>'Pro Forma'!Q35/'Pro Forma'!Q6</f>
        <v>0.25319898493485377</v>
      </c>
      <c r="P30" s="94">
        <f>'Pro Forma'!R35/'Pro Forma'!R6</f>
        <v>0.23235750863101651</v>
      </c>
      <c r="Q30" s="94">
        <f>'Pro Forma'!S35/'Pro Forma'!S6</f>
        <v>0.21619524034819046</v>
      </c>
      <c r="R30" s="94">
        <f>'Pro Forma'!T35/'Pro Forma'!T6</f>
        <v>0.20105400818662694</v>
      </c>
      <c r="S30" s="94">
        <f>'Pro Forma'!U35/'Pro Forma'!U6</f>
        <v>0.18705660491668244</v>
      </c>
      <c r="T30" s="94">
        <f>'Pro Forma'!V35/'Pro Forma'!V6</f>
        <v>0.17402886536278961</v>
      </c>
      <c r="U30" s="94">
        <f>'Pro Forma'!W35/'Pro Forma'!W6</f>
        <v>0.16189912569524956</v>
      </c>
      <c r="V30" s="94">
        <f>'Pro Forma'!X35/'Pro Forma'!X6</f>
        <v>0.15062621305020876</v>
      </c>
      <c r="W30" s="94">
        <f>'Pro Forma'!Y35/'Pro Forma'!Y6</f>
        <v>0.14016700089765591</v>
      </c>
      <c r="X30" s="94">
        <f>'Pro Forma'!Z35/'Pro Forma'!Z6</f>
        <v>0.28157388617529799</v>
      </c>
      <c r="Y30" s="94">
        <f>'Pro Forma'!AA35/'Pro Forma'!AA6</f>
        <v>0.26146786338637423</v>
      </c>
      <c r="Z30" s="95">
        <f>'Pro Forma'!AB35/'Pro Forma'!AB6</f>
        <v>0.24398723839946113</v>
      </c>
      <c r="AA30" s="93">
        <f>'Pro Forma'!AC35/'Pro Forma'!AC6</f>
        <v>0.29952144961345034</v>
      </c>
      <c r="AB30" s="94">
        <f>'Pro Forma'!AD35/'Pro Forma'!AD6</f>
        <v>0.27967926612732613</v>
      </c>
      <c r="AC30" s="94">
        <f>'Pro Forma'!AE35/'Pro Forma'!AE6</f>
        <v>0.26069748065887155</v>
      </c>
      <c r="AD30" s="94">
        <f>'Pro Forma'!AF35/'Pro Forma'!AF6</f>
        <v>0.24337262186426051</v>
      </c>
      <c r="AE30" s="94">
        <f>'Pro Forma'!AG35/'Pro Forma'!AG6</f>
        <v>0.22708102700335556</v>
      </c>
      <c r="AF30" s="94">
        <f>'Pro Forma'!AH35/'Pro Forma'!AH6</f>
        <v>0.21202555315070756</v>
      </c>
      <c r="AG30" s="94">
        <f>'Pro Forma'!AI35/'Pro Forma'!AI6</f>
        <v>0.19810267529286124</v>
      </c>
      <c r="AH30" s="94">
        <f>'Pro Forma'!AJ35/'Pro Forma'!AJ6</f>
        <v>0.18522598950506497</v>
      </c>
      <c r="AI30" s="94">
        <f>'Pro Forma'!AK35/'Pro Forma'!AK6</f>
        <v>0.187704965604195</v>
      </c>
      <c r="AJ30" s="94">
        <f>'Pro Forma'!AL35/'Pro Forma'!AL6</f>
        <v>0.17701865771321335</v>
      </c>
      <c r="AK30" s="94">
        <f>'Pro Forma'!AM35/'Pro Forma'!AM6</f>
        <v>0.18198497191065738</v>
      </c>
      <c r="AL30" s="95">
        <f>'Pro Forma'!AN35/'Pro Forma'!AN6</f>
        <v>0.17061393034364161</v>
      </c>
      <c r="AM30" s="93">
        <f>'Pro Forma'!AO35/'Pro Forma'!AO6</f>
        <v>0.16049499754498289</v>
      </c>
      <c r="AN30" s="94">
        <f>'Pro Forma'!AP35/'Pro Forma'!AP6</f>
        <v>0.15191403225894384</v>
      </c>
      <c r="AO30" s="94">
        <f>'Pro Forma'!AQ35/'Pro Forma'!AQ6</f>
        <v>0.14356291365065704</v>
      </c>
      <c r="AP30" s="94">
        <f>'Pro Forma'!AR35/'Pro Forma'!AR6</f>
        <v>0.13575839304306334</v>
      </c>
      <c r="AQ30" s="94">
        <f>'Pro Forma'!AS35/'Pro Forma'!AS6</f>
        <v>0.1285706551364626</v>
      </c>
      <c r="AR30" s="94">
        <f>'Pro Forma'!AT35/'Pro Forma'!AT6</f>
        <v>0.13346754808552966</v>
      </c>
      <c r="AS30" s="94">
        <f>'Pro Forma'!AU35/'Pro Forma'!AU6</f>
        <v>0.12642231425047701</v>
      </c>
      <c r="AT30" s="94">
        <f>'Pro Forma'!AV35/'Pro Forma'!AV6</f>
        <v>0.11992054625666103</v>
      </c>
      <c r="AU30" s="94">
        <f>'Pro Forma'!AW35/'Pro Forma'!AW6</f>
        <v>0.13273830854755131</v>
      </c>
      <c r="AV30" s="94">
        <f>'Pro Forma'!AX35/'Pro Forma'!AX6</f>
        <v>0.12599651732403067</v>
      </c>
      <c r="AW30" s="94">
        <f>'Pro Forma'!AY35/'Pro Forma'!AY6</f>
        <v>0.11972229277481268</v>
      </c>
      <c r="AX30" s="95">
        <f>'Pro Forma'!AZ35/'Pro Forma'!AZ6</f>
        <v>0.11386459699148468</v>
      </c>
      <c r="AY30" s="93">
        <f>'Pro Forma'!BA35/'Pro Forma'!BA6</f>
        <v>0.10776824363694557</v>
      </c>
      <c r="AZ30" s="94">
        <f>'Pro Forma'!BB35/'Pro Forma'!BB6</f>
        <v>0.10299208517748726</v>
      </c>
      <c r="BA30" s="94">
        <f>'Pro Forma'!BC35/'Pro Forma'!BC6</f>
        <v>9.7885850713935463E-2</v>
      </c>
      <c r="BB30" s="94">
        <f>'Pro Forma'!BD35/'Pro Forma'!BD6</f>
        <v>9.3150682580508362E-2</v>
      </c>
      <c r="BC30" s="94">
        <f>'Pro Forma'!BE35/'Pro Forma'!BE6</f>
        <v>0.11368825793013312</v>
      </c>
      <c r="BD30" s="94">
        <f>'Pro Forma'!BF35/'Pro Forma'!BF6</f>
        <v>0.10941824269534985</v>
      </c>
      <c r="BE30" s="94">
        <f>'Pro Forma'!BG35/'Pro Forma'!BG6</f>
        <v>0.10434449472545249</v>
      </c>
      <c r="BF30" s="94">
        <f>'Pro Forma'!BH35/'Pro Forma'!BH6</f>
        <v>9.9539910981286783E-2</v>
      </c>
      <c r="BG30" s="94">
        <f>'Pro Forma'!BI35/'Pro Forma'!BI6</f>
        <v>9.4895676198563483E-2</v>
      </c>
      <c r="BH30" s="94">
        <f>'Pro Forma'!BJ35/'Pro Forma'!BJ6</f>
        <v>9.0603006000136807E-2</v>
      </c>
      <c r="BI30" s="94">
        <f>'Pro Forma'!BK35/'Pro Forma'!BK6</f>
        <v>8.6433052887184253E-2</v>
      </c>
      <c r="BJ30" s="95">
        <f>'Pro Forma'!BL35/'Pro Forma'!BL6</f>
        <v>8.270120557602878E-2</v>
      </c>
    </row>
    <row r="31" spans="1:62">
      <c r="B31" s="7" t="s">
        <v>116</v>
      </c>
      <c r="C31" s="96">
        <f>C27-C28-C29-C30</f>
        <v>-2.8011999355843131</v>
      </c>
      <c r="D31" s="97">
        <f t="shared" ref="D31:H31" si="2">D27-D28-D29-D30</f>
        <v>-1.1607628524199392</v>
      </c>
      <c r="E31" s="97">
        <f t="shared" si="2"/>
        <v>-1.0181727825713895</v>
      </c>
      <c r="F31" s="97">
        <f t="shared" si="2"/>
        <v>-0.84872733451687399</v>
      </c>
      <c r="G31" s="97">
        <f t="shared" si="2"/>
        <v>-0.73221448273008982</v>
      </c>
      <c r="H31" s="97">
        <f t="shared" si="2"/>
        <v>-0.92589848679805398</v>
      </c>
      <c r="I31" s="97">
        <f t="shared" ref="I31:N31" si="3">I27-I28-I29-I30</f>
        <v>-0.73502891556042638</v>
      </c>
      <c r="J31" s="97">
        <f t="shared" si="3"/>
        <v>-0.62421112030271808</v>
      </c>
      <c r="K31" s="97">
        <f t="shared" si="3"/>
        <v>-0.53576410493724702</v>
      </c>
      <c r="L31" s="97">
        <f t="shared" si="3"/>
        <v>-0.46590405142700275</v>
      </c>
      <c r="M31" s="97">
        <f t="shared" si="3"/>
        <v>-0.3999991859882519</v>
      </c>
      <c r="N31" s="98">
        <f t="shared" si="3"/>
        <v>-0.33795750525110707</v>
      </c>
      <c r="O31" s="96">
        <f>O27-O28-O29-O30</f>
        <v>-0.2819932282701581</v>
      </c>
      <c r="P31" s="97">
        <f t="shared" ref="P31:Z31" si="4">P27-P28-P29-P30</f>
        <v>-0.19265478839803662</v>
      </c>
      <c r="Q31" s="97">
        <f t="shared" si="4"/>
        <v>-0.21662752539066746</v>
      </c>
      <c r="R31" s="97">
        <f t="shared" si="4"/>
        <v>-0.1638700487025388</v>
      </c>
      <c r="S31" s="97">
        <f t="shared" si="4"/>
        <v>-0.12437225272176869</v>
      </c>
      <c r="T31" s="97">
        <f t="shared" si="4"/>
        <v>-8.6144483761310509E-2</v>
      </c>
      <c r="U31" s="97">
        <f t="shared" si="4"/>
        <v>-4.9637685115003383E-2</v>
      </c>
      <c r="V31" s="97">
        <f t="shared" si="4"/>
        <v>-1.5407013336385972E-2</v>
      </c>
      <c r="W31" s="97">
        <f t="shared" si="4"/>
        <v>-0.18591445584075147</v>
      </c>
      <c r="X31" s="97">
        <f t="shared" si="4"/>
        <v>-0.30655743794779511</v>
      </c>
      <c r="Y31" s="97">
        <f t="shared" si="4"/>
        <v>-0.25064217029816249</v>
      </c>
      <c r="Z31" s="98">
        <f t="shared" si="4"/>
        <v>-0.35254091395495968</v>
      </c>
      <c r="AA31" s="96">
        <f>AA27-AA28-AA29-AA30</f>
        <v>-0.38730111805368905</v>
      </c>
      <c r="AB31" s="97">
        <f t="shared" ref="AB31:AL31" si="5">AB27-AB28-AB29-AB30</f>
        <v>-0.36226810053191649</v>
      </c>
      <c r="AC31" s="97">
        <f t="shared" si="5"/>
        <v>-0.28308824135064969</v>
      </c>
      <c r="AD31" s="97">
        <f t="shared" si="5"/>
        <v>-0.25963538959807481</v>
      </c>
      <c r="AE31" s="97">
        <f t="shared" si="5"/>
        <v>-0.20654271715457045</v>
      </c>
      <c r="AF31" s="97">
        <f t="shared" si="5"/>
        <v>-0.15731149919010018</v>
      </c>
      <c r="AG31" s="97">
        <f t="shared" si="5"/>
        <v>-0.21342049771137922</v>
      </c>
      <c r="AH31" s="97">
        <f t="shared" si="5"/>
        <v>-0.10641462354939002</v>
      </c>
      <c r="AI31" s="97">
        <f t="shared" si="5"/>
        <v>-0.1130705974891123</v>
      </c>
      <c r="AJ31" s="97">
        <f t="shared" si="5"/>
        <v>-8.7072230769342673E-2</v>
      </c>
      <c r="AK31" s="97">
        <f t="shared" si="5"/>
        <v>-0.17327879740245769</v>
      </c>
      <c r="AL31" s="98">
        <f t="shared" si="5"/>
        <v>-8.4129754512814486E-2</v>
      </c>
      <c r="AM31" s="96">
        <f>AM27-AM28-AM29-AM30</f>
        <v>-8.8833440785205914E-2</v>
      </c>
      <c r="AN31" s="97">
        <f t="shared" ref="AN31:AX31" si="6">AN27-AN28-AN29-AN30</f>
        <v>-5.5461269944820368E-2</v>
      </c>
      <c r="AO31" s="97">
        <f t="shared" si="6"/>
        <v>-3.5337335492076294E-2</v>
      </c>
      <c r="AP31" s="97">
        <f t="shared" si="6"/>
        <v>-3.3334849037109093E-3</v>
      </c>
      <c r="AQ31" s="97">
        <f t="shared" si="6"/>
        <v>-2.7377477703237507E-2</v>
      </c>
      <c r="AR31" s="97">
        <f t="shared" si="6"/>
        <v>1.1425935628434497E-2</v>
      </c>
      <c r="AS31" s="97">
        <f t="shared" si="6"/>
        <v>4.0128729757550385E-2</v>
      </c>
      <c r="AT31" s="97">
        <f t="shared" si="6"/>
        <v>1.5444157685298457E-2</v>
      </c>
      <c r="AU31" s="97">
        <f t="shared" si="6"/>
        <v>-8.3607830816223583E-4</v>
      </c>
      <c r="AV31" s="97">
        <f t="shared" si="6"/>
        <v>2.7238869451113118E-2</v>
      </c>
      <c r="AW31" s="97">
        <f t="shared" si="6"/>
        <v>3.2203341084894324E-2</v>
      </c>
      <c r="AX31" s="98">
        <f t="shared" si="6"/>
        <v>1.7393830936307364E-2</v>
      </c>
      <c r="AY31" s="96">
        <f>AY27-AY28-AY29-AY30</f>
        <v>8.7572838392191016E-2</v>
      </c>
      <c r="AZ31" s="97">
        <f t="shared" ref="AZ31:BJ31" si="7">AZ27-AZ28-AZ29-AZ30</f>
        <v>7.7933329990950651E-2</v>
      </c>
      <c r="BA31" s="97">
        <f t="shared" si="7"/>
        <v>0.11498245724956901</v>
      </c>
      <c r="BB31" s="97">
        <f t="shared" si="7"/>
        <v>0.13137433370060564</v>
      </c>
      <c r="BC31" s="97">
        <f t="shared" si="7"/>
        <v>7.6290158658018609E-2</v>
      </c>
      <c r="BD31" s="97">
        <f t="shared" si="7"/>
        <v>0.1047468273990088</v>
      </c>
      <c r="BE31" s="97">
        <f t="shared" si="7"/>
        <v>0.10627418283132931</v>
      </c>
      <c r="BF31" s="97">
        <f t="shared" si="7"/>
        <v>0.12223807343166007</v>
      </c>
      <c r="BG31" s="97">
        <f t="shared" si="7"/>
        <v>0.11407115437311588</v>
      </c>
      <c r="BH31" s="97">
        <f t="shared" si="7"/>
        <v>0.14687608251341572</v>
      </c>
      <c r="BI31" s="97">
        <f t="shared" si="7"/>
        <v>0.14755356946617848</v>
      </c>
      <c r="BJ31" s="98">
        <f t="shared" si="7"/>
        <v>0.15833194494005592</v>
      </c>
    </row>
    <row r="32" spans="1:62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2:BK107"/>
  <sheetViews>
    <sheetView showGridLines="0" topLeftCell="A27" workbookViewId="0">
      <selection activeCell="D52" sqref="D52"/>
    </sheetView>
  </sheetViews>
  <sheetFormatPr defaultColWidth="8.85546875" defaultRowHeight="15"/>
  <sheetData>
    <row r="2" spans="1:1" s="64" customFormat="1" ht="15.75">
      <c r="A2" s="64" t="s">
        <v>397</v>
      </c>
    </row>
    <row r="18" spans="1:1" s="64" customFormat="1" ht="15.75">
      <c r="A18" s="64" t="s">
        <v>398</v>
      </c>
    </row>
    <row r="35" spans="1:1" s="64" customFormat="1" ht="15.75">
      <c r="A35" s="64" t="s">
        <v>399</v>
      </c>
    </row>
    <row r="53" spans="1:63" s="1250" customFormat="1" ht="18.75">
      <c r="A53" s="1246"/>
      <c r="B53" s="1247"/>
      <c r="C53" s="1248" t="str">
        <f>'Prg. Marketing'!A29</f>
        <v>Earned Media</v>
      </c>
      <c r="D53" s="1249">
        <f>'Prg. Marketing'!C42</f>
        <v>586.93333333333328</v>
      </c>
      <c r="E53" s="1250">
        <f>'Prg. Marketing'!D42</f>
        <v>586.93333333333328</v>
      </c>
      <c r="F53" s="1250">
        <f>'Prg. Marketing'!E42</f>
        <v>514.82000000000005</v>
      </c>
      <c r="G53" s="1250">
        <f>'Prg. Marketing'!F42</f>
        <v>451.69520242214531</v>
      </c>
      <c r="H53" s="1250">
        <f>'Prg. Marketing'!G42</f>
        <v>510.67951800580096</v>
      </c>
      <c r="I53" s="1250">
        <f>'Prg. Marketing'!H42</f>
        <v>448.83405241790615</v>
      </c>
      <c r="J53" s="1250">
        <f>'Prg. Marketing'!I42</f>
        <v>394.57239273833306</v>
      </c>
      <c r="K53" s="1250">
        <f>'Prg. Marketing'!J42</f>
        <v>346.95469140301634</v>
      </c>
      <c r="L53" s="1250">
        <f>'Prg. Marketing'!K42</f>
        <v>357.6232729823484</v>
      </c>
      <c r="M53" s="1250">
        <f>'Prg. Marketing'!L42</f>
        <v>318.61455508960552</v>
      </c>
      <c r="N53" s="1250">
        <f>'Prg. Marketing'!M42</f>
        <v>280.77623656403466</v>
      </c>
      <c r="O53" s="1251">
        <f>'Prg. Marketing'!N42</f>
        <v>247.25664643912211</v>
      </c>
      <c r="P53" s="1250">
        <f>'Prg. Marketing'!O42</f>
        <v>217.76972180792319</v>
      </c>
      <c r="Q53" s="1250">
        <f>'Prg. Marketing'!P42</f>
        <v>202.44336201946075</v>
      </c>
      <c r="R53" s="1250">
        <f>'Prg. Marketing'!Q42</f>
        <v>193.12518328440231</v>
      </c>
      <c r="S53" s="1250">
        <f>'Prg. Marketing'!R42</f>
        <v>182.20137778846563</v>
      </c>
      <c r="T53" s="1250">
        <f>'Prg. Marketing'!S42</f>
        <v>171.76340703802708</v>
      </c>
      <c r="U53" s="1250">
        <f>'Prg. Marketing'!T42</f>
        <v>161.93790612268799</v>
      </c>
      <c r="V53" s="1250">
        <f>'Prg. Marketing'!U42</f>
        <v>213.80259566451321</v>
      </c>
      <c r="W53" s="1250">
        <f>'Prg. Marketing'!V42</f>
        <v>201.74745552963998</v>
      </c>
      <c r="X53" s="1250">
        <f>'Prg. Marketing'!W42</f>
        <v>190.39537189657139</v>
      </c>
      <c r="Y53" s="1250">
        <f>'Prg. Marketing'!X42</f>
        <v>179.70418233445577</v>
      </c>
      <c r="Z53" s="1250">
        <f>'Prg. Marketing'!Y42</f>
        <v>169.63430728206393</v>
      </c>
      <c r="AA53" s="1251">
        <f>'Prg. Marketing'!Z42</f>
        <v>160.14859347361883</v>
      </c>
      <c r="AB53" s="1250">
        <f>'Prg. Marketing'!AA42</f>
        <v>168.78148944402523</v>
      </c>
      <c r="AC53" s="1250">
        <f>'Prg. Marketing'!AB42</f>
        <v>188.0658890569477</v>
      </c>
      <c r="AD53" s="1250">
        <f>'Prg. Marketing'!AC42</f>
        <v>183.84599470249518</v>
      </c>
      <c r="AE53" s="1250">
        <f>'Prg. Marketing'!AD42</f>
        <v>179.42214120211241</v>
      </c>
      <c r="AF53" s="1250">
        <f>'Prg. Marketing'!AE42</f>
        <v>175.11963834593382</v>
      </c>
      <c r="AG53" s="1250">
        <f>'Prg. Marketing'!AF42</f>
        <v>170.98305242239789</v>
      </c>
      <c r="AH53" s="1250">
        <f>'Prg. Marketing'!AG42</f>
        <v>167.01147867132704</v>
      </c>
      <c r="AI53" s="1250">
        <f>'Prg. Marketing'!AH42</f>
        <v>163.19707467007015</v>
      </c>
      <c r="AJ53" s="1250">
        <f>'Prg. Marketing'!AI42</f>
        <v>176.46376663732241</v>
      </c>
      <c r="AK53" s="1250">
        <f>'Prg. Marketing'!AJ42</f>
        <v>176.82468725478847</v>
      </c>
      <c r="AL53" s="1250">
        <f>'Prg. Marketing'!AK42</f>
        <v>174.11490080601877</v>
      </c>
      <c r="AM53" s="1251">
        <f>'Prg. Marketing'!AL42</f>
        <v>188.47206333960085</v>
      </c>
      <c r="AN53" s="1250">
        <f>'Prg. Marketing'!AM42</f>
        <v>184.74476204886997</v>
      </c>
      <c r="AO53" s="1250">
        <f>'Prg. Marketing'!AN42</f>
        <v>197.10636266715954</v>
      </c>
      <c r="AP53" s="1250">
        <f>'Prg. Marketing'!AO42</f>
        <v>188.81101813605775</v>
      </c>
      <c r="AQ53" s="1250">
        <f>'Prg. Marketing'!AP42</f>
        <v>183.11269364840484</v>
      </c>
      <c r="AR53" s="1250">
        <f>'Prg. Marketing'!AQ42</f>
        <v>177.98664547571661</v>
      </c>
      <c r="AS53" s="1250">
        <f>'Prg. Marketing'!AR42</f>
        <v>187.10617052270993</v>
      </c>
      <c r="AT53" s="1250">
        <f>'Prg. Marketing'!AS42</f>
        <v>200.49861715237873</v>
      </c>
      <c r="AU53" s="1250">
        <f>'Prg. Marketing'!AT42</f>
        <v>195.99185894912884</v>
      </c>
      <c r="AV53" s="1250">
        <f>'Prg. Marketing'!AU42</f>
        <v>191.00430418926351</v>
      </c>
      <c r="AW53" s="1250">
        <f>'Prg. Marketing'!AV42</f>
        <v>186.02075240028196</v>
      </c>
      <c r="AX53" s="1250">
        <f>'Prg. Marketing'!AW42</f>
        <v>181.15446913631786</v>
      </c>
      <c r="AY53" s="1251">
        <f>'Prg. Marketing'!AX42</f>
        <v>203.60682941468625</v>
      </c>
      <c r="AZ53" s="1250">
        <f>'Prg. Marketing'!AY42</f>
        <v>224.41636061674581</v>
      </c>
      <c r="BA53" s="1250">
        <f>'Prg. Marketing'!AZ42</f>
        <v>223.7551171022684</v>
      </c>
      <c r="BB53" s="1250">
        <f>'Prg. Marketing'!BA42</f>
        <v>220.25250610236768</v>
      </c>
      <c r="BC53" s="1250">
        <f>'Prg. Marketing'!BB42</f>
        <v>215.90414743107235</v>
      </c>
      <c r="BD53" s="1250">
        <f>'Prg. Marketing'!BC42</f>
        <v>211.3589588823551</v>
      </c>
      <c r="BE53" s="1250">
        <f>'Prg. Marketing'!BD42</f>
        <v>218.51954051261237</v>
      </c>
      <c r="BF53" s="1250">
        <f>'Prg. Marketing'!BE42</f>
        <v>250.27119143271068</v>
      </c>
      <c r="BG53" s="1250">
        <f>'Prg. Marketing'!BF42</f>
        <v>250.25021590587937</v>
      </c>
      <c r="BH53" s="1250">
        <f>'Prg. Marketing'!BG42</f>
        <v>247.09802945958518</v>
      </c>
      <c r="BI53" s="1250">
        <f>'Prg. Marketing'!BH42</f>
        <v>253.50792845278662</v>
      </c>
      <c r="BJ53" s="1250">
        <f>'Prg. Marketing'!BI42</f>
        <v>262.15578532463815</v>
      </c>
      <c r="BK53" s="1251">
        <f>'Prg. Marketing'!BJ42</f>
        <v>263.4929559669323</v>
      </c>
    </row>
    <row r="54" spans="1:63" s="1250" customFormat="1" ht="18.75">
      <c r="A54" s="1246"/>
      <c r="B54" s="1247"/>
      <c r="C54" s="1248" t="str">
        <f>'Prg. Marketing'!A47</f>
        <v>TV</v>
      </c>
      <c r="D54" s="1249">
        <f>'Prg. Marketing'!D60</f>
        <v>1787.4285714285711</v>
      </c>
      <c r="E54" s="1250">
        <f>'Prg. Marketing'!E60</f>
        <v>1736.6421768707478</v>
      </c>
      <c r="F54" s="1250">
        <f>'Prg. Marketing'!F60</f>
        <v>1687.5743699384514</v>
      </c>
      <c r="G54" s="1250">
        <f>'Prg. Marketing'!G60</f>
        <v>1708.5686361546882</v>
      </c>
      <c r="H54" s="1250">
        <f>'Prg. Marketing'!H60</f>
        <v>1659.4664229610378</v>
      </c>
      <c r="I54" s="1250">
        <f>'Prg. Marketing'!I60</f>
        <v>1612.0314017278156</v>
      </c>
      <c r="J54" s="1250">
        <f>'Prg. Marketing'!J60</f>
        <v>1566.1941512934384</v>
      </c>
      <c r="K54" s="1250">
        <f>'Prg. Marketing'!K60</f>
        <v>1564.5295706089064</v>
      </c>
      <c r="L54" s="1250">
        <f>'Prg. Marketing'!L60</f>
        <v>1523.0468481815715</v>
      </c>
      <c r="M54" s="1250">
        <f>'Prg. Marketing'!M60</f>
        <v>1479.7934551469273</v>
      </c>
      <c r="N54" s="1250">
        <f>'Prg. Marketing'!N60</f>
        <v>1437.7324060822241</v>
      </c>
      <c r="O54" s="1251">
        <f>'Prg. Marketing'!O60</f>
        <v>1397.0449678438013</v>
      </c>
      <c r="P54" s="1250">
        <f>'Prg. Marketing'!P60</f>
        <v>1369.2147826638345</v>
      </c>
      <c r="Q54" s="1250">
        <f>'Prg. Marketing'!Q60</f>
        <v>1347.8702166070557</v>
      </c>
      <c r="R54" s="1250">
        <f>'Prg. Marketing'!R60</f>
        <v>1324.4620100530094</v>
      </c>
      <c r="S54" s="1250">
        <f>'Prg. Marketing'!S60</f>
        <v>1301.3718420176785</v>
      </c>
      <c r="T54" s="1250">
        <f>'Prg. Marketing'!T60</f>
        <v>1278.7772188090355</v>
      </c>
      <c r="U54" s="1250">
        <f>'Prg. Marketing'!U60</f>
        <v>1334.4803177311558</v>
      </c>
      <c r="V54" s="1250">
        <f>'Prg. Marketing'!V60</f>
        <v>1310.3541717355668</v>
      </c>
      <c r="W54" s="1250">
        <f>'Prg. Marketing'!W60</f>
        <v>1286.7772802465042</v>
      </c>
      <c r="X54" s="1250">
        <f>'Prg. Marketing'!X60</f>
        <v>1263.733385877641</v>
      </c>
      <c r="Y54" s="1250">
        <f>'Prg. Marketing'!Y60</f>
        <v>1241.206811139758</v>
      </c>
      <c r="Z54" s="1250">
        <f>'Prg. Marketing'!Z60</f>
        <v>1219.182441628137</v>
      </c>
      <c r="AA54" s="1251">
        <f>'Prg. Marketing'!AA60</f>
        <v>1223.4666559738357</v>
      </c>
      <c r="AB54" s="1250">
        <f>'Prg. Marketing'!AB60</f>
        <v>1241.3420449028852</v>
      </c>
      <c r="AC54" s="1250">
        <f>'Prg. Marketing'!AC60</f>
        <v>1224.8112668910082</v>
      </c>
      <c r="AD54" s="1250">
        <f>'Prg. Marketing'!AD60</f>
        <v>1208.119714308215</v>
      </c>
      <c r="AE54" s="1250">
        <f>'Prg. Marketing'!AE60</f>
        <v>1191.7410560369717</v>
      </c>
      <c r="AF54" s="1250">
        <f>'Prg. Marketing'!AF60</f>
        <v>1175.7368835749585</v>
      </c>
      <c r="AG54" s="1250">
        <f>'Prg. Marketing'!AG60</f>
        <v>1160.1024398425589</v>
      </c>
      <c r="AH54" s="1250">
        <f>'Prg. Marketing'!AH60</f>
        <v>1144.823044781587</v>
      </c>
      <c r="AI54" s="1250">
        <f>'Prg. Marketing'!AI60</f>
        <v>1154.124979779242</v>
      </c>
      <c r="AJ54" s="1250">
        <f>'Prg. Marketing'!AJ60</f>
        <v>1144.9762950978716</v>
      </c>
      <c r="AK54" s="1250">
        <f>'Prg. Marketing'!AK60</f>
        <v>1131.546022606605</v>
      </c>
      <c r="AL54" s="1250">
        <f>'Prg. Marketing'!AL60</f>
        <v>1142.424987959907</v>
      </c>
      <c r="AM54" s="1251">
        <f>'Prg. Marketing'!AM60</f>
        <v>1127.704238988201</v>
      </c>
      <c r="AN54" s="1250">
        <f>'Prg. Marketing'!AN60</f>
        <v>1137.5096166230089</v>
      </c>
      <c r="AO54" s="1250">
        <f>'Prg. Marketing'!AO60</f>
        <v>1118.0655508589552</v>
      </c>
      <c r="AP54" s="1250">
        <f>'Prg. Marketing'!AP60</f>
        <v>1102.3185482653562</v>
      </c>
      <c r="AQ54" s="1250">
        <f>'Prg. Marketing'!AQ60</f>
        <v>1087.401510766392</v>
      </c>
      <c r="AR54" s="1250">
        <f>'Prg. Marketing'!AR60</f>
        <v>1093.4582020488519</v>
      </c>
      <c r="AS54" s="1250">
        <f>'Prg. Marketing'!AS60</f>
        <v>1106.2023357663688</v>
      </c>
      <c r="AT54" s="1250">
        <f>'Prg. Marketing'!AT60</f>
        <v>1092.6186148554548</v>
      </c>
      <c r="AU54" s="1250">
        <f>'Prg. Marketing'!AU60</f>
        <v>1078.3255961070761</v>
      </c>
      <c r="AV54" s="1250">
        <f>'Prg. Marketing'!AV60</f>
        <v>1064.0403006363863</v>
      </c>
      <c r="AW54" s="1250">
        <f>'Prg. Marketing'!AW60</f>
        <v>1049.9339788349666</v>
      </c>
      <c r="AX54" s="1250">
        <f>'Prg. Marketing'!AX60</f>
        <v>1078.0566524103326</v>
      </c>
      <c r="AY54" s="1251">
        <f>'Prg. Marketing'!AY60</f>
        <v>1104.308322886367</v>
      </c>
      <c r="AZ54" s="1250">
        <f>'Prg. Marketing'!AZ60</f>
        <v>1083.4563385273314</v>
      </c>
      <c r="BA54" s="1250">
        <f>'Prg. Marketing'!BA60</f>
        <v>1058.6750653348538</v>
      </c>
      <c r="BB54" s="1250">
        <f>'Prg. Marketing'!BB60</f>
        <v>1033.0794058842571</v>
      </c>
      <c r="BC54" s="1250">
        <f>'Prg. Marketing'!BC60</f>
        <v>1007.6692478038938</v>
      </c>
      <c r="BD54" s="1250">
        <f>'Prg. Marketing'!BD60</f>
        <v>1000.6134906249475</v>
      </c>
      <c r="BE54" s="1250">
        <f>'Prg. Marketing'!BE60</f>
        <v>1031.2802564612205</v>
      </c>
      <c r="BF54" s="1250">
        <f>'Prg. Marketing'!BF60</f>
        <v>1013.831604417883</v>
      </c>
      <c r="BG54" s="1250">
        <f>'Prg. Marketing'!BG60</f>
        <v>992.05308957747309</v>
      </c>
      <c r="BH54" s="1250">
        <f>'Prg. Marketing'!BH60</f>
        <v>985.06302216765971</v>
      </c>
      <c r="BI54" s="1250">
        <f>'Prg. Marketing'!BI60</f>
        <v>981.7178326614943</v>
      </c>
      <c r="BJ54" s="1250">
        <f>'Prg. Marketing'!BJ60</f>
        <v>967.73883887587294</v>
      </c>
      <c r="BK54" s="1251">
        <f>'Prg. Marketing'!BK60</f>
        <v>979.60946670550584</v>
      </c>
    </row>
    <row r="55" spans="1:63" s="1250" customFormat="1" ht="18.75">
      <c r="A55" s="1246"/>
      <c r="B55" s="1247"/>
      <c r="C55" s="1248" t="str">
        <f>'Prg. Marketing'!A65</f>
        <v>Print</v>
      </c>
      <c r="D55" s="1249">
        <f>'Prg. Marketing'!D78</f>
        <v>902.95652173913049</v>
      </c>
      <c r="E55" s="1250">
        <f>'Prg. Marketing'!E78</f>
        <v>857.28938321536896</v>
      </c>
      <c r="F55" s="1250">
        <f>'Prg. Marketing'!F78</f>
        <v>814.05348319890891</v>
      </c>
      <c r="G55" s="1250">
        <f>'Prg. Marketing'!G78</f>
        <v>802.21459729933542</v>
      </c>
      <c r="H55" s="1250">
        <f>'Prg. Marketing'!H78</f>
        <v>761.40283531454702</v>
      </c>
      <c r="I55" s="1250">
        <f>'Prg. Marketing'!I78</f>
        <v>722.77282803002004</v>
      </c>
      <c r="J55" s="1250">
        <f>'Prg. Marketing'!J78</f>
        <v>686.20001973211799</v>
      </c>
      <c r="K55" s="1250">
        <f>'Prg. Marketing'!K78</f>
        <v>668.07777713762914</v>
      </c>
      <c r="L55" s="1250">
        <f>'Prg. Marketing'!L78</f>
        <v>635.40389212938953</v>
      </c>
      <c r="M55" s="1250">
        <f>'Prg. Marketing'!M78</f>
        <v>603.26802605998569</v>
      </c>
      <c r="N55" s="1250">
        <f>'Prg. Marketing'!N78</f>
        <v>572.74553342543311</v>
      </c>
      <c r="O55" s="1251">
        <f>'Prg. Marketing'!O78</f>
        <v>543.83113532774598</v>
      </c>
      <c r="P55" s="1250">
        <f>'Prg. Marketing'!P78</f>
        <v>542.03925890643268</v>
      </c>
      <c r="Q55" s="1250">
        <f>'Prg. Marketing'!Q78</f>
        <v>542.41423827770632</v>
      </c>
      <c r="R55" s="1250">
        <f>'Prg. Marketing'!R78</f>
        <v>541.902851490996</v>
      </c>
      <c r="S55" s="1250">
        <f>'Prg. Marketing'!S78</f>
        <v>541.35917879583621</v>
      </c>
      <c r="T55" s="1250">
        <f>'Prg. Marketing'!T78</f>
        <v>540.8521354654963</v>
      </c>
      <c r="U55" s="1250">
        <f>'Prg. Marketing'!U78</f>
        <v>570.61448188019585</v>
      </c>
      <c r="V55" s="1250">
        <f>'Prg. Marketing'!V78</f>
        <v>569.69368200728945</v>
      </c>
      <c r="W55" s="1250">
        <f>'Prg. Marketing'!W78</f>
        <v>568.82052338390145</v>
      </c>
      <c r="X55" s="1250">
        <f>'Prg. Marketing'!X78</f>
        <v>567.99381926182241</v>
      </c>
      <c r="Y55" s="1250">
        <f>'Prg. Marketing'!Y78</f>
        <v>567.2124134688396</v>
      </c>
      <c r="Z55" s="1250">
        <f>'Prg. Marketing'!Z78</f>
        <v>566.47518209423959</v>
      </c>
      <c r="AA55" s="1251">
        <f>'Prg. Marketing'!AA78</f>
        <v>576.84128806253102</v>
      </c>
      <c r="AB55" s="1250">
        <f>'Prg. Marketing'!AB78</f>
        <v>589.76267844874531</v>
      </c>
      <c r="AC55" s="1250">
        <f>'Prg. Marketing'!AC78</f>
        <v>587.85760169159994</v>
      </c>
      <c r="AD55" s="1250">
        <f>'Prg. Marketing'!AD78</f>
        <v>585.7912273661143</v>
      </c>
      <c r="AE55" s="1250">
        <f>'Prg. Marketing'!AE78</f>
        <v>583.77089473964577</v>
      </c>
      <c r="AF55" s="1250">
        <f>'Prg. Marketing'!AF78</f>
        <v>581.82681296821283</v>
      </c>
      <c r="AG55" s="1250">
        <f>'Prg. Marketing'!AG78</f>
        <v>579.96019667164967</v>
      </c>
      <c r="AH55" s="1250">
        <f>'Prg. Marketing'!AH78</f>
        <v>578.16769682669394</v>
      </c>
      <c r="AI55" s="1250">
        <f>'Prg. Marketing'!AI78</f>
        <v>587.68077479856026</v>
      </c>
      <c r="AJ55" s="1250">
        <f>'Prg. Marketing'!AJ78</f>
        <v>588.69471860178362</v>
      </c>
      <c r="AK55" s="1250">
        <f>'Prg. Marketing'!AK78</f>
        <v>587.65241948912887</v>
      </c>
      <c r="AL55" s="1250">
        <f>'Prg. Marketing'!AL78</f>
        <v>598.14156751630787</v>
      </c>
      <c r="AM55" s="1251">
        <f>'Prg. Marketing'!AM78</f>
        <v>596.44432728883646</v>
      </c>
      <c r="AN55" s="1250">
        <f>'Prg. Marketing'!AN78</f>
        <v>605.52923770975156</v>
      </c>
      <c r="AO55" s="1250">
        <f>'Prg. Marketing'!AO78</f>
        <v>600.39539807492918</v>
      </c>
      <c r="AP55" s="1250">
        <f>'Prg. Marketing'!AP78</f>
        <v>596.96930160873558</v>
      </c>
      <c r="AQ55" s="1250">
        <f>'Prg. Marketing'!AQ78</f>
        <v>593.86610585855431</v>
      </c>
      <c r="AR55" s="1250">
        <f>'Prg. Marketing'!AR78</f>
        <v>601.21409788009191</v>
      </c>
      <c r="AS55" s="1250">
        <f>'Prg. Marketing'!AS78</f>
        <v>612.03718945028186</v>
      </c>
      <c r="AT55" s="1250">
        <f>'Prg. Marketing'!AT78</f>
        <v>609.55961591002949</v>
      </c>
      <c r="AU55" s="1250">
        <f>'Prg. Marketing'!AU78</f>
        <v>606.64098707718279</v>
      </c>
      <c r="AV55" s="1250">
        <f>'Prg. Marketing'!AV78</f>
        <v>603.64339572300776</v>
      </c>
      <c r="AW55" s="1250">
        <f>'Prg. Marketing'!AW78</f>
        <v>600.65538898804823</v>
      </c>
      <c r="AX55" s="1250">
        <f>'Prg. Marketing'!AX78</f>
        <v>619.87147762763834</v>
      </c>
      <c r="AY55" s="1251">
        <f>'Prg. Marketing'!AY78</f>
        <v>638.37534753179796</v>
      </c>
      <c r="AZ55" s="1250">
        <f>'Prg. Marketing'!AZ78</f>
        <v>626.04193222660194</v>
      </c>
      <c r="BA55" s="1250">
        <f>'Prg. Marketing'!BA78</f>
        <v>611.64772861410495</v>
      </c>
      <c r="BB55" s="1250">
        <f>'Prg. Marketing'!BB78</f>
        <v>596.84958829048708</v>
      </c>
      <c r="BC55" s="1250">
        <f>'Prg. Marketing'!BC78</f>
        <v>582.17888095276533</v>
      </c>
      <c r="BD55" s="1250">
        <f>'Prg. Marketing'!BD78</f>
        <v>577.3034400189058</v>
      </c>
      <c r="BE55" s="1250">
        <f>'Prg. Marketing'!BE78</f>
        <v>592.52927925200811</v>
      </c>
      <c r="BF55" s="1250">
        <f>'Prg. Marketing'!BF78</f>
        <v>582.1772890513281</v>
      </c>
      <c r="BG55" s="1250">
        <f>'Prg. Marketing'!BG78</f>
        <v>569.54719123436939</v>
      </c>
      <c r="BH55" s="1250">
        <f>'Prg. Marketing'!BH78</f>
        <v>564.81211159508052</v>
      </c>
      <c r="BI55" s="1250">
        <f>'Prg. Marketing'!BI78</f>
        <v>562.04140872151788</v>
      </c>
      <c r="BJ55" s="1250">
        <f>'Prg. Marketing'!BJ78</f>
        <v>553.63611404050164</v>
      </c>
      <c r="BK55" s="1251">
        <f>'Prg. Marketing'!BK78</f>
        <v>559.01020098656988</v>
      </c>
    </row>
    <row r="56" spans="1:63" s="1250" customFormat="1" ht="18.75">
      <c r="A56" s="1246"/>
      <c r="B56" s="1247"/>
      <c r="C56" s="1248" t="str">
        <f>'Prg. Marketing'!A83</f>
        <v>Public Workshops</v>
      </c>
      <c r="D56" s="1249">
        <f>'Prg. Marketing'!D96</f>
        <v>513.4</v>
      </c>
      <c r="E56" s="1250">
        <f>'Prg. Marketing'!E96</f>
        <v>489.09281249999998</v>
      </c>
      <c r="F56" s="1250">
        <f>'Prg. Marketing'!F96</f>
        <v>466.06070654296883</v>
      </c>
      <c r="G56" s="1250">
        <f>'Prg. Marketing'!G96</f>
        <v>478.48981113967903</v>
      </c>
      <c r="H56" s="1250">
        <f>'Prg. Marketing'!H96</f>
        <v>455.64718635903239</v>
      </c>
      <c r="I56" s="1250">
        <f>'Prg. Marketing'!I96</f>
        <v>434.00341771679047</v>
      </c>
      <c r="J56" s="1250">
        <f>'Prg. Marketing'!J96</f>
        <v>413.48890917946574</v>
      </c>
      <c r="K56" s="1250">
        <f>'Prg. Marketing'!K96</f>
        <v>414.08825652002093</v>
      </c>
      <c r="L56" s="1250">
        <f>'Prg. Marketing'!L96</f>
        <v>395.95412788594604</v>
      </c>
      <c r="M56" s="1250">
        <f>'Prg. Marketing'!M96</f>
        <v>377.30220360352484</v>
      </c>
      <c r="N56" s="1250">
        <f>'Prg. Marketing'!N96</f>
        <v>359.50151747125915</v>
      </c>
      <c r="O56" s="1251">
        <f>'Prg. Marketing'!O96</f>
        <v>342.60832489042258</v>
      </c>
      <c r="P56" s="1250">
        <f>'Prg. Marketing'!P96</f>
        <v>338.2830486392927</v>
      </c>
      <c r="Q56" s="1250">
        <f>'Prg. Marketing'!Q96</f>
        <v>336.67844234116615</v>
      </c>
      <c r="R56" s="1250">
        <f>'Prg. Marketing'!R96</f>
        <v>333.98301075339276</v>
      </c>
      <c r="S56" s="1250">
        <f>'Prg. Marketing'!S96</f>
        <v>331.26277801130186</v>
      </c>
      <c r="T56" s="1250">
        <f>'Prg. Marketing'!T96</f>
        <v>328.60274483954726</v>
      </c>
      <c r="U56" s="1250">
        <f>'Prg. Marketing'!U96</f>
        <v>362.95915950704051</v>
      </c>
      <c r="V56" s="1250">
        <f>'Prg. Marketing'!V96</f>
        <v>359.67390252626154</v>
      </c>
      <c r="W56" s="1250">
        <f>'Prg. Marketing'!W96</f>
        <v>356.46578650058649</v>
      </c>
      <c r="X56" s="1250">
        <f>'Prg. Marketing'!X96</f>
        <v>353.33257051324421</v>
      </c>
      <c r="Y56" s="1250">
        <f>'Prg. Marketing'!Y96</f>
        <v>350.27208007996001</v>
      </c>
      <c r="Z56" s="1250">
        <f>'Prg. Marketing'!Z96</f>
        <v>347.28220813687284</v>
      </c>
      <c r="AA56" s="1251">
        <f>'Prg. Marketing'!AA96</f>
        <v>357.55335054091211</v>
      </c>
      <c r="AB56" s="1250">
        <f>'Prg. Marketing'!AB96</f>
        <v>372.04480735056148</v>
      </c>
      <c r="AC56" s="1250">
        <f>'Prg. Marketing'!AC96</f>
        <v>368.86505068874749</v>
      </c>
      <c r="AD56" s="1250">
        <f>'Prg. Marketing'!AD96</f>
        <v>365.50775761011789</v>
      </c>
      <c r="AE56" s="1250">
        <f>'Prg. Marketing'!AE96</f>
        <v>362.21917209208812</v>
      </c>
      <c r="AF56" s="1250">
        <f>'Prg. Marketing'!AF96</f>
        <v>359.03443122230982</v>
      </c>
      <c r="AG56" s="1250">
        <f>'Prg. Marketing'!AG96</f>
        <v>355.95424786838566</v>
      </c>
      <c r="AH56" s="1250">
        <f>'Prg. Marketing'!AH96</f>
        <v>352.9739742162725</v>
      </c>
      <c r="AI56" s="1250">
        <f>'Prg. Marketing'!AI96</f>
        <v>363.2272199806676</v>
      </c>
      <c r="AJ56" s="1250">
        <f>'Prg. Marketing'!AJ96</f>
        <v>363.51316138848563</v>
      </c>
      <c r="AK56" s="1250">
        <f>'Prg. Marketing'!AK96</f>
        <v>361.40272404969062</v>
      </c>
      <c r="AL56" s="1250">
        <f>'Prg. Marketing'!AL96</f>
        <v>372.68595747275998</v>
      </c>
      <c r="AM56" s="1251">
        <f>'Prg. Marketing'!AM96</f>
        <v>369.80048841834525</v>
      </c>
      <c r="AN56" s="1250">
        <f>'Prg. Marketing'!AN96</f>
        <v>378.25455106286358</v>
      </c>
      <c r="AO56" s="1250">
        <f>'Prg. Marketing'!AO96</f>
        <v>370.34644694471405</v>
      </c>
      <c r="AP56" s="1250">
        <f>'Prg. Marketing'!AP96</f>
        <v>364.46835183727683</v>
      </c>
      <c r="AQ56" s="1250">
        <f>'Prg. Marketing'!AQ96</f>
        <v>359.02014876980024</v>
      </c>
      <c r="AR56" s="1250">
        <f>'Prg. Marketing'!AR96</f>
        <v>365.24710805185032</v>
      </c>
      <c r="AS56" s="1250">
        <f>'Prg. Marketing'!AS96</f>
        <v>375.17455134976012</v>
      </c>
      <c r="AT56" s="1250">
        <f>'Prg. Marketing'!AT96</f>
        <v>370.3726690960533</v>
      </c>
      <c r="AU56" s="1250">
        <f>'Prg. Marketing'!AU96</f>
        <v>365.14292143196417</v>
      </c>
      <c r="AV56" s="1250">
        <f>'Prg. Marketing'!AV96</f>
        <v>359.88593846379865</v>
      </c>
      <c r="AW56" s="1250">
        <f>'Prg. Marketing'!AW96</f>
        <v>354.69767959431732</v>
      </c>
      <c r="AX56" s="1250">
        <f>'Prg. Marketing'!AX96</f>
        <v>373.05215641672476</v>
      </c>
      <c r="AY56" s="1251">
        <f>'Prg. Marketing'!AY96</f>
        <v>390.33170699514682</v>
      </c>
      <c r="AZ56" s="1250">
        <f>'Prg. Marketing'!AZ96</f>
        <v>382.65129712588748</v>
      </c>
      <c r="BA56" s="1250">
        <f>'Prg. Marketing'!BA96</f>
        <v>372.71751721656415</v>
      </c>
      <c r="BB56" s="1250">
        <f>'Prg. Marketing'!BB96</f>
        <v>362.27913235480628</v>
      </c>
      <c r="BC56" s="1250">
        <f>'Prg. Marketing'!BC96</f>
        <v>351.89506836722245</v>
      </c>
      <c r="BD56" s="1250">
        <f>'Prg. Marketing'!BD96</f>
        <v>351.50701217536783</v>
      </c>
      <c r="BE56" s="1250">
        <f>'Prg. Marketing'!BE96</f>
        <v>371.54892064569208</v>
      </c>
      <c r="BF56" s="1250">
        <f>'Prg. Marketing'!BF96</f>
        <v>365.19968629767732</v>
      </c>
      <c r="BG56" s="1250">
        <f>'Prg. Marketing'!BG96</f>
        <v>356.44359929522659</v>
      </c>
      <c r="BH56" s="1250">
        <f>'Prg. Marketing'!BH96</f>
        <v>355.60271803650085</v>
      </c>
      <c r="BI56" s="1250">
        <f>'Prg. Marketing'!BI96</f>
        <v>356.61058055055389</v>
      </c>
      <c r="BJ56" s="1250">
        <f>'Prg. Marketing'!BJ96</f>
        <v>351.82438920747325</v>
      </c>
      <c r="BK56" s="1251">
        <f>'Prg. Marketing'!BK96</f>
        <v>360.71543646807527</v>
      </c>
    </row>
    <row r="57" spans="1:63" s="1250" customFormat="1" ht="18.75">
      <c r="A57" s="1246"/>
      <c r="B57" s="1247"/>
      <c r="C57" s="1248" t="str">
        <f>'Prg. Marketing'!A101</f>
        <v>Presentations</v>
      </c>
      <c r="D57" s="1249">
        <f>'Prg. Marketing'!D114</f>
        <v>399.2592592592593</v>
      </c>
      <c r="E57" s="1250">
        <f>'Prg. Marketing'!E114</f>
        <v>378.41319444444446</v>
      </c>
      <c r="F57" s="1250">
        <f>'Prg. Marketing'!F114</f>
        <v>358.78338216145835</v>
      </c>
      <c r="G57" s="1250">
        <f>'Prg. Marketing'!G114</f>
        <v>382.58890129089349</v>
      </c>
      <c r="H57" s="1250">
        <f>'Prg. Marketing'!H114</f>
        <v>362.51856982433793</v>
      </c>
      <c r="I57" s="1250">
        <f>'Prg. Marketing'!I114</f>
        <v>343.61071235712745</v>
      </c>
      <c r="J57" s="1250">
        <f>'Prg. Marketing'!J114</f>
        <v>325.79181392695796</v>
      </c>
      <c r="K57" s="1250">
        <f>'Prg. Marketing'!K114</f>
        <v>333.74613644898943</v>
      </c>
      <c r="L57" s="1250">
        <f>'Prg. Marketing'!L114</f>
        <v>318.29089884115871</v>
      </c>
      <c r="M57" s="1250">
        <f>'Prg. Marketing'!M114</f>
        <v>301.92560361520498</v>
      </c>
      <c r="N57" s="1250">
        <f>'Prg. Marketing'!N114</f>
        <v>286.35099422521694</v>
      </c>
      <c r="O57" s="1251">
        <f>'Prg. Marketing'!O114</f>
        <v>271.6466868409297</v>
      </c>
      <c r="P57" s="1250">
        <f>'Prg. Marketing'!P114</f>
        <v>266.61566931887273</v>
      </c>
      <c r="Q57" s="1250">
        <f>'Prg. Marketing'!Q114</f>
        <v>264.94287332595013</v>
      </c>
      <c r="R57" s="1250">
        <f>'Prg. Marketing'!R114</f>
        <v>261.92275046613184</v>
      </c>
      <c r="S57" s="1250">
        <f>'Prg. Marketing'!S114</f>
        <v>258.87138120246669</v>
      </c>
      <c r="T57" s="1250">
        <f>'Prg. Marketing'!T114</f>
        <v>255.89370598220347</v>
      </c>
      <c r="U57" s="1250">
        <f>'Prg. Marketing'!U114</f>
        <v>298.61472394659148</v>
      </c>
      <c r="V57" s="1250">
        <f>'Prg. Marketing'!V114</f>
        <v>294.86391848559037</v>
      </c>
      <c r="W57" s="1250">
        <f>'Prg. Marketing'!W114</f>
        <v>291.2077261851926</v>
      </c>
      <c r="X57" s="1250">
        <f>'Prg. Marketing'!X114</f>
        <v>287.64338175206802</v>
      </c>
      <c r="Y57" s="1250">
        <f>'Prg. Marketing'!Y114</f>
        <v>284.16820190572093</v>
      </c>
      <c r="Z57" s="1250">
        <f>'Prg. Marketing'!Z114</f>
        <v>280.7795865981463</v>
      </c>
      <c r="AA57" s="1251">
        <f>'Prg. Marketing'!AA114</f>
        <v>293.7619764217078</v>
      </c>
      <c r="AB57" s="1250">
        <f>'Prg. Marketing'!AB114</f>
        <v>312.01726115741076</v>
      </c>
      <c r="AC57" s="1250">
        <f>'Prg. Marketing'!AC114</f>
        <v>308.45533272509374</v>
      </c>
      <c r="AD57" s="1250">
        <f>'Prg. Marketing'!AD114</f>
        <v>304.67332551380406</v>
      </c>
      <c r="AE57" s="1250">
        <f>'Prg. Marketing'!AE114</f>
        <v>300.97524665125837</v>
      </c>
      <c r="AF57" s="1250">
        <f>'Prg. Marketing'!AF114</f>
        <v>297.40447746986644</v>
      </c>
      <c r="AG57" s="1250">
        <f>'Prg. Marketing'!AG114</f>
        <v>293.96190025947908</v>
      </c>
      <c r="AH57" s="1250">
        <f>'Prg. Marketing'!AH114</f>
        <v>290.64177917901071</v>
      </c>
      <c r="AI57" s="1250">
        <f>'Prg. Marketing'!AI114</f>
        <v>303.6584494050777</v>
      </c>
      <c r="AJ57" s="1250">
        <f>'Prg. Marketing'!AJ114</f>
        <v>304.36892081531653</v>
      </c>
      <c r="AK57" s="1250">
        <f>'Prg. Marketing'!AK114</f>
        <v>302.12001733510351</v>
      </c>
      <c r="AL57" s="1250">
        <f>'Prg. Marketing'!AL114</f>
        <v>316.40562942579498</v>
      </c>
      <c r="AM57" s="1251">
        <f>'Prg. Marketing'!AM114</f>
        <v>313.19813797814948</v>
      </c>
      <c r="AN57" s="1250">
        <f>'Prg. Marketing'!AN114</f>
        <v>325.28020272161945</v>
      </c>
      <c r="AO57" s="1250">
        <f>'Prg. Marketing'!AO114</f>
        <v>317.14318510562526</v>
      </c>
      <c r="AP57" s="1250">
        <f>'Prg. Marketing'!AP114</f>
        <v>311.49369158918603</v>
      </c>
      <c r="AQ57" s="1250">
        <f>'Prg. Marketing'!AQ114</f>
        <v>306.35648325158132</v>
      </c>
      <c r="AR57" s="1250">
        <f>'Prg. Marketing'!AR114</f>
        <v>315.6148215300729</v>
      </c>
      <c r="AS57" s="1250">
        <f>'Prg. Marketing'!AS114</f>
        <v>329.42363377458298</v>
      </c>
      <c r="AT57" s="1250">
        <f>'Prg. Marketing'!AT114</f>
        <v>325.03027550942471</v>
      </c>
      <c r="AU57" s="1250">
        <f>'Prg. Marketing'!AU114</f>
        <v>320.0910748343378</v>
      </c>
      <c r="AV57" s="1250">
        <f>'Prg. Marketing'!AV114</f>
        <v>315.10083894106128</v>
      </c>
      <c r="AW57" s="1250">
        <f>'Prg. Marketing'!AW114</f>
        <v>310.17823603085509</v>
      </c>
      <c r="AX57" s="1250">
        <f>'Prg. Marketing'!AX114</f>
        <v>334.30372483986901</v>
      </c>
      <c r="AY57" s="1251">
        <f>'Prg. Marketing'!AY114</f>
        <v>357.08532538209226</v>
      </c>
      <c r="AZ57" s="1250">
        <f>'Prg. Marketing'!AZ114</f>
        <v>352.56774046741799</v>
      </c>
      <c r="BA57" s="1250">
        <f>'Prg. Marketing'!BA114</f>
        <v>345.10186931426364</v>
      </c>
      <c r="BB57" s="1250">
        <f>'Prg. Marketing'!BB114</f>
        <v>336.84028602692251</v>
      </c>
      <c r="BC57" s="1250">
        <f>'Prg. Marketing'!BC114</f>
        <v>328.4778065370885</v>
      </c>
      <c r="BD57" s="1250">
        <f>'Prg. Marketing'!BD114</f>
        <v>332.54155933090118</v>
      </c>
      <c r="BE57" s="1250">
        <f>'Prg. Marketing'!BE114</f>
        <v>362.38501092251323</v>
      </c>
      <c r="BF57" s="1250">
        <f>'Prg. Marketing'!BF114</f>
        <v>358.8561173127847</v>
      </c>
      <c r="BG57" s="1250">
        <f>'Prg. Marketing'!BG114</f>
        <v>352.13596462440597</v>
      </c>
      <c r="BH57" s="1250">
        <f>'Prg. Marketing'!BH114</f>
        <v>355.40546666201107</v>
      </c>
      <c r="BI57" s="1250">
        <f>'Prg. Marketing'!BI114</f>
        <v>360.98968605683768</v>
      </c>
      <c r="BJ57" s="1250">
        <f>'Prg. Marketing'!BJ114</f>
        <v>359.05292422572001</v>
      </c>
      <c r="BK57" s="1251">
        <f>'Prg. Marketing'!BK114</f>
        <v>374.74333591447635</v>
      </c>
    </row>
    <row r="58" spans="1:63" s="1250" customFormat="1" ht="18.75">
      <c r="A58" s="1246"/>
      <c r="B58" s="1247"/>
      <c r="C58" s="1248" t="str">
        <f>'Prg. Marketing'!A119</f>
        <v>Tabeling</v>
      </c>
      <c r="D58" s="1249">
        <f>'Prg. Marketing'!D132</f>
        <v>462.62499999999994</v>
      </c>
      <c r="E58" s="1250">
        <f>'Prg. Marketing'!E132</f>
        <v>436.58027343750007</v>
      </c>
      <c r="F58" s="1250">
        <f>'Prg. Marketing'!F132</f>
        <v>412.16338531494142</v>
      </c>
      <c r="G58" s="1250">
        <f>'Prg. Marketing'!G132</f>
        <v>453.50312984991075</v>
      </c>
      <c r="H58" s="1250">
        <f>'Prg. Marketing'!H132</f>
        <v>428.00388284076826</v>
      </c>
      <c r="I58" s="1250">
        <f>'Prg. Marketing'!I132</f>
        <v>404.07551162025271</v>
      </c>
      <c r="J58" s="1250">
        <f>'Prg. Marketing'!J132</f>
        <v>381.61396813615676</v>
      </c>
      <c r="K58" s="1250">
        <f>'Prg. Marketing'!K132</f>
        <v>398.11578098467226</v>
      </c>
      <c r="L58" s="1250">
        <f>'Prg. Marketing'!L132</f>
        <v>378.89162182665552</v>
      </c>
      <c r="M58" s="1250">
        <f>'Prg. Marketing'!M132</f>
        <v>358.11935629553335</v>
      </c>
      <c r="N58" s="1250">
        <f>'Prg. Marketing'!N132</f>
        <v>338.38847118273355</v>
      </c>
      <c r="O58" s="1251">
        <f>'Prg. Marketing'!O132</f>
        <v>319.82611298725408</v>
      </c>
      <c r="P58" s="1250">
        <f>'Prg. Marketing'!P132</f>
        <v>313.65473832830151</v>
      </c>
      <c r="Q58" s="1250">
        <f>'Prg. Marketing'!Q132</f>
        <v>312.56920757969448</v>
      </c>
      <c r="R58" s="1250">
        <f>'Prg. Marketing'!R132</f>
        <v>309.39760572816067</v>
      </c>
      <c r="S58" s="1250">
        <f>'Prg. Marketing'!S132</f>
        <v>306.14612780811098</v>
      </c>
      <c r="T58" s="1250">
        <f>'Prg. Marketing'!T132</f>
        <v>302.9766450038781</v>
      </c>
      <c r="U58" s="1250">
        <f>'Prg. Marketing'!U132</f>
        <v>370.90479821550815</v>
      </c>
      <c r="V58" s="1250">
        <f>'Prg. Marketing'!V132</f>
        <v>366.75529967838696</v>
      </c>
      <c r="W58" s="1250">
        <f>'Prg. Marketing'!W132</f>
        <v>362.71363784829555</v>
      </c>
      <c r="X58" s="1250">
        <f>'Prg. Marketing'!X132</f>
        <v>358.77701675516403</v>
      </c>
      <c r="Y58" s="1250">
        <f>'Prg. Marketing'!Y132</f>
        <v>354.94271223372692</v>
      </c>
      <c r="Z58" s="1250">
        <f>'Prg. Marketing'!Z132</f>
        <v>351.20807588267235</v>
      </c>
      <c r="AA58" s="1251">
        <f>'Prg. Marketing'!AA132</f>
        <v>373.5506688298035</v>
      </c>
      <c r="AB58" s="1250">
        <f>'Prg. Marketing'!AB132</f>
        <v>403.90254259803783</v>
      </c>
      <c r="AC58" s="1250">
        <f>'Prg. Marketing'!AC132</f>
        <v>399.4275869219548</v>
      </c>
      <c r="AD58" s="1250">
        <f>'Prg. Marketing'!AD132</f>
        <v>394.57374915291922</v>
      </c>
      <c r="AE58" s="1250">
        <f>'Prg. Marketing'!AE132</f>
        <v>389.82806165214964</v>
      </c>
      <c r="AF58" s="1250">
        <f>'Prg. Marketing'!AF132</f>
        <v>385.26148462305446</v>
      </c>
      <c r="AG58" s="1250">
        <f>'Prg. Marketing'!AG132</f>
        <v>380.8768711632319</v>
      </c>
      <c r="AH58" s="1250">
        <f>'Prg. Marketing'!AH132</f>
        <v>376.66635453943883</v>
      </c>
      <c r="AI58" s="1250">
        <f>'Prg. Marketing'!AI132</f>
        <v>399.01222701284638</v>
      </c>
      <c r="AJ58" s="1250">
        <f>'Prg. Marketing'!AJ132</f>
        <v>401.3939439491561</v>
      </c>
      <c r="AK58" s="1250">
        <f>'Prg. Marketing'!AK132</f>
        <v>398.94562142731769</v>
      </c>
      <c r="AL58" s="1250">
        <f>'Prg. Marketing'!AL132</f>
        <v>423.58424678739703</v>
      </c>
      <c r="AM58" s="1251">
        <f>'Prg. Marketing'!AM132</f>
        <v>419.59749152354073</v>
      </c>
      <c r="AN58" s="1250">
        <f>'Prg. Marketing'!AN132</f>
        <v>433.43566674259108</v>
      </c>
      <c r="AO58" s="1250">
        <f>'Prg. Marketing'!AO132</f>
        <v>414.54566075806235</v>
      </c>
      <c r="AP58" s="1250">
        <f>'Prg. Marketing'!AP132</f>
        <v>400.03331440255363</v>
      </c>
      <c r="AQ58" s="1250">
        <f>'Prg. Marketing'!AQ132</f>
        <v>386.6585746113974</v>
      </c>
      <c r="AR58" s="1250">
        <f>'Prg. Marketing'!AR132</f>
        <v>395.40747946100436</v>
      </c>
      <c r="AS58" s="1250">
        <f>'Prg. Marketing'!AS132</f>
        <v>410.54493690546349</v>
      </c>
      <c r="AT58" s="1250">
        <f>'Prg. Marketing'!AT132</f>
        <v>398.38902904966534</v>
      </c>
      <c r="AU58" s="1250">
        <f>'Prg. Marketing'!AU132</f>
        <v>385.72067886956813</v>
      </c>
      <c r="AV58" s="1250">
        <f>'Prg. Marketing'!AV132</f>
        <v>373.27492985425511</v>
      </c>
      <c r="AW58" s="1250">
        <f>'Prg. Marketing'!AW132</f>
        <v>361.21506881327633</v>
      </c>
      <c r="AX58" s="1250">
        <f>'Prg. Marketing'!AX132</f>
        <v>389.35144261344726</v>
      </c>
      <c r="AY58" s="1251">
        <f>'Prg. Marketing'!AY132</f>
        <v>414.66025209743162</v>
      </c>
      <c r="AZ58" s="1250">
        <f>'Prg. Marketing'!AZ132</f>
        <v>406.90530648144437</v>
      </c>
      <c r="BA58" s="1250">
        <f>'Prg. Marketing'!BA132</f>
        <v>395.28687591167812</v>
      </c>
      <c r="BB58" s="1250">
        <f>'Prg. Marketing'!BB132</f>
        <v>382.74090782629861</v>
      </c>
      <c r="BC58" s="1250">
        <f>'Prg. Marketing'!BC132</f>
        <v>370.20221142501219</v>
      </c>
      <c r="BD58" s="1250">
        <f>'Prg. Marketing'!BD132</f>
        <v>373.93716732475053</v>
      </c>
      <c r="BE58" s="1250">
        <f>'Prg. Marketing'!BE132</f>
        <v>410.75158042511191</v>
      </c>
      <c r="BF58" s="1250">
        <f>'Prg. Marketing'!BF132</f>
        <v>404.28422510654678</v>
      </c>
      <c r="BG58" s="1250">
        <f>'Prg. Marketing'!BG132</f>
        <v>393.81809489265464</v>
      </c>
      <c r="BH58" s="1250">
        <f>'Prg. Marketing'!BH132</f>
        <v>396.01860158213566</v>
      </c>
      <c r="BI58" s="1250">
        <f>'Prg. Marketing'!BI132</f>
        <v>401.01320840239254</v>
      </c>
      <c r="BJ58" s="1250">
        <f>'Prg. Marketing'!BJ132</f>
        <v>396.57071546817127</v>
      </c>
      <c r="BK58" s="1251">
        <f>'Prg. Marketing'!BK132</f>
        <v>413.76862729496418</v>
      </c>
    </row>
    <row r="59" spans="1:63" s="1250" customFormat="1" ht="18.75">
      <c r="A59" s="1246"/>
      <c r="B59" s="1247"/>
      <c r="C59" s="1248" t="str">
        <f>'Prg. Marketing'!A137</f>
        <v>Campaign</v>
      </c>
      <c r="D59" s="1249">
        <f>'Prg. Marketing'!D150</f>
        <v>551.57692307692321</v>
      </c>
      <c r="E59" s="1250">
        <f>'Prg. Marketing'!E150</f>
        <v>503.22852203975799</v>
      </c>
      <c r="F59" s="1250">
        <f>'Prg. Marketing'!F150</f>
        <v>459.25193516747106</v>
      </c>
      <c r="G59" s="1250">
        <f>'Prg. Marketing'!G150</f>
        <v>456.01822995337369</v>
      </c>
      <c r="H59" s="1250">
        <f>'Prg. Marketing'!H150</f>
        <v>415.87835054005831</v>
      </c>
      <c r="I59" s="1250">
        <f>'Prg. Marketing'!I150</f>
        <v>379.37414256228664</v>
      </c>
      <c r="J59" s="1250">
        <f>'Prg. Marketing'!J150</f>
        <v>346.16593021821808</v>
      </c>
      <c r="K59" s="1250">
        <f>'Prg. Marketing'!K150</f>
        <v>334.13707841940504</v>
      </c>
      <c r="L59" s="1250">
        <f>'Prg. Marketing'!L150</f>
        <v>306.1527105791061</v>
      </c>
      <c r="M59" s="1250">
        <f>'Prg. Marketing'!M150</f>
        <v>279.41689192216245</v>
      </c>
      <c r="N59" s="1250">
        <f>'Prg. Marketing'!N150</f>
        <v>254.99140842870767</v>
      </c>
      <c r="O59" s="1251">
        <f>'Prg. Marketing'!O150</f>
        <v>232.75058620455326</v>
      </c>
      <c r="P59" s="1250">
        <f>'Prg. Marketing'!P150</f>
        <v>226.71919599421494</v>
      </c>
      <c r="Q59" s="1250">
        <f>'Prg. Marketing'!Q150</f>
        <v>222.83541302338048</v>
      </c>
      <c r="R59" s="1250">
        <f>'Prg. Marketing'!R150</f>
        <v>218.20590997944302</v>
      </c>
      <c r="S59" s="1250">
        <f>'Prg. Marketing'!S150</f>
        <v>213.63757249046947</v>
      </c>
      <c r="T59" s="1250">
        <f>'Prg. Marketing'!T150</f>
        <v>209.19114421801882</v>
      </c>
      <c r="U59" s="1250">
        <f>'Prg. Marketing'!U150</f>
        <v>231.20401898316962</v>
      </c>
      <c r="V59" s="1250">
        <f>'Prg. Marketing'!V150</f>
        <v>226.14941337463827</v>
      </c>
      <c r="W59" s="1250">
        <f>'Prg. Marketing'!W150</f>
        <v>221.23681162854476</v>
      </c>
      <c r="X59" s="1250">
        <f>'Prg. Marketing'!X150</f>
        <v>216.4613303636113</v>
      </c>
      <c r="Y59" s="1250">
        <f>'Prg. Marketing'!Y150</f>
        <v>211.81827375054155</v>
      </c>
      <c r="Z59" s="1250">
        <f>'Prg. Marketing'!Z150</f>
        <v>207.30312794426669</v>
      </c>
      <c r="AA59" s="1251">
        <f>'Prg. Marketing'!AA150</f>
        <v>211.65218159768494</v>
      </c>
      <c r="AB59" s="1250">
        <f>'Prg. Marketing'!AB150</f>
        <v>219.68848194260653</v>
      </c>
      <c r="AC59" s="1250">
        <f>'Prg. Marketing'!AC150</f>
        <v>216.05851693555155</v>
      </c>
      <c r="AD59" s="1250">
        <f>'Prg. Marketing'!AD150</f>
        <v>212.35485518900293</v>
      </c>
      <c r="AE59" s="1250">
        <f>'Prg. Marketing'!AE150</f>
        <v>208.73802689344225</v>
      </c>
      <c r="AF59" s="1250">
        <f>'Prg. Marketing'!AF150</f>
        <v>205.22906843212556</v>
      </c>
      <c r="AG59" s="1250">
        <f>'Prg. Marketing'!AG150</f>
        <v>201.82655475518877</v>
      </c>
      <c r="AH59" s="1250">
        <f>'Prg. Marketing'!AH150</f>
        <v>198.5256999776561</v>
      </c>
      <c r="AI59" s="1250">
        <f>'Prg. Marketing'!AI150</f>
        <v>203.5275030523577</v>
      </c>
      <c r="AJ59" s="1250">
        <f>'Prg. Marketing'!AJ150</f>
        <v>202.26543621661889</v>
      </c>
      <c r="AK59" s="1250">
        <f>'Prg. Marketing'!AK150</f>
        <v>199.53602414955319</v>
      </c>
      <c r="AL59" s="1250">
        <f>'Prg. Marketing'!AL150</f>
        <v>205.01769857237403</v>
      </c>
      <c r="AM59" s="1251">
        <f>'Prg. Marketing'!AM150</f>
        <v>201.81599841129946</v>
      </c>
      <c r="AN59" s="1250">
        <f>'Prg. Marketing'!AN150</f>
        <v>202.22709158689003</v>
      </c>
      <c r="AO59" s="1250">
        <f>'Prg. Marketing'!AO150</f>
        <v>193.04798803334697</v>
      </c>
      <c r="AP59" s="1250">
        <f>'Prg. Marketing'!AP150</f>
        <v>185.3347512901897</v>
      </c>
      <c r="AQ59" s="1250">
        <f>'Prg. Marketing'!AQ150</f>
        <v>178.11448076420902</v>
      </c>
      <c r="AR59" s="1250">
        <f>'Prg. Marketing'!AR150</f>
        <v>177.40150921692495</v>
      </c>
      <c r="AS59" s="1250">
        <f>'Prg. Marketing'!AS150</f>
        <v>178.55733378383826</v>
      </c>
      <c r="AT59" s="1250">
        <f>'Prg. Marketing'!AT150</f>
        <v>172.01806996242567</v>
      </c>
      <c r="AU59" s="1250">
        <f>'Prg. Marketing'!AU150</f>
        <v>165.47394286383258</v>
      </c>
      <c r="AV59" s="1250">
        <f>'Prg. Marketing'!AV150</f>
        <v>159.12939011357921</v>
      </c>
      <c r="AW59" s="1250">
        <f>'Prg. Marketing'!AW150</f>
        <v>153.02463673132112</v>
      </c>
      <c r="AX59" s="1250">
        <f>'Prg. Marketing'!AX150</f>
        <v>158.04772197036277</v>
      </c>
      <c r="AY59" s="1251">
        <f>'Prg. Marketing'!AY150</f>
        <v>162.25258689581702</v>
      </c>
      <c r="AZ59" s="1250">
        <f>'Prg. Marketing'!AZ150</f>
        <v>156.02794575910184</v>
      </c>
      <c r="BA59" s="1250">
        <f>'Prg. Marketing'!BA150</f>
        <v>148.99438445888745</v>
      </c>
      <c r="BB59" s="1250">
        <f>'Prg. Marketing'!BB150</f>
        <v>141.95251100506877</v>
      </c>
      <c r="BC59" s="1250">
        <f>'Prg. Marketing'!BC150</f>
        <v>135.143924838213</v>
      </c>
      <c r="BD59" s="1250">
        <f>'Prg. Marketing'!BD150</f>
        <v>132.63687844112107</v>
      </c>
      <c r="BE59" s="1250">
        <f>'Prg. Marketing'!BE150</f>
        <v>138.37414378796379</v>
      </c>
      <c r="BF59" s="1250">
        <f>'Prg. Marketing'!BF150</f>
        <v>133.4309981121306</v>
      </c>
      <c r="BG59" s="1250">
        <f>'Prg. Marketing'!BG150</f>
        <v>127.6922216908703</v>
      </c>
      <c r="BH59" s="1250">
        <f>'Prg. Marketing'!BH150</f>
        <v>125.11486466455256</v>
      </c>
      <c r="BI59" s="1250">
        <f>'Prg. Marketing'!BI150</f>
        <v>123.26737419346698</v>
      </c>
      <c r="BJ59" s="1250">
        <f>'Prg. Marketing'!BJ150</f>
        <v>119.33098374821206</v>
      </c>
      <c r="BK59" s="1251">
        <f>'Prg. Marketing'!BK150</f>
        <v>120.36738083913596</v>
      </c>
    </row>
    <row r="60" spans="1:63" s="1250" customFormat="1" ht="18.75">
      <c r="A60" s="1246"/>
      <c r="B60" s="1247"/>
      <c r="C60" s="1248" t="str">
        <f>'Prg. Marketing'!A155</f>
        <v>Bill Inserts</v>
      </c>
      <c r="D60" s="1249">
        <f>'Prg. Marketing'!D168</f>
        <v>324.23529411764702</v>
      </c>
      <c r="E60" s="1250">
        <f>'Prg. Marketing'!E168</f>
        <v>318.17760910815934</v>
      </c>
      <c r="F60" s="1250">
        <f>'Prg. Marketing'!F168</f>
        <v>312.32981453143162</v>
      </c>
      <c r="G60" s="1250">
        <f>'Prg. Marketing'!G168</f>
        <v>336.23918380205612</v>
      </c>
      <c r="H60" s="1250">
        <f>'Prg. Marketing'!H168</f>
        <v>329.83048609337305</v>
      </c>
      <c r="I60" s="1250">
        <f>'Prg. Marketing'!I168</f>
        <v>323.63601975500524</v>
      </c>
      <c r="J60" s="1250">
        <f>'Prg. Marketing'!J168</f>
        <v>317.64678889118073</v>
      </c>
      <c r="K60" s="1250">
        <f>'Prg. Marketing'!K168</f>
        <v>331.49310548907295</v>
      </c>
      <c r="L60" s="1250">
        <f>'Prg. Marketing'!L168</f>
        <v>326.83921609867883</v>
      </c>
      <c r="M60" s="1250">
        <f>'Prg. Marketing'!M168</f>
        <v>320.87920025425967</v>
      </c>
      <c r="N60" s="1250">
        <f>'Prg. Marketing'!N168</f>
        <v>314.99215524041915</v>
      </c>
      <c r="O60" s="1251">
        <f>'Prg. Marketing'!O168</f>
        <v>309.28210308926003</v>
      </c>
      <c r="P60" s="1250">
        <f>'Prg. Marketing'!P168</f>
        <v>308.39445629333392</v>
      </c>
      <c r="Q60" s="1250">
        <f>'Prg. Marketing'!Q168</f>
        <v>310.53822604030188</v>
      </c>
      <c r="R60" s="1250">
        <f>'Prg. Marketing'!R168</f>
        <v>311.42861069158056</v>
      </c>
      <c r="S60" s="1250">
        <f>'Prg. Marketing'!S168</f>
        <v>312.26405963538718</v>
      </c>
      <c r="T60" s="1250">
        <f>'Prg. Marketing'!T168</f>
        <v>313.14325116542142</v>
      </c>
      <c r="U60" s="1250">
        <f>'Prg. Marketing'!U168</f>
        <v>358.32208193063843</v>
      </c>
      <c r="V60" s="1250">
        <f>'Prg. Marketing'!V168</f>
        <v>358.93898820241401</v>
      </c>
      <c r="W60" s="1250">
        <f>'Prg. Marketing'!W168</f>
        <v>359.61047625319912</v>
      </c>
      <c r="X60" s="1250">
        <f>'Prg. Marketing'!X168</f>
        <v>360.33619040752433</v>
      </c>
      <c r="Y60" s="1250">
        <f>'Prg. Marketing'!Y168</f>
        <v>361.11578683188253</v>
      </c>
      <c r="Z60" s="1250">
        <f>'Prg. Marketing'!Z168</f>
        <v>361.94893714540046</v>
      </c>
      <c r="AA60" s="1251">
        <f>'Prg. Marketing'!AA168</f>
        <v>379.84494835088196</v>
      </c>
      <c r="AB60" s="1250">
        <f>'Prg. Marketing'!AB168</f>
        <v>401.70545770965293</v>
      </c>
      <c r="AC60" s="1250">
        <f>'Prg. Marketing'!AC168</f>
        <v>400.74494058589426</v>
      </c>
      <c r="AD60" s="1250">
        <f>'Prg. Marketing'!AD168</f>
        <v>399.51314196964023</v>
      </c>
      <c r="AE60" s="1250">
        <f>'Prg. Marketing'!AE168</f>
        <v>398.33139487773121</v>
      </c>
      <c r="AF60" s="1250">
        <f>'Prg. Marketing'!AF168</f>
        <v>397.24821321989276</v>
      </c>
      <c r="AG60" s="1250">
        <f>'Prg. Marketing'!AG168</f>
        <v>396.26712949894869</v>
      </c>
      <c r="AH60" s="1250">
        <f>'Prg. Marketing'!AH168</f>
        <v>395.38446450056921</v>
      </c>
      <c r="AI60" s="1250">
        <f>'Prg. Marketing'!AI168</f>
        <v>412.57429766786964</v>
      </c>
      <c r="AJ60" s="1250">
        <f>'Prg. Marketing'!AJ168</f>
        <v>416.25748250519302</v>
      </c>
      <c r="AK60" s="1250">
        <f>'Prg. Marketing'!AK168</f>
        <v>416.64390001303599</v>
      </c>
      <c r="AL60" s="1250">
        <f>'Prg. Marketing'!AL168</f>
        <v>435.75316601259425</v>
      </c>
      <c r="AM60" s="1251">
        <f>'Prg. Marketing'!AM168</f>
        <v>435.15073023777825</v>
      </c>
      <c r="AN60" s="1250">
        <f>'Prg. Marketing'!AN168</f>
        <v>448.05671818299089</v>
      </c>
      <c r="AO60" s="1250">
        <f>'Prg. Marketing'!AO168</f>
        <v>437.88611972946626</v>
      </c>
      <c r="AP60" s="1250">
        <f>'Prg. Marketing'!AP168</f>
        <v>430.56594851564006</v>
      </c>
      <c r="AQ60" s="1250">
        <f>'Prg. Marketing'!AQ168</f>
        <v>423.84069763727797</v>
      </c>
      <c r="AR60" s="1250">
        <f>'Prg. Marketing'!AR168</f>
        <v>433.5626053511217</v>
      </c>
      <c r="AS60" s="1250">
        <f>'Prg. Marketing'!AS168</f>
        <v>448.4901390857404</v>
      </c>
      <c r="AT60" s="1250">
        <f>'Prg. Marketing'!AT168</f>
        <v>442.64348848561639</v>
      </c>
      <c r="AU60" s="1250">
        <f>'Prg. Marketing'!AU168</f>
        <v>436.18310411206477</v>
      </c>
      <c r="AV60" s="1250">
        <f>'Prg. Marketing'!AV168</f>
        <v>429.67386334935594</v>
      </c>
      <c r="AW60" s="1250">
        <f>'Prg. Marketing'!AW168</f>
        <v>423.25115728504642</v>
      </c>
      <c r="AX60" s="1250">
        <f>'Prg. Marketing'!AX168</f>
        <v>450.00569544197009</v>
      </c>
      <c r="AY60" s="1251">
        <f>'Prg. Marketing'!AY168</f>
        <v>475.23483567987188</v>
      </c>
      <c r="AZ60" s="1250">
        <f>'Prg. Marketing'!AZ168</f>
        <v>468.43008882326143</v>
      </c>
      <c r="BA60" s="1250">
        <f>'Prg. Marketing'!BA168</f>
        <v>458.29905094779036</v>
      </c>
      <c r="BB60" s="1250">
        <f>'Prg. Marketing'!BB168</f>
        <v>447.29862070541725</v>
      </c>
      <c r="BC60" s="1250">
        <f>'Prg. Marketing'!BC168</f>
        <v>436.2212056470695</v>
      </c>
      <c r="BD60" s="1250">
        <f>'Prg. Marketing'!BD168</f>
        <v>439.36975022411934</v>
      </c>
      <c r="BE60" s="1250">
        <f>'Prg. Marketing'!BE168</f>
        <v>471.99076086255047</v>
      </c>
      <c r="BF60" s="1250">
        <f>'Prg. Marketing'!BF168</f>
        <v>466.54165111359617</v>
      </c>
      <c r="BG60" s="1250">
        <f>'Prg. Marketing'!BG168</f>
        <v>457.4832864718415</v>
      </c>
      <c r="BH60" s="1250">
        <f>'Prg. Marketing'!BH168</f>
        <v>459.86521208954338</v>
      </c>
      <c r="BI60" s="1250">
        <f>'Prg. Marketing'!BI168</f>
        <v>464.9231146045812</v>
      </c>
      <c r="BJ60" s="1250">
        <f>'Prg. Marketing'!BJ168</f>
        <v>461.42547436376157</v>
      </c>
      <c r="BK60" s="1251">
        <f>'Prg. Marketing'!BK168</f>
        <v>478.08647597120472</v>
      </c>
    </row>
    <row r="61" spans="1:63" s="1250" customFormat="1" ht="18.75">
      <c r="A61" s="1246"/>
      <c r="B61" s="1247"/>
      <c r="C61" s="1248" t="str">
        <f>'Prg. Marketing'!A173</f>
        <v>Referral</v>
      </c>
      <c r="D61" s="1249">
        <f>'Prg. Marketing'!D186</f>
        <v>332.43478260869568</v>
      </c>
      <c r="E61" s="1250">
        <f>'Prg. Marketing'!E186</f>
        <v>280.1199275362319</v>
      </c>
      <c r="F61" s="1250">
        <f>'Prg. Marketing'!F186</f>
        <v>236.12138737922709</v>
      </c>
      <c r="G61" s="1250">
        <f>'Prg. Marketing'!G186</f>
        <v>223.51449891178541</v>
      </c>
      <c r="H61" s="1250">
        <f>'Prg. Marketing'!H186</f>
        <v>188.28923791596947</v>
      </c>
      <c r="I61" s="1250">
        <f>'Prg. Marketing'!I186</f>
        <v>158.66573727607678</v>
      </c>
      <c r="J61" s="1250">
        <f>'Prg. Marketing'!J186</f>
        <v>133.74486664515464</v>
      </c>
      <c r="K61" s="1250">
        <f>'Prg. Marketing'!K186</f>
        <v>121.69164974009064</v>
      </c>
      <c r="L61" s="1250">
        <f>'Prg. Marketing'!L186</f>
        <v>103.17045296243251</v>
      </c>
      <c r="M61" s="1250">
        <f>'Prg. Marketing'!M186</f>
        <v>87.00537281522891</v>
      </c>
      <c r="N61" s="1250">
        <f>'Prg. Marketing'!N186</f>
        <v>73.360392910088962</v>
      </c>
      <c r="O61" s="1251">
        <f>'Prg. Marketing'!O186</f>
        <v>61.870520104937995</v>
      </c>
      <c r="P61" s="1250">
        <f>'Prg. Marketing'!P186</f>
        <v>54.708232834325621</v>
      </c>
      <c r="Q61" s="1250">
        <f>'Prg. Marketing'!Q186</f>
        <v>48.971090881035892</v>
      </c>
      <c r="R61" s="1250">
        <f>'Prg. Marketing'!R186</f>
        <v>43.612403127331405</v>
      </c>
      <c r="S61" s="1250">
        <f>'Prg. Marketing'!S186</f>
        <v>38.830412423938164</v>
      </c>
      <c r="T61" s="1250">
        <f>'Prg. Marketing'!T186</f>
        <v>34.577883596242394</v>
      </c>
      <c r="U61" s="1250">
        <f>'Prg. Marketing'!U186</f>
        <v>36.276623874093289</v>
      </c>
      <c r="V61" s="1250">
        <f>'Prg. Marketing'!V186</f>
        <v>32.269045141748585</v>
      </c>
      <c r="W61" s="1250">
        <f>'Prg. Marketing'!W186</f>
        <v>28.708860124792949</v>
      </c>
      <c r="X61" s="1250">
        <f>'Prg. Marketing'!X186</f>
        <v>25.545578385769112</v>
      </c>
      <c r="Y61" s="1250">
        <f>'Prg. Marketing'!Y186</f>
        <v>22.734470492106293</v>
      </c>
      <c r="Z61" s="1250">
        <f>'Prg. Marketing'!Z186</f>
        <v>20.235903752830314</v>
      </c>
      <c r="AA61" s="1251">
        <f>'Prg. Marketing'!AA186</f>
        <v>19.059625387471947</v>
      </c>
      <c r="AB61" s="1250">
        <f>'Prg. Marketing'!AB186</f>
        <v>18.621019742313951</v>
      </c>
      <c r="AC61" s="1250">
        <f>'Prg. Marketing'!AC186</f>
        <v>16.945753281264746</v>
      </c>
      <c r="AD61" s="1250">
        <f>'Prg. Marketing'!AD186</f>
        <v>15.40817286619801</v>
      </c>
      <c r="AE61" s="1250">
        <f>'Prg. Marketing'!AE186</f>
        <v>14.011849463370599</v>
      </c>
      <c r="AF61" s="1250">
        <f>'Prg. Marketing'!AF186</f>
        <v>12.745570672319429</v>
      </c>
      <c r="AG61" s="1250">
        <f>'Prg. Marketing'!AG186</f>
        <v>11.59708788743124</v>
      </c>
      <c r="AH61" s="1250">
        <f>'Prg. Marketing'!AH186</f>
        <v>10.555069294689151</v>
      </c>
      <c r="AI61" s="1250">
        <f>'Prg. Marketing'!AI186</f>
        <v>10.145464321789829</v>
      </c>
      <c r="AJ61" s="1250">
        <f>'Prg. Marketing'!AJ186</f>
        <v>9.3598101639466691</v>
      </c>
      <c r="AK61" s="1250">
        <f>'Prg. Marketing'!AK186</f>
        <v>8.5520725272571632</v>
      </c>
      <c r="AL61" s="1250">
        <f>'Prg. Marketing'!AL186</f>
        <v>8.2398408531980536</v>
      </c>
      <c r="AM61" s="1251">
        <f>'Prg. Marketing'!AM186</f>
        <v>7.5081035661802762</v>
      </c>
      <c r="AN61" s="1250">
        <f>'Prg. Marketing'!AN186</f>
        <v>7.4285603882514781</v>
      </c>
      <c r="AO61" s="1250">
        <f>'Prg. Marketing'!AO186</f>
        <v>6.9041616942758779</v>
      </c>
      <c r="AP61" s="1250">
        <f>'Prg. Marketing'!AP186</f>
        <v>6.4637169793518376</v>
      </c>
      <c r="AQ61" s="1250">
        <f>'Prg. Marketing'!AQ186</f>
        <v>6.059433232012144</v>
      </c>
      <c r="AR61" s="1250">
        <f>'Prg. Marketing'!AR186</f>
        <v>5.9475317254691147</v>
      </c>
      <c r="AS61" s="1250">
        <f>'Prg. Marketing'!AS186</f>
        <v>5.9137620749361695</v>
      </c>
      <c r="AT61" s="1250">
        <f>'Prg. Marketing'!AT186</f>
        <v>5.5614777713310657</v>
      </c>
      <c r="AU61" s="1250">
        <f>'Prg. Marketing'!AU186</f>
        <v>5.2204114580992291</v>
      </c>
      <c r="AV61" s="1250">
        <f>'Prg. Marketing'!AV186</f>
        <v>4.8983200324928378</v>
      </c>
      <c r="AW61" s="1250">
        <f>'Prg. Marketing'!AW186</f>
        <v>4.5959526519328247</v>
      </c>
      <c r="AX61" s="1250">
        <f>'Prg. Marketing'!AX186</f>
        <v>4.717633560875556</v>
      </c>
      <c r="AY61" s="1251">
        <f>'Prg. Marketing'!AY186</f>
        <v>4.7998903602832792</v>
      </c>
      <c r="AZ61" s="1250">
        <f>'Prg. Marketing'!AZ186</f>
        <v>4.5714757699969883</v>
      </c>
      <c r="BA61" s="1250">
        <f>'Prg. Marketing'!BA186</f>
        <v>4.316632373534012</v>
      </c>
      <c r="BB61" s="1250">
        <f>'Prg. Marketing'!BB186</f>
        <v>4.0645751799491752</v>
      </c>
      <c r="BC61" s="1250">
        <f>'Prg. Marketing'!BC186</f>
        <v>3.8237860754337709</v>
      </c>
      <c r="BD61" s="1250">
        <f>'Prg. Marketing'!BD186</f>
        <v>3.733420363243749</v>
      </c>
      <c r="BE61" s="1250">
        <f>'Prg. Marketing'!BE186</f>
        <v>3.9218246504483911</v>
      </c>
      <c r="BF61" s="1250">
        <f>'Prg. Marketing'!BF186</f>
        <v>3.7461957358691977</v>
      </c>
      <c r="BG61" s="1250">
        <f>'Prg. Marketing'!BG186</f>
        <v>3.5461653862909399</v>
      </c>
      <c r="BH61" s="1250">
        <f>'Prg. Marketing'!BH186</f>
        <v>3.4520189007778792</v>
      </c>
      <c r="BI61" s="1250">
        <f>'Prg. Marketing'!BI186</f>
        <v>3.3816659024772164</v>
      </c>
      <c r="BJ61" s="1250">
        <f>'Prg. Marketing'!BJ186</f>
        <v>3.2444343829937701</v>
      </c>
      <c r="BK61" s="1251">
        <f>'Prg. Marketing'!BK186</f>
        <v>3.2654349677597572</v>
      </c>
    </row>
    <row r="62" spans="1:63" s="1250" customFormat="1" ht="18.75">
      <c r="A62" s="1246"/>
      <c r="B62" s="1247"/>
      <c r="C62" s="1248" t="str">
        <f>'Prg. Marketing'!A191</f>
        <v>Affiliate Partners</v>
      </c>
      <c r="D62" s="1249">
        <f>'Prg. Marketing'!D204</f>
        <v>1251.304347826087</v>
      </c>
      <c r="E62" s="1250">
        <f>'Prg. Marketing'!E204</f>
        <v>1078.3208818126147</v>
      </c>
      <c r="F62" s="1250">
        <f>'Prg. Marketing'!F204</f>
        <v>929.4142104309874</v>
      </c>
      <c r="G62" s="1250">
        <f>'Prg. Marketing'!G204</f>
        <v>837.57428442314938</v>
      </c>
      <c r="H62" s="1250">
        <f>'Prg. Marketing'!H204</f>
        <v>721.53207052908806</v>
      </c>
      <c r="I62" s="1250">
        <f>'Prg. Marketing'!I204</f>
        <v>621.67269153641962</v>
      </c>
      <c r="J62" s="1250">
        <f>'Prg. Marketing'!J204</f>
        <v>535.72238814835043</v>
      </c>
      <c r="K62" s="1250">
        <f>'Prg. Marketing'!K204</f>
        <v>475.78072650539173</v>
      </c>
      <c r="L62" s="1250">
        <f>'Prg. Marketing'!L204</f>
        <v>410.88251011151181</v>
      </c>
      <c r="M62" s="1250">
        <f>'Prg. Marketing'!M204</f>
        <v>354.09163587645094</v>
      </c>
      <c r="N62" s="1250">
        <f>'Prg. Marketing'!N204</f>
        <v>305.14130416086073</v>
      </c>
      <c r="O62" s="1251">
        <f>'Prg. Marketing'!O204</f>
        <v>262.9937995002054</v>
      </c>
      <c r="P62" s="1250">
        <f>'Prg. Marketing'!P204</f>
        <v>241.09787452472753</v>
      </c>
      <c r="Q62" s="1250">
        <f>'Prg. Marketing'!Q204</f>
        <v>222.08534221460616</v>
      </c>
      <c r="R62" s="1250">
        <f>'Prg. Marketing'!R204</f>
        <v>204.17083582602626</v>
      </c>
      <c r="S62" s="1250">
        <f>'Prg. Marketing'!S204</f>
        <v>187.6873456172213</v>
      </c>
      <c r="T62" s="1250">
        <f>'Prg. Marketing'!T204</f>
        <v>172.54808317655761</v>
      </c>
      <c r="U62" s="1250">
        <f>'Prg. Marketing'!U204</f>
        <v>169.32079017985251</v>
      </c>
      <c r="V62" s="1250">
        <f>'Prg. Marketing'!V204</f>
        <v>155.54265884466639</v>
      </c>
      <c r="W62" s="1250">
        <f>'Prg. Marketing'!W204</f>
        <v>142.89907929015089</v>
      </c>
      <c r="X62" s="1250">
        <f>'Prg. Marketing'!X204</f>
        <v>131.29531104362727</v>
      </c>
      <c r="Y62" s="1250">
        <f>'Prg. Marketing'!Y204</f>
        <v>120.64465284984099</v>
      </c>
      <c r="Z62" s="1250">
        <f>'Prg. Marketing'!Z204</f>
        <v>110.86774882152527</v>
      </c>
      <c r="AA62" s="1251">
        <f>'Prg. Marketing'!AA204</f>
        <v>104.27239008616971</v>
      </c>
      <c r="AB62" s="1250">
        <f>'Prg. Marketing'!AB204</f>
        <v>99.806695855544348</v>
      </c>
      <c r="AC62" s="1250">
        <f>'Prg. Marketing'!AC204</f>
        <v>92.694162991882493</v>
      </c>
      <c r="AD62" s="1250">
        <f>'Prg. Marketing'!AD204</f>
        <v>86.059086814950419</v>
      </c>
      <c r="AE62" s="1250">
        <f>'Prg. Marketing'!AE204</f>
        <v>79.905036696583764</v>
      </c>
      <c r="AF62" s="1250">
        <f>'Prg. Marketing'!AF204</f>
        <v>74.201365482567084</v>
      </c>
      <c r="AG62" s="1250">
        <f>'Prg. Marketing'!AG204</f>
        <v>68.914687375354347</v>
      </c>
      <c r="AH62" s="1250">
        <f>'Prg. Marketing'!AH204</f>
        <v>64.013501142521193</v>
      </c>
      <c r="AI62" s="1250">
        <f>'Prg. Marketing'!AI204</f>
        <v>60.848934738125088</v>
      </c>
      <c r="AJ62" s="1250">
        <f>'Prg. Marketing'!AJ204</f>
        <v>56.846058339559583</v>
      </c>
      <c r="AK62" s="1250">
        <f>'Prg. Marketing'!AK204</f>
        <v>52.886722315383288</v>
      </c>
      <c r="AL62" s="1250">
        <f>'Prg. Marketing'!AL204</f>
        <v>50.350897246457514</v>
      </c>
      <c r="AM62" s="1251">
        <f>'Prg. Marketing'!AM204</f>
        <v>46.785005180454149</v>
      </c>
      <c r="AN62" s="1250">
        <f>'Prg. Marketing'!AN204</f>
        <v>44.701084058017379</v>
      </c>
      <c r="AO62" s="1250">
        <f>'Prg. Marketing'!AO204</f>
        <v>41.534558528772799</v>
      </c>
      <c r="AP62" s="1250">
        <f>'Prg. Marketing'!AP204</f>
        <v>38.719587653037124</v>
      </c>
      <c r="AQ62" s="1250">
        <f>'Prg. Marketing'!AQ204</f>
        <v>36.117147903579706</v>
      </c>
      <c r="AR62" s="1250">
        <f>'Prg. Marketing'!AR204</f>
        <v>34.392793129850858</v>
      </c>
      <c r="AS62" s="1250">
        <f>'Prg. Marketing'!AS204</f>
        <v>32.963001378420408</v>
      </c>
      <c r="AT62" s="1250">
        <f>'Prg. Marketing'!AT204</f>
        <v>30.789637919641049</v>
      </c>
      <c r="AU62" s="1250">
        <f>'Prg. Marketing'!AU204</f>
        <v>28.734482818467495</v>
      </c>
      <c r="AV62" s="1250">
        <f>'Prg. Marketing'!AV204</f>
        <v>26.811645735252785</v>
      </c>
      <c r="AW62" s="1250">
        <f>'Prg. Marketing'!AW204</f>
        <v>25.017210337792644</v>
      </c>
      <c r="AX62" s="1250">
        <f>'Prg. Marketing'!AX204</f>
        <v>24.361211942010012</v>
      </c>
      <c r="AY62" s="1251">
        <f>'Prg. Marketing'!AY204</f>
        <v>23.659661991650658</v>
      </c>
      <c r="AZ62" s="1250">
        <f>'Prg. Marketing'!AZ204</f>
        <v>22.850379443750366</v>
      </c>
      <c r="BA62" s="1250">
        <f>'Prg. Marketing'!BA204</f>
        <v>21.972840002908715</v>
      </c>
      <c r="BB62" s="1250">
        <f>'Prg. Marketing'!BB204</f>
        <v>21.098852099216959</v>
      </c>
      <c r="BC62" s="1250">
        <f>'Prg. Marketing'!BC204</f>
        <v>20.250321394184041</v>
      </c>
      <c r="BD62" s="1250">
        <f>'Prg. Marketing'!BD204</f>
        <v>19.810588439403116</v>
      </c>
      <c r="BE62" s="1250">
        <f>'Prg. Marketing'!BE204</f>
        <v>20.163370756678798</v>
      </c>
      <c r="BF62" s="1250">
        <f>'Prg. Marketing'!BF204</f>
        <v>19.514485894987473</v>
      </c>
      <c r="BG62" s="1250">
        <f>'Prg. Marketing'!BG204</f>
        <v>18.793285127163241</v>
      </c>
      <c r="BH62" s="1250">
        <f>'Prg. Marketing'!BH204</f>
        <v>18.382453687915906</v>
      </c>
      <c r="BI62" s="1250">
        <f>'Prg. Marketing'!BI204</f>
        <v>18.050335881622704</v>
      </c>
      <c r="BJ62" s="1250">
        <f>'Prg. Marketing'!BJ204</f>
        <v>17.519492866268727</v>
      </c>
      <c r="BK62" s="1251">
        <f>'Prg. Marketing'!BK204</f>
        <v>17.48834152924163</v>
      </c>
    </row>
    <row r="63" spans="1:63" s="1250" customFormat="1" ht="18.75">
      <c r="A63" s="1246"/>
      <c r="B63" s="1247"/>
      <c r="C63" s="1248" t="str">
        <f>'Prg. Marketing'!A209</f>
        <v>Utility Partners</v>
      </c>
      <c r="D63" s="1249">
        <f>'Prg. Marketing'!D222</f>
        <v>911.27272727272737</v>
      </c>
      <c r="E63" s="1250">
        <f>'Prg. Marketing'!E222</f>
        <v>886.13585454545444</v>
      </c>
      <c r="F63" s="1250">
        <f>'Prg. Marketing'!F222</f>
        <v>861.97544587636355</v>
      </c>
      <c r="G63" s="1250">
        <f>'Prg. Marketing'!G222</f>
        <v>927.92602612977998</v>
      </c>
      <c r="H63" s="1250">
        <f>'Prg. Marketing'!H222</f>
        <v>902.01314752478527</v>
      </c>
      <c r="I63" s="1250">
        <f>'Prg. Marketing'!I222</f>
        <v>877.0860476724697</v>
      </c>
      <c r="J63" s="1250">
        <f>'Prg. Marketing'!J222</f>
        <v>853.09911516170087</v>
      </c>
      <c r="K63" s="1250">
        <f>'Prg. Marketing'!K222</f>
        <v>887.39230425374672</v>
      </c>
      <c r="L63" s="1250">
        <f>'Prg. Marketing'!L222</f>
        <v>867.45329699406136</v>
      </c>
      <c r="M63" s="1250">
        <f>'Prg. Marketing'!M222</f>
        <v>844.01574815596007</v>
      </c>
      <c r="N63" s="1250">
        <f>'Prg. Marketing'!N222</f>
        <v>821.10070765216881</v>
      </c>
      <c r="O63" s="1251">
        <f>'Prg. Marketing'!O222</f>
        <v>798.994065745954</v>
      </c>
      <c r="P63" s="1250">
        <f>'Prg. Marketing'!P222</f>
        <v>782.75783211819555</v>
      </c>
      <c r="Q63" s="1250">
        <f>'Prg. Marketing'!Q222</f>
        <v>775.1313106670018</v>
      </c>
      <c r="R63" s="1250">
        <f>'Prg. Marketing'!R222</f>
        <v>764.16174452135772</v>
      </c>
      <c r="S63" s="1250">
        <f>'Prg. Marketing'!S222</f>
        <v>753.19062987338589</v>
      </c>
      <c r="T63" s="1250">
        <f>'Prg. Marketing'!T222</f>
        <v>742.48057124582158</v>
      </c>
      <c r="U63" s="1250">
        <f>'Prg. Marketing'!U222</f>
        <v>845.51671452055507</v>
      </c>
      <c r="V63" s="1250">
        <f>'Prg. Marketing'!V222</f>
        <v>832.57898617046214</v>
      </c>
      <c r="W63" s="1250">
        <f>'Prg. Marketing'!W222</f>
        <v>819.96632702044838</v>
      </c>
      <c r="X63" s="1250">
        <f>'Prg. Marketing'!X222</f>
        <v>807.66856166283071</v>
      </c>
      <c r="Y63" s="1250">
        <f>'Prg. Marketing'!Y222</f>
        <v>795.67585186332781</v>
      </c>
      <c r="Z63" s="1250">
        <f>'Prg. Marketing'!Z222</f>
        <v>783.97869416036281</v>
      </c>
      <c r="AA63" s="1251">
        <f>'Prg. Marketing'!AA222</f>
        <v>812.10205275608769</v>
      </c>
      <c r="AB63" s="1250">
        <f>'Prg. Marketing'!AB222</f>
        <v>854.06067673439304</v>
      </c>
      <c r="AC63" s="1250">
        <f>'Prg. Marketing'!AC222</f>
        <v>843.11083573405688</v>
      </c>
      <c r="AD63" s="1250">
        <f>'Prg. Marketing'!AD222</f>
        <v>831.68008095345249</v>
      </c>
      <c r="AE63" s="1250">
        <f>'Prg. Marketing'!AE222</f>
        <v>820.50283910516487</v>
      </c>
      <c r="AF63" s="1250">
        <f>'Prg. Marketing'!AF222</f>
        <v>809.68144212669722</v>
      </c>
      <c r="AG63" s="1250">
        <f>'Prg. Marketing'!AG222</f>
        <v>799.21556033221827</v>
      </c>
      <c r="AH63" s="1250">
        <f>'Prg. Marketing'!AH222</f>
        <v>789.08906539163195</v>
      </c>
      <c r="AI63" s="1250">
        <f>'Prg. Marketing'!AI222</f>
        <v>817.88861359448958</v>
      </c>
      <c r="AJ63" s="1250">
        <f>'Prg. Marketing'!AJ222</f>
        <v>817.32632797390465</v>
      </c>
      <c r="AK63" s="1250">
        <f>'Prg. Marketing'!AK222</f>
        <v>809.75397444565272</v>
      </c>
      <c r="AL63" s="1250">
        <f>'Prg. Marketing'!AL222</f>
        <v>841.27547830045467</v>
      </c>
      <c r="AM63" s="1251">
        <f>'Prg. Marketing'!AM222</f>
        <v>831.41365471458721</v>
      </c>
      <c r="AN63" s="1250">
        <f>'Prg. Marketing'!AN222</f>
        <v>858.81475461508069</v>
      </c>
      <c r="AO63" s="1250">
        <f>'Prg. Marketing'!AO222</f>
        <v>838.58047992501406</v>
      </c>
      <c r="AP63" s="1250">
        <f>'Prg. Marketing'!AP222</f>
        <v>824.22037834555715</v>
      </c>
      <c r="AQ63" s="1250">
        <f>'Prg. Marketing'!AQ222</f>
        <v>811.07952329939587</v>
      </c>
      <c r="AR63" s="1250">
        <f>'Prg. Marketing'!AR222</f>
        <v>831.87464284591022</v>
      </c>
      <c r="AS63" s="1250">
        <f>'Prg. Marketing'!AS222</f>
        <v>863.40500604461567</v>
      </c>
      <c r="AT63" s="1250">
        <f>'Prg. Marketing'!AT222</f>
        <v>852.0522976861389</v>
      </c>
      <c r="AU63" s="1250">
        <f>'Prg. Marketing'!AU222</f>
        <v>839.42474309632519</v>
      </c>
      <c r="AV63" s="1250">
        <f>'Prg. Marketing'!AV222</f>
        <v>826.6882580352941</v>
      </c>
      <c r="AW63" s="1250">
        <f>'Prg. Marketing'!AW222</f>
        <v>814.12236222463491</v>
      </c>
      <c r="AX63" s="1250">
        <f>'Prg. Marketing'!AX222</f>
        <v>870.02138266372913</v>
      </c>
      <c r="AY63" s="1251">
        <f>'Prg. Marketing'!AY222</f>
        <v>922.76438914777498</v>
      </c>
      <c r="AZ63" s="1250">
        <f>'Prg. Marketing'!AZ222</f>
        <v>910.13623854236084</v>
      </c>
      <c r="BA63" s="1250">
        <f>'Prg. Marketing'!BA222</f>
        <v>890.60859258517621</v>
      </c>
      <c r="BB63" s="1250">
        <f>'Prg. Marketing'!BB222</f>
        <v>869.25296189909579</v>
      </c>
      <c r="BC63" s="1250">
        <f>'Prg. Marketing'!BC222</f>
        <v>847.70557789888585</v>
      </c>
      <c r="BD63" s="1250">
        <f>'Prg. Marketing'!BD222</f>
        <v>855.48636304110414</v>
      </c>
      <c r="BE63" s="1250">
        <f>'Prg. Marketing'!BE222</f>
        <v>924.06258987759736</v>
      </c>
      <c r="BF63" s="1250">
        <f>'Prg. Marketing'!BF222</f>
        <v>914.03730688728649</v>
      </c>
      <c r="BG63" s="1250">
        <f>'Prg. Marketing'!BG222</f>
        <v>896.53328896839514</v>
      </c>
      <c r="BH63" s="1250">
        <f>'Prg. Marketing'!BH222</f>
        <v>902.61125445777543</v>
      </c>
      <c r="BI63" s="1250">
        <f>'Prg. Marketing'!BI222</f>
        <v>914.18369058843075</v>
      </c>
      <c r="BJ63" s="1250">
        <f>'Prg. Marketing'!BJ222</f>
        <v>908.07112552488582</v>
      </c>
      <c r="BK63" s="1251">
        <f>'Prg. Marketing'!BK222</f>
        <v>943.53598126238012</v>
      </c>
    </row>
    <row r="64" spans="1:63" s="1250" customFormat="1" ht="18.75">
      <c r="A64" s="1246"/>
      <c r="B64" s="1247"/>
      <c r="C64" s="1248" t="str">
        <f>'Prg. Marketing'!A227</f>
        <v>Other</v>
      </c>
      <c r="D64" s="1249">
        <f>'Prg. Marketing'!D240</f>
        <v>293.66666666666669</v>
      </c>
      <c r="E64" s="1250">
        <f>'Prg. Marketing'!E240</f>
        <v>277.07460317460317</v>
      </c>
      <c r="F64" s="1250">
        <f>'Prg. Marketing'!F240</f>
        <v>261.4718745275888</v>
      </c>
      <c r="G64" s="1250">
        <f>'Prg. Marketing'!G240</f>
        <v>326.6167301227369</v>
      </c>
      <c r="H64" s="1250">
        <f>'Prg. Marketing'!H240</f>
        <v>309.01446581088464</v>
      </c>
      <c r="I64" s="1250">
        <f>'Prg. Marketing'!I240</f>
        <v>292.41240995094302</v>
      </c>
      <c r="J64" s="1250">
        <f>'Prg. Marketing'!J240</f>
        <v>276.75206758857075</v>
      </c>
      <c r="K64" s="1250">
        <f>'Prg. Marketing'!K240</f>
        <v>311.72611493884972</v>
      </c>
      <c r="L64" s="1250">
        <f>'Prg. Marketing'!L240</f>
        <v>299.36670982374193</v>
      </c>
      <c r="M64" s="1250">
        <f>'Prg. Marketing'!M240</f>
        <v>284.0834960385958</v>
      </c>
      <c r="N64" s="1250">
        <f>'Prg. Marketing'!N240</f>
        <v>269.35375312103361</v>
      </c>
      <c r="O64" s="1251">
        <f>'Prg. Marketing'!O240</f>
        <v>255.40890185814899</v>
      </c>
      <c r="P64" s="1250">
        <f>'Prg. Marketing'!P240</f>
        <v>246.31096944375386</v>
      </c>
      <c r="Q64" s="1250">
        <f>'Prg. Marketing'!Q240</f>
        <v>244.37996779154722</v>
      </c>
      <c r="R64" s="1250">
        <f>'Prg. Marketing'!R240</f>
        <v>239.50813296009306</v>
      </c>
      <c r="S64" s="1250">
        <f>'Prg. Marketing'!S240</f>
        <v>234.52290090464518</v>
      </c>
      <c r="T64" s="1250">
        <f>'Prg. Marketing'!T240</f>
        <v>229.65240362909049</v>
      </c>
      <c r="U64" s="1250">
        <f>'Prg. Marketing'!U240</f>
        <v>324.98276897279351</v>
      </c>
      <c r="V64" s="1250">
        <f>'Prg. Marketing'!V240</f>
        <v>318.72942757161258</v>
      </c>
      <c r="W64" s="1250">
        <f>'Prg. Marketing'!W240</f>
        <v>312.62723579876263</v>
      </c>
      <c r="X64" s="1250">
        <f>'Prg. Marketing'!X240</f>
        <v>306.67225144290762</v>
      </c>
      <c r="Y64" s="1250">
        <f>'Prg. Marketing'!Y240</f>
        <v>300.86063348756471</v>
      </c>
      <c r="Z64" s="1250">
        <f>'Prg. Marketing'!Z240</f>
        <v>295.18864769093597</v>
      </c>
      <c r="AA64" s="1251">
        <f>'Prg. Marketing'!AA240</f>
        <v>326.2678544555917</v>
      </c>
      <c r="AB64" s="1250">
        <f>'Prg. Marketing'!AB240</f>
        <v>369.04436862855744</v>
      </c>
      <c r="AC64" s="1250">
        <f>'Prg. Marketing'!AC240</f>
        <v>362.73757497347515</v>
      </c>
      <c r="AD64" s="1250">
        <f>'Prg. Marketing'!AD240</f>
        <v>355.896802581435</v>
      </c>
      <c r="AE64" s="1250">
        <f>'Prg. Marketing'!AE240</f>
        <v>349.20845212942442</v>
      </c>
      <c r="AF64" s="1250">
        <f>'Prg. Marketing'!AF240</f>
        <v>342.77253161596116</v>
      </c>
      <c r="AG64" s="1250">
        <f>'Prg. Marketing'!AG240</f>
        <v>336.59306206362743</v>
      </c>
      <c r="AH64" s="1250">
        <f>'Prg. Marketing'!AH240</f>
        <v>330.65895646578161</v>
      </c>
      <c r="AI64" s="1250">
        <f>'Prg. Marketing'!AI240</f>
        <v>362.15218610508015</v>
      </c>
      <c r="AJ64" s="1250">
        <f>'Prg. Marketing'!AJ240</f>
        <v>365.50886678515968</v>
      </c>
      <c r="AK64" s="1250">
        <f>'Prg. Marketing'!AK240</f>
        <v>362.0583153017443</v>
      </c>
      <c r="AL64" s="1250">
        <f>'Prg. Marketing'!AL240</f>
        <v>396.78284384208342</v>
      </c>
      <c r="AM64" s="1251">
        <f>'Prg. Marketing'!AM240</f>
        <v>391.16409706055936</v>
      </c>
      <c r="AN64" s="1250">
        <f>'Prg. Marketing'!AN240</f>
        <v>427.88868003681034</v>
      </c>
      <c r="AO64" s="1250">
        <f>'Prg. Marketing'!AO240</f>
        <v>417.45093909274527</v>
      </c>
      <c r="AP64" s="1250">
        <f>'Prg. Marketing'!AP240</f>
        <v>412.63179148051569</v>
      </c>
      <c r="AQ64" s="1250">
        <f>'Prg. Marketing'!AQ240</f>
        <v>408.84188712395627</v>
      </c>
      <c r="AR64" s="1250">
        <f>'Prg. Marketing'!AR240</f>
        <v>440.18134265853899</v>
      </c>
      <c r="AS64" s="1250">
        <f>'Prg. Marketing'!AS240</f>
        <v>483.44200679559299</v>
      </c>
      <c r="AT64" s="1250">
        <f>'Prg. Marketing'!AT240</f>
        <v>481.90273618661485</v>
      </c>
      <c r="AU64" s="1250">
        <f>'Prg. Marketing'!AU240</f>
        <v>478.8312003665859</v>
      </c>
      <c r="AV64" s="1250">
        <f>'Prg. Marketing'!AV240</f>
        <v>475.44725524995619</v>
      </c>
      <c r="AW64" s="1250">
        <f>'Prg. Marketing'!AW240</f>
        <v>472.05097506747541</v>
      </c>
      <c r="AX64" s="1250">
        <f>'Prg. Marketing'!AX240</f>
        <v>544.84337778935503</v>
      </c>
      <c r="AY64" s="1251">
        <f>'Prg. Marketing'!AY240</f>
        <v>615.64264916351067</v>
      </c>
      <c r="AZ64" s="1250">
        <f>'Prg. Marketing'!AZ240</f>
        <v>601.98810118473034</v>
      </c>
      <c r="BA64" s="1250">
        <f>'Prg. Marketing'!BA240</f>
        <v>580.82739257310436</v>
      </c>
      <c r="BB64" s="1250">
        <f>'Prg. Marketing'!BB240</f>
        <v>557.9884547398924</v>
      </c>
      <c r="BC64" s="1250">
        <f>'Prg. Marketing'!BC240</f>
        <v>535.30269194900916</v>
      </c>
      <c r="BD64" s="1250">
        <f>'Prg. Marketing'!BD240</f>
        <v>543.52065571462799</v>
      </c>
      <c r="BE64" s="1250">
        <f>'Prg. Marketing'!BE240</f>
        <v>613.42004869985169</v>
      </c>
      <c r="BF64" s="1250">
        <f>'Prg. Marketing'!BF240</f>
        <v>601.49851379588506</v>
      </c>
      <c r="BG64" s="1250">
        <f>'Prg. Marketing'!BG240</f>
        <v>582.19009815708068</v>
      </c>
      <c r="BH64" s="1250">
        <f>'Prg. Marketing'!BH240</f>
        <v>586.18156154182373</v>
      </c>
      <c r="BI64" s="1250">
        <f>'Prg. Marketing'!BI240</f>
        <v>594.99708807645277</v>
      </c>
      <c r="BJ64" s="1250">
        <f>'Prg. Marketing'!BJ240</f>
        <v>586.49480289662063</v>
      </c>
      <c r="BK64" s="1251">
        <f>'Prg. Marketing'!BK240</f>
        <v>616.61916864830289</v>
      </c>
    </row>
    <row r="65" spans="1:63" s="340" customFormat="1" ht="18.75">
      <c r="A65" s="1245"/>
      <c r="B65" s="373"/>
      <c r="C65" s="356"/>
      <c r="D65" s="339"/>
      <c r="O65" s="404"/>
      <c r="AA65" s="404"/>
      <c r="AM65" s="404"/>
      <c r="AY65" s="404"/>
      <c r="BK65" s="404"/>
    </row>
    <row r="66" spans="1:63" s="340" customFormat="1" ht="18.75">
      <c r="A66" s="1245"/>
      <c r="B66" s="373"/>
      <c r="C66" s="1258" t="s">
        <v>398</v>
      </c>
      <c r="D66" s="339"/>
      <c r="O66" s="404"/>
      <c r="AA66" s="404"/>
      <c r="AM66" s="404"/>
      <c r="AY66" s="404"/>
      <c r="BK66" s="404"/>
    </row>
    <row r="67" spans="1:63" s="1250" customFormat="1" ht="18.75">
      <c r="A67" s="1246"/>
      <c r="B67" s="1247"/>
      <c r="C67" s="1248" t="str">
        <f t="shared" ref="C67:C78" si="0">C53</f>
        <v>Earned Media</v>
      </c>
      <c r="D67" s="1249">
        <f>'Prg. Marketing'!C43</f>
        <v>1354.4615384615386</v>
      </c>
      <c r="E67" s="1250">
        <f>'Prg. Marketing'!D43</f>
        <v>1354.4615384615381</v>
      </c>
      <c r="F67" s="1250">
        <f>'Prg. Marketing'!E43</f>
        <v>1185.5762034223574</v>
      </c>
      <c r="G67" s="1250">
        <f>'Prg. Marketing'!F43</f>
        <v>1038.0438559194267</v>
      </c>
      <c r="H67" s="1250">
        <f>'Prg. Marketing'!G43</f>
        <v>1171.1562090716168</v>
      </c>
      <c r="I67" s="1250">
        <f>'Prg. Marketing'!H43</f>
        <v>1027.1842348107391</v>
      </c>
      <c r="J67" s="1250">
        <f>'Prg. Marketing'!I43</f>
        <v>901.12575599717661</v>
      </c>
      <c r="K67" s="1250">
        <f>'Prg. Marketing'!J43</f>
        <v>790.72893777483614</v>
      </c>
      <c r="L67" s="1250">
        <f>'Prg. Marketing'!K43</f>
        <v>813.34874889777643</v>
      </c>
      <c r="M67" s="1250">
        <f>'Prg. Marketing'!L43</f>
        <v>723.12404372518927</v>
      </c>
      <c r="N67" s="1250">
        <f>'Prg. Marketing'!M43</f>
        <v>635.92178061087202</v>
      </c>
      <c r="O67" s="1251">
        <f>'Prg. Marketing'!N43</f>
        <v>558.84000389739106</v>
      </c>
      <c r="P67" s="1250">
        <f>'Prg. Marketing'!O43</f>
        <v>491.1715120274975</v>
      </c>
      <c r="Q67" s="1250">
        <f>'Prg. Marketing'!P43</f>
        <v>455.84373771362016</v>
      </c>
      <c r="R67" s="1250">
        <f>'Prg. Marketing'!Q43</f>
        <v>434.13833780694318</v>
      </c>
      <c r="S67" s="1250">
        <f>'Prg. Marketing'!R43</f>
        <v>408.90052232284984</v>
      </c>
      <c r="T67" s="1250">
        <f>'Prg. Marketing'!S43</f>
        <v>384.83399831377488</v>
      </c>
      <c r="U67" s="1250">
        <f>'Prg. Marketing'!T43</f>
        <v>362.21637910171921</v>
      </c>
      <c r="V67" s="1250">
        <f>'Prg. Marketing'!U43</f>
        <v>477.42957359096283</v>
      </c>
      <c r="W67" s="1250">
        <f>'Prg. Marketing'!V43</f>
        <v>449.76037268954855</v>
      </c>
      <c r="X67" s="1250">
        <f>'Prg. Marketing'!W43</f>
        <v>423.74665980689537</v>
      </c>
      <c r="Y67" s="1250">
        <f>'Prg. Marketing'!X43</f>
        <v>399.28671771320847</v>
      </c>
      <c r="Z67" s="1250">
        <f>'Prg. Marketing'!Y43</f>
        <v>376.28520852946053</v>
      </c>
      <c r="AA67" s="1251">
        <f>'Prg. Marketing'!Z43</f>
        <v>354.65277665833366</v>
      </c>
      <c r="AB67" s="1250">
        <f>'Prg. Marketing'!AA43</f>
        <v>373.14861076864941</v>
      </c>
      <c r="AC67" s="1250">
        <f>'Prg. Marketing'!AB43</f>
        <v>415.26422312560732</v>
      </c>
      <c r="AD67" s="1250">
        <f>'Prg. Marketing'!AC43</f>
        <v>405.43956618950955</v>
      </c>
      <c r="AE67" s="1250">
        <f>'Prg. Marketing'!AD43</f>
        <v>395.18955900770874</v>
      </c>
      <c r="AF67" s="1250">
        <f>'Prg. Marketing'!AE43</f>
        <v>385.23146235539679</v>
      </c>
      <c r="AG67" s="1250">
        <f>'Prg. Marketing'!AF43</f>
        <v>375.66214543513672</v>
      </c>
      <c r="AH67" s="1250">
        <f>'Prg. Marketing'!AG43</f>
        <v>366.47821259425808</v>
      </c>
      <c r="AI67" s="1250">
        <f>'Prg. Marketing'!AH43</f>
        <v>357.66107706628043</v>
      </c>
      <c r="AJ67" s="1250">
        <f>'Prg. Marketing'!AI43</f>
        <v>386.25340976803454</v>
      </c>
      <c r="AK67" s="1250">
        <f>'Prg. Marketing'!AJ43</f>
        <v>386.56021201632541</v>
      </c>
      <c r="AL67" s="1250">
        <f>'Prg. Marketing'!AK43</f>
        <v>380.1610888295649</v>
      </c>
      <c r="AM67" s="1251">
        <f>'Prg. Marketing'!AL43</f>
        <v>410.99465992750555</v>
      </c>
      <c r="AN67" s="1250">
        <f>'Prg. Marketing'!AM43</f>
        <v>402.36370531916504</v>
      </c>
      <c r="AO67" s="1250">
        <f>'Prg. Marketing'!AN43</f>
        <v>428.7863257783369</v>
      </c>
      <c r="AP67" s="1250">
        <f>'Prg. Marketing'!AO43</f>
        <v>410.2619461840186</v>
      </c>
      <c r="AQ67" s="1250">
        <f>'Prg. Marketing'!AP43</f>
        <v>397.41657068566701</v>
      </c>
      <c r="AR67" s="1250">
        <f>'Prg. Marketing'!AQ43</f>
        <v>385.84116179077961</v>
      </c>
      <c r="AS67" s="1250">
        <f>'Prg. Marketing'!AR43</f>
        <v>405.13789501419336</v>
      </c>
      <c r="AT67" s="1250">
        <f>'Prg. Marketing'!AS43</f>
        <v>433.63043592330189</v>
      </c>
      <c r="AU67" s="1250">
        <f>'Prg. Marketing'!AT43</f>
        <v>423.38944415062736</v>
      </c>
      <c r="AV67" s="1250">
        <f>'Prg. Marketing'!AU43</f>
        <v>412.13430573425774</v>
      </c>
      <c r="AW67" s="1250">
        <f>'Prg. Marketing'!AV43</f>
        <v>400.91345100214386</v>
      </c>
      <c r="AX67" s="1250">
        <f>'Prg. Marketing'!AW43</f>
        <v>389.97063166963727</v>
      </c>
      <c r="AY67" s="1251">
        <f>'Prg. Marketing'!AX43</f>
        <v>437.792995520528</v>
      </c>
      <c r="AZ67" s="1250">
        <f>'Prg. Marketing'!AY43</f>
        <v>481.97509900952889</v>
      </c>
      <c r="BA67" s="1250">
        <f>'Prg. Marketing'!AZ43</f>
        <v>480.1548288358797</v>
      </c>
      <c r="BB67" s="1250">
        <f>'Prg. Marketing'!BA43</f>
        <v>472.24505833172447</v>
      </c>
      <c r="BC67" s="1250">
        <f>'Prg. Marketing'!BB43</f>
        <v>462.53626284621402</v>
      </c>
      <c r="BD67" s="1250">
        <f>'Prg. Marketing'!BC43</f>
        <v>452.42198588339392</v>
      </c>
      <c r="BE67" s="1250">
        <f>'Prg. Marketing'!BD43</f>
        <v>467.36001976314793</v>
      </c>
      <c r="BF67" s="1250">
        <f>'Prg. Marketing'!BE43</f>
        <v>534.82337354565948</v>
      </c>
      <c r="BG67" s="1250">
        <f>'Prg. Marketing'!BF43</f>
        <v>534.33327163494891</v>
      </c>
      <c r="BH67" s="1250">
        <f>'Prg. Marketing'!BG43</f>
        <v>527.16343273641542</v>
      </c>
      <c r="BI67" s="1250">
        <f>'Prg. Marketing'!BH43</f>
        <v>540.3881044753897</v>
      </c>
      <c r="BJ67" s="1250">
        <f>'Prg. Marketing'!BI43</f>
        <v>558.35694047114157</v>
      </c>
      <c r="BK67" s="1251">
        <f>'Prg. Marketing'!BJ43</f>
        <v>560.73765463734833</v>
      </c>
    </row>
    <row r="68" spans="1:63" s="1250" customFormat="1" ht="18.75">
      <c r="A68" s="1246"/>
      <c r="B68" s="1247"/>
      <c r="C68" s="1248" t="str">
        <f t="shared" si="0"/>
        <v>TV</v>
      </c>
      <c r="D68" s="1249">
        <f>'Prg. Marketing'!D61</f>
        <v>2780.4444444444434</v>
      </c>
      <c r="E68" s="1250">
        <f>'Prg. Marketing'!E61</f>
        <v>2695.8270798270787</v>
      </c>
      <c r="F68" s="1250">
        <f>'Prg. Marketing'!F61</f>
        <v>2614.2117910362631</v>
      </c>
      <c r="G68" s="1250">
        <f>'Prg. Marketing'!G61</f>
        <v>2641.2313233320597</v>
      </c>
      <c r="H68" s="1250">
        <f>'Prg. Marketing'!H61</f>
        <v>2559.9921861731204</v>
      </c>
      <c r="I68" s="1250">
        <f>'Prg. Marketing'!I61</f>
        <v>2481.6459886792363</v>
      </c>
      <c r="J68" s="1250">
        <f>'Prg. Marketing'!J61</f>
        <v>2406.069068835227</v>
      </c>
      <c r="K68" s="1250">
        <f>'Prg. Marketing'!K61</f>
        <v>2398.5149471073491</v>
      </c>
      <c r="L68" s="1250">
        <f>'Prg. Marketing'!L61</f>
        <v>2330.065215216046</v>
      </c>
      <c r="M68" s="1250">
        <f>'Prg. Marketing'!M61</f>
        <v>2259.1864647930474</v>
      </c>
      <c r="N68" s="1250">
        <f>'Prg. Marketing'!N61</f>
        <v>2190.4089129893259</v>
      </c>
      <c r="O68" s="1251">
        <f>'Prg. Marketing'!O61</f>
        <v>2123.9959416316606</v>
      </c>
      <c r="P68" s="1250">
        <f>'Prg. Marketing'!P61</f>
        <v>2078.2206459123854</v>
      </c>
      <c r="Q68" s="1250">
        <f>'Prg. Marketing'!Q61</f>
        <v>2042.4194188788747</v>
      </c>
      <c r="R68" s="1250">
        <f>'Prg. Marketing'!R61</f>
        <v>2003.6097583880835</v>
      </c>
      <c r="S68" s="1250">
        <f>'Prg. Marketing'!S61</f>
        <v>1965.4039130638964</v>
      </c>
      <c r="T68" s="1250">
        <f>'Prg. Marketing'!T61</f>
        <v>1928.0668155960077</v>
      </c>
      <c r="U68" s="1250">
        <f>'Prg. Marketing'!U61</f>
        <v>2008.7049060980096</v>
      </c>
      <c r="V68" s="1250">
        <f>'Prg. Marketing'!V61</f>
        <v>1969.1075692554089</v>
      </c>
      <c r="W68" s="1250">
        <f>'Prg. Marketing'!W61</f>
        <v>1930.4604502117122</v>
      </c>
      <c r="X68" s="1250">
        <f>'Prg. Marketing'!X61</f>
        <v>1892.7347761920344</v>
      </c>
      <c r="Y68" s="1250">
        <f>'Prg. Marketing'!Y61</f>
        <v>1855.9028179364516</v>
      </c>
      <c r="Z68" s="1250">
        <f>'Prg. Marketing'!Z61</f>
        <v>1819.9378566757557</v>
      </c>
      <c r="AA68" s="1251">
        <f>'Prg. Marketing'!AA61</f>
        <v>1823.2943052781977</v>
      </c>
      <c r="AB68" s="1250">
        <f>'Prg. Marketing'!AB61</f>
        <v>1847.6239115514247</v>
      </c>
      <c r="AC68" s="1250">
        <f>'Prg. Marketing'!AC61</f>
        <v>1820.7434336124788</v>
      </c>
      <c r="AD68" s="1250">
        <f>'Prg. Marketing'!AD61</f>
        <v>1793.6884921690041</v>
      </c>
      <c r="AE68" s="1250">
        <f>'Prg. Marketing'!AE61</f>
        <v>1767.1622382706535</v>
      </c>
      <c r="AF68" s="1250">
        <f>'Prg. Marketing'!AF61</f>
        <v>1741.2540311390735</v>
      </c>
      <c r="AG68" s="1250">
        <f>'Prg. Marketing'!AG61</f>
        <v>1715.9546401440298</v>
      </c>
      <c r="AH68" s="1250">
        <f>'Prg. Marketing'!AH61</f>
        <v>1691.2402160164852</v>
      </c>
      <c r="AI68" s="1250">
        <f>'Prg. Marketing'!AI61</f>
        <v>1702.8533421065815</v>
      </c>
      <c r="AJ68" s="1250">
        <f>'Prg. Marketing'!AJ61</f>
        <v>1687.2458608156539</v>
      </c>
      <c r="AK68" s="1250">
        <f>'Prg. Marketing'!AK61</f>
        <v>1665.3731916508832</v>
      </c>
      <c r="AL68" s="1250">
        <f>'Prg. Marketing'!AL61</f>
        <v>1679.2853976479155</v>
      </c>
      <c r="AM68" s="1251">
        <f>'Prg. Marketing'!AM61</f>
        <v>1655.5774471194895</v>
      </c>
      <c r="AN68" s="1250">
        <f>'Prg. Marketing'!AN61</f>
        <v>1668.0266461922959</v>
      </c>
      <c r="AO68" s="1250">
        <f>'Prg. Marketing'!AO61</f>
        <v>1637.6036289671551</v>
      </c>
      <c r="AP68" s="1250">
        <f>'Prg. Marketing'!AP61</f>
        <v>1612.6579400428334</v>
      </c>
      <c r="AQ68" s="1250">
        <f>'Prg. Marketing'!AQ61</f>
        <v>1588.9809644589754</v>
      </c>
      <c r="AR68" s="1250">
        <f>'Prg. Marketing'!AR61</f>
        <v>1595.9694266356314</v>
      </c>
      <c r="AS68" s="1250">
        <f>'Prg. Marketing'!AS61</f>
        <v>1612.6888025108653</v>
      </c>
      <c r="AT68" s="1250">
        <f>'Prg. Marketing'!AT61</f>
        <v>1591.0294299725449</v>
      </c>
      <c r="AU68" s="1250">
        <f>'Prg. Marketing'!AU61</f>
        <v>1568.3866983541943</v>
      </c>
      <c r="AV68" s="1250">
        <f>'Prg. Marketing'!AV61</f>
        <v>1545.8057978318072</v>
      </c>
      <c r="AW68" s="1250">
        <f>'Prg. Marketing'!AW61</f>
        <v>1523.5350994863479</v>
      </c>
      <c r="AX68" s="1250">
        <f>'Prg. Marketing'!AX61</f>
        <v>1562.5203252841272</v>
      </c>
      <c r="AY68" s="1251">
        <f>'Prg. Marketing'!AY61</f>
        <v>1598.7039768919901</v>
      </c>
      <c r="AZ68" s="1250">
        <f>'Prg. Marketing'!AZ61</f>
        <v>1567.2106103800511</v>
      </c>
      <c r="BA68" s="1250">
        <f>'Prg. Marketing'!BA61</f>
        <v>1530.0896294857382</v>
      </c>
      <c r="BB68" s="1250">
        <f>'Prg. Marketing'!BB61</f>
        <v>1491.8533367666755</v>
      </c>
      <c r="BC68" s="1250">
        <f>'Prg. Marketing'!BC61</f>
        <v>1453.9473138418623</v>
      </c>
      <c r="BD68" s="1250">
        <f>'Prg. Marketing'!BD61</f>
        <v>1442.5645552240524</v>
      </c>
      <c r="BE68" s="1250">
        <f>'Prg. Marketing'!BE61</f>
        <v>1485.5382726396929</v>
      </c>
      <c r="BF68" s="1250">
        <f>'Prg. Marketing'!BF61</f>
        <v>1459.1878537313064</v>
      </c>
      <c r="BG68" s="1250">
        <f>'Prg. Marketing'!BG61</f>
        <v>1426.6535884113985</v>
      </c>
      <c r="BH68" s="1250">
        <f>'Prg. Marketing'!BH61</f>
        <v>1415.421780863853</v>
      </c>
      <c r="BI68" s="1250">
        <f>'Prg. Marketing'!BI61</f>
        <v>1409.4405961072835</v>
      </c>
      <c r="BJ68" s="1250">
        <f>'Prg. Marketing'!BJ61</f>
        <v>1388.2142760457946</v>
      </c>
      <c r="BK68" s="1251">
        <f>'Prg. Marketing'!BK61</f>
        <v>1404.0725442659812</v>
      </c>
    </row>
    <row r="69" spans="1:63" s="1250" customFormat="1" ht="18.75">
      <c r="A69" s="1246"/>
      <c r="B69" s="1247"/>
      <c r="C69" s="1248" t="str">
        <f t="shared" si="0"/>
        <v>Print</v>
      </c>
      <c r="D69" s="1249">
        <f>'Prg. Marketing'!D79</f>
        <v>1888</v>
      </c>
      <c r="E69" s="1250">
        <f>'Prg. Marketing'!E79</f>
        <v>1788.7875242293842</v>
      </c>
      <c r="F69" s="1250">
        <f>'Prg. Marketing'!F79</f>
        <v>1695.0417973987355</v>
      </c>
      <c r="G69" s="1250">
        <f>'Prg. Marketing'!G79</f>
        <v>1666.9178381327945</v>
      </c>
      <c r="H69" s="1250">
        <f>'Prg. Marketing'!H79</f>
        <v>1578.8260540235181</v>
      </c>
      <c r="I69" s="1250">
        <f>'Prg. Marketing'!I79</f>
        <v>1495.6079780999771</v>
      </c>
      <c r="J69" s="1250">
        <f>'Prg. Marketing'!J79</f>
        <v>1416.9771374521822</v>
      </c>
      <c r="K69" s="1250">
        <f>'Prg. Marketing'!K79</f>
        <v>1376.6872920641183</v>
      </c>
      <c r="L69" s="1250">
        <f>'Prg. Marketing'!L79</f>
        <v>1306.6350675099552</v>
      </c>
      <c r="M69" s="1250">
        <f>'Prg. Marketing'!M79</f>
        <v>1237.9722439615407</v>
      </c>
      <c r="N69" s="1250">
        <f>'Prg. Marketing'!N79</f>
        <v>1172.8932093939975</v>
      </c>
      <c r="O69" s="1251">
        <f>'Prg. Marketing'!O79</f>
        <v>1111.3657024032191</v>
      </c>
      <c r="P69" s="1250">
        <f>'Prg. Marketing'!P79</f>
        <v>1105.8607475629797</v>
      </c>
      <c r="Q69" s="1250">
        <f>'Prg. Marketing'!Q79</f>
        <v>1104.784467669801</v>
      </c>
      <c r="R69" s="1250">
        <f>'Prg. Marketing'!R79</f>
        <v>1101.9063690228502</v>
      </c>
      <c r="S69" s="1250">
        <f>'Prg. Marketing'!S79</f>
        <v>1098.9692484360235</v>
      </c>
      <c r="T69" s="1250">
        <f>'Prg. Marketing'!T79</f>
        <v>1096.1130858580591</v>
      </c>
      <c r="U69" s="1250">
        <f>'Prg. Marketing'!U79</f>
        <v>1154.5064983854529</v>
      </c>
      <c r="V69" s="1250">
        <f>'Prg. Marketing'!V79</f>
        <v>1150.725596704181</v>
      </c>
      <c r="W69" s="1250">
        <f>'Prg. Marketing'!W79</f>
        <v>1147.0501513125714</v>
      </c>
      <c r="X69" s="1250">
        <f>'Prg. Marketing'!X79</f>
        <v>1143.4772727459435</v>
      </c>
      <c r="Y69" s="1250">
        <f>'Prg. Marketing'!Y79</f>
        <v>1140.0041505324709</v>
      </c>
      <c r="Z69" s="1250">
        <f>'Prg. Marketing'!Z79</f>
        <v>1136.6280559932204</v>
      </c>
      <c r="AA69" s="1251">
        <f>'Prg. Marketing'!AA79</f>
        <v>1155.5017309405057</v>
      </c>
      <c r="AB69" s="1250">
        <f>'Prg. Marketing'!AB79</f>
        <v>1179.9103732731708</v>
      </c>
      <c r="AC69" s="1250">
        <f>'Prg. Marketing'!AC79</f>
        <v>1174.6306877028032</v>
      </c>
      <c r="AD69" s="1250">
        <f>'Prg. Marketing'!AD79</f>
        <v>1169.0404506623217</v>
      </c>
      <c r="AE69" s="1250">
        <f>'Prg. Marketing'!AE79</f>
        <v>1163.5541098779941</v>
      </c>
      <c r="AF69" s="1250">
        <f>'Prg. Marketing'!AF79</f>
        <v>1158.231436863879</v>
      </c>
      <c r="AG69" s="1250">
        <f>'Prg. Marketing'!AG79</f>
        <v>1153.0742569120769</v>
      </c>
      <c r="AH69" s="1250">
        <f>'Prg. Marketing'!AH79</f>
        <v>1148.0753226218401</v>
      </c>
      <c r="AI69" s="1250">
        <f>'Prg. Marketing'!AI79</f>
        <v>1165.5086828363847</v>
      </c>
      <c r="AJ69" s="1250">
        <f>'Prg. Marketing'!AJ79</f>
        <v>1166.0619934954336</v>
      </c>
      <c r="AK69" s="1250">
        <f>'Prg. Marketing'!AK79</f>
        <v>1162.5442704619379</v>
      </c>
      <c r="AL69" s="1250">
        <f>'Prg. Marketing'!AL79</f>
        <v>1181.8175281787769</v>
      </c>
      <c r="AM69" s="1251">
        <f>'Prg. Marketing'!AM79</f>
        <v>1176.9928531440562</v>
      </c>
      <c r="AN69" s="1250">
        <f>'Prg. Marketing'!AN79</f>
        <v>1193.5281031380134</v>
      </c>
      <c r="AO69" s="1250">
        <f>'Prg. Marketing'!AO79</f>
        <v>1182.0300160577478</v>
      </c>
      <c r="AP69" s="1250">
        <f>'Prg. Marketing'!AP79</f>
        <v>1173.9153117823387</v>
      </c>
      <c r="AQ69" s="1250">
        <f>'Prg. Marketing'!AQ79</f>
        <v>1166.4521455228548</v>
      </c>
      <c r="AR69" s="1250">
        <f>'Prg. Marketing'!AR79</f>
        <v>1179.5087346766127</v>
      </c>
      <c r="AS69" s="1250">
        <f>'Prg. Marketing'!AS79</f>
        <v>1199.3430867286218</v>
      </c>
      <c r="AT69" s="1250">
        <f>'Prg. Marketing'!AT79</f>
        <v>1193.0961083581544</v>
      </c>
      <c r="AU69" s="1250">
        <f>'Prg. Marketing'!AU79</f>
        <v>1185.9997854414037</v>
      </c>
      <c r="AV69" s="1250">
        <f>'Prg. Marketing'!AV79</f>
        <v>1178.7641871582387</v>
      </c>
      <c r="AW69" s="1250">
        <f>'Prg. Marketing'!AW79</f>
        <v>1171.5625362940227</v>
      </c>
      <c r="AX69" s="1250">
        <f>'Prg. Marketing'!AX79</f>
        <v>1207.6341052602031</v>
      </c>
      <c r="AY69" s="1251">
        <f>'Prg. Marketing'!AY79</f>
        <v>1242.2340862099688</v>
      </c>
      <c r="AZ69" s="1250">
        <f>'Prg. Marketing'!AZ79</f>
        <v>1217.2197668710603</v>
      </c>
      <c r="BA69" s="1250">
        <f>'Prg. Marketing'!BA79</f>
        <v>1188.2427664558754</v>
      </c>
      <c r="BB69" s="1250">
        <f>'Prg. Marketing'!BB79</f>
        <v>1158.5291059726549</v>
      </c>
      <c r="BC69" s="1250">
        <f>'Prg. Marketing'!BC79</f>
        <v>1129.111254100013</v>
      </c>
      <c r="BD69" s="1250">
        <f>'Prg. Marketing'!BD79</f>
        <v>1118.7232737421102</v>
      </c>
      <c r="BE69" s="1250">
        <f>'Prg. Marketing'!BE79</f>
        <v>1147.2724951822213</v>
      </c>
      <c r="BF69" s="1250">
        <f>'Prg. Marketing'!BF79</f>
        <v>1126.2900943493175</v>
      </c>
      <c r="BG69" s="1250">
        <f>'Prg. Marketing'!BG79</f>
        <v>1100.9382435623131</v>
      </c>
      <c r="BH69" s="1250">
        <f>'Prg. Marketing'!BH79</f>
        <v>1090.8762417961343</v>
      </c>
      <c r="BI69" s="1250">
        <f>'Prg. Marketing'!BI79</f>
        <v>1084.62106455499</v>
      </c>
      <c r="BJ69" s="1250">
        <f>'Prg. Marketing'!BJ79</f>
        <v>1067.5110307534076</v>
      </c>
      <c r="BK69" s="1251">
        <f>'Prg. Marketing'!BK79</f>
        <v>1076.9757671209943</v>
      </c>
    </row>
    <row r="70" spans="1:63" s="1250" customFormat="1" ht="18.75">
      <c r="A70" s="1246"/>
      <c r="B70" s="1247"/>
      <c r="C70" s="1248" t="str">
        <f t="shared" si="0"/>
        <v>Public Workshops</v>
      </c>
      <c r="D70" s="1249">
        <f>'Prg. Marketing'!D97</f>
        <v>962.625</v>
      </c>
      <c r="E70" s="1250">
        <f>'Prg. Marketing'!E97</f>
        <v>915.14247661122647</v>
      </c>
      <c r="F70" s="1250">
        <f>'Prg. Marketing'!F97</f>
        <v>870.23407240875724</v>
      </c>
      <c r="G70" s="1250">
        <f>'Prg. Marketing'!G97</f>
        <v>891.5843763015223</v>
      </c>
      <c r="H70" s="1250">
        <f>'Prg. Marketing'!H97</f>
        <v>847.25591385793507</v>
      </c>
      <c r="I70" s="1250">
        <f>'Prg. Marketing'!I97</f>
        <v>805.33250143210682</v>
      </c>
      <c r="J70" s="1250">
        <f>'Prg. Marketing'!J97</f>
        <v>765.67083226253362</v>
      </c>
      <c r="K70" s="1250">
        <f>'Prg. Marketing'!K97</f>
        <v>765.18652459102088</v>
      </c>
      <c r="L70" s="1250">
        <f>'Prg. Marketing'!L97</f>
        <v>730.15562449715742</v>
      </c>
      <c r="M70" s="1250">
        <f>'Prg. Marketing'!M97</f>
        <v>694.31422443404233</v>
      </c>
      <c r="N70" s="1250">
        <f>'Prg. Marketing'!N97</f>
        <v>660.18189504080749</v>
      </c>
      <c r="O70" s="1251">
        <f>'Prg. Marketing'!O97</f>
        <v>627.85152661592565</v>
      </c>
      <c r="P70" s="1250">
        <f>'Prg. Marketing'!P97</f>
        <v>618.89369354418159</v>
      </c>
      <c r="Q70" s="1250">
        <f>'Prg. Marketing'!Q97</f>
        <v>614.93315469644915</v>
      </c>
      <c r="R70" s="1250">
        <f>'Prg. Marketing'!R97</f>
        <v>608.99503739395311</v>
      </c>
      <c r="S70" s="1250">
        <f>'Prg. Marketing'!S97</f>
        <v>603.02983046147529</v>
      </c>
      <c r="T70" s="1250">
        <f>'Prg. Marketing'!T97</f>
        <v>597.19219322651088</v>
      </c>
      <c r="U70" s="1250">
        <f>'Prg. Marketing'!U97</f>
        <v>658.53289538104241</v>
      </c>
      <c r="V70" s="1250">
        <f>'Prg. Marketing'!V97</f>
        <v>651.48649715589067</v>
      </c>
      <c r="W70" s="1250">
        <f>'Prg. Marketing'!W97</f>
        <v>644.6012195521356</v>
      </c>
      <c r="X70" s="1250">
        <f>'Prg. Marketing'!X97</f>
        <v>637.87226826502376</v>
      </c>
      <c r="Y70" s="1250">
        <f>'Prg. Marketing'!Y97</f>
        <v>631.29499807824607</v>
      </c>
      <c r="Z70" s="1250">
        <f>'Prg. Marketing'!Z97</f>
        <v>624.86491352673238</v>
      </c>
      <c r="AA70" s="1251">
        <f>'Prg. Marketing'!AA97</f>
        <v>642.27532226121377</v>
      </c>
      <c r="AB70" s="1250">
        <f>'Prg. Marketing'!AB97</f>
        <v>667.47207676518633</v>
      </c>
      <c r="AC70" s="1250">
        <f>'Prg. Marketing'!AC97</f>
        <v>660.94121430427901</v>
      </c>
      <c r="AD70" s="1250">
        <f>'Prg. Marketing'!AD97</f>
        <v>654.10790144436965</v>
      </c>
      <c r="AE70" s="1250">
        <f>'Prg. Marketing'!AE97</f>
        <v>647.41342504129773</v>
      </c>
      <c r="AF70" s="1250">
        <f>'Prg. Marketing'!AF97</f>
        <v>640.92001973796778</v>
      </c>
      <c r="AG70" s="1250">
        <f>'Prg. Marketing'!AG97</f>
        <v>634.62823345482991</v>
      </c>
      <c r="AH70" s="1250">
        <f>'Prg. Marketing'!AH97</f>
        <v>628.52906395809146</v>
      </c>
      <c r="AI70" s="1250">
        <f>'Prg. Marketing'!AI97</f>
        <v>645.97920505536877</v>
      </c>
      <c r="AJ70" s="1250">
        <f>'Prg. Marketing'!AJ97</f>
        <v>645.68063499157972</v>
      </c>
      <c r="AK70" s="1250">
        <f>'Prg. Marketing'!AK97</f>
        <v>641.13061324048863</v>
      </c>
      <c r="AL70" s="1250">
        <f>'Prg. Marketing'!AL97</f>
        <v>660.32173524923974</v>
      </c>
      <c r="AM70" s="1251">
        <f>'Prg. Marketing'!AM97</f>
        <v>654.3912971749329</v>
      </c>
      <c r="AN70" s="1250">
        <f>'Prg. Marketing'!AN97</f>
        <v>668.57143160498049</v>
      </c>
      <c r="AO70" s="1250">
        <f>'Prg. Marketing'!AO97</f>
        <v>653.83091867983262</v>
      </c>
      <c r="AP70" s="1250">
        <f>'Prg. Marketing'!AP97</f>
        <v>642.70357065390772</v>
      </c>
      <c r="AQ70" s="1250">
        <f>'Prg. Marketing'!AQ97</f>
        <v>632.35845665068075</v>
      </c>
      <c r="AR70" s="1250">
        <f>'Prg. Marketing'!AR97</f>
        <v>642.57660949122749</v>
      </c>
      <c r="AS70" s="1250">
        <f>'Prg. Marketing'!AS97</f>
        <v>659.27273753691497</v>
      </c>
      <c r="AT70" s="1250">
        <f>'Prg. Marketing'!AT97</f>
        <v>650.07624276891204</v>
      </c>
      <c r="AU70" s="1250">
        <f>'Prg. Marketing'!AU97</f>
        <v>640.15017414781687</v>
      </c>
      <c r="AV70" s="1250">
        <f>'Prg. Marketing'!AV97</f>
        <v>630.19866467658665</v>
      </c>
      <c r="AW70" s="1250">
        <f>'Prg. Marketing'!AW97</f>
        <v>620.389682039749</v>
      </c>
      <c r="AX70" s="1250">
        <f>'Prg. Marketing'!AX97</f>
        <v>651.73252036271424</v>
      </c>
      <c r="AY70" s="1251">
        <f>'Prg. Marketing'!AY97</f>
        <v>681.12573040318114</v>
      </c>
      <c r="AZ70" s="1250">
        <f>'Prg. Marketing'!AZ97</f>
        <v>667.16750322611574</v>
      </c>
      <c r="BA70" s="1250">
        <f>'Prg. Marketing'!BA97</f>
        <v>649.30648067915888</v>
      </c>
      <c r="BB70" s="1250">
        <f>'Prg. Marketing'!BB97</f>
        <v>630.59640520590892</v>
      </c>
      <c r="BC70" s="1250">
        <f>'Prg. Marketing'!BC97</f>
        <v>612.01151125693707</v>
      </c>
      <c r="BD70" s="1250">
        <f>'Prg. Marketing'!BD97</f>
        <v>610.82758578284904</v>
      </c>
      <c r="BE70" s="1250">
        <f>'Prg. Marketing'!BE97</f>
        <v>645.11760185831747</v>
      </c>
      <c r="BF70" s="1250">
        <f>'Prg. Marketing'!BF97</f>
        <v>633.56550266862166</v>
      </c>
      <c r="BG70" s="1250">
        <f>'Prg. Marketing'!BG97</f>
        <v>617.86014980080643</v>
      </c>
      <c r="BH70" s="1250">
        <f>'Prg. Marketing'!BH97</f>
        <v>615.88932320212075</v>
      </c>
      <c r="BI70" s="1250">
        <f>'Prg. Marketing'!BI97</f>
        <v>617.12063254691486</v>
      </c>
      <c r="BJ70" s="1250">
        <f>'Prg. Marketing'!BJ97</f>
        <v>608.33110500477358</v>
      </c>
      <c r="BK70" s="1251">
        <f>'Prg. Marketing'!BK97</f>
        <v>623.18508047213754</v>
      </c>
    </row>
    <row r="71" spans="1:63" s="1250" customFormat="1" ht="18.75">
      <c r="A71" s="1246"/>
      <c r="B71" s="1247"/>
      <c r="C71" s="1248" t="str">
        <f t="shared" si="0"/>
        <v>Presentations</v>
      </c>
      <c r="D71" s="1249">
        <f>'Prg. Marketing'!D115</f>
        <v>937.39130434782612</v>
      </c>
      <c r="E71" s="1250">
        <f>'Prg. Marketing'!E115</f>
        <v>886.60128355780512</v>
      </c>
      <c r="F71" s="1250">
        <f>'Prg. Marketing'!F115</f>
        <v>838.86208462476179</v>
      </c>
      <c r="G71" s="1250">
        <f>'Prg. Marketing'!G115</f>
        <v>892.66143777721754</v>
      </c>
      <c r="H71" s="1250">
        <f>'Prg. Marketing'!H115</f>
        <v>844.07458867978562</v>
      </c>
      <c r="I71" s="1250">
        <f>'Prg. Marketing'!I115</f>
        <v>798.38693913554425</v>
      </c>
      <c r="J71" s="1250">
        <f>'Prg. Marketing'!J115</f>
        <v>755.41057032408435</v>
      </c>
      <c r="K71" s="1250">
        <f>'Prg. Marketing'!K115</f>
        <v>772.24534247723284</v>
      </c>
      <c r="L71" s="1250">
        <f>'Prg. Marketing'!L115</f>
        <v>734.95277236449715</v>
      </c>
      <c r="M71" s="1250">
        <f>'Prg. Marketing'!M115</f>
        <v>695.71491823098086</v>
      </c>
      <c r="N71" s="1250">
        <f>'Prg. Marketing'!N115</f>
        <v>658.45519607161759</v>
      </c>
      <c r="O71" s="1251">
        <f>'Prg. Marketing'!O115</f>
        <v>623.34446473854848</v>
      </c>
      <c r="P71" s="1250">
        <f>'Prg. Marketing'!P115</f>
        <v>610.78187806884637</v>
      </c>
      <c r="Q71" s="1250">
        <f>'Prg. Marketing'!Q115</f>
        <v>605.93981996353818</v>
      </c>
      <c r="R71" s="1250">
        <f>'Prg. Marketing'!R115</f>
        <v>598.03589615991825</v>
      </c>
      <c r="S71" s="1250">
        <f>'Prg. Marketing'!S115</f>
        <v>590.08537262546133</v>
      </c>
      <c r="T71" s="1250">
        <f>'Prg. Marketing'!T115</f>
        <v>582.3273537210124</v>
      </c>
      <c r="U71" s="1250">
        <f>'Prg. Marketing'!U115</f>
        <v>678.4152206346871</v>
      </c>
      <c r="V71" s="1250">
        <f>'Prg. Marketing'!V115</f>
        <v>668.77922875308877</v>
      </c>
      <c r="W71" s="1250">
        <f>'Prg. Marketing'!W115</f>
        <v>659.38765971011821</v>
      </c>
      <c r="X71" s="1250">
        <f>'Prg. Marketing'!X115</f>
        <v>650.2331192405976</v>
      </c>
      <c r="Y71" s="1250">
        <f>'Prg. Marketing'!Y115</f>
        <v>641.30844349050051</v>
      </c>
      <c r="Z71" s="1250">
        <f>'Prg. Marketing'!Z115</f>
        <v>632.60670004179769</v>
      </c>
      <c r="AA71" s="1251">
        <f>'Prg. Marketing'!AA115</f>
        <v>660.75524142312736</v>
      </c>
      <c r="AB71" s="1250">
        <f>'Prg. Marketing'!AB115</f>
        <v>700.94045582531214</v>
      </c>
      <c r="AC71" s="1250">
        <f>'Prg. Marketing'!AC115</f>
        <v>692.07356381082093</v>
      </c>
      <c r="AD71" s="1250">
        <f>'Prg. Marketing'!AD115</f>
        <v>682.7345500397829</v>
      </c>
      <c r="AE71" s="1250">
        <f>'Prg. Marketing'!AE115</f>
        <v>673.60561405010276</v>
      </c>
      <c r="AF71" s="1250">
        <f>'Prg. Marketing'!AF115</f>
        <v>664.78298088123654</v>
      </c>
      <c r="AG71" s="1250">
        <f>'Prg. Marketing'!AG115</f>
        <v>656.26751439304337</v>
      </c>
      <c r="AH71" s="1250">
        <f>'Prg. Marketing'!AH115</f>
        <v>648.04531485938844</v>
      </c>
      <c r="AI71" s="1250">
        <f>'Prg. Marketing'!AI115</f>
        <v>676.22336526117124</v>
      </c>
      <c r="AJ71" s="1250">
        <f>'Prg. Marketing'!AJ115</f>
        <v>676.95932977296047</v>
      </c>
      <c r="AK71" s="1250">
        <f>'Prg. Marketing'!AK115</f>
        <v>671.11855363421091</v>
      </c>
      <c r="AL71" s="1250">
        <f>'Prg. Marketing'!AL115</f>
        <v>701.97463087051347</v>
      </c>
      <c r="AM71" s="1251">
        <f>'Prg. Marketing'!AM115</f>
        <v>693.99103093973508</v>
      </c>
      <c r="AN71" s="1250">
        <f>'Prg. Marketing'!AN115</f>
        <v>719.92281452929672</v>
      </c>
      <c r="AO71" s="1250">
        <f>'Prg. Marketing'!AO115</f>
        <v>701.09570521027911</v>
      </c>
      <c r="AP71" s="1250">
        <f>'Prg. Marketing'!AP115</f>
        <v>687.80415854999603</v>
      </c>
      <c r="AQ71" s="1250">
        <f>'Prg. Marketing'!AQ115</f>
        <v>675.67248773159315</v>
      </c>
      <c r="AR71" s="1250">
        <f>'Prg. Marketing'!AR115</f>
        <v>695.28069063734597</v>
      </c>
      <c r="AS71" s="1250">
        <f>'Prg. Marketing'!AS115</f>
        <v>724.85501898151972</v>
      </c>
      <c r="AT71" s="1250">
        <f>'Prg. Marketing'!AT115</f>
        <v>714.35457640709581</v>
      </c>
      <c r="AU71" s="1250">
        <f>'Prg. Marketing'!AU115</f>
        <v>702.67936242489657</v>
      </c>
      <c r="AV71" s="1250">
        <f>'Prg. Marketing'!AV115</f>
        <v>690.91848439522664</v>
      </c>
      <c r="AW71" s="1250">
        <f>'Prg. Marketing'!AW115</f>
        <v>679.33218759722865</v>
      </c>
      <c r="AX71" s="1250">
        <f>'Prg. Marketing'!AX115</f>
        <v>731.31705997544293</v>
      </c>
      <c r="AY71" s="1251">
        <f>'Prg. Marketing'!AY115</f>
        <v>780.24341223913996</v>
      </c>
      <c r="AZ71" s="1250">
        <f>'Prg. Marketing'!AZ115</f>
        <v>769.73089527263812</v>
      </c>
      <c r="BA71" s="1250">
        <f>'Prg. Marketing'!BA115</f>
        <v>752.80396276617807</v>
      </c>
      <c r="BB71" s="1250">
        <f>'Prg. Marketing'!BB115</f>
        <v>734.17036638759612</v>
      </c>
      <c r="BC71" s="1250">
        <f>'Prg. Marketing'!BC115</f>
        <v>715.34754999133179</v>
      </c>
      <c r="BD71" s="1250">
        <f>'Prg. Marketing'!BD115</f>
        <v>723.59445420108852</v>
      </c>
      <c r="BE71" s="1250">
        <f>'Prg. Marketing'!BE115</f>
        <v>787.87580768829355</v>
      </c>
      <c r="BF71" s="1250">
        <f>'Prg. Marketing'!BF115</f>
        <v>779.5538701258539</v>
      </c>
      <c r="BG71" s="1250">
        <f>'Prg. Marketing'!BG115</f>
        <v>764.31854944578197</v>
      </c>
      <c r="BH71" s="1250">
        <f>'Prg. Marketing'!BH115</f>
        <v>770.77276204561929</v>
      </c>
      <c r="BI71" s="1250">
        <f>'Prg. Marketing'!BI115</f>
        <v>782.23147648976862</v>
      </c>
      <c r="BJ71" s="1250">
        <f>'Prg. Marketing'!BJ115</f>
        <v>777.38686918973235</v>
      </c>
      <c r="BK71" s="1251">
        <f>'Prg. Marketing'!BK115</f>
        <v>810.68267107857378</v>
      </c>
    </row>
    <row r="72" spans="1:63" s="1250" customFormat="1" ht="18.75">
      <c r="A72" s="1246"/>
      <c r="B72" s="1247"/>
      <c r="C72" s="1248" t="str">
        <f t="shared" si="0"/>
        <v>Tabeling</v>
      </c>
      <c r="D72" s="1249">
        <f>'Prg. Marketing'!D133</f>
        <v>704.95238095238085</v>
      </c>
      <c r="E72" s="1250">
        <f>'Prg. Marketing'!E133</f>
        <v>663.88209088209089</v>
      </c>
      <c r="F72" s="1250">
        <f>'Prg. Marketing'!F133</f>
        <v>625.4497367132501</v>
      </c>
      <c r="G72" s="1250">
        <f>'Prg. Marketing'!G133</f>
        <v>686.75124477957559</v>
      </c>
      <c r="H72" s="1250">
        <f>'Prg. Marketing'!H133</f>
        <v>646.78961257667902</v>
      </c>
      <c r="I72" s="1250">
        <f>'Prg. Marketing'!I133</f>
        <v>609.36010873386056</v>
      </c>
      <c r="J72" s="1250">
        <f>'Prg. Marketing'!J133</f>
        <v>574.29087043563788</v>
      </c>
      <c r="K72" s="1250">
        <f>'Prg. Marketing'!K133</f>
        <v>597.87886803952074</v>
      </c>
      <c r="L72" s="1250">
        <f>'Prg. Marketing'!L133</f>
        <v>567.82560685522083</v>
      </c>
      <c r="M72" s="1250">
        <f>'Prg. Marketing'!M133</f>
        <v>535.57947820137792</v>
      </c>
      <c r="N72" s="1250">
        <f>'Prg. Marketing'!N133</f>
        <v>505.01915617758084</v>
      </c>
      <c r="O72" s="1251">
        <f>'Prg. Marketing'!O133</f>
        <v>476.32390143501675</v>
      </c>
      <c r="P72" s="1250">
        <f>'Prg. Marketing'!P133</f>
        <v>466.35548142968565</v>
      </c>
      <c r="Q72" s="1250">
        <f>'Prg. Marketing'!Q133</f>
        <v>463.96818687577735</v>
      </c>
      <c r="R72" s="1250">
        <f>'Prg. Marketing'!R133</f>
        <v>458.49619760850476</v>
      </c>
      <c r="S72" s="1250">
        <f>'Prg. Marketing'!S133</f>
        <v>452.92296207671814</v>
      </c>
      <c r="T72" s="1250">
        <f>'Prg. Marketing'!T133</f>
        <v>447.48810823371775</v>
      </c>
      <c r="U72" s="1250">
        <f>'Prg. Marketing'!U133</f>
        <v>546.90460035697913</v>
      </c>
      <c r="V72" s="1250">
        <f>'Prg. Marketing'!V133</f>
        <v>539.88629301970582</v>
      </c>
      <c r="W72" s="1250">
        <f>'Prg. Marketing'!W133</f>
        <v>533.04830510218198</v>
      </c>
      <c r="X72" s="1250">
        <f>'Prg. Marketing'!X133</f>
        <v>526.38569012538187</v>
      </c>
      <c r="Y72" s="1250">
        <f>'Prg. Marketing'!Y133</f>
        <v>519.89363683606234</v>
      </c>
      <c r="Z72" s="1250">
        <f>'Prg. Marketing'!Z133</f>
        <v>513.56747400007475</v>
      </c>
      <c r="AA72" s="1251">
        <f>'Prg. Marketing'!AA133</f>
        <v>545.32990396114099</v>
      </c>
      <c r="AB72" s="1250">
        <f>'Prg. Marketing'!AB133</f>
        <v>588.90311724545234</v>
      </c>
      <c r="AC72" s="1250">
        <f>'Prg. Marketing'!AC133</f>
        <v>581.65142123416183</v>
      </c>
      <c r="AD72" s="1250">
        <f>'Prg. Marketing'!AD133</f>
        <v>573.86586995231676</v>
      </c>
      <c r="AE72" s="1250">
        <f>'Prg. Marketing'!AE133</f>
        <v>566.25594846538354</v>
      </c>
      <c r="AF72" s="1250">
        <f>'Prg. Marketing'!AF133</f>
        <v>558.92398085427521</v>
      </c>
      <c r="AG72" s="1250">
        <f>'Prg. Marketing'!AG133</f>
        <v>551.87309456648734</v>
      </c>
      <c r="AH72" s="1250">
        <f>'Prg. Marketing'!AH133</f>
        <v>545.09088573917791</v>
      </c>
      <c r="AI72" s="1250">
        <f>'Prg. Marketing'!AI133</f>
        <v>576.70772191676679</v>
      </c>
      <c r="AJ72" s="1250">
        <f>'Prg. Marketing'!AJ133</f>
        <v>579.42582674731329</v>
      </c>
      <c r="AK72" s="1250">
        <f>'Prg. Marketing'!AK133</f>
        <v>575.17262403433858</v>
      </c>
      <c r="AL72" s="1250">
        <f>'Prg. Marketing'!AL133</f>
        <v>609.93250026986743</v>
      </c>
      <c r="AM72" s="1251">
        <f>'Prg. Marketing'!AM133</f>
        <v>603.43754696263193</v>
      </c>
      <c r="AN72" s="1250">
        <f>'Prg. Marketing'!AN133</f>
        <v>622.61232042690119</v>
      </c>
      <c r="AO72" s="1250">
        <f>'Prg. Marketing'!AO133</f>
        <v>594.78369763988428</v>
      </c>
      <c r="AP72" s="1250">
        <f>'Prg. Marketing'!AP133</f>
        <v>573.2927661533173</v>
      </c>
      <c r="AQ72" s="1250">
        <f>'Prg. Marketing'!AQ133</f>
        <v>553.47953248860426</v>
      </c>
      <c r="AR72" s="1250">
        <f>'Prg. Marketing'!AR133</f>
        <v>565.34351963672714</v>
      </c>
      <c r="AS72" s="1250">
        <f>'Prg. Marketing'!AS133</f>
        <v>586.30265008290939</v>
      </c>
      <c r="AT72" s="1250">
        <f>'Prg. Marketing'!AT133</f>
        <v>568.27970365455349</v>
      </c>
      <c r="AU72" s="1250">
        <f>'Prg. Marketing'!AU133</f>
        <v>549.56784704277891</v>
      </c>
      <c r="AV72" s="1250">
        <f>'Prg. Marketing'!AV133</f>
        <v>531.2156173881001</v>
      </c>
      <c r="AW72" s="1250">
        <f>'Prg. Marketing'!AW133</f>
        <v>513.45393898842087</v>
      </c>
      <c r="AX72" s="1250">
        <f>'Prg. Marketing'!AX133</f>
        <v>552.8038220212602</v>
      </c>
      <c r="AY72" s="1251">
        <f>'Prg. Marketing'!AY133</f>
        <v>588.05138163485265</v>
      </c>
      <c r="AZ72" s="1250">
        <f>'Prg. Marketing'!AZ133</f>
        <v>576.57321015878927</v>
      </c>
      <c r="BA72" s="1250">
        <f>'Prg. Marketing'!BA133</f>
        <v>559.64385563889698</v>
      </c>
      <c r="BB72" s="1250">
        <f>'Prg. Marketing'!BB133</f>
        <v>541.43018704343308</v>
      </c>
      <c r="BC72" s="1250">
        <f>'Prg. Marketing'!BC133</f>
        <v>523.25673934430415</v>
      </c>
      <c r="BD72" s="1250">
        <f>'Prg. Marketing'!BD133</f>
        <v>528.09577668685483</v>
      </c>
      <c r="BE72" s="1250">
        <f>'Prg. Marketing'!BE133</f>
        <v>579.60422461417897</v>
      </c>
      <c r="BF72" s="1250">
        <f>'Prg. Marketing'!BF133</f>
        <v>570.00325223433151</v>
      </c>
      <c r="BG72" s="1250">
        <f>'Prg. Marketing'!BG133</f>
        <v>554.78465901916923</v>
      </c>
      <c r="BH72" s="1250">
        <f>'Prg. Marketing'!BH133</f>
        <v>557.42006931491903</v>
      </c>
      <c r="BI72" s="1250">
        <f>'Prg. Marketing'!BI133</f>
        <v>563.98029610582262</v>
      </c>
      <c r="BJ72" s="1250">
        <f>'Prg. Marketing'!BJ133</f>
        <v>557.26803586120957</v>
      </c>
      <c r="BK72" s="1251">
        <f>'Prg. Marketing'!BK133</f>
        <v>580.95071374135375</v>
      </c>
    </row>
    <row r="73" spans="1:63" s="1250" customFormat="1" ht="18.75">
      <c r="A73" s="1246"/>
      <c r="B73" s="1247"/>
      <c r="C73" s="1248" t="str">
        <f t="shared" si="0"/>
        <v>Campaign</v>
      </c>
      <c r="D73" s="1249">
        <f>'Prg. Marketing'!D151</f>
        <v>1062.2962962962965</v>
      </c>
      <c r="E73" s="1250">
        <f>'Prg. Marketing'!E151</f>
        <v>967.16592824457985</v>
      </c>
      <c r="F73" s="1250">
        <f>'Prg. Marketing'!F151</f>
        <v>880.81133826204848</v>
      </c>
      <c r="G73" s="1250">
        <f>'Prg. Marketing'!G151</f>
        <v>872.79101555648595</v>
      </c>
      <c r="H73" s="1250">
        <f>'Prg. Marketing'!H151</f>
        <v>794.31092569752525</v>
      </c>
      <c r="I73" s="1250">
        <f>'Prg. Marketing'!I151</f>
        <v>723.08293363563575</v>
      </c>
      <c r="J73" s="1250">
        <f>'Prg. Marketing'!J151</f>
        <v>658.41674543059833</v>
      </c>
      <c r="K73" s="1250">
        <f>'Prg. Marketing'!K151</f>
        <v>634.21626760046195</v>
      </c>
      <c r="L73" s="1250">
        <f>'Prg. Marketing'!L151</f>
        <v>579.89181170190079</v>
      </c>
      <c r="M73" s="1250">
        <f>'Prg. Marketing'!M151</f>
        <v>528.15048870525311</v>
      </c>
      <c r="N73" s="1250">
        <f>'Prg. Marketing'!N151</f>
        <v>480.97968904341724</v>
      </c>
      <c r="O73" s="1251">
        <f>'Prg. Marketing'!O151</f>
        <v>438.11501143426284</v>
      </c>
      <c r="P73" s="1250">
        <f>'Prg. Marketing'!P151</f>
        <v>426.05181686348681</v>
      </c>
      <c r="Q73" s="1250">
        <f>'Prg. Marketing'!Q151</f>
        <v>418.05663194379287</v>
      </c>
      <c r="R73" s="1250">
        <f>'Prg. Marketing'!R151</f>
        <v>408.69017251324436</v>
      </c>
      <c r="S73" s="1250">
        <f>'Prg. Marketing'!S151</f>
        <v>399.46809506366725</v>
      </c>
      <c r="T73" s="1250">
        <f>'Prg. Marketing'!T151</f>
        <v>390.50314670108281</v>
      </c>
      <c r="U73" s="1250">
        <f>'Prg. Marketing'!U151</f>
        <v>430.87708689467252</v>
      </c>
      <c r="V73" s="1250">
        <f>'Prg. Marketing'!V151</f>
        <v>420.75594859940242</v>
      </c>
      <c r="W73" s="1250">
        <f>'Prg. Marketing'!W151</f>
        <v>410.93106009651558</v>
      </c>
      <c r="X73" s="1250">
        <f>'Prg. Marketing'!X151</f>
        <v>401.39196925104255</v>
      </c>
      <c r="Y73" s="1250">
        <f>'Prg. Marketing'!Y151</f>
        <v>392.12863596074033</v>
      </c>
      <c r="Z73" s="1250">
        <f>'Prg. Marketing'!Z151</f>
        <v>383.1314187141511</v>
      </c>
      <c r="AA73" s="1251">
        <f>'Prg. Marketing'!AA151</f>
        <v>390.51834522771333</v>
      </c>
      <c r="AB73" s="1250">
        <f>'Prg. Marketing'!AB151</f>
        <v>404.8400313769954</v>
      </c>
      <c r="AC73" s="1250">
        <f>'Prg. Marketing'!AC151</f>
        <v>397.65369618790726</v>
      </c>
      <c r="AD73" s="1250">
        <f>'Prg. Marketing'!AD151</f>
        <v>390.34920459406271</v>
      </c>
      <c r="AE73" s="1250">
        <f>'Prg. Marketing'!AE151</f>
        <v>383.22174901622657</v>
      </c>
      <c r="AF73" s="1250">
        <f>'Prg. Marketing'!AF151</f>
        <v>376.30927221946808</v>
      </c>
      <c r="AG73" s="1250">
        <f>'Prg. Marketing'!AG151</f>
        <v>369.6083918888645</v>
      </c>
      <c r="AH73" s="1250">
        <f>'Prg. Marketing'!AH151</f>
        <v>363.10959357359627</v>
      </c>
      <c r="AI73" s="1250">
        <f>'Prg. Marketing'!AI151</f>
        <v>371.79330316176345</v>
      </c>
      <c r="AJ73" s="1250">
        <f>'Prg. Marketing'!AJ151</f>
        <v>369.02654288236033</v>
      </c>
      <c r="AK73" s="1250">
        <f>'Prg. Marketing'!AK151</f>
        <v>363.5923311771449</v>
      </c>
      <c r="AL73" s="1250">
        <f>'Prg. Marketing'!AL151</f>
        <v>373.11458431095224</v>
      </c>
      <c r="AM73" s="1251">
        <f>'Prg. Marketing'!AM151</f>
        <v>366.82922875885936</v>
      </c>
      <c r="AN73" s="1250">
        <f>'Prg. Marketing'!AN151</f>
        <v>367.14810950695363</v>
      </c>
      <c r="AO73" s="1250">
        <f>'Prg. Marketing'!AO151</f>
        <v>350.07480740194399</v>
      </c>
      <c r="AP73" s="1250">
        <f>'Prg. Marketing'!AP151</f>
        <v>335.69591529263317</v>
      </c>
      <c r="AQ73" s="1250">
        <f>'Prg. Marketing'!AQ151</f>
        <v>322.24192620543846</v>
      </c>
      <c r="AR73" s="1250">
        <f>'Prg. Marketing'!AR151</f>
        <v>320.57802156788796</v>
      </c>
      <c r="AS73" s="1250">
        <f>'Prg. Marketing'!AS151</f>
        <v>322.29067868868424</v>
      </c>
      <c r="AT73" s="1250">
        <f>'Prg. Marketing'!AT151</f>
        <v>310.12568861028262</v>
      </c>
      <c r="AU73" s="1250">
        <f>'Prg. Marketing'!AU151</f>
        <v>297.97985515553239</v>
      </c>
      <c r="AV73" s="1250">
        <f>'Prg. Marketing'!AV151</f>
        <v>286.22087573245818</v>
      </c>
      <c r="AW73" s="1250">
        <f>'Prg. Marketing'!AW151</f>
        <v>274.9197140462702</v>
      </c>
      <c r="AX73" s="1250">
        <f>'Prg. Marketing'!AX151</f>
        <v>283.61316422721728</v>
      </c>
      <c r="AY73" s="1251">
        <f>'Prg. Marketing'!AY151</f>
        <v>290.81941262596149</v>
      </c>
      <c r="AZ73" s="1250">
        <f>'Prg. Marketing'!AZ151</f>
        <v>279.42958935113705</v>
      </c>
      <c r="BA73" s="1250">
        <f>'Prg. Marketing'!BA151</f>
        <v>266.61104725548233</v>
      </c>
      <c r="BB73" s="1250">
        <f>'Prg. Marketing'!BB151</f>
        <v>253.79879647182597</v>
      </c>
      <c r="BC73" s="1250">
        <f>'Prg. Marketing'!BC151</f>
        <v>241.42444699553639</v>
      </c>
      <c r="BD73" s="1250">
        <f>'Prg. Marketing'!BD151</f>
        <v>236.74850693541944</v>
      </c>
      <c r="BE73" s="1250">
        <f>'Prg. Marketing'!BE151</f>
        <v>246.78351272027908</v>
      </c>
      <c r="BF73" s="1250">
        <f>'Prg. Marketing'!BF151</f>
        <v>237.76951308889861</v>
      </c>
      <c r="BG73" s="1250">
        <f>'Prg. Marketing'!BG151</f>
        <v>227.35374669132966</v>
      </c>
      <c r="BH73" s="1250">
        <f>'Prg. Marketing'!BH151</f>
        <v>222.57932523057616</v>
      </c>
      <c r="BI73" s="1250">
        <f>'Prg. Marketing'!BI151</f>
        <v>219.1100482563086</v>
      </c>
      <c r="BJ73" s="1250">
        <f>'Prg. Marketing'!BJ151</f>
        <v>211.93642740202557</v>
      </c>
      <c r="BK73" s="1251">
        <f>'Prg. Marketing'!BK151</f>
        <v>213.59910933132261</v>
      </c>
    </row>
    <row r="74" spans="1:63" s="1250" customFormat="1" ht="18.75">
      <c r="A74" s="1246"/>
      <c r="B74" s="1247"/>
      <c r="C74" s="1248" t="str">
        <f t="shared" si="0"/>
        <v>Bill Inserts</v>
      </c>
      <c r="D74" s="1249">
        <f>'Prg. Marketing'!D169</f>
        <v>612.44444444444446</v>
      </c>
      <c r="E74" s="1250">
        <f>'Prg. Marketing'!E169</f>
        <v>599.75266581718176</v>
      </c>
      <c r="F74" s="1250">
        <f>'Prg. Marketing'!F169</f>
        <v>587.50582545925624</v>
      </c>
      <c r="G74" s="1250">
        <f>'Prg. Marketing'!G169</f>
        <v>631.16545022160142</v>
      </c>
      <c r="H74" s="1250">
        <f>'Prg. Marketing'!H169</f>
        <v>617.84829247014306</v>
      </c>
      <c r="I74" s="1250">
        <f>'Prg. Marketing'!I169</f>
        <v>604.98424973328099</v>
      </c>
      <c r="J74" s="1250">
        <f>'Prg. Marketing'!J169</f>
        <v>592.55388155376988</v>
      </c>
      <c r="K74" s="1250">
        <f>'Prg. Marketing'!K169</f>
        <v>617.097858330083</v>
      </c>
      <c r="L74" s="1250">
        <f>'Prg. Marketing'!L169</f>
        <v>607.16937791307305</v>
      </c>
      <c r="M74" s="1250">
        <f>'Prg. Marketing'!M169</f>
        <v>594.85816560378828</v>
      </c>
      <c r="N74" s="1250">
        <f>'Prg. Marketing'!N169</f>
        <v>582.73051391331171</v>
      </c>
      <c r="O74" s="1251">
        <f>'Prg. Marketing'!O169</f>
        <v>570.97747118901964</v>
      </c>
      <c r="P74" s="1250">
        <f>'Prg. Marketing'!P169</f>
        <v>568.39143357229375</v>
      </c>
      <c r="Q74" s="1250">
        <f>'Prg. Marketing'!Q169</f>
        <v>571.39022633230354</v>
      </c>
      <c r="R74" s="1250">
        <f>'Prg. Marketing'!R169</f>
        <v>572.07507531759711</v>
      </c>
      <c r="S74" s="1250">
        <f>'Prg. Marketing'!S169</f>
        <v>572.65531776980436</v>
      </c>
      <c r="T74" s="1250">
        <f>'Prg. Marketing'!T169</f>
        <v>573.31213073428557</v>
      </c>
      <c r="U74" s="1250">
        <f>'Prg. Marketing'!U169</f>
        <v>654.93534097965733</v>
      </c>
      <c r="V74" s="1250">
        <f>'Prg. Marketing'!V169</f>
        <v>654.97129352330637</v>
      </c>
      <c r="W74" s="1250">
        <f>'Prg. Marketing'!W169</f>
        <v>655.10474519087904</v>
      </c>
      <c r="X74" s="1250">
        <f>'Prg. Marketing'!X169</f>
        <v>655.33455912406976</v>
      </c>
      <c r="Y74" s="1250">
        <f>'Prg. Marketing'!Y169</f>
        <v>655.6596259066032</v>
      </c>
      <c r="Z74" s="1250">
        <f>'Prg. Marketing'!Z169</f>
        <v>656.07886990771021</v>
      </c>
      <c r="AA74" s="1251">
        <f>'Prg. Marketing'!AA169</f>
        <v>687.37206534043764</v>
      </c>
      <c r="AB74" s="1250">
        <f>'Prg. Marketing'!AB169</f>
        <v>726.02358102868516</v>
      </c>
      <c r="AC74" s="1250">
        <f>'Prg. Marketing'!AC169</f>
        <v>723.38335828519303</v>
      </c>
      <c r="AD74" s="1250">
        <f>'Prg. Marketing'!AD169</f>
        <v>720.25951830541987</v>
      </c>
      <c r="AE74" s="1250">
        <f>'Prg. Marketing'!AE169</f>
        <v>717.23247310290151</v>
      </c>
      <c r="AF74" s="1250">
        <f>'Prg. Marketing'!AF169</f>
        <v>714.38911806939643</v>
      </c>
      <c r="AG74" s="1250">
        <f>'Prg. Marketing'!AG169</f>
        <v>711.73512270504375</v>
      </c>
      <c r="AH74" s="1250">
        <f>'Prg. Marketing'!AH169</f>
        <v>709.2631897125799</v>
      </c>
      <c r="AI74" s="1250">
        <f>'Prg. Marketing'!AI169</f>
        <v>739.17532313104982</v>
      </c>
      <c r="AJ74" s="1250">
        <f>'Prg. Marketing'!AJ169</f>
        <v>744.84312755492783</v>
      </c>
      <c r="AK74" s="1250">
        <f>'Prg. Marketing'!AK169</f>
        <v>744.60382083010973</v>
      </c>
      <c r="AL74" s="1250">
        <f>'Prg. Marketing'!AL169</f>
        <v>777.78265646626494</v>
      </c>
      <c r="AM74" s="1251">
        <f>'Prg. Marketing'!AM169</f>
        <v>775.73768729946391</v>
      </c>
      <c r="AN74" s="1250">
        <f>'Prg. Marketing'!AN169</f>
        <v>797.81424502269135</v>
      </c>
      <c r="AO74" s="1250">
        <f>'Prg. Marketing'!AO169</f>
        <v>778.7957812664622</v>
      </c>
      <c r="AP74" s="1250">
        <f>'Prg. Marketing'!AP169</f>
        <v>764.88423576017374</v>
      </c>
      <c r="AQ74" s="1250">
        <f>'Prg. Marketing'!AQ169</f>
        <v>752.05967721407615</v>
      </c>
      <c r="AR74" s="1250">
        <f>'Prg. Marketing'!AR169</f>
        <v>768.41367294266456</v>
      </c>
      <c r="AS74" s="1250">
        <f>'Prg. Marketing'!AS169</f>
        <v>793.94384044731282</v>
      </c>
      <c r="AT74" s="1250">
        <f>'Prg. Marketing'!AT169</f>
        <v>782.68062544217298</v>
      </c>
      <c r="AU74" s="1250">
        <f>'Prg. Marketing'!AU169</f>
        <v>770.35864525922386</v>
      </c>
      <c r="AV74" s="1250">
        <f>'Prg. Marketing'!AV169</f>
        <v>757.97813355274957</v>
      </c>
      <c r="AW74" s="1250">
        <f>'Prg. Marketing'!AW169</f>
        <v>745.77790599596517</v>
      </c>
      <c r="AX74" s="1250">
        <f>'Prg. Marketing'!AX169</f>
        <v>791.99599899393149</v>
      </c>
      <c r="AY74" s="1251">
        <f>'Prg. Marketing'!AY169</f>
        <v>835.42383837052125</v>
      </c>
      <c r="AZ74" s="1250">
        <f>'Prg. Marketing'!AZ169</f>
        <v>822.77600519449732</v>
      </c>
      <c r="BA74" s="1250">
        <f>'Prg. Marketing'!BA169</f>
        <v>804.3110417873196</v>
      </c>
      <c r="BB74" s="1250">
        <f>'Prg. Marketing'!BB169</f>
        <v>784.35175128594437</v>
      </c>
      <c r="BC74" s="1250">
        <f>'Prg. Marketing'!BC169</f>
        <v>764.29025813441251</v>
      </c>
      <c r="BD74" s="1250">
        <f>'Prg. Marketing'!BD169</f>
        <v>769.16575839578741</v>
      </c>
      <c r="BE74" s="1250">
        <f>'Prg. Marketing'!BE169</f>
        <v>825.58448923850051</v>
      </c>
      <c r="BF74" s="1250">
        <f>'Prg. Marketing'!BF169</f>
        <v>815.37367949814541</v>
      </c>
      <c r="BG74" s="1250">
        <f>'Prg. Marketing'!BG169</f>
        <v>798.87666766054338</v>
      </c>
      <c r="BH74" s="1250">
        <f>'Prg. Marketing'!BH169</f>
        <v>802.36744739679739</v>
      </c>
      <c r="BI74" s="1250">
        <f>'Prg. Marketing'!BI169</f>
        <v>810.51698576951901</v>
      </c>
      <c r="BJ74" s="1250">
        <f>'Prg. Marketing'!BJ169</f>
        <v>803.74963389472225</v>
      </c>
      <c r="BK74" s="1251">
        <f>'Prg. Marketing'!BK169</f>
        <v>832.07776726216696</v>
      </c>
    </row>
    <row r="75" spans="1:63" s="1250" customFormat="1" ht="18.75">
      <c r="A75" s="1246"/>
      <c r="B75" s="1247"/>
      <c r="C75" s="1248" t="str">
        <f t="shared" si="0"/>
        <v>Referral</v>
      </c>
      <c r="D75" s="1249">
        <f>'Prg. Marketing'!D187</f>
        <v>449.76470588235304</v>
      </c>
      <c r="E75" s="1250">
        <f>'Prg. Marketing'!E187</f>
        <v>378.19787208022507</v>
      </c>
      <c r="F75" s="1250">
        <f>'Prg. Marketing'!F187</f>
        <v>318.13141927169079</v>
      </c>
      <c r="G75" s="1250">
        <f>'Prg. Marketing'!G187</f>
        <v>300.51980460152254</v>
      </c>
      <c r="H75" s="1250">
        <f>'Prg. Marketing'!H187</f>
        <v>252.63240491076536</v>
      </c>
      <c r="I75" s="1250">
        <f>'Prg. Marketing'!I187</f>
        <v>212.44321920037572</v>
      </c>
      <c r="J75" s="1250">
        <f>'Prg. Marketing'!J187</f>
        <v>178.70347705352219</v>
      </c>
      <c r="K75" s="1250">
        <f>'Prg. Marketing'!K187</f>
        <v>162.26050392252861</v>
      </c>
      <c r="L75" s="1250">
        <f>'Prg. Marketing'!L187</f>
        <v>137.27882077706934</v>
      </c>
      <c r="M75" s="1250">
        <f>'Prg. Marketing'!M187</f>
        <v>115.52884618318224</v>
      </c>
      <c r="N75" s="1250">
        <f>'Prg. Marketing'!N187</f>
        <v>97.208037043981719</v>
      </c>
      <c r="O75" s="1251">
        <f>'Prg. Marketing'!O187</f>
        <v>81.812648562143423</v>
      </c>
      <c r="P75" s="1250">
        <f>'Prg. Marketing'!P187</f>
        <v>72.221441194763031</v>
      </c>
      <c r="Q75" s="1250">
        <f>'Prg. Marketing'!Q187</f>
        <v>64.540157500510219</v>
      </c>
      <c r="R75" s="1250">
        <f>'Prg. Marketing'!R187</f>
        <v>57.382179357742586</v>
      </c>
      <c r="S75" s="1250">
        <f>'Prg. Marketing'!S187</f>
        <v>51.005358269453374</v>
      </c>
      <c r="T75" s="1250">
        <f>'Prg. Marketing'!T187</f>
        <v>45.34391197800705</v>
      </c>
      <c r="U75" s="1250">
        <f>'Prg. Marketing'!U187</f>
        <v>47.49241106095328</v>
      </c>
      <c r="V75" s="1250">
        <f>'Prg. Marketing'!V187</f>
        <v>42.175500870485067</v>
      </c>
      <c r="W75" s="1250">
        <f>'Prg. Marketing'!W187</f>
        <v>37.459921421546603</v>
      </c>
      <c r="X75" s="1250">
        <f>'Prg. Marketing'!X187</f>
        <v>33.276943644297766</v>
      </c>
      <c r="Y75" s="1250">
        <f>'Prg. Marketing'!Y187</f>
        <v>29.565778094358695</v>
      </c>
      <c r="Z75" s="1250">
        <f>'Prg. Marketing'!Z187</f>
        <v>26.272648349325955</v>
      </c>
      <c r="AA75" s="1251">
        <f>'Prg. Marketing'!AA187</f>
        <v>24.704290560529422</v>
      </c>
      <c r="AB75" s="1250">
        <f>'Prg. Marketing'!AB187</f>
        <v>24.105656167782239</v>
      </c>
      <c r="AC75" s="1250">
        <f>'Prg. Marketing'!AC187</f>
        <v>21.909569646928567</v>
      </c>
      <c r="AD75" s="1250">
        <f>'Prg. Marketing'!AD187</f>
        <v>19.896724254285719</v>
      </c>
      <c r="AE75" s="1250">
        <f>'Prg. Marketing'!AE187</f>
        <v>18.071049381860647</v>
      </c>
      <c r="AF75" s="1250">
        <f>'Prg. Marketing'!AF187</f>
        <v>16.417410832124023</v>
      </c>
      <c r="AG75" s="1250">
        <f>'Prg. Marketing'!AG187</f>
        <v>14.919415192704985</v>
      </c>
      <c r="AH75" s="1250">
        <f>'Prg. Marketing'!AH187</f>
        <v>13.56192728240204</v>
      </c>
      <c r="AI75" s="1250">
        <f>'Prg. Marketing'!AI187</f>
        <v>13.019362564006773</v>
      </c>
      <c r="AJ75" s="1250">
        <f>'Prg. Marketing'!AJ187</f>
        <v>11.996161526815694</v>
      </c>
      <c r="AK75" s="1250">
        <f>'Prg. Marketing'!AK187</f>
        <v>10.947226672007114</v>
      </c>
      <c r="AL75" s="1250">
        <f>'Prg. Marketing'!AL187</f>
        <v>10.534381202217045</v>
      </c>
      <c r="AM75" s="1251">
        <f>'Prg. Marketing'!AM187</f>
        <v>9.5868941374938199</v>
      </c>
      <c r="AN75" s="1250">
        <f>'Prg. Marketing'!AN187</f>
        <v>9.4742742874830093</v>
      </c>
      <c r="AO75" s="1250">
        <f>'Prg. Marketing'!AO187</f>
        <v>8.7952030033468578</v>
      </c>
      <c r="AP75" s="1250">
        <f>'Prg. Marketing'!AP187</f>
        <v>8.2245257482544307</v>
      </c>
      <c r="AQ75" s="1250">
        <f>'Prg. Marketing'!AQ187</f>
        <v>7.701124691879869</v>
      </c>
      <c r="AR75" s="1250">
        <f>'Prg. Marketing'!AR187</f>
        <v>7.5500970933963796</v>
      </c>
      <c r="AS75" s="1250">
        <f>'Prg. Marketing'!AS187</f>
        <v>7.4984799671803017</v>
      </c>
      <c r="AT75" s="1250">
        <f>'Prg. Marketing'!AT187</f>
        <v>7.0435761121704195</v>
      </c>
      <c r="AU75" s="1250">
        <f>'Prg. Marketing'!AU187</f>
        <v>6.6039132372054707</v>
      </c>
      <c r="AV75" s="1250">
        <f>'Prg. Marketing'!AV187</f>
        <v>6.1892410804690723</v>
      </c>
      <c r="AW75" s="1250">
        <f>'Prg. Marketing'!AW187</f>
        <v>5.8004195463527157</v>
      </c>
      <c r="AX75" s="1250">
        <f>'Prg. Marketing'!AX187</f>
        <v>5.9470512924059955</v>
      </c>
      <c r="AY75" s="1251">
        <f>'Prg. Marketing'!AY187</f>
        <v>6.0436932805376564</v>
      </c>
      <c r="AZ75" s="1250">
        <f>'Prg. Marketing'!AZ187</f>
        <v>5.7512965214963234</v>
      </c>
      <c r="BA75" s="1250">
        <f>'Prg. Marketing'!BA187</f>
        <v>5.426160544495211</v>
      </c>
      <c r="BB75" s="1250">
        <f>'Prg. Marketing'!BB187</f>
        <v>5.105061462272718</v>
      </c>
      <c r="BC75" s="1250">
        <f>'Prg. Marketing'!BC187</f>
        <v>4.7986341489033881</v>
      </c>
      <c r="BD75" s="1250">
        <f>'Prg. Marketing'!BD187</f>
        <v>4.6813292095680508</v>
      </c>
      <c r="BE75" s="1250">
        <f>'Prg. Marketing'!BE187</f>
        <v>4.9134744509996597</v>
      </c>
      <c r="BF75" s="1250">
        <f>'Prg. Marketing'!BF187</f>
        <v>4.6895290883423488</v>
      </c>
      <c r="BG75" s="1250">
        <f>'Prg. Marketing'!BG187</f>
        <v>4.435432699391832</v>
      </c>
      <c r="BH75" s="1250">
        <f>'Prg. Marketing'!BH187</f>
        <v>4.3140821528612623</v>
      </c>
      <c r="BI75" s="1250">
        <f>'Prg. Marketing'!BI187</f>
        <v>4.2226412247528131</v>
      </c>
      <c r="BJ75" s="1250">
        <f>'Prg. Marketing'!BJ187</f>
        <v>4.0479087946913825</v>
      </c>
      <c r="BK75" s="1251">
        <f>'Prg. Marketing'!BK187</f>
        <v>4.0707178462072271</v>
      </c>
    </row>
    <row r="76" spans="1:63" s="1250" customFormat="1" ht="18.75">
      <c r="A76" s="1246"/>
      <c r="B76" s="1247"/>
      <c r="C76" s="1248" t="str">
        <f t="shared" si="0"/>
        <v>Affiliate Partners</v>
      </c>
      <c r="D76" s="1249">
        <f>'Prg. Marketing'!D205</f>
        <v>2616.3636363636365</v>
      </c>
      <c r="E76" s="1250">
        <f>'Prg. Marketing'!E205</f>
        <v>2249.983469138398</v>
      </c>
      <c r="F76" s="1250">
        <f>'Prg. Marketing'!F205</f>
        <v>1935.2486861012903</v>
      </c>
      <c r="G76" s="1250">
        <f>'Prg. Marketing'!G205</f>
        <v>1740.3915612686085</v>
      </c>
      <c r="H76" s="1250">
        <f>'Prg. Marketing'!H205</f>
        <v>1496.151024042679</v>
      </c>
      <c r="I76" s="1250">
        <f>'Prg. Marketing'!I205</f>
        <v>1286.4050793981112</v>
      </c>
      <c r="J76" s="1250">
        <f>'Prg. Marketing'!J205</f>
        <v>1106.2465085964873</v>
      </c>
      <c r="K76" s="1250">
        <f>'Prg. Marketing'!K205</f>
        <v>980.42668444286744</v>
      </c>
      <c r="L76" s="1250">
        <f>'Prg. Marketing'!L205</f>
        <v>844.93265305477473</v>
      </c>
      <c r="M76" s="1250">
        <f>'Prg. Marketing'!M205</f>
        <v>726.63492527017354</v>
      </c>
      <c r="N76" s="1250">
        <f>'Prg. Marketing'!N205</f>
        <v>624.88163183990571</v>
      </c>
      <c r="O76" s="1251">
        <f>'Prg. Marketing'!O205</f>
        <v>537.45045055776347</v>
      </c>
      <c r="P76" s="1250">
        <f>'Prg. Marketing'!P205</f>
        <v>491.88443710824453</v>
      </c>
      <c r="Q76" s="1250">
        <f>'Prg. Marketing'!Q205</f>
        <v>452.34143807672541</v>
      </c>
      <c r="R76" s="1250">
        <f>'Prg. Marketing'!R205</f>
        <v>415.16139608125894</v>
      </c>
      <c r="S76" s="1250">
        <f>'Prg. Marketing'!S205</f>
        <v>381.00881860488056</v>
      </c>
      <c r="T76" s="1250">
        <f>'Prg. Marketing'!T205</f>
        <v>349.69301128259178</v>
      </c>
      <c r="U76" s="1250">
        <f>'Prg. Marketing'!U205</f>
        <v>342.58147800644531</v>
      </c>
      <c r="V76" s="1250">
        <f>'Prg. Marketing'!V205</f>
        <v>314.1809792963324</v>
      </c>
      <c r="W76" s="1250">
        <f>'Prg. Marketing'!W205</f>
        <v>288.16191361570998</v>
      </c>
      <c r="X76" s="1250">
        <f>'Prg. Marketing'!X205</f>
        <v>264.32189771292536</v>
      </c>
      <c r="Y76" s="1250">
        <f>'Prg. Marketing'!Y205</f>
        <v>242.4760137868941</v>
      </c>
      <c r="Z76" s="1250">
        <f>'Prg. Marketing'!Z205</f>
        <v>222.45527747478761</v>
      </c>
      <c r="AA76" s="1251">
        <f>'Prg. Marketing'!AA205</f>
        <v>208.87361866651204</v>
      </c>
      <c r="AB76" s="1250">
        <f>'Prg. Marketing'!AB205</f>
        <v>199.67854878818278</v>
      </c>
      <c r="AC76" s="1250">
        <f>'Prg. Marketing'!AC205</f>
        <v>185.21731811900887</v>
      </c>
      <c r="AD76" s="1250">
        <f>'Prg. Marketing'!AD205</f>
        <v>171.74472565267573</v>
      </c>
      <c r="AE76" s="1250">
        <f>'Prg. Marketing'!AE205</f>
        <v>159.2642502153642</v>
      </c>
      <c r="AF76" s="1250">
        <f>'Prg. Marketing'!AF205</f>
        <v>147.71122994778656</v>
      </c>
      <c r="AG76" s="1250">
        <f>'Prg. Marketing'!AG205</f>
        <v>137.01587176447907</v>
      </c>
      <c r="AH76" s="1250">
        <f>'Prg. Marketing'!AH205</f>
        <v>127.11246473941782</v>
      </c>
      <c r="AI76" s="1250">
        <f>'Prg. Marketing'!AI205</f>
        <v>120.67769581698259</v>
      </c>
      <c r="AJ76" s="1250">
        <f>'Prg. Marketing'!AJ205</f>
        <v>112.5983060748725</v>
      </c>
      <c r="AK76" s="1250">
        <f>'Prg. Marketing'!AK205</f>
        <v>104.62503679421631</v>
      </c>
      <c r="AL76" s="1250">
        <f>'Prg. Marketing'!AL205</f>
        <v>99.484095667318144</v>
      </c>
      <c r="AM76" s="1251">
        <f>'Prg. Marketing'!AM205</f>
        <v>92.32314603779588</v>
      </c>
      <c r="AN76" s="1250">
        <f>'Prg. Marketing'!AN205</f>
        <v>88.108049523368493</v>
      </c>
      <c r="AO76" s="1250">
        <f>'Prg. Marketing'!AO205</f>
        <v>81.771271135875253</v>
      </c>
      <c r="AP76" s="1250">
        <f>'Prg. Marketing'!AP205</f>
        <v>76.140459298842998</v>
      </c>
      <c r="AQ76" s="1250">
        <f>'Prg. Marketing'!AQ205</f>
        <v>70.940106274276914</v>
      </c>
      <c r="AR76" s="1250">
        <f>'Prg. Marketing'!AR205</f>
        <v>67.474465501764769</v>
      </c>
      <c r="AS76" s="1250">
        <f>'Prg. Marketing'!AS205</f>
        <v>64.594028765707947</v>
      </c>
      <c r="AT76" s="1250">
        <f>'Prg. Marketing'!AT205</f>
        <v>60.264814500280885</v>
      </c>
      <c r="AU76" s="1250">
        <f>'Prg. Marketing'!AU205</f>
        <v>56.176702833196906</v>
      </c>
      <c r="AV76" s="1250">
        <f>'Prg. Marketing'!AV205</f>
        <v>52.356421051597536</v>
      </c>
      <c r="AW76" s="1250">
        <f>'Prg. Marketing'!AW205</f>
        <v>48.795410699176443</v>
      </c>
      <c r="AX76" s="1250">
        <f>'Prg. Marketing'!AX205</f>
        <v>47.460532462692079</v>
      </c>
      <c r="AY76" s="1251">
        <f>'Prg. Marketing'!AY205</f>
        <v>46.040058889916502</v>
      </c>
      <c r="AZ76" s="1250">
        <f>'Prg. Marketing'!AZ205</f>
        <v>44.428227739495199</v>
      </c>
      <c r="BA76" s="1250">
        <f>'Prg. Marketing'!BA205</f>
        <v>42.686446741341641</v>
      </c>
      <c r="BB76" s="1250">
        <f>'Prg. Marketing'!BB205</f>
        <v>40.954429288570381</v>
      </c>
      <c r="BC76" s="1250">
        <f>'Prg. Marketing'!BC205</f>
        <v>39.274639691319535</v>
      </c>
      <c r="BD76" s="1250">
        <f>'Prg. Marketing'!BD205</f>
        <v>38.38980476707512</v>
      </c>
      <c r="BE76" s="1250">
        <f>'Prg. Marketing'!BE205</f>
        <v>39.040907326134835</v>
      </c>
      <c r="BF76" s="1250">
        <f>'Prg. Marketing'!BF205</f>
        <v>37.753056625858989</v>
      </c>
      <c r="BG76" s="1250">
        <f>'Prg. Marketing'!BG205</f>
        <v>36.327536395751935</v>
      </c>
      <c r="BH76" s="1250">
        <f>'Prg. Marketing'!BH205</f>
        <v>35.503810174030718</v>
      </c>
      <c r="BI76" s="1250">
        <f>'Prg. Marketing'!BI205</f>
        <v>34.833331166887767</v>
      </c>
      <c r="BJ76" s="1250">
        <f>'Prg. Marketing'!BJ205</f>
        <v>33.780765765904</v>
      </c>
      <c r="BK76" s="1251">
        <f>'Prg. Marketing'!BK205</f>
        <v>33.69262314156132</v>
      </c>
    </row>
    <row r="77" spans="1:63" s="1250" customFormat="1" ht="18.75">
      <c r="A77" s="1246"/>
      <c r="B77" s="1247"/>
      <c r="C77" s="1248" t="str">
        <f t="shared" si="0"/>
        <v>Utility Partners</v>
      </c>
      <c r="D77" s="1249">
        <f>'Prg. Marketing'!D223</f>
        <v>2004.8000000000002</v>
      </c>
      <c r="E77" s="1250">
        <f>'Prg. Marketing'!E223</f>
        <v>1945.4458677754676</v>
      </c>
      <c r="F77" s="1250">
        <f>'Prg. Marketing'!F223</f>
        <v>1888.4691629350282</v>
      </c>
      <c r="G77" s="1250">
        <f>'Prg. Marketing'!G223</f>
        <v>2028.7312530382169</v>
      </c>
      <c r="H77" s="1250">
        <f>'Prg. Marketing'!H223</f>
        <v>1967.9777890077157</v>
      </c>
      <c r="I77" s="1250">
        <f>'Prg. Marketing'!I223</f>
        <v>1909.6144324519078</v>
      </c>
      <c r="J77" s="1250">
        <f>'Prg. Marketing'!J223</f>
        <v>1853.527945914223</v>
      </c>
      <c r="K77" s="1250">
        <f>'Prg. Marketing'!K223</f>
        <v>1924.0283453050549</v>
      </c>
      <c r="L77" s="1250">
        <f>'Prg. Marketing'!L223</f>
        <v>1876.8867606290287</v>
      </c>
      <c r="M77" s="1250">
        <f>'Prg. Marketing'!M223</f>
        <v>1822.3789062272804</v>
      </c>
      <c r="N77" s="1250">
        <f>'Prg. Marketing'!N223</f>
        <v>1769.2154255107228</v>
      </c>
      <c r="O77" s="1251">
        <f>'Prg. Marketing'!O223</f>
        <v>1718.0033470370729</v>
      </c>
      <c r="P77" s="1250">
        <f>'Prg. Marketing'!P223</f>
        <v>1680.2915833574812</v>
      </c>
      <c r="Q77" s="1250">
        <f>'Prg. Marketing'!Q223</f>
        <v>1661.1516761413238</v>
      </c>
      <c r="R77" s="1250">
        <f>'Prg. Marketing'!R223</f>
        <v>1634.9183911458397</v>
      </c>
      <c r="S77" s="1250">
        <f>'Prg. Marketing'!S223</f>
        <v>1608.76449847139</v>
      </c>
      <c r="T77" s="1250">
        <f>'Prg. Marketing'!T223</f>
        <v>1583.2497843495853</v>
      </c>
      <c r="U77" s="1250">
        <f>'Prg. Marketing'!U223</f>
        <v>1799.9619290832038</v>
      </c>
      <c r="V77" s="1250">
        <f>'Prg. Marketing'!V223</f>
        <v>1769.4705783080824</v>
      </c>
      <c r="W77" s="1250">
        <f>'Prg. Marketing'!W223</f>
        <v>1739.765429303412</v>
      </c>
      <c r="X77" s="1250">
        <f>'Prg. Marketing'!X223</f>
        <v>1710.8212487876456</v>
      </c>
      <c r="Y77" s="1250">
        <f>'Prg. Marketing'!Y223</f>
        <v>1682.6136719291819</v>
      </c>
      <c r="Z77" s="1250">
        <f>'Prg. Marketing'!Z223</f>
        <v>1655.1191907165492</v>
      </c>
      <c r="AA77" s="1251">
        <f>'Prg. Marketing'!AA223</f>
        <v>1711.6398957204585</v>
      </c>
      <c r="AB77" s="1250">
        <f>'Prg. Marketing'!AB223</f>
        <v>1797.827377212275</v>
      </c>
      <c r="AC77" s="1250">
        <f>'Prg. Marketing'!AC223</f>
        <v>1772.5618793827098</v>
      </c>
      <c r="AD77" s="1250">
        <f>'Prg. Marketing'!AD223</f>
        <v>1746.3468502543901</v>
      </c>
      <c r="AE77" s="1250">
        <f>'Prg. Marketing'!AE223</f>
        <v>1720.7261714786607</v>
      </c>
      <c r="AF77" s="1250">
        <f>'Prg. Marketing'!AF223</f>
        <v>1695.9120747288571</v>
      </c>
      <c r="AG77" s="1250">
        <f>'Prg. Marketing'!AG223</f>
        <v>1671.9009658188531</v>
      </c>
      <c r="AH77" s="1250">
        <f>'Prg. Marketing'!AH223</f>
        <v>1648.6562528062514</v>
      </c>
      <c r="AI77" s="1250">
        <f>'Prg. Marketing'!AI223</f>
        <v>1706.6942361361548</v>
      </c>
      <c r="AJ77" s="1250">
        <f>'Prg. Marketing'!AJ223</f>
        <v>1703.3916709725827</v>
      </c>
      <c r="AK77" s="1250">
        <f>'Prg. Marketing'!AK223</f>
        <v>1685.503232610637</v>
      </c>
      <c r="AL77" s="1250">
        <f>'Prg. Marketing'!AL223</f>
        <v>1748.9290945491462</v>
      </c>
      <c r="AM77" s="1251">
        <f>'Prg. Marketing'!AM223</f>
        <v>1726.2694950122495</v>
      </c>
      <c r="AN77" s="1250">
        <f>'Prg. Marketing'!AN223</f>
        <v>1781.0846421085803</v>
      </c>
      <c r="AO77" s="1250">
        <f>'Prg. Marketing'!AO223</f>
        <v>1737.0944353597401</v>
      </c>
      <c r="AP77" s="1250">
        <f>'Prg. Marketing'!AP223</f>
        <v>1705.3583288216366</v>
      </c>
      <c r="AQ77" s="1250">
        <f>'Prg. Marketing'!AQ223</f>
        <v>1676.2135779925256</v>
      </c>
      <c r="AR77" s="1250">
        <f>'Prg. Marketing'!AR223</f>
        <v>1717.1863272805629</v>
      </c>
      <c r="AS77" s="1250">
        <f>'Prg. Marketing'!AS223</f>
        <v>1780.195571380164</v>
      </c>
      <c r="AT77" s="1250">
        <f>'Prg. Marketing'!AT223</f>
        <v>1754.741002725272</v>
      </c>
      <c r="AU77" s="1250">
        <f>'Prg. Marketing'!AU223</f>
        <v>1726.7209459258506</v>
      </c>
      <c r="AV77" s="1250">
        <f>'Prg. Marketing'!AV223</f>
        <v>1698.5399982246665</v>
      </c>
      <c r="AW77" s="1250">
        <f>'Prg. Marketing'!AW223</f>
        <v>1670.7724743216227</v>
      </c>
      <c r="AX77" s="1250">
        <f>'Prg. Marketing'!AX223</f>
        <v>1783.4098976635544</v>
      </c>
      <c r="AY77" s="1251">
        <f>'Prg. Marketing'!AY223</f>
        <v>1889.3207338287507</v>
      </c>
      <c r="AZ77" s="1250">
        <f>'Prg. Marketing'!AZ223</f>
        <v>1861.913539398254</v>
      </c>
      <c r="BA77" s="1250">
        <f>'Prg. Marketing'!BA223</f>
        <v>1820.4477678957599</v>
      </c>
      <c r="BB77" s="1250">
        <f>'Prg. Marketing'!BB223</f>
        <v>1775.3163780800185</v>
      </c>
      <c r="BC77" s="1250">
        <f>'Prg. Marketing'!BC223</f>
        <v>1729.8675817557366</v>
      </c>
      <c r="BD77" s="1250">
        <f>'Prg. Marketing'!BD223</f>
        <v>1744.2918386706983</v>
      </c>
      <c r="BE77" s="1250">
        <f>'Prg. Marketing'!BE223</f>
        <v>1882.5463808939937</v>
      </c>
      <c r="BF77" s="1250">
        <f>'Prg. Marketing'!BF223</f>
        <v>1860.5718979543678</v>
      </c>
      <c r="BG77" s="1250">
        <f>'Prg. Marketing'!BG223</f>
        <v>1823.4220135450553</v>
      </c>
      <c r="BH77" s="1250">
        <f>'Prg. Marketing'!BH223</f>
        <v>1834.2551904330066</v>
      </c>
      <c r="BI77" s="1250">
        <f>'Prg. Marketing'!BI223</f>
        <v>1856.2254380134234</v>
      </c>
      <c r="BJ77" s="1250">
        <f>'Prg. Marketing'!BJ223</f>
        <v>1842.2788064348649</v>
      </c>
      <c r="BK77" s="1251">
        <f>'Prg. Marketing'!BK223</f>
        <v>1912.6354221985596</v>
      </c>
    </row>
    <row r="78" spans="1:63" s="1250" customFormat="1" ht="18.75">
      <c r="A78" s="1246"/>
      <c r="B78" s="1247"/>
      <c r="C78" s="1248" t="str">
        <f t="shared" si="0"/>
        <v>Other</v>
      </c>
      <c r="D78" s="1249">
        <f>'Prg. Marketing'!D241</f>
        <v>704.80000000000007</v>
      </c>
      <c r="E78" s="1250">
        <f>'Prg. Marketing'!E241</f>
        <v>663.59655479655476</v>
      </c>
      <c r="F78" s="1250">
        <f>'Prg. Marketing'!F241</f>
        <v>624.9259284787646</v>
      </c>
      <c r="G78" s="1250">
        <f>'Prg. Marketing'!G241</f>
        <v>779.00124422885006</v>
      </c>
      <c r="H78" s="1250">
        <f>'Prg. Marketing'!H241</f>
        <v>735.48648400325601</v>
      </c>
      <c r="I78" s="1250">
        <f>'Prg. Marketing'!I241</f>
        <v>694.52494189306867</v>
      </c>
      <c r="J78" s="1250">
        <f>'Prg. Marketing'!J241</f>
        <v>655.96260493906561</v>
      </c>
      <c r="K78" s="1250">
        <f>'Prg. Marketing'!K241</f>
        <v>737.32261664263638</v>
      </c>
      <c r="L78" s="1250">
        <f>'Prg. Marketing'!L241</f>
        <v>706.61692254363845</v>
      </c>
      <c r="M78" s="1250">
        <f>'Prg. Marketing'!M241</f>
        <v>669.14878640699283</v>
      </c>
      <c r="N78" s="1250">
        <f>'Prg. Marketing'!N241</f>
        <v>633.13435976830908</v>
      </c>
      <c r="O78" s="1251">
        <f>'Prg. Marketing'!O241</f>
        <v>599.10789474425872</v>
      </c>
      <c r="P78" s="1250">
        <f>'Prg. Marketing'!P241</f>
        <v>576.80570162594529</v>
      </c>
      <c r="Q78" s="1250">
        <f>'Prg. Marketing'!Q241</f>
        <v>571.33150454160136</v>
      </c>
      <c r="R78" s="1250">
        <f>'Prg. Marketing'!R241</f>
        <v>559.01004663598405</v>
      </c>
      <c r="S78" s="1250">
        <f>'Prg. Marketing'!S241</f>
        <v>546.46378233840346</v>
      </c>
      <c r="T78" s="1250">
        <f>'Prg. Marketing'!T241</f>
        <v>534.22462133587283</v>
      </c>
      <c r="U78" s="1250">
        <f>'Prg. Marketing'!U241</f>
        <v>754.72722726386291</v>
      </c>
      <c r="V78" s="1250">
        <f>'Prg. Marketing'!V241</f>
        <v>738.97309081601384</v>
      </c>
      <c r="W78" s="1250">
        <f>'Prg. Marketing'!W241</f>
        <v>723.61914808836195</v>
      </c>
      <c r="X78" s="1250">
        <f>'Prg. Marketing'!X241</f>
        <v>708.65441920010028</v>
      </c>
      <c r="Y78" s="1250">
        <f>'Prg. Marketing'!Y241</f>
        <v>694.06822443533918</v>
      </c>
      <c r="Z78" s="1250">
        <f>'Prg. Marketing'!Z241</f>
        <v>679.85019488297075</v>
      </c>
      <c r="AA78" s="1251">
        <f>'Prg. Marketing'!AA241</f>
        <v>750.17854689394653</v>
      </c>
      <c r="AB78" s="1250">
        <f>'Prg. Marketing'!AB241</f>
        <v>847.47404624053434</v>
      </c>
      <c r="AC78" s="1250">
        <f>'Prg. Marketing'!AC241</f>
        <v>831.95117678198665</v>
      </c>
      <c r="AD78" s="1250">
        <f>'Prg. Marketing'!AD241</f>
        <v>815.2425754311821</v>
      </c>
      <c r="AE78" s="1250">
        <f>'Prg. Marketing'!AE241</f>
        <v>798.92310942040388</v>
      </c>
      <c r="AF78" s="1250">
        <f>'Prg. Marketing'!AF241</f>
        <v>783.21991162713698</v>
      </c>
      <c r="AG78" s="1250">
        <f>'Prg. Marketing'!AG241</f>
        <v>768.13992503737688</v>
      </c>
      <c r="AH78" s="1250">
        <f>'Prg. Marketing'!AH241</f>
        <v>753.65561729745366</v>
      </c>
      <c r="AI78" s="1250">
        <f>'Prg. Marketing'!AI241</f>
        <v>824.40616665828111</v>
      </c>
      <c r="AJ78" s="1250">
        <f>'Prg. Marketing'!AJ241</f>
        <v>831.00858099140578</v>
      </c>
      <c r="AK78" s="1250">
        <f>'Prg. Marketing'!AK241</f>
        <v>822.13585417932916</v>
      </c>
      <c r="AL78" s="1250">
        <f>'Prg. Marketing'!AL241</f>
        <v>899.8609776089196</v>
      </c>
      <c r="AM78" s="1251">
        <f>'Prg. Marketing'!AM241</f>
        <v>886.01074847825635</v>
      </c>
      <c r="AN78" s="1250">
        <f>'Prg. Marketing'!AN241</f>
        <v>968.06477970243157</v>
      </c>
      <c r="AO78" s="1250">
        <f>'Prg. Marketing'!AO241</f>
        <v>943.34962999101742</v>
      </c>
      <c r="AP78" s="1250">
        <f>'Prg. Marketing'!AP241</f>
        <v>931.37278792140296</v>
      </c>
      <c r="AQ78" s="1250">
        <f>'Prg. Marketing'!AQ241</f>
        <v>921.74302980327116</v>
      </c>
      <c r="AR78" s="1250">
        <f>'Prg. Marketing'!AR241</f>
        <v>991.24207274745572</v>
      </c>
      <c r="AS78" s="1250">
        <f>'Prg. Marketing'!AS241</f>
        <v>1087.3919130860131</v>
      </c>
      <c r="AT78" s="1250">
        <f>'Prg. Marketing'!AT241</f>
        <v>1082.6665659013033</v>
      </c>
      <c r="AU78" s="1250">
        <f>'Prg. Marketing'!AU241</f>
        <v>1074.5123036426317</v>
      </c>
      <c r="AV78" s="1250">
        <f>'Prg. Marketing'!AV241</f>
        <v>1065.675336266014</v>
      </c>
      <c r="AW78" s="1250">
        <f>'Prg. Marketing'!AW241</f>
        <v>1056.8298895257176</v>
      </c>
      <c r="AX78" s="1250">
        <f>'Prg. Marketing'!AX241</f>
        <v>1218.3764156788545</v>
      </c>
      <c r="AY78" s="1251">
        <f>'Prg. Marketing'!AY241</f>
        <v>1375.0931661505945</v>
      </c>
      <c r="AZ78" s="1250">
        <f>'Prg. Marketing'!AZ241</f>
        <v>1343.4749440640458</v>
      </c>
      <c r="BA78" s="1250">
        <f>'Prg. Marketing'!BA241</f>
        <v>1295.170645591744</v>
      </c>
      <c r="BB78" s="1250">
        <f>'Prg. Marketing'!BB241</f>
        <v>1243.2067356885025</v>
      </c>
      <c r="BC78" s="1250">
        <f>'Prg. Marketing'!BC241</f>
        <v>1191.6694544190248</v>
      </c>
      <c r="BD78" s="1250">
        <f>'Prg. Marketing'!BD241</f>
        <v>1208.9564931017167</v>
      </c>
      <c r="BE78" s="1250">
        <f>'Prg. Marketing'!BE241</f>
        <v>1363.2980811208574</v>
      </c>
      <c r="BF78" s="1250">
        <f>'Prg. Marketing'!BF241</f>
        <v>1335.6899385702634</v>
      </c>
      <c r="BG78" s="1250">
        <f>'Prg. Marketing'!BG241</f>
        <v>1291.7371481014911</v>
      </c>
      <c r="BH78" s="1250">
        <f>'Prg. Marketing'!BH241</f>
        <v>1299.510301896395</v>
      </c>
      <c r="BI78" s="1250">
        <f>'Prg. Marketing'!BI241</f>
        <v>1317.9552128031514</v>
      </c>
      <c r="BJ78" s="1250">
        <f>'Prg. Marketing'!BJ241</f>
        <v>1298.0404268776654</v>
      </c>
      <c r="BK78" s="1251">
        <f>'Prg. Marketing'!BK241</f>
        <v>1363.5758801911393</v>
      </c>
    </row>
    <row r="79" spans="1:63" s="340" customFormat="1" ht="18.75">
      <c r="A79" s="1245"/>
      <c r="B79" s="373"/>
      <c r="C79" s="356"/>
      <c r="D79" s="339"/>
      <c r="O79" s="404"/>
      <c r="AA79" s="404"/>
      <c r="AM79" s="404"/>
      <c r="AY79" s="404"/>
      <c r="BK79" s="404"/>
    </row>
    <row r="80" spans="1:63" s="340" customFormat="1" ht="18.75">
      <c r="A80" s="1245"/>
      <c r="B80" s="373"/>
      <c r="C80" s="1258" t="s">
        <v>399</v>
      </c>
      <c r="D80" s="339"/>
      <c r="O80" s="404"/>
      <c r="AA80" s="404"/>
      <c r="AM80" s="404"/>
      <c r="AY80" s="404"/>
      <c r="BK80" s="404"/>
    </row>
    <row r="81" spans="1:63" s="1250" customFormat="1" ht="18.75">
      <c r="A81" s="1246"/>
      <c r="B81" s="1247"/>
      <c r="C81" s="1248" t="str">
        <f t="shared" ref="C81:C92" si="1">C67</f>
        <v>Earned Media</v>
      </c>
      <c r="D81" s="1249">
        <f>'Prg. Marketing'!C44</f>
        <v>4402</v>
      </c>
      <c r="E81" s="1250">
        <f>'Prg. Marketing'!D44</f>
        <v>4401.9999999999991</v>
      </c>
      <c r="F81" s="1250">
        <f>'Prg. Marketing'!E44</f>
        <v>3845.1120110995366</v>
      </c>
      <c r="G81" s="1250">
        <f>'Prg. Marketing'!F44</f>
        <v>3359.6294937887819</v>
      </c>
      <c r="H81" s="1250">
        <f>'Prg. Marketing'!G44</f>
        <v>3782.56734718097</v>
      </c>
      <c r="I81" s="1250">
        <f>'Prg. Marketing'!H44</f>
        <v>3310.6734821886744</v>
      </c>
      <c r="J81" s="1250">
        <f>'Prg. Marketing'!I44</f>
        <v>2898.3415903339401</v>
      </c>
      <c r="K81" s="1250">
        <f>'Prg. Marketing'!J44</f>
        <v>2537.9786223078795</v>
      </c>
      <c r="L81" s="1250">
        <f>'Prg. Marketing'!K44</f>
        <v>2605.1533393189075</v>
      </c>
      <c r="M81" s="1250">
        <f>'Prg. Marketing'!L44</f>
        <v>2311.3485989579472</v>
      </c>
      <c r="N81" s="1250">
        <f>'Prg. Marketing'!M44</f>
        <v>2028.394900410299</v>
      </c>
      <c r="O81" s="1251">
        <f>'Prg. Marketing'!N44</f>
        <v>1778.8218605603449</v>
      </c>
      <c r="P81" s="1250">
        <f>'Prg. Marketing'!O44</f>
        <v>1560.1785464765619</v>
      </c>
      <c r="Q81" s="1250">
        <f>'Prg. Marketing'!P44</f>
        <v>1445.5526137714887</v>
      </c>
      <c r="R81" s="1250">
        <f>'Prg. Marketing'!Q44</f>
        <v>1374.4306388083828</v>
      </c>
      <c r="S81" s="1250">
        <f>'Prg. Marketing'!R44</f>
        <v>1292.3767382334161</v>
      </c>
      <c r="T81" s="1250">
        <f>'Prg. Marketing'!S44</f>
        <v>1214.2879309604166</v>
      </c>
      <c r="U81" s="1250">
        <f>'Prg. Marketing'!T44</f>
        <v>1141.0196107892209</v>
      </c>
      <c r="V81" s="1250">
        <f>'Prg. Marketing'!U44</f>
        <v>1501.4508476150213</v>
      </c>
      <c r="W81" s="1250">
        <f>'Prg. Marketing'!V44</f>
        <v>1412.0815179768456</v>
      </c>
      <c r="X81" s="1250">
        <f>'Prg. Marketing'!W44</f>
        <v>1328.1944064866943</v>
      </c>
      <c r="Y81" s="1250">
        <f>'Prg. Marketing'!X44</f>
        <v>1249.4445903269514</v>
      </c>
      <c r="Z81" s="1250">
        <f>'Prg. Marketing'!Y44</f>
        <v>1175.5092819030906</v>
      </c>
      <c r="AA81" s="1251">
        <f>'Prg. Marketing'!Z44</f>
        <v>1106.0864156168454</v>
      </c>
      <c r="AB81" s="1250">
        <f>'Prg. Marketing'!AA44</f>
        <v>1161.8345888103072</v>
      </c>
      <c r="AC81" s="1250">
        <f>'Prg. Marketing'!AB44</f>
        <v>1291.3514656356485</v>
      </c>
      <c r="AD81" s="1250">
        <f>'Prg. Marketing'!AC44</f>
        <v>1259.2255959737997</v>
      </c>
      <c r="AE81" s="1250">
        <f>'Prg. Marketing'!AD44</f>
        <v>1225.858512541854</v>
      </c>
      <c r="AF81" s="1250">
        <f>'Prg. Marketing'!AE44</f>
        <v>1193.4771416531532</v>
      </c>
      <c r="AG81" s="1250">
        <f>'Prg. Marketing'!AF44</f>
        <v>1162.3776787521813</v>
      </c>
      <c r="AH81" s="1250">
        <f>'Prg. Marketing'!AG44</f>
        <v>1132.5449779627679</v>
      </c>
      <c r="AI81" s="1250">
        <f>'Prg. Marketing'!AH44</f>
        <v>1103.9170700952416</v>
      </c>
      <c r="AJ81" s="1250">
        <f>'Prg. Marketing'!AI44</f>
        <v>1190.6786493468517</v>
      </c>
      <c r="AK81" s="1250">
        <f>'Prg. Marketing'!AJ44</f>
        <v>1190.1367380664444</v>
      </c>
      <c r="AL81" s="1250">
        <f>'Prg. Marketing'!AK44</f>
        <v>1168.9739802896331</v>
      </c>
      <c r="AM81" s="1251">
        <f>'Prg. Marketing'!AL44</f>
        <v>1262.2077186929844</v>
      </c>
      <c r="AN81" s="1250">
        <f>'Prg. Marketing'!AM44</f>
        <v>1234.1584535376778</v>
      </c>
      <c r="AO81" s="1250">
        <f>'Prg. Marketing'!AN44</f>
        <v>1313.6711699728876</v>
      </c>
      <c r="AP81" s="1250">
        <f>'Prg. Marketing'!AO44</f>
        <v>1255.4533972232821</v>
      </c>
      <c r="AQ81" s="1250">
        <f>'Prg. Marketing'!AP44</f>
        <v>1214.7277426526571</v>
      </c>
      <c r="AR81" s="1250">
        <f>'Prg. Marketing'!AQ44</f>
        <v>1177.9725052345059</v>
      </c>
      <c r="AS81" s="1250">
        <f>'Prg. Marketing'!AR44</f>
        <v>1235.4440522788195</v>
      </c>
      <c r="AT81" s="1250">
        <f>'Prg. Marketing'!AS44</f>
        <v>1320.7894497981047</v>
      </c>
      <c r="AU81" s="1250">
        <f>'Prg. Marketing'!AT44</f>
        <v>1288.0937666708203</v>
      </c>
      <c r="AV81" s="1250">
        <f>'Prg. Marketing'!AU44</f>
        <v>1252.3907096230091</v>
      </c>
      <c r="AW81" s="1250">
        <f>'Prg. Marketing'!AV44</f>
        <v>1216.8731730806521</v>
      </c>
      <c r="AX81" s="1250">
        <f>'Prg. Marketing'!AW44</f>
        <v>1182.2796375098892</v>
      </c>
      <c r="AY81" s="1251">
        <f>'Prg. Marketing'!AX44</f>
        <v>1325.7167242273861</v>
      </c>
      <c r="AZ81" s="1250">
        <f>'Prg. Marketing'!AY44</f>
        <v>1457.8073848661936</v>
      </c>
      <c r="BA81" s="1250">
        <f>'Prg. Marketing'!AZ44</f>
        <v>1451.0924556788148</v>
      </c>
      <c r="BB81" s="1250">
        <f>'Prg. Marketing'!BA44</f>
        <v>1425.9997325353493</v>
      </c>
      <c r="BC81" s="1250">
        <f>'Prg. Marketing'!BB44</f>
        <v>1395.5199445319893</v>
      </c>
      <c r="BD81" s="1250">
        <f>'Prg. Marketing'!BC44</f>
        <v>1363.8675641517718</v>
      </c>
      <c r="BE81" s="1250">
        <f>'Prg. Marketing'!BD44</f>
        <v>1407.7265316770797</v>
      </c>
      <c r="BF81" s="1250">
        <f>'Prg. Marketing'!BE44</f>
        <v>1609.5903352482405</v>
      </c>
      <c r="BG81" s="1250">
        <f>'Prg. Marketing'!BF44</f>
        <v>1606.7763571517401</v>
      </c>
      <c r="BH81" s="1250">
        <f>'Prg. Marketing'!BG44</f>
        <v>1583.8962521728681</v>
      </c>
      <c r="BI81" s="1250">
        <f>'Prg. Marketing'!BH44</f>
        <v>1622.2787253535034</v>
      </c>
      <c r="BJ81" s="1250">
        <f>'Prg. Marketing'!BI44</f>
        <v>1674.8266006245146</v>
      </c>
      <c r="BK81" s="1251">
        <f>'Prg. Marketing'!BJ44</f>
        <v>1680.5672291271635</v>
      </c>
    </row>
    <row r="82" spans="1:63" s="1250" customFormat="1" ht="18.75">
      <c r="A82" s="1246"/>
      <c r="B82" s="1247"/>
      <c r="C82" s="1248" t="str">
        <f t="shared" si="1"/>
        <v>TV</v>
      </c>
      <c r="D82" s="1249">
        <f>'Prg. Marketing'!C62</f>
        <v>12512</v>
      </c>
      <c r="E82" s="1250">
        <f>'Prg. Marketing'!D62</f>
        <v>12511.999999999996</v>
      </c>
      <c r="F82" s="1250">
        <f>'Prg. Marketing'!E62</f>
        <v>12106.001023755696</v>
      </c>
      <c r="G82" s="1250">
        <f>'Prg. Marketing'!F62</f>
        <v>11715.089340668466</v>
      </c>
      <c r="H82" s="1250">
        <f>'Prg. Marketing'!G62</f>
        <v>11811.56477195021</v>
      </c>
      <c r="I82" s="1250">
        <f>'Prg. Marketing'!H62</f>
        <v>11424.463053514659</v>
      </c>
      <c r="J82" s="1250">
        <f>'Prg. Marketing'!I62</f>
        <v>11051.803318486274</v>
      </c>
      <c r="K82" s="1250">
        <f>'Prg. Marketing'!J62</f>
        <v>10692.950831916707</v>
      </c>
      <c r="L82" s="1250">
        <f>'Prg. Marketing'!K62</f>
        <v>10637.218250894994</v>
      </c>
      <c r="M82" s="1250">
        <f>'Prg. Marketing'!L62</f>
        <v>10312.165592021725</v>
      </c>
      <c r="N82" s="1250">
        <f>'Prg. Marketing'!M62</f>
        <v>9977.6907731159645</v>
      </c>
      <c r="O82" s="1251">
        <f>'Prg. Marketing'!N62</f>
        <v>9653.8227750240985</v>
      </c>
      <c r="P82" s="1250">
        <f>'Prg. Marketing'!O62</f>
        <v>9341.6580807671871</v>
      </c>
      <c r="Q82" s="1250">
        <f>'Prg. Marketing'!P62</f>
        <v>9125.1228110098946</v>
      </c>
      <c r="R82" s="1250">
        <f>'Prg. Marketing'!Q62</f>
        <v>8953.0038767979058</v>
      </c>
      <c r="S82" s="1250">
        <f>'Prg. Marketing'!R62</f>
        <v>8768.2668431304628</v>
      </c>
      <c r="T82" s="1250">
        <f>'Prg. Marketing'!S62</f>
        <v>8586.7578284413685</v>
      </c>
      <c r="U82" s="1250">
        <f>'Prg. Marketing'!T62</f>
        <v>8409.617765221743</v>
      </c>
      <c r="V82" s="1250">
        <f>'Prg. Marketing'!U62</f>
        <v>8746.7576875067243</v>
      </c>
      <c r="W82" s="1250">
        <f>'Prg. Marketing'!V62</f>
        <v>8560.0672196027808</v>
      </c>
      <c r="X82" s="1250">
        <f>'Prg. Marketing'!W62</f>
        <v>8378.0976977542559</v>
      </c>
      <c r="Y82" s="1250">
        <f>'Prg. Marketing'!X62</f>
        <v>8200.7024022266924</v>
      </c>
      <c r="Z82" s="1250">
        <f>'Prg. Marketing'!Y62</f>
        <v>8027.740028484006</v>
      </c>
      <c r="AA82" s="1251">
        <f>'Prg. Marketing'!Z62</f>
        <v>7859.0745033792282</v>
      </c>
      <c r="AB82" s="1250">
        <f>'Prg. Marketing'!AA62</f>
        <v>7860.4679434473092</v>
      </c>
      <c r="AC82" s="1250">
        <f>'Prg. Marketing'!AB62</f>
        <v>7955.4118963669107</v>
      </c>
      <c r="AD82" s="1250">
        <f>'Prg. Marketing'!AC62</f>
        <v>7829.8838474485092</v>
      </c>
      <c r="AE82" s="1250">
        <f>'Prg. Marketing'!AD62</f>
        <v>7703.9075053006563</v>
      </c>
      <c r="AF82" s="1250">
        <f>'Prg. Marketing'!AE62</f>
        <v>7580.5013898596344</v>
      </c>
      <c r="AG82" s="1250">
        <f>'Prg. Marketing'!AF62</f>
        <v>7460.0392895384757</v>
      </c>
      <c r="AH82" s="1250">
        <f>'Prg. Marketing'!AG62</f>
        <v>7342.4712427595832</v>
      </c>
      <c r="AI82" s="1250">
        <f>'Prg. Marketing'!AH62</f>
        <v>7227.685036629764</v>
      </c>
      <c r="AJ82" s="1250">
        <f>'Prg. Marketing'!AI62</f>
        <v>7268.2296111074565</v>
      </c>
      <c r="AK82" s="1250">
        <f>'Prg. Marketing'!AJ62</f>
        <v>7192.6219648532879</v>
      </c>
      <c r="AL82" s="1250">
        <f>'Prg. Marketing'!AK62</f>
        <v>7090.5170188408147</v>
      </c>
      <c r="AM82" s="1251">
        <f>'Prg. Marketing'!AL62</f>
        <v>7140.8237988229321</v>
      </c>
      <c r="AN82" s="1250">
        <f>'Prg. Marketing'!AM62</f>
        <v>7031.2214750899166</v>
      </c>
      <c r="AO82" s="1250">
        <f>'Prg. Marketing'!AN62</f>
        <v>7075.8379593832788</v>
      </c>
      <c r="AP82" s="1250">
        <f>'Prg. Marketing'!AO62</f>
        <v>6938.6871281907224</v>
      </c>
      <c r="AQ82" s="1250">
        <f>'Prg. Marketing'!AP62</f>
        <v>6825.0272667075405</v>
      </c>
      <c r="AR82" s="1250">
        <f>'Prg. Marketing'!AQ62</f>
        <v>6716.9860217078221</v>
      </c>
      <c r="AS82" s="1250">
        <f>'Prg. Marketing'!AR62</f>
        <v>6738.6660728786283</v>
      </c>
      <c r="AT82" s="1250">
        <f>'Prg. Marketing'!AS62</f>
        <v>6801.3254596383576</v>
      </c>
      <c r="AU82" s="1250">
        <f>'Prg. Marketing'!AT62</f>
        <v>6702.1604147777807</v>
      </c>
      <c r="AV82" s="1250">
        <f>'Prg. Marketing'!AU62</f>
        <v>6599.0797081550745</v>
      </c>
      <c r="AW82" s="1250">
        <f>'Prg. Marketing'!AV62</f>
        <v>6496.4899965887817</v>
      </c>
      <c r="AX82" s="1250">
        <f>'Prg. Marketing'!AW62</f>
        <v>6395.4325747681096</v>
      </c>
      <c r="AY82" s="1251">
        <f>'Prg. Marketing'!AX62</f>
        <v>6551.4397954231235</v>
      </c>
      <c r="AZ82" s="1250">
        <f>'Prg. Marketing'!AY62</f>
        <v>6695.3417994663678</v>
      </c>
      <c r="BA82" s="1250">
        <f>'Prg. Marketing'!AZ62</f>
        <v>6557.9831944764001</v>
      </c>
      <c r="BB82" s="1250">
        <f>'Prg. Marketing'!BA62</f>
        <v>6397.3195777721421</v>
      </c>
      <c r="BC82" s="1250">
        <f>'Prg. Marketing'!BB62</f>
        <v>6232.2597173815939</v>
      </c>
      <c r="BD82" s="1250">
        <f>'Prg. Marketing'!BC62</f>
        <v>6068.8488551620067</v>
      </c>
      <c r="BE82" s="1250">
        <f>'Prg. Marketing'!BD62</f>
        <v>6016.3230484663345</v>
      </c>
      <c r="BF82" s="1250">
        <f>'Prg. Marketing'!BE62</f>
        <v>6190.3894835616074</v>
      </c>
      <c r="BG82" s="1250">
        <f>'Prg. Marketing'!BF62</f>
        <v>6075.521665921664</v>
      </c>
      <c r="BH82" s="1250">
        <f>'Prg. Marketing'!BG62</f>
        <v>5935.1150191004999</v>
      </c>
      <c r="BI82" s="1250">
        <f>'Prg. Marketing'!BH62</f>
        <v>5883.4859360482078</v>
      </c>
      <c r="BJ82" s="1250">
        <f>'Prg. Marketing'!BI62</f>
        <v>5853.7458144793782</v>
      </c>
      <c r="BK82" s="1251">
        <f>'Prg. Marketing'!BJ62</f>
        <v>5760.7871456506873</v>
      </c>
    </row>
    <row r="83" spans="1:63" s="1250" customFormat="1" ht="18.75">
      <c r="A83" s="1246"/>
      <c r="B83" s="1247"/>
      <c r="C83" s="1248" t="str">
        <f t="shared" si="1"/>
        <v>Print</v>
      </c>
      <c r="D83" s="1249">
        <f>'Prg. Marketing'!C80</f>
        <v>6922.666666666667</v>
      </c>
      <c r="E83" s="1250">
        <f>'Prg. Marketing'!D80</f>
        <v>6922.666666666667</v>
      </c>
      <c r="F83" s="1250">
        <f>'Prg. Marketing'!E80</f>
        <v>6545.2516479079341</v>
      </c>
      <c r="G83" s="1250">
        <f>'Prg. Marketing'!F80</f>
        <v>6189.3374874868778</v>
      </c>
      <c r="H83" s="1250">
        <f>'Prg. Marketing'!G80</f>
        <v>6073.9904892553905</v>
      </c>
      <c r="I83" s="1250">
        <f>'Prg. Marketing'!H80</f>
        <v>5741.0371743677997</v>
      </c>
      <c r="J83" s="1250">
        <f>'Prg. Marketing'!I80</f>
        <v>5427.127300012382</v>
      </c>
      <c r="K83" s="1250">
        <f>'Prg. Marketing'!J80</f>
        <v>5131.1089890013063</v>
      </c>
      <c r="L83" s="1250">
        <f>'Prg. Marketing'!K80</f>
        <v>4974.8485156181305</v>
      </c>
      <c r="M83" s="1250">
        <f>'Prg. Marketing'!L80</f>
        <v>4711.8887508242824</v>
      </c>
      <c r="N83" s="1250">
        <f>'Prg. Marketing'!M80</f>
        <v>4455.0008077840648</v>
      </c>
      <c r="O83" s="1251">
        <f>'Prg. Marketing'!N80</f>
        <v>4212.0305487458008</v>
      </c>
      <c r="P83" s="1250">
        <f>'Prg. Marketing'!O80</f>
        <v>3982.778843145215</v>
      </c>
      <c r="Q83" s="1250">
        <f>'Prg. Marketing'!P80</f>
        <v>3956.4567529720675</v>
      </c>
      <c r="R83" s="1250">
        <f>'Prg. Marketing'!Q80</f>
        <v>3946.0294124561174</v>
      </c>
      <c r="S83" s="1250">
        <f>'Prg. Marketing'!R80</f>
        <v>3929.2008551684316</v>
      </c>
      <c r="T83" s="1250">
        <f>'Prg. Marketing'!S80</f>
        <v>3912.2072635026084</v>
      </c>
      <c r="U83" s="1250">
        <f>'Prg. Marketing'!T80</f>
        <v>3895.5470666292681</v>
      </c>
      <c r="V83" s="1250">
        <f>'Prg. Marketing'!U80</f>
        <v>4096.2481054190412</v>
      </c>
      <c r="W83" s="1250">
        <f>'Prg. Marketing'!V80</f>
        <v>4076.0398730849329</v>
      </c>
      <c r="X83" s="1250">
        <f>'Prg. Marketing'!W80</f>
        <v>4056.2604690169846</v>
      </c>
      <c r="Y83" s="1250">
        <f>'Prg. Marketing'!X80</f>
        <v>4036.8977007348553</v>
      </c>
      <c r="Z83" s="1250">
        <f>'Prg. Marketing'!Y80</f>
        <v>4017.9397285337272</v>
      </c>
      <c r="AA83" s="1251">
        <f>'Prg. Marketing'!Z80</f>
        <v>3999.3750727202219</v>
      </c>
      <c r="AB83" s="1250">
        <f>'Prg. Marketing'!AA80</f>
        <v>4059.0195438689184</v>
      </c>
      <c r="AC83" s="1250">
        <f>'Prg. Marketing'!AB80</f>
        <v>4139.587169688808</v>
      </c>
      <c r="AD83" s="1250">
        <f>'Prg. Marketing'!AC80</f>
        <v>4115.91906846248</v>
      </c>
      <c r="AE83" s="1250">
        <f>'Prg. Marketing'!AD80</f>
        <v>4091.2167943504774</v>
      </c>
      <c r="AF83" s="1250">
        <f>'Prg. Marketing'!AE80</f>
        <v>4066.9329289629304</v>
      </c>
      <c r="AG83" s="1250">
        <f>'Prg. Marketing'!AF80</f>
        <v>4043.2746693331492</v>
      </c>
      <c r="AH83" s="1250">
        <f>'Prg. Marketing'!AG80</f>
        <v>4020.2461419186197</v>
      </c>
      <c r="AI83" s="1250">
        <f>'Prg. Marketing'!AH80</f>
        <v>3997.8198540314033</v>
      </c>
      <c r="AJ83" s="1250">
        <f>'Prg. Marketing'!AI80</f>
        <v>4053.4593547757654</v>
      </c>
      <c r="AK83" s="1250">
        <f>'Prg. Marketing'!AJ80</f>
        <v>4050.3207828905752</v>
      </c>
      <c r="AL83" s="1250">
        <f>'Prg. Marketing'!AK80</f>
        <v>4033.0606327228388</v>
      </c>
      <c r="AM83" s="1251">
        <f>'Prg. Marketing'!AL80</f>
        <v>4094.8042838785714</v>
      </c>
      <c r="AN83" s="1250">
        <f>'Prg. Marketing'!AM80</f>
        <v>4072.9963292209559</v>
      </c>
      <c r="AO83" s="1250">
        <f>'Prg. Marketing'!AN80</f>
        <v>4125.4037672281438</v>
      </c>
      <c r="AP83" s="1250">
        <f>'Prg. Marketing'!AO80</f>
        <v>4080.8998310766451</v>
      </c>
      <c r="AQ83" s="1250">
        <f>'Prg. Marketing'!AP80</f>
        <v>4048.1613633029597</v>
      </c>
      <c r="AR83" s="1250">
        <f>'Prg. Marketing'!AQ80</f>
        <v>4017.7378178041395</v>
      </c>
      <c r="AS83" s="1250">
        <f>'Prg. Marketing'!AR80</f>
        <v>4057.9757409231252</v>
      </c>
      <c r="AT83" s="1250">
        <f>'Prg. Marketing'!AS80</f>
        <v>4121.4054366381179</v>
      </c>
      <c r="AU83" s="1250">
        <f>'Prg. Marketing'!AT80</f>
        <v>4095.160721967784</v>
      </c>
      <c r="AV83" s="1250">
        <f>'Prg. Marketing'!AU80</f>
        <v>4066.0596998672554</v>
      </c>
      <c r="AW83" s="1250">
        <f>'Prg. Marketing'!AV80</f>
        <v>4036.5440073735235</v>
      </c>
      <c r="AX83" s="1250">
        <f>'Prg. Marketing'!AW80</f>
        <v>4007.2076967188218</v>
      </c>
      <c r="AY83" s="1251">
        <f>'Prg. Marketing'!AX80</f>
        <v>4125.7733411163417</v>
      </c>
      <c r="AZ83" s="1250">
        <f>'Prg. Marketing'!AY80</f>
        <v>4239.0355236704791</v>
      </c>
      <c r="BA83" s="1250">
        <f>'Prg. Marketing'!AZ80</f>
        <v>4150.217422375732</v>
      </c>
      <c r="BB83" s="1250">
        <f>'Prg. Marketing'!BA80</f>
        <v>4048.0444307450766</v>
      </c>
      <c r="BC83" s="1250">
        <f>'Prg. Marketing'!BB80</f>
        <v>3943.531182265916</v>
      </c>
      <c r="BD83" s="1250">
        <f>'Prg. Marketing'!BC80</f>
        <v>3840.1952391387049</v>
      </c>
      <c r="BE83" s="1250">
        <f>'Prg. Marketing'!BD80</f>
        <v>3801.6968288902435</v>
      </c>
      <c r="BF83" s="1250">
        <f>'Prg. Marketing'!BE80</f>
        <v>3895.4678816554365</v>
      </c>
      <c r="BG83" s="1250">
        <f>'Prg. Marketing'!BF80</f>
        <v>3821.0396933486845</v>
      </c>
      <c r="BH83" s="1250">
        <f>'Prg. Marketing'!BG80</f>
        <v>3731.9213418445588</v>
      </c>
      <c r="BI83" s="1250">
        <f>'Prg. Marketing'!BH80</f>
        <v>3694.7345802755281</v>
      </c>
      <c r="BJ83" s="1250">
        <f>'Prg. Marketing'!BI80</f>
        <v>3670.4899160478958</v>
      </c>
      <c r="BK83" s="1251">
        <f>'Prg. Marketing'!BJ80</f>
        <v>3609.5794927511301</v>
      </c>
    </row>
    <row r="84" spans="1:63" s="1250" customFormat="1" ht="18.75">
      <c r="A84" s="1246"/>
      <c r="B84" s="1247"/>
      <c r="C84" s="1248" t="str">
        <f t="shared" si="1"/>
        <v>Public Workshops</v>
      </c>
      <c r="D84" s="1249">
        <f>'Prg. Marketing'!C98</f>
        <v>2567</v>
      </c>
      <c r="E84" s="1250">
        <f>'Prg. Marketing'!D98</f>
        <v>2567</v>
      </c>
      <c r="F84" s="1250">
        <f>'Prg. Marketing'!E98</f>
        <v>2435.3063826660491</v>
      </c>
      <c r="G84" s="1250">
        <f>'Prg. Marketing'!F98</f>
        <v>2310.9850583630787</v>
      </c>
      <c r="H84" s="1250">
        <f>'Prg. Marketing'!G98</f>
        <v>2362.7602984659347</v>
      </c>
      <c r="I84" s="1250">
        <f>'Prg. Marketing'!H98</f>
        <v>2240.6188493443105</v>
      </c>
      <c r="J84" s="1250">
        <f>'Prg. Marketing'!I98</f>
        <v>2125.3221277273319</v>
      </c>
      <c r="K84" s="1250">
        <f>'Prg. Marketing'!J98</f>
        <v>2016.4515964418222</v>
      </c>
      <c r="L84" s="1250">
        <f>'Prg. Marketing'!K98</f>
        <v>2010.9865804681053</v>
      </c>
      <c r="M84" s="1250">
        <f>'Prg. Marketing'!L98</f>
        <v>1914.9324350722447</v>
      </c>
      <c r="N84" s="1250">
        <f>'Prg. Marketing'!M98</f>
        <v>1817.1477640426256</v>
      </c>
      <c r="O84" s="1251">
        <f>'Prg. Marketing'!N98</f>
        <v>1724.2250576263566</v>
      </c>
      <c r="P84" s="1250">
        <f>'Prg. Marketing'!O98</f>
        <v>1636.3773436167412</v>
      </c>
      <c r="Q84" s="1250">
        <f>'Prg. Marketing'!P98</f>
        <v>1610.3465195633637</v>
      </c>
      <c r="R84" s="1250">
        <f>'Prg. Marketing'!Q98</f>
        <v>1597.3789943231893</v>
      </c>
      <c r="S84" s="1250">
        <f>'Prg. Marketing'!R98</f>
        <v>1579.3216615663825</v>
      </c>
      <c r="T84" s="1250">
        <f>'Prg. Marketing'!S98</f>
        <v>1561.2498620519666</v>
      </c>
      <c r="U84" s="1250">
        <f>'Prg. Marketing'!T98</f>
        <v>1543.5635588084597</v>
      </c>
      <c r="V84" s="1250">
        <f>'Prg. Marketing'!U98</f>
        <v>1699.278832412961</v>
      </c>
      <c r="W84" s="1250">
        <f>'Prg. Marketing'!V98</f>
        <v>1678.2991353310099</v>
      </c>
      <c r="X84" s="1250">
        <f>'Prg. Marketing'!W98</f>
        <v>1657.798923078707</v>
      </c>
      <c r="Y84" s="1250">
        <f>'Prg. Marketing'!X98</f>
        <v>1637.7636590651691</v>
      </c>
      <c r="Z84" s="1250">
        <f>'Prg. Marketing'!Y98</f>
        <v>1618.1792780114565</v>
      </c>
      <c r="AA84" s="1251">
        <f>'Prg. Marketing'!Z98</f>
        <v>1599.0321841067498</v>
      </c>
      <c r="AB84" s="1250">
        <f>'Prg. Marketing'!AA98</f>
        <v>1640.8507487871077</v>
      </c>
      <c r="AC84" s="1250">
        <f>'Prg. Marketing'!AB98</f>
        <v>1703.0932072563826</v>
      </c>
      <c r="AD84" s="1250">
        <f>'Prg. Marketing'!AC98</f>
        <v>1684.3239329711287</v>
      </c>
      <c r="AE84" s="1250">
        <f>'Prg. Marketing'!AD98</f>
        <v>1664.829075031209</v>
      </c>
      <c r="AF84" s="1250">
        <f>'Prg. Marketing'!AE98</f>
        <v>1645.7331922475566</v>
      </c>
      <c r="AG84" s="1250">
        <f>'Prg. Marketing'!AF98</f>
        <v>1627.1928819600748</v>
      </c>
      <c r="AH84" s="1250">
        <f>'Prg. Marketing'!AG98</f>
        <v>1609.2075387672764</v>
      </c>
      <c r="AI84" s="1250">
        <f>'Prg. Marketing'!AH98</f>
        <v>1591.7523694361589</v>
      </c>
      <c r="AJ84" s="1250">
        <f>'Prg. Marketing'!AI98</f>
        <v>1633.9025434098046</v>
      </c>
      <c r="AK84" s="1250">
        <f>'Prg. Marketing'!AJ98</f>
        <v>1631.1084719210494</v>
      </c>
      <c r="AL84" s="1250">
        <f>'Prg. Marketing'!AK98</f>
        <v>1617.5922867185909</v>
      </c>
      <c r="AM84" s="1251">
        <f>'Prg. Marketing'!AL98</f>
        <v>1663.9321635093602</v>
      </c>
      <c r="AN84" s="1250">
        <f>'Prg. Marketing'!AM98</f>
        <v>1646.9295036833385</v>
      </c>
      <c r="AO84" s="1250">
        <f>'Prg. Marketing'!AN98</f>
        <v>1680.6563790177486</v>
      </c>
      <c r="AP84" s="1250">
        <f>'Prg. Marketing'!AO98</f>
        <v>1641.686343506595</v>
      </c>
      <c r="AQ84" s="1250">
        <f>'Prg. Marketing'!AP98</f>
        <v>1611.8664758643699</v>
      </c>
      <c r="AR84" s="1250">
        <f>'Prg. Marketing'!AQ98</f>
        <v>1584.073392868592</v>
      </c>
      <c r="AS84" s="1250">
        <f>'Prg. Marketing'!AR98</f>
        <v>1607.7943554509986</v>
      </c>
      <c r="AT84" s="1250">
        <f>'Prg. Marketing'!AS98</f>
        <v>1647.6475708189073</v>
      </c>
      <c r="AU84" s="1250">
        <f>'Prg. Marketing'!AT98</f>
        <v>1622.7705544024279</v>
      </c>
      <c r="AV84" s="1250">
        <f>'Prg. Marketing'!AU98</f>
        <v>1596.1301829542799</v>
      </c>
      <c r="AW84" s="1250">
        <f>'Prg. Marketing'!AV98</f>
        <v>1569.4863368190063</v>
      </c>
      <c r="AX84" s="1250">
        <f>'Prg. Marketing'!AW98</f>
        <v>1543.256963907445</v>
      </c>
      <c r="AY84" s="1251">
        <f>'Prg. Marketing'!AX98</f>
        <v>1619.3349512308309</v>
      </c>
      <c r="AZ84" s="1250">
        <f>'Prg. Marketing'!AY98</f>
        <v>1690.3950123218467</v>
      </c>
      <c r="BA84" s="1250">
        <f>'Prg. Marketing'!AZ98</f>
        <v>1654.3753057836655</v>
      </c>
      <c r="BB84" s="1250">
        <f>'Prg. Marketing'!BA98</f>
        <v>1608.7447062994588</v>
      </c>
      <c r="BC84" s="1250">
        <f>'Prg. Marketing'!BB98</f>
        <v>1561.087055542489</v>
      </c>
      <c r="BD84" s="1250">
        <f>'Prg. Marketing'!BC98</f>
        <v>1513.8172906379743</v>
      </c>
      <c r="BE84" s="1250">
        <f>'Prg. Marketing'!BD98</f>
        <v>1509.6308121126388</v>
      </c>
      <c r="BF84" s="1250">
        <f>'Prg. Marketing'!BE98</f>
        <v>1593.0493859338562</v>
      </c>
      <c r="BG84" s="1250">
        <f>'Prg. Marketing'!BF98</f>
        <v>1563.2200208318352</v>
      </c>
      <c r="BH84" s="1250">
        <f>'Prg. Marketing'!BG98</f>
        <v>1523.2002787704855</v>
      </c>
      <c r="BI84" s="1250">
        <f>'Prg. Marketing'!BH98</f>
        <v>1517.0774017979359</v>
      </c>
      <c r="BJ84" s="1250">
        <f>'Prg. Marketing'!BI98</f>
        <v>1518.8446966895567</v>
      </c>
      <c r="BK84" s="1251">
        <f>'Prg. Marketing'!BJ98</f>
        <v>1495.9654531434285</v>
      </c>
    </row>
    <row r="85" spans="1:63" s="1250" customFormat="1" ht="18.75">
      <c r="A85" s="1246"/>
      <c r="B85" s="1247"/>
      <c r="C85" s="1248" t="str">
        <f t="shared" si="1"/>
        <v>Presentations</v>
      </c>
      <c r="D85" s="1249">
        <f>'Prg. Marketing'!C116</f>
        <v>2227.5555555555557</v>
      </c>
      <c r="E85" s="1250">
        <f>'Prg. Marketing'!D116</f>
        <v>2395.5555555555552</v>
      </c>
      <c r="F85" s="1250">
        <f>'Prg. Marketing'!E116</f>
        <v>2261.048318428775</v>
      </c>
      <c r="G85" s="1250">
        <f>'Prg. Marketing'!F116</f>
        <v>2134.8541691428527</v>
      </c>
      <c r="H85" s="1250">
        <f>'Prg. Marketing'!G116</f>
        <v>2267.0473115004993</v>
      </c>
      <c r="I85" s="1250">
        <f>'Prg. Marketing'!H116</f>
        <v>2139.1970764302341</v>
      </c>
      <c r="J85" s="1250">
        <f>'Prg. Marketing'!I116</f>
        <v>2019.201012209453</v>
      </c>
      <c r="K85" s="1250">
        <f>'Prg. Marketing'!J116</f>
        <v>1906.5374922031392</v>
      </c>
      <c r="L85" s="1250">
        <f>'Prg. Marketing'!K116</f>
        <v>1944.9737811616833</v>
      </c>
      <c r="M85" s="1250">
        <f>'Prg. Marketing'!L116</f>
        <v>1847.2005408307323</v>
      </c>
      <c r="N85" s="1250">
        <f>'Prg. Marketing'!M116</f>
        <v>1744.9464019344443</v>
      </c>
      <c r="O85" s="1251">
        <f>'Prg. Marketing'!N116</f>
        <v>1648.0605578266409</v>
      </c>
      <c r="P85" s="1250">
        <f>'Prg. Marketing'!O116</f>
        <v>1556.9375926538401</v>
      </c>
      <c r="Q85" s="1250">
        <f>'Prg. Marketing'!P116</f>
        <v>1523.0214468352192</v>
      </c>
      <c r="R85" s="1250">
        <f>'Prg. Marketing'!Q116</f>
        <v>1508.4334272319595</v>
      </c>
      <c r="S85" s="1250">
        <f>'Prg. Marketing'!R116</f>
        <v>1486.2801764739399</v>
      </c>
      <c r="T85" s="1250">
        <f>'Prg. Marketing'!S116</f>
        <v>1464.0808506813805</v>
      </c>
      <c r="U85" s="1250">
        <f>'Prg. Marketing'!T116</f>
        <v>1442.4281197362868</v>
      </c>
      <c r="V85" s="1250">
        <f>'Prg. Marketing'!U116</f>
        <v>1677.6422343663924</v>
      </c>
      <c r="W85" s="1250">
        <f>'Prg. Marketing'!V116</f>
        <v>1651.0617733191145</v>
      </c>
      <c r="X85" s="1250">
        <f>'Prg. Marketing'!W116</f>
        <v>1625.1675413832754</v>
      </c>
      <c r="Y85" s="1250">
        <f>'Prg. Marketing'!X116</f>
        <v>1599.9381321224269</v>
      </c>
      <c r="Z85" s="1250">
        <f>'Prg. Marketing'!Y116</f>
        <v>1575.3528366473593</v>
      </c>
      <c r="AA85" s="1251">
        <f>'Prg. Marketing'!Z116</f>
        <v>1551.3916408882246</v>
      </c>
      <c r="AB85" s="1250">
        <f>'Prg. Marketing'!AA116</f>
        <v>1617.7263334186082</v>
      </c>
      <c r="AC85" s="1250">
        <f>'Prg. Marketing'!AB116</f>
        <v>1713.9692881880785</v>
      </c>
      <c r="AD85" s="1250">
        <f>'Prg. Marketing'!AC116</f>
        <v>1690.1748697243995</v>
      </c>
      <c r="AE85" s="1250">
        <f>'Prg. Marketing'!AD116</f>
        <v>1665.2856202616083</v>
      </c>
      <c r="AF85" s="1250">
        <f>'Prg. Marketing'!AE116</f>
        <v>1640.9676514845876</v>
      </c>
      <c r="AG85" s="1250">
        <f>'Prg. Marketing'!AF116</f>
        <v>1617.4530575950548</v>
      </c>
      <c r="AH85" s="1250">
        <f>'Prg. Marketing'!AG116</f>
        <v>1594.7410393579019</v>
      </c>
      <c r="AI85" s="1250">
        <f>'Prg. Marketing'!AH116</f>
        <v>1572.7949632293437</v>
      </c>
      <c r="AJ85" s="1250">
        <f>'Prg. Marketing'!AI116</f>
        <v>1639.133695444657</v>
      </c>
      <c r="AK85" s="1250">
        <f>'Prg. Marketing'!AJ116</f>
        <v>1638.8690525593347</v>
      </c>
      <c r="AL85" s="1250">
        <f>'Prg. Marketing'!AK116</f>
        <v>1622.7005847494038</v>
      </c>
      <c r="AM85" s="1251">
        <f>'Prg. Marketing'!AL116</f>
        <v>1695.1886475802664</v>
      </c>
      <c r="AN85" s="1250">
        <f>'Prg. Marketing'!AM116</f>
        <v>1673.8168934532237</v>
      </c>
      <c r="AO85" s="1250">
        <f>'Prg. Marketing'!AN116</f>
        <v>1734.3376183138239</v>
      </c>
      <c r="AP85" s="1250">
        <f>'Prg. Marketing'!AO116</f>
        <v>1687.0137900963182</v>
      </c>
      <c r="AQ85" s="1250">
        <f>'Prg. Marketing'!AP116</f>
        <v>1653.1023438984669</v>
      </c>
      <c r="AR85" s="1250">
        <f>'Prg. Marketing'!AQ116</f>
        <v>1622.0520954531244</v>
      </c>
      <c r="AS85" s="1250">
        <f>'Prg. Marketing'!AR116</f>
        <v>1667.1794542363</v>
      </c>
      <c r="AT85" s="1250">
        <f>'Prg. Marketing'!AS116</f>
        <v>1736.0688714294672</v>
      </c>
      <c r="AU85" s="1250">
        <f>'Prg. Marketing'!AT116</f>
        <v>1708.925969100208</v>
      </c>
      <c r="AV85" s="1250">
        <f>'Prg. Marketing'!AU116</f>
        <v>1679.0368784927168</v>
      </c>
      <c r="AW85" s="1250">
        <f>'Prg. Marketing'!AV116</f>
        <v>1649.0106733790567</v>
      </c>
      <c r="AX85" s="1250">
        <f>'Prg. Marketing'!AW116</f>
        <v>1619.4683540799124</v>
      </c>
      <c r="AY85" s="1251">
        <f>'Prg. Marketing'!AX116</f>
        <v>1741.3641389762022</v>
      </c>
      <c r="AZ85" s="1250">
        <f>'Prg. Marketing'!AY116</f>
        <v>1855.6993721446802</v>
      </c>
      <c r="BA85" s="1250">
        <f>'Prg. Marketing'!AZ116</f>
        <v>1829.1725165745847</v>
      </c>
      <c r="BB85" s="1250">
        <f>'Prg. Marketing'!BA116</f>
        <v>1787.4581571784402</v>
      </c>
      <c r="BC85" s="1250">
        <f>'Prg. Marketing'!BB116</f>
        <v>1741.7630661217377</v>
      </c>
      <c r="BD85" s="1250">
        <f>'Prg. Marketing'!BC116</f>
        <v>1695.6942946677482</v>
      </c>
      <c r="BE85" s="1250">
        <f>'Prg. Marketing'!BD116</f>
        <v>1713.8149745591593</v>
      </c>
      <c r="BF85" s="1250">
        <f>'Prg. Marketing'!BE116</f>
        <v>1864.5099593942919</v>
      </c>
      <c r="BG85" s="1250">
        <f>'Prg. Marketing'!BF116</f>
        <v>1843.2800078280593</v>
      </c>
      <c r="BH85" s="1250">
        <f>'Prg. Marketing'!BG116</f>
        <v>1805.750813452272</v>
      </c>
      <c r="BI85" s="1250">
        <f>'Prg. Marketing'!BH116</f>
        <v>1819.4830621954113</v>
      </c>
      <c r="BJ85" s="1250">
        <f>'Prg. Marketing'!BI116</f>
        <v>1844.9949613292401</v>
      </c>
      <c r="BK85" s="1251">
        <f>'Prg. Marketing'!BJ116</f>
        <v>1832.0416217934887</v>
      </c>
    </row>
    <row r="86" spans="1:63" s="1250" customFormat="1" ht="18.75">
      <c r="A86" s="1246"/>
      <c r="B86" s="1247"/>
      <c r="C86" s="1248" t="str">
        <f t="shared" si="1"/>
        <v>Tabeling</v>
      </c>
      <c r="D86" s="1249">
        <f>'Prg. Marketing'!C134</f>
        <v>1644.8888888888889</v>
      </c>
      <c r="E86" s="1250">
        <f>'Prg. Marketing'!D134</f>
        <v>1644.8888888888887</v>
      </c>
      <c r="F86" s="1250">
        <f>'Prg. Marketing'!E134</f>
        <v>1545.8377168148477</v>
      </c>
      <c r="G86" s="1250">
        <f>'Prg. Marketing'!F134</f>
        <v>1453.3209074003103</v>
      </c>
      <c r="H86" s="1250">
        <f>'Prg. Marketing'!G134</f>
        <v>1592.446034065742</v>
      </c>
      <c r="I86" s="1250">
        <f>'Prg. Marketing'!H134</f>
        <v>1496.6645284751689</v>
      </c>
      <c r="J86" s="1250">
        <f>'Prg. Marketing'!I134</f>
        <v>1407.121537346944</v>
      </c>
      <c r="K86" s="1250">
        <f>'Prg. Marketing'!J134</f>
        <v>1323.3833417732767</v>
      </c>
      <c r="L86" s="1250">
        <f>'Prg. Marketing'!K134</f>
        <v>1374.8746861278241</v>
      </c>
      <c r="M86" s="1250">
        <f>'Prg. Marketing'!L134</f>
        <v>1303.0498993730505</v>
      </c>
      <c r="N86" s="1250">
        <f>'Prg. Marketing'!M134</f>
        <v>1226.4960732509853</v>
      </c>
      <c r="O86" s="1251">
        <f>'Prg. Marketing'!N134</f>
        <v>1154.1074572452023</v>
      </c>
      <c r="P86" s="1250">
        <f>'Prg. Marketing'!O134</f>
        <v>1086.2678619911653</v>
      </c>
      <c r="Q86" s="1250">
        <f>'Prg. Marketing'!P134</f>
        <v>1061.7650372821772</v>
      </c>
      <c r="R86" s="1250">
        <f>'Prg. Marketing'!Q134</f>
        <v>1054.5721942753294</v>
      </c>
      <c r="S86" s="1250">
        <f>'Prg. Marketing'!R134</f>
        <v>1040.400685794828</v>
      </c>
      <c r="T86" s="1250">
        <f>'Prg. Marketing'!S134</f>
        <v>1026.0440558656026</v>
      </c>
      <c r="U86" s="1250">
        <f>'Prg. Marketing'!T134</f>
        <v>1012.0452872895318</v>
      </c>
      <c r="V86" s="1250">
        <f>'Prg. Marketing'!U134</f>
        <v>1234.8289509871433</v>
      </c>
      <c r="W86" s="1250">
        <f>'Prg. Marketing'!V134</f>
        <v>1216.9544033056454</v>
      </c>
      <c r="X86" s="1250">
        <f>'Prg. Marketing'!W134</f>
        <v>1199.5417002408767</v>
      </c>
      <c r="Y86" s="1250">
        <f>'Prg. Marketing'!X134</f>
        <v>1182.5775664281853</v>
      </c>
      <c r="Z86" s="1250">
        <f>'Prg. Marketing'!Y134</f>
        <v>1166.0491107987912</v>
      </c>
      <c r="AA86" s="1251">
        <f>'Prg. Marketing'!Z134</f>
        <v>1149.9438344624216</v>
      </c>
      <c r="AB86" s="1250">
        <f>'Prg. Marketing'!AA134</f>
        <v>1219.0322926277424</v>
      </c>
      <c r="AC86" s="1250">
        <f>'Prg. Marketing'!AB134</f>
        <v>1314.7925088145155</v>
      </c>
      <c r="AD86" s="1250">
        <f>'Prg. Marketing'!AC134</f>
        <v>1296.9810547444613</v>
      </c>
      <c r="AE86" s="1250">
        <f>'Prg. Marketing'!AD134</f>
        <v>1278.0231066398539</v>
      </c>
      <c r="AF86" s="1250">
        <f>'Prg. Marketing'!AE134</f>
        <v>1259.5011192932106</v>
      </c>
      <c r="AG86" s="1250">
        <f>'Prg. Marketing'!AF134</f>
        <v>1241.6408573535546</v>
      </c>
      <c r="AH86" s="1250">
        <f>'Prg. Marketing'!AG134</f>
        <v>1224.446865468874</v>
      </c>
      <c r="AI86" s="1250">
        <f>'Prg. Marketing'!AH134</f>
        <v>1207.889243077768</v>
      </c>
      <c r="AJ86" s="1250">
        <f>'Prg. Marketing'!AI134</f>
        <v>1276.3548431372872</v>
      </c>
      <c r="AK86" s="1250">
        <f>'Prg. Marketing'!AJ134</f>
        <v>1280.7695216242782</v>
      </c>
      <c r="AL86" s="1250">
        <f>'Prg. Marketing'!AK134</f>
        <v>1269.780967147587</v>
      </c>
      <c r="AM86" s="1251">
        <f>'Prg. Marketing'!AL134</f>
        <v>1344.8376287923304</v>
      </c>
      <c r="AN86" s="1250">
        <f>'Prg. Marketing'!AM134</f>
        <v>1328.8558634746262</v>
      </c>
      <c r="AO86" s="1250">
        <f>'Prg. Marketing'!AN134</f>
        <v>1369.4837285897111</v>
      </c>
      <c r="AP86" s="1250">
        <f>'Prg. Marketing'!AO134</f>
        <v>1306.7479911494711</v>
      </c>
      <c r="AQ86" s="1250">
        <f>'Prg. Marketing'!AP134</f>
        <v>1258.0643763471944</v>
      </c>
      <c r="AR86" s="1250">
        <f>'Prg. Marketing'!AQ134</f>
        <v>1213.169789587017</v>
      </c>
      <c r="AS86" s="1250">
        <f>'Prg. Marketing'!AR134</f>
        <v>1237.7304013946484</v>
      </c>
      <c r="AT86" s="1250">
        <f>'Prg. Marketing'!AS134</f>
        <v>1282.1213010946624</v>
      </c>
      <c r="AU86" s="1250">
        <f>'Prg. Marketing'!AT134</f>
        <v>1241.2607482759436</v>
      </c>
      <c r="AV86" s="1250">
        <f>'Prg. Marketing'!AU134</f>
        <v>1198.9906911095779</v>
      </c>
      <c r="AW86" s="1250">
        <f>'Prg. Marketing'!AV134</f>
        <v>1157.6011464502906</v>
      </c>
      <c r="AX86" s="1250">
        <f>'Prg. Marketing'!AW134</f>
        <v>1117.5918397551088</v>
      </c>
      <c r="AY86" s="1251">
        <f>'Prg. Marketing'!AX134</f>
        <v>1201.8392621645812</v>
      </c>
      <c r="AZ86" s="1250">
        <f>'Prg. Marketing'!AY134</f>
        <v>1276.9804360152502</v>
      </c>
      <c r="BA86" s="1250">
        <f>'Prg. Marketing'!AZ134</f>
        <v>1251.0125518993591</v>
      </c>
      <c r="BB86" s="1250">
        <f>'Prg. Marketing'!BA134</f>
        <v>1213.2692377821022</v>
      </c>
      <c r="BC86" s="1250">
        <f>'Prg. Marketing'!BB134</f>
        <v>1172.8059235808355</v>
      </c>
      <c r="BD86" s="1250">
        <f>'Prg. Marketing'!BC134</f>
        <v>1132.4962019194654</v>
      </c>
      <c r="BE86" s="1250">
        <f>'Prg. Marketing'!BD134</f>
        <v>1142.0177566307439</v>
      </c>
      <c r="BF86" s="1250">
        <f>'Prg. Marketing'!BE134</f>
        <v>1252.3621778660424</v>
      </c>
      <c r="BG86" s="1250">
        <f>'Prg. Marketing'!BF134</f>
        <v>1230.591676107658</v>
      </c>
      <c r="BH86" s="1250">
        <f>'Prg. Marketing'!BG134</f>
        <v>1196.7386618226178</v>
      </c>
      <c r="BI86" s="1250">
        <f>'Prg. Marketing'!BH134</f>
        <v>1201.4223802596798</v>
      </c>
      <c r="BJ86" s="1250">
        <f>'Prg. Marketing'!BI134</f>
        <v>1214.549687736356</v>
      </c>
      <c r="BK86" s="1251">
        <f>'Prg. Marketing'!BJ134</f>
        <v>1199.0953734973921</v>
      </c>
    </row>
    <row r="87" spans="1:63" s="1250" customFormat="1" ht="18.75">
      <c r="A87" s="1246"/>
      <c r="B87" s="1247"/>
      <c r="C87" s="1248" t="str">
        <f t="shared" si="1"/>
        <v>Campaign</v>
      </c>
      <c r="D87" s="1249">
        <f>'Prg. Marketing'!C152</f>
        <v>2390.1666666666665</v>
      </c>
      <c r="E87" s="1250">
        <f>'Prg. Marketing'!D152</f>
        <v>2390.166666666667</v>
      </c>
      <c r="F87" s="1250">
        <f>'Prg. Marketing'!E152</f>
        <v>2171.5991736052938</v>
      </c>
      <c r="G87" s="1250">
        <f>'Prg. Marketing'!F152</f>
        <v>1973.5936383186699</v>
      </c>
      <c r="H87" s="1250">
        <f>'Prg. Marketing'!G152</f>
        <v>1951.5571244279026</v>
      </c>
      <c r="I87" s="1250">
        <f>'Prg. Marketing'!H152</f>
        <v>1772.3835003574366</v>
      </c>
      <c r="J87" s="1250">
        <f>'Prg. Marketing'!I152</f>
        <v>1610.0947520214634</v>
      </c>
      <c r="K87" s="1250">
        <f>'Prg. Marketing'!J152</f>
        <v>1463.0539864776738</v>
      </c>
      <c r="L87" s="1250">
        <f>'Prg. Marketing'!K152</f>
        <v>1406.3487210847463</v>
      </c>
      <c r="M87" s="1250">
        <f>'Prg. Marketing'!L152</f>
        <v>1283.2130939247158</v>
      </c>
      <c r="N87" s="1250">
        <f>'Prg. Marketing'!M152</f>
        <v>1166.2875862824858</v>
      </c>
      <c r="O87" s="1251">
        <f>'Prg. Marketing'!N152</f>
        <v>1059.9145777932602</v>
      </c>
      <c r="P87" s="1250">
        <f>'Prg. Marketing'!O152</f>
        <v>963.44831848554486</v>
      </c>
      <c r="Q87" s="1250">
        <f>'Prg. Marketing'!P152</f>
        <v>935.36149791890693</v>
      </c>
      <c r="R87" s="1250">
        <f>'Prg. Marketing'!Q152</f>
        <v>916.28159522895317</v>
      </c>
      <c r="S87" s="1250">
        <f>'Prg. Marketing'!R152</f>
        <v>894.26208715516066</v>
      </c>
      <c r="T87" s="1250">
        <f>'Prg. Marketing'!S152</f>
        <v>872.62871761388169</v>
      </c>
      <c r="U87" s="1250">
        <f>'Prg. Marketing'!T152</f>
        <v>851.62562140183627</v>
      </c>
      <c r="V87" s="1250">
        <f>'Prg. Marketing'!U152</f>
        <v>938.11128272880137</v>
      </c>
      <c r="W87" s="1250">
        <f>'Prg. Marketing'!V152</f>
        <v>914.55115487178557</v>
      </c>
      <c r="X87" s="1250">
        <f>'Prg. Marketing'!W152</f>
        <v>891.70968722844373</v>
      </c>
      <c r="Y87" s="1250">
        <f>'Prg. Marketing'!X152</f>
        <v>869.56084071484202</v>
      </c>
      <c r="Z87" s="1250">
        <f>'Prg. Marketing'!Y152</f>
        <v>848.0796291685615</v>
      </c>
      <c r="AA87" s="1251">
        <f>'Prg. Marketing'!Z152</f>
        <v>827.24208225433745</v>
      </c>
      <c r="AB87" s="1250">
        <f>'Prg. Marketing'!AA152</f>
        <v>841.7886583378986</v>
      </c>
      <c r="AC87" s="1250">
        <f>'Prg. Marketing'!AB152</f>
        <v>871.57055654192902</v>
      </c>
      <c r="AD87" s="1250">
        <f>'Prg. Marketing'!AC152</f>
        <v>855.0304768866672</v>
      </c>
      <c r="AE87" s="1250">
        <f>'Prg. Marketing'!AD152</f>
        <v>838.27659598905336</v>
      </c>
      <c r="AF87" s="1250">
        <f>'Prg. Marketing'!AE152</f>
        <v>821.94292581896548</v>
      </c>
      <c r="AG87" s="1250">
        <f>'Prg. Marketing'!AF152</f>
        <v>806.10924815445389</v>
      </c>
      <c r="AH87" s="1250">
        <f>'Prg. Marketing'!AG152</f>
        <v>790.76652874076376</v>
      </c>
      <c r="AI87" s="1250">
        <f>'Prg. Marketing'!AH152</f>
        <v>775.8926707378555</v>
      </c>
      <c r="AJ87" s="1250">
        <f>'Prg. Marketing'!AI152</f>
        <v>793.45620331250041</v>
      </c>
      <c r="AK87" s="1250">
        <f>'Prg. Marketing'!AJ152</f>
        <v>786.56835959473131</v>
      </c>
      <c r="AL87" s="1250">
        <f>'Prg. Marketing'!AK152</f>
        <v>774.01798739654419</v>
      </c>
      <c r="AM87" s="1251">
        <f>'Prg. Marketing'!AL152</f>
        <v>793.29740705998483</v>
      </c>
      <c r="AN87" s="1250">
        <f>'Prg. Marketing'!AM152</f>
        <v>778.96010102927198</v>
      </c>
      <c r="AO87" s="1250">
        <f>'Prg. Marketing'!AN152</f>
        <v>778.72872591557473</v>
      </c>
      <c r="AP87" s="1250">
        <f>'Prg. Marketing'!AO152</f>
        <v>741.65064031878558</v>
      </c>
      <c r="AQ87" s="1250">
        <f>'Prg. Marketing'!AP152</f>
        <v>710.35949977516998</v>
      </c>
      <c r="AR87" s="1250">
        <f>'Prg. Marketing'!AQ152</f>
        <v>681.09516801767109</v>
      </c>
      <c r="AS87" s="1250">
        <f>'Prg. Marketing'!AR152</f>
        <v>676.78872840440715</v>
      </c>
      <c r="AT87" s="1250">
        <f>'Prg. Marketing'!AS152</f>
        <v>679.61152671136779</v>
      </c>
      <c r="AU87" s="1250">
        <f>'Prg. Marketing'!AT152</f>
        <v>653.19725539124818</v>
      </c>
      <c r="AV87" s="1250">
        <f>'Prg. Marketing'!AU152</f>
        <v>626.88392398995745</v>
      </c>
      <c r="AW87" s="1250">
        <f>'Prg. Marketing'!AV152</f>
        <v>601.443939018371</v>
      </c>
      <c r="AX87" s="1250">
        <f>'Prg. Marketing'!AW152</f>
        <v>577.02329774031091</v>
      </c>
      <c r="AY87" s="1251">
        <f>'Prg. Marketing'!AX152</f>
        <v>594.57612824530599</v>
      </c>
      <c r="AZ87" s="1250">
        <f>'Prg. Marketing'!AY152</f>
        <v>608.97307994324444</v>
      </c>
      <c r="BA87" s="1250">
        <f>'Prg. Marketing'!AZ152</f>
        <v>584.63570207702196</v>
      </c>
      <c r="BB87" s="1250">
        <f>'Prg. Marketing'!BA152</f>
        <v>557.35168691754359</v>
      </c>
      <c r="BC87" s="1250">
        <f>'Prg. Marketing'!BB152</f>
        <v>530.12584299989851</v>
      </c>
      <c r="BD87" s="1250">
        <f>'Prg. Marketing'!BC152</f>
        <v>503.85886228761228</v>
      </c>
      <c r="BE87" s="1250">
        <f>'Prg. Marketing'!BD152</f>
        <v>493.6886511620728</v>
      </c>
      <c r="BF87" s="1250">
        <f>'Prg. Marketing'!BE152</f>
        <v>514.18603276555825</v>
      </c>
      <c r="BG87" s="1250">
        <f>'Prg. Marketing'!BF152</f>
        <v>494.99241121467389</v>
      </c>
      <c r="BH87" s="1250">
        <f>'Prg. Marketing'!BG152</f>
        <v>472.91460505806003</v>
      </c>
      <c r="BI87" s="1250">
        <f>'Prg. Marketing'!BH152</f>
        <v>462.59791510695914</v>
      </c>
      <c r="BJ87" s="1250">
        <f>'Prg. Marketing'!BI152</f>
        <v>455.00836694826944</v>
      </c>
      <c r="BK87" s="1251">
        <f>'Prg. Marketing'!BJ152</f>
        <v>439.74502630472983</v>
      </c>
    </row>
    <row r="88" spans="1:63" s="1250" customFormat="1" ht="18.75">
      <c r="A88" s="1246"/>
      <c r="B88" s="1247"/>
      <c r="C88" s="1248" t="str">
        <f t="shared" si="1"/>
        <v>Bill Inserts</v>
      </c>
      <c r="D88" s="1249">
        <f>'Prg. Marketing'!C170</f>
        <v>1585.3333333333333</v>
      </c>
      <c r="E88" s="1250">
        <f>'Prg. Marketing'!D170</f>
        <v>1837.3333333333333</v>
      </c>
      <c r="F88" s="1250">
        <f>'Prg. Marketing'!E170</f>
        <v>1795.5173363341821</v>
      </c>
      <c r="G88" s="1250">
        <f>'Prg. Marketing'!F170</f>
        <v>1755.1965394229705</v>
      </c>
      <c r="H88" s="1250">
        <f>'Prg. Marketing'!G170</f>
        <v>1881.7111375928507</v>
      </c>
      <c r="I88" s="1250">
        <f>'Prg. Marketing'!H170</f>
        <v>1838.1787851089764</v>
      </c>
      <c r="J88" s="1250">
        <f>'Prg. Marketing'!I170</f>
        <v>1796.1645803726333</v>
      </c>
      <c r="K88" s="1250">
        <f>'Prg. Marketing'!J170</f>
        <v>1755.6020046099993</v>
      </c>
      <c r="L88" s="1250">
        <f>'Prg. Marketing'!K170</f>
        <v>1824.5191284252833</v>
      </c>
      <c r="M88" s="1250">
        <f>'Prg. Marketing'!L170</f>
        <v>1791.4323102937644</v>
      </c>
      <c r="N88" s="1250">
        <f>'Prg. Marketing'!M170</f>
        <v>1751.4596287212059</v>
      </c>
      <c r="O88" s="1251">
        <f>'Prg. Marketing'!N170</f>
        <v>1712.1847503929939</v>
      </c>
      <c r="P88" s="1250">
        <f>'Prg. Marketing'!O170</f>
        <v>1674.163998502878</v>
      </c>
      <c r="Q88" s="1250">
        <f>'Prg. Marketing'!P170</f>
        <v>1663.8084591818701</v>
      </c>
      <c r="R88" s="1250">
        <f>'Prg. Marketing'!Q170</f>
        <v>1669.8035882449112</v>
      </c>
      <c r="S88" s="1250">
        <f>'Prg. Marketing'!R170</f>
        <v>1669.023252886044</v>
      </c>
      <c r="T88" s="1250">
        <f>'Prg. Marketing'!S170</f>
        <v>1667.9362106940052</v>
      </c>
      <c r="U88" s="1250">
        <f>'Prg. Marketing'!T170</f>
        <v>1667.0708160943755</v>
      </c>
      <c r="V88" s="1250">
        <f>'Prg. Marketing'!U170</f>
        <v>1901.2451625399501</v>
      </c>
      <c r="W88" s="1250">
        <f>'Prg. Marketing'!V170</f>
        <v>1898.1858878638259</v>
      </c>
      <c r="X88" s="1250">
        <f>'Prg. Marketing'!W170</f>
        <v>1895.4136242019949</v>
      </c>
      <c r="Y88" s="1250">
        <f>'Prg. Marketing'!X170</f>
        <v>1892.9236717406384</v>
      </c>
      <c r="Z88" s="1250">
        <f>'Prg. Marketing'!Y170</f>
        <v>1890.7114363540693</v>
      </c>
      <c r="AA88" s="1251">
        <f>'Prg. Marketing'!Z170</f>
        <v>1888.7724471045608</v>
      </c>
      <c r="AB88" s="1250">
        <f>'Prg. Marketing'!AA170</f>
        <v>1975.5691915044524</v>
      </c>
      <c r="AC88" s="1250">
        <f>'Prg. Marketing'!AB170</f>
        <v>2084.0520618393007</v>
      </c>
      <c r="AD88" s="1250">
        <f>'Prg. Marketing'!AC170</f>
        <v>2073.8809462801009</v>
      </c>
      <c r="AE88" s="1250">
        <f>'Prg. Marketing'!AD170</f>
        <v>2062.3472184320044</v>
      </c>
      <c r="AF88" s="1250">
        <f>'Prg. Marketing'!AE170</f>
        <v>2051.1158668071298</v>
      </c>
      <c r="AG88" s="1250">
        <f>'Prg. Marketing'!AF170</f>
        <v>2040.4339989113605</v>
      </c>
      <c r="AH88" s="1250">
        <f>'Prg. Marketing'!AG170</f>
        <v>2030.3157782325795</v>
      </c>
      <c r="AI88" s="1250">
        <f>'Prg. Marketing'!AH170</f>
        <v>2020.7383491988992</v>
      </c>
      <c r="AJ88" s="1250">
        <f>'Prg. Marketing'!AI170</f>
        <v>2103.3308578939882</v>
      </c>
      <c r="AK88" s="1250">
        <f>'Prg. Marketing'!AJ170</f>
        <v>2116.8126369094443</v>
      </c>
      <c r="AL88" s="1250">
        <f>'Prg. Marketing'!AK170</f>
        <v>2113.4906739856515</v>
      </c>
      <c r="AM88" s="1251">
        <f>'Prg. Marketing'!AL170</f>
        <v>2204.9096643073017</v>
      </c>
      <c r="AN88" s="1250">
        <f>'Prg. Marketing'!AM170</f>
        <v>2196.3669918579631</v>
      </c>
      <c r="AO88" s="1250">
        <f>'Prg. Marketing'!AN170</f>
        <v>2256.2406631232657</v>
      </c>
      <c r="AP88" s="1250">
        <f>'Prg. Marketing'!AO170</f>
        <v>2199.8893860826211</v>
      </c>
      <c r="AQ88" s="1250">
        <f>'Prg. Marketing'!AP170</f>
        <v>2158.0752434907927</v>
      </c>
      <c r="AR88" s="1250">
        <f>'Prg. Marketing'!AQ170</f>
        <v>2119.4188612393841</v>
      </c>
      <c r="AS88" s="1250">
        <f>'Prg. Marketing'!AR170</f>
        <v>2162.9834345512913</v>
      </c>
      <c r="AT88" s="1250">
        <f>'Prg. Marketing'!AS170</f>
        <v>2232.2432148306489</v>
      </c>
      <c r="AU88" s="1250">
        <f>'Prg. Marketing'!AT170</f>
        <v>2198.0113447021822</v>
      </c>
      <c r="AV88" s="1250">
        <f>'Prg. Marketing'!AU170</f>
        <v>2160.8863465736599</v>
      </c>
      <c r="AW88" s="1250">
        <f>'Prg. Marketing'!AV170</f>
        <v>2123.6808958215834</v>
      </c>
      <c r="AX88" s="1250">
        <f>'Prg. Marketing'!AW170</f>
        <v>2087.0637484960616</v>
      </c>
      <c r="AY88" s="1251">
        <f>'Prg. Marketing'!AX170</f>
        <v>2213.8225539268751</v>
      </c>
      <c r="AZ88" s="1250">
        <f>'Prg. Marketing'!AY170</f>
        <v>2332.4927466921904</v>
      </c>
      <c r="BA88" s="1250">
        <f>'Prg. Marketing'!AZ170</f>
        <v>2295.2674342327073</v>
      </c>
      <c r="BB88" s="1250">
        <f>'Prg. Marketing'!BA170</f>
        <v>2241.8881766090635</v>
      </c>
      <c r="BC88" s="1250">
        <f>'Prg. Marketing'!BB170</f>
        <v>2184.4344897832821</v>
      </c>
      <c r="BD88" s="1250">
        <f>'Prg. Marketing'!BC170</f>
        <v>2126.7905257787511</v>
      </c>
      <c r="BE88" s="1250">
        <f>'Prg. Marketing'!BD170</f>
        <v>2138.5754343169006</v>
      </c>
      <c r="BF88" s="1250">
        <f>'Prg. Marketing'!BE170</f>
        <v>2293.5298421683769</v>
      </c>
      <c r="BG88" s="1250">
        <f>'Prg. Marketing'!BF170</f>
        <v>2263.277453937033</v>
      </c>
      <c r="BH88" s="1250">
        <f>'Prg. Marketing'!BG170</f>
        <v>2215.6394269570392</v>
      </c>
      <c r="BI88" s="1250">
        <f>'Prg. Marketing'!BH170</f>
        <v>2223.468017861001</v>
      </c>
      <c r="BJ88" s="1250">
        <f>'Prg. Marketing'!BI170</f>
        <v>2244.1813327059012</v>
      </c>
      <c r="BK88" s="1251">
        <f>'Prg. Marketing'!BJ170</f>
        <v>2223.5907137001759</v>
      </c>
    </row>
    <row r="89" spans="1:63" s="1250" customFormat="1" ht="18.75">
      <c r="A89" s="1246"/>
      <c r="B89" s="1247"/>
      <c r="C89" s="1248" t="str">
        <f t="shared" si="1"/>
        <v>Referral</v>
      </c>
      <c r="D89" s="1249">
        <f>'Prg. Marketing'!C188</f>
        <v>695.09090909090912</v>
      </c>
      <c r="E89" s="1250">
        <f>'Prg. Marketing'!D188</f>
        <v>695.09090909090924</v>
      </c>
      <c r="F89" s="1250">
        <f>'Prg. Marketing'!E188</f>
        <v>583.27246950947574</v>
      </c>
      <c r="G89" s="1250">
        <f>'Prg. Marketing'!F188</f>
        <v>489.61545848787978</v>
      </c>
      <c r="H89" s="1250">
        <f>'Prg. Marketing'!G188</f>
        <v>461.54900282678693</v>
      </c>
      <c r="I89" s="1250">
        <f>'Prg. Marketing'!H188</f>
        <v>387.19517482217719</v>
      </c>
      <c r="J89" s="1250">
        <f>'Prg. Marketing'!I188</f>
        <v>324.92259643056826</v>
      </c>
      <c r="K89" s="1250">
        <f>'Prg. Marketing'!J188</f>
        <v>272.75090792847533</v>
      </c>
      <c r="L89" s="1250">
        <f>'Prg. Marketing'!K188</f>
        <v>247.13951134678419</v>
      </c>
      <c r="M89" s="1250">
        <f>'Prg. Marketing'!L188</f>
        <v>208.65512875969983</v>
      </c>
      <c r="N89" s="1250">
        <f>'Prg. Marketing'!M188</f>
        <v>175.2314768422489</v>
      </c>
      <c r="O89" s="1251">
        <f>'Prg. Marketing'!N188</f>
        <v>147.13636398028999</v>
      </c>
      <c r="P89" s="1250">
        <f>'Prg. Marketing'!O188</f>
        <v>123.57609282512696</v>
      </c>
      <c r="Q89" s="1250">
        <f>'Prg. Marketing'!P188</f>
        <v>108.90728620111717</v>
      </c>
      <c r="R89" s="1250">
        <f>'Prg. Marketing'!Q188</f>
        <v>97.162254839610299</v>
      </c>
      <c r="S89" s="1250">
        <f>'Prg. Marketing'!R188</f>
        <v>86.242508660517174</v>
      </c>
      <c r="T89" s="1250">
        <f>'Prg. Marketing'!S188</f>
        <v>76.530918076996826</v>
      </c>
      <c r="U89" s="1250">
        <f>'Prg. Marketing'!T188</f>
        <v>67.923003945174955</v>
      </c>
      <c r="V89" s="1250">
        <f>'Prg. Marketing'!U188</f>
        <v>71.022980823450254</v>
      </c>
      <c r="W89" s="1250">
        <f>'Prg. Marketing'!V188</f>
        <v>62.966811887417364</v>
      </c>
      <c r="X89" s="1250">
        <f>'Prg. Marketing'!W188</f>
        <v>55.833531274971399</v>
      </c>
      <c r="Y89" s="1250">
        <f>'Prg. Marketing'!X188</f>
        <v>49.516329460708597</v>
      </c>
      <c r="Z89" s="1250">
        <f>'Prg. Marketing'!Y188</f>
        <v>43.920887177206488</v>
      </c>
      <c r="AA89" s="1251">
        <f>'Prg. Marketing'!Z188</f>
        <v>38.963900209507123</v>
      </c>
      <c r="AB89" s="1250">
        <f>'Prg. Marketing'!AA188</f>
        <v>36.576970704343182</v>
      </c>
      <c r="AC89" s="1250">
        <f>'Prg. Marketing'!AB188</f>
        <v>35.646079914978721</v>
      </c>
      <c r="AD89" s="1250">
        <f>'Prg. Marketing'!AC188</f>
        <v>32.358183740933583</v>
      </c>
      <c r="AE89" s="1250">
        <f>'Prg. Marketing'!AD188</f>
        <v>29.348731947580347</v>
      </c>
      <c r="AF89" s="1250">
        <f>'Prg. Marketing'!AE188</f>
        <v>26.622485803504773</v>
      </c>
      <c r="AG89" s="1250">
        <f>'Prg. Marketing'!AF188</f>
        <v>24.156130576514848</v>
      </c>
      <c r="AH89" s="1250">
        <f>'Prg. Marketing'!AG188</f>
        <v>21.924614876160419</v>
      </c>
      <c r="AI89" s="1250">
        <f>'Prg. Marketing'!AH188</f>
        <v>19.904856710693405</v>
      </c>
      <c r="AJ89" s="1250">
        <f>'Prg. Marketing'!AI188</f>
        <v>19.084677984388076</v>
      </c>
      <c r="AK89" s="1250">
        <f>'Prg. Marketing'!AJ188</f>
        <v>17.562845902843595</v>
      </c>
      <c r="AL89" s="1250">
        <f>'Prg. Marketing'!AK188</f>
        <v>16.007155634241897</v>
      </c>
      <c r="AM89" s="1251">
        <f>'Prg. Marketing'!AL188</f>
        <v>15.384258110237042</v>
      </c>
      <c r="AN89" s="1250">
        <f>'Prg. Marketing'!AM188</f>
        <v>13.983082836369785</v>
      </c>
      <c r="AO89" s="1250">
        <f>'Prg. Marketing'!AN188</f>
        <v>13.802716593992361</v>
      </c>
      <c r="AP89" s="1250">
        <f>'Prg. Marketing'!AO188</f>
        <v>12.798471435612791</v>
      </c>
      <c r="AQ89" s="1250">
        <f>'Prg. Marketing'!AP188</f>
        <v>11.954095432297706</v>
      </c>
      <c r="AR89" s="1250">
        <f>'Prg. Marketing'!AQ188</f>
        <v>11.18030439271174</v>
      </c>
      <c r="AS89" s="1250">
        <f>'Prg. Marketing'!AR188</f>
        <v>10.948273235210925</v>
      </c>
      <c r="AT89" s="1250">
        <f>'Prg. Marketing'!AS188</f>
        <v>10.860753199647389</v>
      </c>
      <c r="AU89" s="1250">
        <f>'Prg. Marketing'!AT188</f>
        <v>10.189984881544463</v>
      </c>
      <c r="AV89" s="1250">
        <f>'Prg. Marketing'!AU188</f>
        <v>9.5427886428598327</v>
      </c>
      <c r="AW89" s="1250">
        <f>'Prg. Marketing'!AV188</f>
        <v>8.9331569448795047</v>
      </c>
      <c r="AX89" s="1250">
        <f>'Prg. Marketing'!AW188</f>
        <v>8.3622007703686805</v>
      </c>
      <c r="AY89" s="1251">
        <f>'Prg. Marketing'!AX188</f>
        <v>8.5636022133497143</v>
      </c>
      <c r="AZ89" s="1250">
        <f>'Prg. Marketing'!AY188</f>
        <v>8.6926228186342129</v>
      </c>
      <c r="BA89" s="1250">
        <f>'Prg. Marketing'!AZ188</f>
        <v>8.2651819354530947</v>
      </c>
      <c r="BB89" s="1250">
        <f>'Prg. Marketing'!BA188</f>
        <v>7.791436515048539</v>
      </c>
      <c r="BC89" s="1250">
        <f>'Prg. Marketing'!BB188</f>
        <v>7.3242660428691666</v>
      </c>
      <c r="BD89" s="1250">
        <f>'Prg. Marketing'!BC188</f>
        <v>6.8789002968552113</v>
      </c>
      <c r="BE89" s="1250">
        <f>'Prg. Marketing'!BD188</f>
        <v>6.7051546136606248</v>
      </c>
      <c r="BF89" s="1250">
        <f>'Prg. Marketing'!BE188</f>
        <v>7.0318007127583062</v>
      </c>
      <c r="BG89" s="1250">
        <f>'Prg. Marketing'!BF188</f>
        <v>6.705718597634216</v>
      </c>
      <c r="BH89" s="1250">
        <f>'Prg. Marketing'!BG188</f>
        <v>6.3370965361868281</v>
      </c>
      <c r="BI89" s="1250">
        <f>'Prg. Marketing'!BH188</f>
        <v>6.1585855524348094</v>
      </c>
      <c r="BJ89" s="1250">
        <f>'Prg. Marketing'!BI188</f>
        <v>6.0230294917497291</v>
      </c>
      <c r="BK89" s="1251">
        <f>'Prg. Marketing'!BJ188</f>
        <v>5.7689897015383416</v>
      </c>
    </row>
    <row r="90" spans="1:63" s="1250" customFormat="1" ht="18.75">
      <c r="A90" s="1246"/>
      <c r="B90" s="1247"/>
      <c r="C90" s="1248" t="str">
        <f t="shared" si="1"/>
        <v>Affiliate Partners</v>
      </c>
      <c r="D90" s="1249">
        <f>'Prg. Marketing'!C206</f>
        <v>7195</v>
      </c>
      <c r="E90" s="1250">
        <f>'Prg. Marketing'!D206</f>
        <v>7195</v>
      </c>
      <c r="F90" s="1250">
        <f>'Prg. Marketing'!E206</f>
        <v>6174.5908092779318</v>
      </c>
      <c r="G90" s="1250">
        <f>'Prg. Marketing'!F206</f>
        <v>5299.82826627555</v>
      </c>
      <c r="H90" s="1250">
        <f>'Prg. Marketing'!G206</f>
        <v>4756.2880195255275</v>
      </c>
      <c r="I90" s="1250">
        <f>'Prg. Marketing'!H206</f>
        <v>4080.3063575027263</v>
      </c>
      <c r="J90" s="1250">
        <f>'Prg. Marketing'!I206</f>
        <v>3500.9930213190164</v>
      </c>
      <c r="K90" s="1250">
        <f>'Prg. Marketing'!J206</f>
        <v>3004.4264234832981</v>
      </c>
      <c r="L90" s="1250">
        <f>'Prg. Marketing'!K206</f>
        <v>2657.1798097627679</v>
      </c>
      <c r="M90" s="1250">
        <f>'Prg. Marketing'!L206</f>
        <v>2285.1992661117933</v>
      </c>
      <c r="N90" s="1250">
        <f>'Prg. Marketing'!M206</f>
        <v>1961.1662507980088</v>
      </c>
      <c r="O90" s="1251">
        <f>'Prg. Marketing'!N206</f>
        <v>1683.0307961410901</v>
      </c>
      <c r="P90" s="1250">
        <f>'Prg. Marketing'!O206</f>
        <v>1444.5377514518423</v>
      </c>
      <c r="Q90" s="1250">
        <f>'Prg. Marketing'!P206</f>
        <v>1319.8674700911738</v>
      </c>
      <c r="R90" s="1250">
        <f>'Prg. Marketing'!Q206</f>
        <v>1211.7426552585357</v>
      </c>
      <c r="S90" s="1250">
        <f>'Prg. Marketing'!R206</f>
        <v>1110.2934140143645</v>
      </c>
      <c r="T90" s="1250">
        <f>'Prg. Marketing'!S206</f>
        <v>1017.2614950731287</v>
      </c>
      <c r="U90" s="1250">
        <f>'Prg. Marketing'!T206</f>
        <v>932.09742810633247</v>
      </c>
      <c r="V90" s="1250">
        <f>'Prg. Marketing'!U206</f>
        <v>911.62245439807009</v>
      </c>
      <c r="W90" s="1250">
        <f>'Prg. Marketing'!V206</f>
        <v>834.65654364812906</v>
      </c>
      <c r="X90" s="1250">
        <f>'Prg. Marketing'!W206</f>
        <v>764.26024891206657</v>
      </c>
      <c r="Y90" s="1250">
        <f>'Prg. Marketing'!X206</f>
        <v>699.86554601701528</v>
      </c>
      <c r="Z90" s="1250">
        <f>'Prg. Marketing'!Y206</f>
        <v>640.95425127781425</v>
      </c>
      <c r="AA90" s="1251">
        <f>'Prg. Marketing'!Z206</f>
        <v>587.05357933710434</v>
      </c>
      <c r="AB90" s="1250">
        <f>'Prg. Marketing'!AA206</f>
        <v>550.29478385717516</v>
      </c>
      <c r="AC90" s="1250">
        <f>'Prg. Marketing'!AB206</f>
        <v>525.41284746015594</v>
      </c>
      <c r="AD90" s="1250">
        <f>'Prg. Marketing'!AC206</f>
        <v>486.7526658185642</v>
      </c>
      <c r="AE90" s="1250">
        <f>'Prg. Marketing'!AD206</f>
        <v>450.78310091831611</v>
      </c>
      <c r="AF90" s="1250">
        <f>'Prg. Marketing'!AE206</f>
        <v>417.50337485940418</v>
      </c>
      <c r="AG90" s="1250">
        <f>'Prg. Marketing'!AF206</f>
        <v>386.73428432472275</v>
      </c>
      <c r="AH90" s="1250">
        <f>'Prg. Marketing'!AG206</f>
        <v>358.28407832850814</v>
      </c>
      <c r="AI90" s="1250">
        <f>'Prg. Marketing'!AH206</f>
        <v>331.97260137270837</v>
      </c>
      <c r="AJ90" s="1250">
        <f>'Prg. Marketing'!AI206</f>
        <v>314.77380363549071</v>
      </c>
      <c r="AK90" s="1250">
        <f>'Prg. Marketing'!AJ206</f>
        <v>293.3329842821409</v>
      </c>
      <c r="AL90" s="1250">
        <f>'Prg. Marketing'!AK206</f>
        <v>272.2213216819693</v>
      </c>
      <c r="AM90" s="1251">
        <f>'Prg. Marketing'!AL206</f>
        <v>258.52208023015754</v>
      </c>
      <c r="AN90" s="1250">
        <f>'Prg. Marketing'!AM206</f>
        <v>239.61392410514239</v>
      </c>
      <c r="AO90" s="1250">
        <f>'Prg. Marketing'!AN206</f>
        <v>228.40765864949063</v>
      </c>
      <c r="AP90" s="1250">
        <f>'Prg. Marketing'!AO206</f>
        <v>211.7334344509234</v>
      </c>
      <c r="AQ90" s="1250">
        <f>'Prg. Marketing'!AP206</f>
        <v>196.92361690666081</v>
      </c>
      <c r="AR90" s="1250">
        <f>'Prg. Marketing'!AQ206</f>
        <v>183.26003484445314</v>
      </c>
      <c r="AS90" s="1250">
        <f>'Prg. Marketing'!AR206</f>
        <v>174.10410119577458</v>
      </c>
      <c r="AT90" s="1250">
        <f>'Prg. Marketing'!AS206</f>
        <v>166.47749772887906</v>
      </c>
      <c r="AU90" s="1250">
        <f>'Prg. Marketing'!AT206</f>
        <v>155.13886488020054</v>
      </c>
      <c r="AV90" s="1250">
        <f>'Prg. Marketing'!AU206</f>
        <v>144.44637570684844</v>
      </c>
      <c r="AW90" s="1250">
        <f>'Prg. Marketing'!AV206</f>
        <v>134.46646068764184</v>
      </c>
      <c r="AX90" s="1250">
        <f>'Prg. Marketing'!AW206</f>
        <v>125.1747170514829</v>
      </c>
      <c r="AY90" s="1251">
        <f>'Prg. Marketing'!AX206</f>
        <v>121.60848145364237</v>
      </c>
      <c r="AZ90" s="1250">
        <f>'Prg. Marketing'!AY206</f>
        <v>117.83132139471569</v>
      </c>
      <c r="BA90" s="1250">
        <f>'Prg. Marketing'!AZ206</f>
        <v>113.61145075944734</v>
      </c>
      <c r="BB90" s="1250">
        <f>'Prg. Marketing'!BA206</f>
        <v>109.06649584430765</v>
      </c>
      <c r="BC90" s="1250">
        <f>'Prg. Marketing'!BB206</f>
        <v>104.55395646865648</v>
      </c>
      <c r="BD90" s="1250">
        <f>'Prg. Marketing'!BC206</f>
        <v>100.18207936584837</v>
      </c>
      <c r="BE90" s="1250">
        <f>'Prg. Marketing'!BD206</f>
        <v>97.843498792500924</v>
      </c>
      <c r="BF90" s="1250">
        <f>'Prg. Marketing'!BE206</f>
        <v>99.420103679568413</v>
      </c>
      <c r="BG90" s="1250">
        <f>'Prg. Marketing'!BF206</f>
        <v>96.060461223350046</v>
      </c>
      <c r="BH90" s="1250">
        <f>'Prg. Marketing'!BG206</f>
        <v>92.356344121495923</v>
      </c>
      <c r="BI90" s="1250">
        <f>'Prg. Marketing'!BH206</f>
        <v>90.187009870303129</v>
      </c>
      <c r="BJ90" s="1250">
        <f>'Prg. Marketing'!BI206</f>
        <v>88.410179579314473</v>
      </c>
      <c r="BK90" s="1251">
        <f>'Prg. Marketing'!BJ206</f>
        <v>85.667282945062482</v>
      </c>
    </row>
    <row r="91" spans="1:63" s="1250" customFormat="1" ht="18.75">
      <c r="A91" s="1246"/>
      <c r="B91" s="1247"/>
      <c r="C91" s="1248" t="str">
        <f t="shared" si="1"/>
        <v>Utility Partners</v>
      </c>
      <c r="D91" s="1249">
        <f>'Prg. Marketing'!C224</f>
        <v>6682.666666666667</v>
      </c>
      <c r="E91" s="1250">
        <f>'Prg. Marketing'!D224</f>
        <v>6682.6666666666679</v>
      </c>
      <c r="F91" s="1250">
        <f>'Prg. Marketing'!E224</f>
        <v>6471.337605905921</v>
      </c>
      <c r="G91" s="1250">
        <f>'Prg. Marketing'!F224</f>
        <v>6268.7502091281649</v>
      </c>
      <c r="H91" s="1250">
        <f>'Prg. Marketing'!G224</f>
        <v>6720.3477712616968</v>
      </c>
      <c r="I91" s="1250">
        <f>'Prg. Marketing'!H224</f>
        <v>6505.5434506547999</v>
      </c>
      <c r="J91" s="1250">
        <f>'Prg. Marketing'!I224</f>
        <v>6299.4877915337438</v>
      </c>
      <c r="K91" s="1250">
        <f>'Prg. Marketing'!J224</f>
        <v>6101.7561791924418</v>
      </c>
      <c r="L91" s="1250">
        <f>'Prg. Marketing'!K224</f>
        <v>6320.6732255849947</v>
      </c>
      <c r="M91" s="1250">
        <f>'Prg. Marketing'!L224</f>
        <v>6152.98851077363</v>
      </c>
      <c r="N91" s="1250">
        <f>'Prg. Marketing'!M224</f>
        <v>5961.8751102728083</v>
      </c>
      <c r="O91" s="1251">
        <f>'Prg. Marketing'!N224</f>
        <v>5775.9187125544095</v>
      </c>
      <c r="P91" s="1250">
        <f>'Prg. Marketing'!O224</f>
        <v>5597.0672089106592</v>
      </c>
      <c r="Q91" s="1250">
        <f>'Prg. Marketing'!P224</f>
        <v>5465.0979064269795</v>
      </c>
      <c r="R91" s="1250">
        <f>'Prg. Marketing'!Q224</f>
        <v>5393.8561727956348</v>
      </c>
      <c r="S91" s="1250">
        <f>'Prg. Marketing'!R224</f>
        <v>5299.8420994512417</v>
      </c>
      <c r="T91" s="1250">
        <f>'Prg. Marketing'!S224</f>
        <v>5206.38288613033</v>
      </c>
      <c r="U91" s="1250">
        <f>'Prg. Marketing'!T224</f>
        <v>5115.2851195394787</v>
      </c>
      <c r="V91" s="1250">
        <f>'Prg. Marketing'!U224</f>
        <v>5805.7790785654097</v>
      </c>
      <c r="W91" s="1250">
        <f>'Prg. Marketing'!V224</f>
        <v>5697.9326404548519</v>
      </c>
      <c r="X91" s="1250">
        <f>'Prg. Marketing'!W224</f>
        <v>5592.9564815140093</v>
      </c>
      <c r="Y91" s="1250">
        <f>'Prg. Marketing'!X224</f>
        <v>5490.756158834829</v>
      </c>
      <c r="Z91" s="1250">
        <f>'Prg. Marketing'!Y224</f>
        <v>5391.2405949339845</v>
      </c>
      <c r="AA91" s="1251">
        <f>'Prg. Marketing'!Z224</f>
        <v>5294.3220150399284</v>
      </c>
      <c r="AB91" s="1250">
        <f>'Prg. Marketing'!AA224</f>
        <v>5466.0079314953127</v>
      </c>
      <c r="AC91" s="1250">
        <f>'Prg. Marketing'!AB224</f>
        <v>5734.0743166154507</v>
      </c>
      <c r="AD91" s="1250">
        <f>'Prg. Marketing'!AC224</f>
        <v>5646.4333202069574</v>
      </c>
      <c r="AE91" s="1250">
        <f>'Prg. Marketing'!AD224</f>
        <v>5555.9812933247904</v>
      </c>
      <c r="AF91" s="1250">
        <f>'Prg. Marketing'!AE224</f>
        <v>5467.6348713939115</v>
      </c>
      <c r="AG91" s="1250">
        <f>'Prg. Marketing'!AF224</f>
        <v>5382.0601078219524</v>
      </c>
      <c r="AH91" s="1250">
        <f>'Prg. Marketing'!AG224</f>
        <v>5299.235632059781</v>
      </c>
      <c r="AI91" s="1250">
        <f>'Prg. Marketing'!AH224</f>
        <v>5219.0356963450404</v>
      </c>
      <c r="AJ91" s="1250">
        <f>'Prg. Marketing'!AI224</f>
        <v>5396.0174557915961</v>
      </c>
      <c r="AK91" s="1250">
        <f>'Prg. Marketing'!AJ224</f>
        <v>5378.852243182434</v>
      </c>
      <c r="AL91" s="1250">
        <f>'Prg. Marketing'!AK224</f>
        <v>5315.7207205599507</v>
      </c>
      <c r="AM91" s="1251">
        <f>'Prg. Marketing'!AL224</f>
        <v>5508.8663918869888</v>
      </c>
      <c r="AN91" s="1250">
        <f>'Prg. Marketing'!AM224</f>
        <v>5430.7036457351551</v>
      </c>
      <c r="AO91" s="1250">
        <f>'Prg. Marketing'!AN224</f>
        <v>5596.6182591446504</v>
      </c>
      <c r="AP91" s="1250">
        <f>'Prg. Marketing'!AO224</f>
        <v>5452.0292067050368</v>
      </c>
      <c r="AQ91" s="1250">
        <f>'Prg. Marketing'!AP224</f>
        <v>5346.1853276444281</v>
      </c>
      <c r="AR91" s="1250">
        <f>'Prg. Marketing'!AQ224</f>
        <v>5248.6949880584107</v>
      </c>
      <c r="AS91" s="1250">
        <f>'Prg. Marketing'!AR224</f>
        <v>5370.7263139513116</v>
      </c>
      <c r="AT91" s="1250">
        <f>'Prg. Marketing'!AS224</f>
        <v>5561.3078278602197</v>
      </c>
      <c r="AU91" s="1250">
        <f>'Prg. Marketing'!AT224</f>
        <v>5475.400119408383</v>
      </c>
      <c r="AV91" s="1250">
        <f>'Prg. Marketing'!AU224</f>
        <v>5381.6891930877073</v>
      </c>
      <c r="AW91" s="1250">
        <f>'Prg. Marketing'!AV224</f>
        <v>5287.6883695125762</v>
      </c>
      <c r="AX91" s="1250">
        <f>'Prg. Marketing'!AW224</f>
        <v>5195.184838552238</v>
      </c>
      <c r="AY91" s="1251">
        <f>'Prg. Marketing'!AX224</f>
        <v>5538.9632430232768</v>
      </c>
      <c r="AZ91" s="1250">
        <f>'Prg. Marketing'!AY224</f>
        <v>5861.0661045830648</v>
      </c>
      <c r="BA91" s="1250">
        <f>'Prg. Marketing'!AZ224</f>
        <v>5771.2339221218808</v>
      </c>
      <c r="BB91" s="1250">
        <f>'Prg. Marketing'!BA224</f>
        <v>5638.0072370325197</v>
      </c>
      <c r="BC91" s="1250">
        <f>'Prg. Marketing'!BB224</f>
        <v>5493.6552810040603</v>
      </c>
      <c r="BD91" s="1250">
        <f>'Prg. Marketing'!BC224</f>
        <v>5348.5584168133009</v>
      </c>
      <c r="BE91" s="1250">
        <f>'Prg. Marketing'!BD224</f>
        <v>5388.6660619606064</v>
      </c>
      <c r="BF91" s="1250">
        <f>'Prg. Marketing'!BE224</f>
        <v>5810.9353772016366</v>
      </c>
      <c r="BG91" s="1250">
        <f>'Prg. Marketing'!BF224</f>
        <v>5738.3238765933111</v>
      </c>
      <c r="BH91" s="1250">
        <f>'Prg. Marketing'!BG224</f>
        <v>5619.0646868945505</v>
      </c>
      <c r="BI91" s="1250">
        <f>'Prg. Marketing'!BH224</f>
        <v>5647.7417973181537</v>
      </c>
      <c r="BJ91" s="1250">
        <f>'Prg. Marketing'!BI224</f>
        <v>5710.6301703755798</v>
      </c>
      <c r="BK91" s="1251">
        <f>'Prg. Marketing'!BJ224</f>
        <v>5663.0045439301566</v>
      </c>
    </row>
    <row r="92" spans="1:63" s="1250" customFormat="1" ht="18.75">
      <c r="A92" s="1246"/>
      <c r="B92" s="1247"/>
      <c r="C92" s="1248" t="str">
        <f t="shared" si="1"/>
        <v>Other</v>
      </c>
      <c r="D92" s="1249">
        <f>'Prg. Marketing'!C242</f>
        <v>1762</v>
      </c>
      <c r="E92" s="1250">
        <f>'Prg. Marketing'!D242</f>
        <v>1762</v>
      </c>
      <c r="F92" s="1250">
        <f>'Prg. Marketing'!E242</f>
        <v>1655.5423404487849</v>
      </c>
      <c r="G92" s="1250">
        <f>'Prg. Marketing'!F242</f>
        <v>1555.8254623889434</v>
      </c>
      <c r="H92" s="1250">
        <f>'Prg. Marketing'!G242</f>
        <v>1935.3817568085822</v>
      </c>
      <c r="I92" s="1250">
        <f>'Prg. Marketing'!H242</f>
        <v>1823.4730490016275</v>
      </c>
      <c r="J92" s="1250">
        <f>'Prg. Marketing'!I242</f>
        <v>1718.3382616485017</v>
      </c>
      <c r="K92" s="1250">
        <f>'Prg. Marketing'!J242</f>
        <v>1619.5563250728057</v>
      </c>
      <c r="L92" s="1250">
        <f>'Prg. Marketing'!K242</f>
        <v>1816.6476080004729</v>
      </c>
      <c r="M92" s="1250">
        <f>'Prg. Marketing'!L242</f>
        <v>1737.374050927858</v>
      </c>
      <c r="N92" s="1250">
        <f>'Prg. Marketing'!M242</f>
        <v>1641.8298691000507</v>
      </c>
      <c r="O92" s="1251">
        <f>'Prg. Marketing'!N242</f>
        <v>1550.2348710974297</v>
      </c>
      <c r="P92" s="1250">
        <f>'Prg. Marketing'!O242</f>
        <v>1463.8710503921805</v>
      </c>
      <c r="Q92" s="1250">
        <f>'Prg. Marketing'!P242</f>
        <v>1407.0324149063695</v>
      </c>
      <c r="R92" s="1250">
        <f>'Prg. Marketing'!Q242</f>
        <v>1391.3599854000436</v>
      </c>
      <c r="S92" s="1250">
        <f>'Prg. Marketing'!R242</f>
        <v>1359.0884697467347</v>
      </c>
      <c r="T92" s="1250">
        <f>'Prg. Marketing'!S242</f>
        <v>1326.3748455538673</v>
      </c>
      <c r="U92" s="1250">
        <f>'Prg. Marketing'!T242</f>
        <v>1294.5104823432648</v>
      </c>
      <c r="V92" s="1250">
        <f>'Prg. Marketing'!U242</f>
        <v>1825.7800937089987</v>
      </c>
      <c r="W92" s="1250">
        <f>'Prg. Marketing'!V242</f>
        <v>1784.694365448752</v>
      </c>
      <c r="X92" s="1250">
        <f>'Prg. Marketing'!W242</f>
        <v>1744.7052069264748</v>
      </c>
      <c r="Y92" s="1250">
        <f>'Prg. Marketing'!X242</f>
        <v>1705.7810479027903</v>
      </c>
      <c r="Z92" s="1250">
        <f>'Prg. Marketing'!Y242</f>
        <v>1667.8912320999375</v>
      </c>
      <c r="AA92" s="1251">
        <f>'Prg. Marketing'!Z242</f>
        <v>1631.0060359489134</v>
      </c>
      <c r="AB92" s="1250">
        <f>'Prg. Marketing'!AA242</f>
        <v>1796.7338943250568</v>
      </c>
      <c r="AC92" s="1250">
        <f>'Prg. Marketing'!AB242</f>
        <v>2027.2298765195549</v>
      </c>
      <c r="AD92" s="1250">
        <f>'Prg. Marketing'!AC242</f>
        <v>1987.613338075583</v>
      </c>
      <c r="AE92" s="1250">
        <f>'Prg. Marketing'!AD242</f>
        <v>1945.2632639777842</v>
      </c>
      <c r="AF92" s="1250">
        <f>'Prg. Marketing'!AE242</f>
        <v>1903.9431978051471</v>
      </c>
      <c r="AG92" s="1250">
        <f>'Prg. Marketing'!AF242</f>
        <v>1864.1900889942344</v>
      </c>
      <c r="AH92" s="1250">
        <f>'Prg. Marketing'!AG242</f>
        <v>1826.0147630090682</v>
      </c>
      <c r="AI92" s="1250">
        <f>'Prg. Marketing'!AH242</f>
        <v>1789.3461247900636</v>
      </c>
      <c r="AJ92" s="1250">
        <f>'Prg. Marketing'!AI242</f>
        <v>1954.8800709704699</v>
      </c>
      <c r="AK92" s="1250">
        <f>'Prg. Marketing'!AJ242</f>
        <v>1968.0760065962909</v>
      </c>
      <c r="AL92" s="1250">
        <f>'Prg. Marketing'!AK242</f>
        <v>1944.6319549951297</v>
      </c>
      <c r="AM92" s="1251">
        <f>'Prg. Marketing'!AL242</f>
        <v>2125.8211292143283</v>
      </c>
      <c r="AN92" s="1250">
        <f>'Prg. Marketing'!AM242</f>
        <v>2090.4883981718281</v>
      </c>
      <c r="AO92" s="1250">
        <f>'Prg. Marketing'!AN242</f>
        <v>2281.4282210515989</v>
      </c>
      <c r="AP92" s="1250">
        <f>'Prg. Marketing'!AO242</f>
        <v>2220.5915939942688</v>
      </c>
      <c r="AQ92" s="1250">
        <f>'Prg. Marketing'!AP242</f>
        <v>2189.8439682145554</v>
      </c>
      <c r="AR92" s="1250">
        <f>'Prg. Marketing'!AQ242</f>
        <v>2164.677021618083</v>
      </c>
      <c r="AS92" s="1250">
        <f>'Prg. Marketing'!AR242</f>
        <v>2325.1800630298985</v>
      </c>
      <c r="AT92" s="1250">
        <f>'Prg. Marketing'!AS242</f>
        <v>2547.7486527682713</v>
      </c>
      <c r="AU92" s="1250">
        <f>'Prg. Marketing'!AT242</f>
        <v>2533.7212023065013</v>
      </c>
      <c r="AV92" s="1250">
        <f>'Prg. Marketing'!AU242</f>
        <v>2511.7077831817965</v>
      </c>
      <c r="AW92" s="1250">
        <f>'Prg. Marketing'!AV242</f>
        <v>2488.1482422285867</v>
      </c>
      <c r="AX92" s="1250">
        <f>'Prg. Marketing'!AW242</f>
        <v>2464.6204241044688</v>
      </c>
      <c r="AY92" s="1251">
        <f>'Prg. Marketing'!AX242</f>
        <v>2838.0500991890112</v>
      </c>
      <c r="AZ92" s="1250">
        <f>'Prg. Marketing'!AY242</f>
        <v>3199.3688799610018</v>
      </c>
      <c r="BA92" s="1250">
        <f>'Prg. Marketing'!AZ242</f>
        <v>3123.2014833013045</v>
      </c>
      <c r="BB92" s="1250">
        <f>'Prg. Marketing'!BA242</f>
        <v>3008.4005712007561</v>
      </c>
      <c r="BC92" s="1250">
        <f>'Prg. Marketing'!BB242</f>
        <v>2885.2952633777481</v>
      </c>
      <c r="BD92" s="1250">
        <f>'Prg. Marketing'!BC242</f>
        <v>2763.3821908017767</v>
      </c>
      <c r="BE92" s="1250">
        <f>'Prg. Marketing'!BD242</f>
        <v>2801.1351141198074</v>
      </c>
      <c r="BF92" s="1250">
        <f>'Prg. Marketing'!BE242</f>
        <v>3156.1122994062293</v>
      </c>
      <c r="BG92" s="1250">
        <f>'Prg. Marketing'!BF242</f>
        <v>3089.6231991828022</v>
      </c>
      <c r="BH92" s="1250">
        <f>'Prg. Marketing'!BG242</f>
        <v>2985.4668336769578</v>
      </c>
      <c r="BI92" s="1250">
        <f>'Prg. Marketing'!BH242</f>
        <v>3000.931394257047</v>
      </c>
      <c r="BJ92" s="1250">
        <f>'Prg. Marketing'!BI242</f>
        <v>3040.9916734678745</v>
      </c>
      <c r="BK92" s="1251">
        <f>'Prg. Marketing'!BJ242</f>
        <v>2992.5473861248915</v>
      </c>
    </row>
    <row r="93" spans="1:63" s="340" customFormat="1" ht="18.75">
      <c r="A93" s="1245"/>
      <c r="B93" s="373"/>
      <c r="C93" s="356"/>
      <c r="D93" s="339"/>
      <c r="O93" s="404"/>
      <c r="AA93" s="404"/>
      <c r="AM93" s="404"/>
      <c r="AY93" s="404"/>
      <c r="BK93" s="404"/>
    </row>
    <row r="94" spans="1:63" s="340" customFormat="1" ht="18.75">
      <c r="A94" s="1245"/>
      <c r="B94" s="373"/>
      <c r="C94" s="1258" t="s">
        <v>400</v>
      </c>
      <c r="D94" s="339"/>
      <c r="O94" s="404"/>
      <c r="AA94" s="404"/>
      <c r="AM94" s="404"/>
      <c r="AY94" s="404"/>
      <c r="BK94" s="404"/>
    </row>
    <row r="95" spans="1:63" s="1256" customFormat="1" ht="18.75">
      <c r="A95" s="1252"/>
      <c r="B95" s="1253"/>
      <c r="C95" s="1254" t="str">
        <f t="shared" ref="C95:C106" si="2">C81</f>
        <v>Earned Media</v>
      </c>
      <c r="D95" s="1255">
        <f>'Prg. Marketing'!C45</f>
        <v>0.55025000000000002</v>
      </c>
      <c r="E95" s="1256">
        <f>'Prg. Marketing'!D45</f>
        <v>0.55024999999999991</v>
      </c>
      <c r="F95" s="1256">
        <f>'Prg. Marketing'!E45</f>
        <v>0.47944040038647584</v>
      </c>
      <c r="G95" s="1256">
        <f>'Prg. Marketing'!F45</f>
        <v>0.4178617662562773</v>
      </c>
      <c r="H95" s="1256">
        <f>'Prg. Marketing'!G45</f>
        <v>0.46929241869188765</v>
      </c>
      <c r="I95" s="1256">
        <f>'Prg. Marketing'!H45</f>
        <v>0.40972157929777941</v>
      </c>
      <c r="J95" s="1256">
        <f>'Prg. Marketing'!I45</f>
        <v>0.35779780785474258</v>
      </c>
      <c r="K95" s="1256">
        <f>'Prg. Marketing'!J45</f>
        <v>0.31252998054569819</v>
      </c>
      <c r="L95" s="1256">
        <f>'Prg. Marketing'!K45</f>
        <v>0.32000195746311211</v>
      </c>
      <c r="M95" s="1256">
        <f>'Prg. Marketing'!L45</f>
        <v>0.28320467203148186</v>
      </c>
      <c r="N95" s="1256">
        <f>'Prg. Marketing'!M45</f>
        <v>0.24791516384108325</v>
      </c>
      <c r="O95" s="1257">
        <f>'Prg. Marketing'!N45</f>
        <v>0.21686958983713567</v>
      </c>
      <c r="P95" s="1256">
        <f>'Prg. Marketing'!O45</f>
        <v>0.18973878732523866</v>
      </c>
      <c r="Q95" s="1256">
        <f>'Prg. Marketing'!P45</f>
        <v>0.17543323953866458</v>
      </c>
      <c r="R95" s="1256">
        <f>'Prg. Marketing'!Q45</f>
        <v>0.16645504737082009</v>
      </c>
      <c r="S95" s="1256">
        <f>'Prg. Marketing'!R45</f>
        <v>0.15619223315062258</v>
      </c>
      <c r="T95" s="1256">
        <f>'Prg. Marketing'!S45</f>
        <v>0.1464495836381024</v>
      </c>
      <c r="U95" s="1256">
        <f>'Prg. Marketing'!T45</f>
        <v>0.13732693670433005</v>
      </c>
      <c r="V95" s="1256">
        <f>'Prg. Marketing'!U45</f>
        <v>0.18033079788267206</v>
      </c>
      <c r="W95" s="1256">
        <f>'Prg. Marketing'!V45</f>
        <v>0.16924455862914242</v>
      </c>
      <c r="X95" s="1256">
        <f>'Prg. Marketing'!W45</f>
        <v>0.15885933994588652</v>
      </c>
      <c r="Y95" s="1256">
        <f>'Prg. Marketing'!X45</f>
        <v>0.14912974280192656</v>
      </c>
      <c r="Z95" s="1256">
        <f>'Prg. Marketing'!Y45</f>
        <v>0.14001336441750953</v>
      </c>
      <c r="AA95" s="1257">
        <f>'Prg. Marketing'!Z45</f>
        <v>0.13147060104070352</v>
      </c>
      <c r="AB95" s="1256">
        <f>'Prg. Marketing'!AA45</f>
        <v>0.13780978414290979</v>
      </c>
      <c r="AC95" s="1256">
        <f>'Prg. Marketing'!AB45</f>
        <v>0.15285384634813759</v>
      </c>
      <c r="AD95" s="1256">
        <f>'Prg. Marketing'!AC45</f>
        <v>0.14874131466432206</v>
      </c>
      <c r="AE95" s="1256">
        <f>'Prg. Marketing'!AD45</f>
        <v>0.14449891330703707</v>
      </c>
      <c r="AF95" s="1256">
        <f>'Prg. Marketing'!AE45</f>
        <v>0.1403894589550794</v>
      </c>
      <c r="AG95" s="1256">
        <f>'Prg. Marketing'!AF45</f>
        <v>0.13644694530932172</v>
      </c>
      <c r="AH95" s="1256">
        <f>'Prg. Marketing'!AG45</f>
        <v>0.13266860892877647</v>
      </c>
      <c r="AI95" s="1256">
        <f>'Prg. Marketing'!AH45</f>
        <v>0.12904623159455922</v>
      </c>
      <c r="AJ95" s="1256">
        <f>'Prg. Marketing'!AI45</f>
        <v>0.13889915540968556</v>
      </c>
      <c r="AK95" s="1256">
        <f>'Prg. Marketing'!AJ45</f>
        <v>0.13854729829981513</v>
      </c>
      <c r="AL95" s="1256">
        <f>'Prg. Marketing'!AK45</f>
        <v>0.13580076152217577</v>
      </c>
      <c r="AM95" s="1257">
        <f>'Prg. Marketing'!AL45</f>
        <v>0.14632696115901345</v>
      </c>
      <c r="AN95" s="1256">
        <f>'Prg. Marketing'!AM45</f>
        <v>0.1427777734809125</v>
      </c>
      <c r="AO95" s="1256">
        <f>'Prg. Marketing'!AN45</f>
        <v>0.15169835597908751</v>
      </c>
      <c r="AP95" s="1256">
        <f>'Prg. Marketing'!AO45</f>
        <v>0.14471026002190021</v>
      </c>
      <c r="AQ95" s="1256">
        <f>'Prg. Marketing'!AP45</f>
        <v>0.13975977742886639</v>
      </c>
      <c r="AR95" s="1256">
        <f>'Prg. Marketing'!AQ45</f>
        <v>0.13528290680184976</v>
      </c>
      <c r="AS95" s="1256">
        <f>'Prg. Marketing'!AR45</f>
        <v>0.14162351785809801</v>
      </c>
      <c r="AT95" s="1256">
        <f>'Prg. Marketing'!AS45</f>
        <v>0.15112990471648521</v>
      </c>
      <c r="AU95" s="1256">
        <f>'Prg. Marketing'!AT45</f>
        <v>0.14711901832592222</v>
      </c>
      <c r="AV95" s="1256">
        <f>'Prg. Marketing'!AU45</f>
        <v>0.14277944828538994</v>
      </c>
      <c r="AW95" s="1256">
        <f>'Prg. Marketing'!AV45</f>
        <v>0.13847637986439837</v>
      </c>
      <c r="AX95" s="1256">
        <f>'Prg. Marketing'!AW45</f>
        <v>0.13429353836037936</v>
      </c>
      <c r="AY95" s="1257">
        <f>'Prg. Marketing'!AX45</f>
        <v>0.15031079245129075</v>
      </c>
      <c r="AZ95" s="1256">
        <f>'Prg. Marketing'!AY45</f>
        <v>0.1649848619596215</v>
      </c>
      <c r="BA95" s="1256">
        <f>'Prg. Marketing'!AZ45</f>
        <v>0.16395165854856739</v>
      </c>
      <c r="BB95" s="1256">
        <f>'Prg. Marketing'!BA45</f>
        <v>0.160848476819554</v>
      </c>
      <c r="BC95" s="1256">
        <f>'Prg. Marketing'!BB45</f>
        <v>0.15714853426921208</v>
      </c>
      <c r="BD95" s="1256">
        <f>'Prg. Marketing'!BC45</f>
        <v>0.15332863391718285</v>
      </c>
      <c r="BE95" s="1256">
        <f>'Prg. Marketing'!BD45</f>
        <v>0.15799601732314589</v>
      </c>
      <c r="BF95" s="1256">
        <f>'Prg. Marketing'!BE45</f>
        <v>0.18035159096031494</v>
      </c>
      <c r="BG95" s="1256">
        <f>'Prg. Marketing'!BF45</f>
        <v>0.17973672875545341</v>
      </c>
      <c r="BH95" s="1256">
        <f>'Prg. Marketing'!BG45</f>
        <v>0.17688251720750392</v>
      </c>
      <c r="BI95" s="1256">
        <f>'Prg. Marketing'!BH45</f>
        <v>0.18086745602821874</v>
      </c>
      <c r="BJ95" s="1256">
        <f>'Prg. Marketing'!BI45</f>
        <v>0.18641531352681451</v>
      </c>
      <c r="BK95" s="1257">
        <f>'Prg. Marketing'!BJ45</f>
        <v>0.18674303147343813</v>
      </c>
    </row>
    <row r="96" spans="1:63" s="1256" customFormat="1" ht="18.75">
      <c r="A96" s="1252"/>
      <c r="B96" s="1253"/>
      <c r="C96" s="1254" t="str">
        <f t="shared" si="2"/>
        <v>TV</v>
      </c>
      <c r="D96" s="1255">
        <f>'Prg. Marketing'!C63</f>
        <v>2.0180645161290323</v>
      </c>
      <c r="E96" s="1256">
        <f>'Prg. Marketing'!D63</f>
        <v>2.0180645161290318</v>
      </c>
      <c r="F96" s="1256">
        <f>'Prg. Marketing'!E63</f>
        <v>1.9477115314545403</v>
      </c>
      <c r="G96" s="1256">
        <f>'Prg. Marketing'!F63</f>
        <v>1.8801181970932963</v>
      </c>
      <c r="H96" s="1256">
        <f>'Prg. Marketing'!G63</f>
        <v>1.8908740534160053</v>
      </c>
      <c r="I96" s="1256">
        <f>'Prg. Marketing'!H63</f>
        <v>1.8243433705375474</v>
      </c>
      <c r="J96" s="1256">
        <f>'Prg. Marketing'!I63</f>
        <v>1.7604332047896318</v>
      </c>
      <c r="K96" s="1256">
        <f>'Prg. Marketing'!J63</f>
        <v>1.6990243089145312</v>
      </c>
      <c r="L96" s="1256">
        <f>'Prg. Marketing'!K63</f>
        <v>1.6859539629242233</v>
      </c>
      <c r="M96" s="1256">
        <f>'Prg. Marketing'!L63</f>
        <v>1.6303585990751601</v>
      </c>
      <c r="N96" s="1256">
        <f>'Prg. Marketing'!M63</f>
        <v>1.5735441006771003</v>
      </c>
      <c r="O96" s="1257">
        <f>'Prg. Marketing'!N63</f>
        <v>1.5186714177361629</v>
      </c>
      <c r="P96" s="1256">
        <f>'Prg. Marketing'!O63</f>
        <v>1.4658991184712729</v>
      </c>
      <c r="Q96" s="1256">
        <f>'Prg. Marketing'!P63</f>
        <v>1.4289432965926927</v>
      </c>
      <c r="R96" s="1256">
        <f>'Prg. Marketing'!Q63</f>
        <v>1.3990756912240585</v>
      </c>
      <c r="S96" s="1256">
        <f>'Prg. Marketing'!R63</f>
        <v>1.3673583826509774</v>
      </c>
      <c r="T96" s="1256">
        <f>'Prg. Marketing'!S63</f>
        <v>1.3362692511851848</v>
      </c>
      <c r="U96" s="1256">
        <f>'Prg. Marketing'!T63</f>
        <v>1.3059819600984792</v>
      </c>
      <c r="V96" s="1256">
        <f>'Prg. Marketing'!U63</f>
        <v>1.3555145314237205</v>
      </c>
      <c r="W96" s="1256">
        <f>'Prg. Marketing'!V63</f>
        <v>1.3238245123897492</v>
      </c>
      <c r="X96" s="1256">
        <f>'Prg. Marketing'!W63</f>
        <v>1.2929889837223143</v>
      </c>
      <c r="Y96" s="1256">
        <f>'Prg. Marketing'!X63</f>
        <v>1.2629804185638684</v>
      </c>
      <c r="Z96" s="1256">
        <f>'Prg. Marketing'!Y63</f>
        <v>1.2337723301786481</v>
      </c>
      <c r="AA96" s="1257">
        <f>'Prg. Marketing'!Z63</f>
        <v>1.20533923406584</v>
      </c>
      <c r="AB96" s="1256">
        <f>'Prg. Marketing'!AA63</f>
        <v>1.2030465976455378</v>
      </c>
      <c r="AC96" s="1256">
        <f>'Prg. Marketing'!AB63</f>
        <v>1.2150464467782411</v>
      </c>
      <c r="AD96" s="1256">
        <f>'Prg. Marketing'!AC63</f>
        <v>1.1933880641502776</v>
      </c>
      <c r="AE96" s="1256">
        <f>'Prg. Marketing'!AD63</f>
        <v>1.1717463010822644</v>
      </c>
      <c r="AF96" s="1256">
        <f>'Prg. Marketing'!AE63</f>
        <v>1.1505794791657484</v>
      </c>
      <c r="AG96" s="1256">
        <f>'Prg. Marketing'!AF63</f>
        <v>1.1299415222856164</v>
      </c>
      <c r="AH96" s="1256">
        <f>'Prg. Marketing'!AG63</f>
        <v>1.109821844100698</v>
      </c>
      <c r="AI96" s="1256">
        <f>'Prg. Marketing'!AH63</f>
        <v>1.0902005435432072</v>
      </c>
      <c r="AJ96" s="1256">
        <f>'Prg. Marketing'!AI63</f>
        <v>1.0940369119477433</v>
      </c>
      <c r="AK96" s="1256">
        <f>'Prg. Marketing'!AJ63</f>
        <v>1.0804053653600847</v>
      </c>
      <c r="AL96" s="1256">
        <f>'Prg. Marketing'!AK63</f>
        <v>1.0628538795064575</v>
      </c>
      <c r="AM96" s="1257">
        <f>'Prg. Marketing'!AL63</f>
        <v>1.068169409150572</v>
      </c>
      <c r="AN96" s="1256">
        <f>'Prg. Marketing'!AM63</f>
        <v>1.049587761929921</v>
      </c>
      <c r="AO96" s="1256">
        <f>'Prg. Marketing'!AN63</f>
        <v>1.0543149906159472</v>
      </c>
      <c r="AP96" s="1256">
        <f>'Prg. Marketing'!AO63</f>
        <v>1.031987246794158</v>
      </c>
      <c r="AQ96" s="1256">
        <f>'Prg. Marketing'!AP63</f>
        <v>1.0132250966926666</v>
      </c>
      <c r="AR96" s="1256">
        <f>'Prg. Marketing'!AQ63</f>
        <v>0.99536075749192032</v>
      </c>
      <c r="AS96" s="1256">
        <f>'Prg. Marketing'!AR63</f>
        <v>0.99674606159910228</v>
      </c>
      <c r="AT96" s="1256">
        <f>'Prg. Marketing'!AS63</f>
        <v>1.0041733057092106</v>
      </c>
      <c r="AU96" s="1256">
        <f>'Prg. Marketing'!AT63</f>
        <v>0.98772138248048413</v>
      </c>
      <c r="AV96" s="1256">
        <f>'Prg. Marketing'!AU63</f>
        <v>0.9707503007024374</v>
      </c>
      <c r="AW96" s="1256">
        <f>'Prg. Marketing'!AV63</f>
        <v>0.95391011975646622</v>
      </c>
      <c r="AX96" s="1256">
        <f>'Prg. Marketing'!AW63</f>
        <v>0.93735290383833325</v>
      </c>
      <c r="AY96" s="1257">
        <f>'Prg. Marketing'!AX63</f>
        <v>0.95846107786580537</v>
      </c>
      <c r="AZ96" s="1256">
        <f>'Prg. Marketing'!AY63</f>
        <v>0.97772113241264635</v>
      </c>
      <c r="BA96" s="1256">
        <f>'Prg. Marketing'!AZ63</f>
        <v>0.95606919908163157</v>
      </c>
      <c r="BB96" s="1256">
        <f>'Prg. Marketing'!BA63</f>
        <v>0.93109469557491953</v>
      </c>
      <c r="BC96" s="1256">
        <f>'Prg. Marketing'!BB63</f>
        <v>0.90556187051985781</v>
      </c>
      <c r="BD96" s="1256">
        <f>'Prg. Marketing'!BC63</f>
        <v>0.88035064009957742</v>
      </c>
      <c r="BE96" s="1256">
        <f>'Prg. Marketing'!BD63</f>
        <v>0.87127908512695917</v>
      </c>
      <c r="BF96" s="1256">
        <f>'Prg. Marketing'!BE63</f>
        <v>0.89499558752703701</v>
      </c>
      <c r="BG96" s="1256">
        <f>'Prg. Marketing'!BF63</f>
        <v>0.87692665672878145</v>
      </c>
      <c r="BH96" s="1256">
        <f>'Prg. Marketing'!BG63</f>
        <v>0.85523529595746328</v>
      </c>
      <c r="BI96" s="1256">
        <f>'Prg. Marketing'!BH63</f>
        <v>0.84638503192493919</v>
      </c>
      <c r="BJ96" s="1256">
        <f>'Prg. Marketing'!BI63</f>
        <v>0.84070550918856313</v>
      </c>
      <c r="BK96" s="1257">
        <f>'Prg. Marketing'!BJ63</f>
        <v>0.82597830496425817</v>
      </c>
    </row>
    <row r="97" spans="1:63" s="1256" customFormat="1" ht="18.75">
      <c r="A97" s="1252"/>
      <c r="B97" s="1253"/>
      <c r="C97" s="1254" t="str">
        <f t="shared" si="2"/>
        <v>Print</v>
      </c>
      <c r="D97" s="1255">
        <f>'Prg. Marketing'!C81</f>
        <v>1.1935632183908047</v>
      </c>
      <c r="E97" s="1256">
        <f>'Prg. Marketing'!D81</f>
        <v>1.1935632183908047</v>
      </c>
      <c r="F97" s="1256">
        <f>'Prg. Marketing'!E81</f>
        <v>1.1256774697580074</v>
      </c>
      <c r="G97" s="1256">
        <f>'Prg. Marketing'!F81</f>
        <v>1.0618114593963759</v>
      </c>
      <c r="H97" s="1256">
        <f>'Prg. Marketing'!G81</f>
        <v>1.0394245499508401</v>
      </c>
      <c r="I97" s="1256">
        <f>'Prg. Marketing'!H81</f>
        <v>0.97999721227434455</v>
      </c>
      <c r="J97" s="1256">
        <f>'Prg. Marketing'!I81</f>
        <v>0.92410242219994154</v>
      </c>
      <c r="K97" s="1256">
        <f>'Prg. Marketing'!J81</f>
        <v>0.87151919786719123</v>
      </c>
      <c r="L97" s="1256">
        <f>'Prg. Marketing'!K81</f>
        <v>0.84287116830730024</v>
      </c>
      <c r="M97" s="1256">
        <f>'Prg. Marketing'!L81</f>
        <v>0.79632799592449055</v>
      </c>
      <c r="N97" s="1256">
        <f>'Prg. Marketing'!M81</f>
        <v>0.75103532045208654</v>
      </c>
      <c r="O97" s="1257">
        <f>'Prg. Marketing'!N81</f>
        <v>0.70830401870613924</v>
      </c>
      <c r="P97" s="1256">
        <f>'Prg. Marketing'!O81</f>
        <v>0.66808235823468698</v>
      </c>
      <c r="Q97" s="1256">
        <f>'Prg. Marketing'!P81</f>
        <v>0.66228725278845091</v>
      </c>
      <c r="R97" s="1256">
        <f>'Prg. Marketing'!Q81</f>
        <v>0.6591685104745002</v>
      </c>
      <c r="S97" s="1256">
        <f>'Prg. Marketing'!R81</f>
        <v>0.65499279861690107</v>
      </c>
      <c r="T97" s="1256">
        <f>'Prg. Marketing'!S81</f>
        <v>0.65080414646967932</v>
      </c>
      <c r="U97" s="1256">
        <f>'Prg. Marketing'!T81</f>
        <v>0.64668542535507112</v>
      </c>
      <c r="V97" s="1256">
        <f>'Prg. Marketing'!U81</f>
        <v>0.67858933804749688</v>
      </c>
      <c r="W97" s="1256">
        <f>'Prg. Marketing'!V81</f>
        <v>0.67383778949143991</v>
      </c>
      <c r="X97" s="1256">
        <f>'Prg. Marketing'!W81</f>
        <v>0.66917380998423848</v>
      </c>
      <c r="Y97" s="1256">
        <f>'Prg. Marketing'!X81</f>
        <v>0.66459490162219814</v>
      </c>
      <c r="Z97" s="1256">
        <f>'Prg. Marketing'!Y81</f>
        <v>0.66009864311808175</v>
      </c>
      <c r="AA97" s="1257">
        <f>'Prg. Marketing'!Z81</f>
        <v>0.65568269029149595</v>
      </c>
      <c r="AB97" s="1256">
        <f>'Prg. Marketing'!AA81</f>
        <v>0.66407768465230133</v>
      </c>
      <c r="AC97" s="1256">
        <f>'Prg. Marketing'!AB81</f>
        <v>0.67585096380629972</v>
      </c>
      <c r="AD97" s="1256">
        <f>'Prg. Marketing'!AC81</f>
        <v>0.67058972210847256</v>
      </c>
      <c r="AE97" s="1256">
        <f>'Prg. Marketing'!AD81</f>
        <v>0.66517929225337913</v>
      </c>
      <c r="AF97" s="1256">
        <f>'Prg. Marketing'!AE81</f>
        <v>0.65985634698525897</v>
      </c>
      <c r="AG97" s="1256">
        <f>'Prg. Marketing'!AF81</f>
        <v>0.65465395244033664</v>
      </c>
      <c r="AH97" s="1256">
        <f>'Prg. Marketing'!AG81</f>
        <v>0.64957208652022203</v>
      </c>
      <c r="AI97" s="1256">
        <f>'Prg. Marketing'!AH81</f>
        <v>0.64460562611440408</v>
      </c>
      <c r="AJ97" s="1256">
        <f>'Prg. Marketing'!AI81</f>
        <v>0.65221811185629808</v>
      </c>
      <c r="AK97" s="1256">
        <f>'Prg. Marketing'!AJ81</f>
        <v>0.65035818996704919</v>
      </c>
      <c r="AL97" s="1256">
        <f>'Prg. Marketing'!AK81</f>
        <v>0.64624040123325965</v>
      </c>
      <c r="AM97" s="1257">
        <f>'Prg. Marketing'!AL81</f>
        <v>0.65476983621868678</v>
      </c>
      <c r="AN97" s="1256">
        <f>'Prg. Marketing'!AM81</f>
        <v>0.64992866958790629</v>
      </c>
      <c r="AO97" s="1256">
        <f>'Prg. Marketing'!AN81</f>
        <v>0.65708667387215902</v>
      </c>
      <c r="AP97" s="1256">
        <f>'Prg. Marketing'!AO81</f>
        <v>0.64880868672850889</v>
      </c>
      <c r="AQ97" s="1256">
        <f>'Prg. Marketing'!AP81</f>
        <v>0.64242592579618418</v>
      </c>
      <c r="AR97" s="1256">
        <f>'Prg. Marketing'!AQ81</f>
        <v>0.63643104875479495</v>
      </c>
      <c r="AS97" s="1256">
        <f>'Prg. Marketing'!AR81</f>
        <v>0.64162863072681597</v>
      </c>
      <c r="AT97" s="1256">
        <f>'Prg. Marketing'!AS81</f>
        <v>0.65046532538168267</v>
      </c>
      <c r="AU97" s="1256">
        <f>'Prg. Marketing'!AT81</f>
        <v>0.64514046703176986</v>
      </c>
      <c r="AV97" s="1256">
        <f>'Prg. Marketing'!AU81</f>
        <v>0.63938376769213501</v>
      </c>
      <c r="AW97" s="1256">
        <f>'Prg. Marketing'!AV81</f>
        <v>0.63358088999057316</v>
      </c>
      <c r="AX97" s="1256">
        <f>'Prg. Marketing'!AW81</f>
        <v>0.62782521385695356</v>
      </c>
      <c r="AY97" s="1257">
        <f>'Prg. Marketing'!AX81</f>
        <v>0.64521846578059083</v>
      </c>
      <c r="AZ97" s="1256">
        <f>'Prg. Marketing'!AY81</f>
        <v>0.66171808048744329</v>
      </c>
      <c r="BA97" s="1256">
        <f>'Prg. Marketing'!AZ81</f>
        <v>0.64677551855813609</v>
      </c>
      <c r="BB97" s="1256">
        <f>'Prg. Marketing'!BA81</f>
        <v>0.62980306902308492</v>
      </c>
      <c r="BC97" s="1256">
        <f>'Prg. Marketing'!BB81</f>
        <v>0.61252181341886425</v>
      </c>
      <c r="BD97" s="1256">
        <f>'Prg. Marketing'!BC81</f>
        <v>0.59547888106651459</v>
      </c>
      <c r="BE97" s="1256">
        <f>'Prg. Marketing'!BD81</f>
        <v>0.58852825461883695</v>
      </c>
      <c r="BF97" s="1256">
        <f>'Prg. Marketing'!BE81</f>
        <v>0.60204124259722358</v>
      </c>
      <c r="BG97" s="1256">
        <f>'Prg. Marketing'!BF81</f>
        <v>0.5895558364383614</v>
      </c>
      <c r="BH97" s="1256">
        <f>'Prg. Marketing'!BG81</f>
        <v>0.57484750903114545</v>
      </c>
      <c r="BI97" s="1256">
        <f>'Prg. Marketing'!BH81</f>
        <v>0.56817248206036541</v>
      </c>
      <c r="BJ97" s="1256">
        <f>'Prg. Marketing'!BI81</f>
        <v>0.56350498756269818</v>
      </c>
      <c r="BK97" s="1257">
        <f>'Prg. Marketing'!BJ81</f>
        <v>0.55323177764072062</v>
      </c>
    </row>
    <row r="98" spans="1:63" s="1256" customFormat="1" ht="18.75">
      <c r="A98" s="1252"/>
      <c r="B98" s="1253"/>
      <c r="C98" s="1254" t="str">
        <f t="shared" si="2"/>
        <v>Public Workshops</v>
      </c>
      <c r="D98" s="1255">
        <f>'Prg. Marketing'!C99</f>
        <v>0.2692751494807511</v>
      </c>
      <c r="E98" s="1256">
        <f>'Prg. Marketing'!D99</f>
        <v>0.2692751494807511</v>
      </c>
      <c r="F98" s="1256">
        <f>'Prg. Marketing'!E99</f>
        <v>0.25482359167287383</v>
      </c>
      <c r="G98" s="1256">
        <f>'Prg. Marketing'!F99</f>
        <v>0.24121192909415248</v>
      </c>
      <c r="H98" s="1256">
        <f>'Prg. Marketing'!G99</f>
        <v>0.24600103135811782</v>
      </c>
      <c r="I98" s="1256">
        <f>'Prg. Marketing'!H99</f>
        <v>0.2327024024322564</v>
      </c>
      <c r="J98" s="1256">
        <f>'Prg. Marketing'!I99</f>
        <v>0.22017766637785183</v>
      </c>
      <c r="K98" s="1256">
        <f>'Prg. Marketing'!J99</f>
        <v>0.20837802656534221</v>
      </c>
      <c r="L98" s="1256">
        <f>'Prg. Marketing'!K99</f>
        <v>0.20729503985604797</v>
      </c>
      <c r="M98" s="1256">
        <f>'Prg. Marketing'!L99</f>
        <v>0.19690140356737043</v>
      </c>
      <c r="N98" s="1256">
        <f>'Prg. Marketing'!M99</f>
        <v>0.18638082054289526</v>
      </c>
      <c r="O98" s="1257">
        <f>'Prg. Marketing'!N99</f>
        <v>0.1764089220966836</v>
      </c>
      <c r="P98" s="1256">
        <f>'Prg. Marketing'!O99</f>
        <v>0.16700353752947383</v>
      </c>
      <c r="Q98" s="1256">
        <f>'Prg. Marketing'!P99</f>
        <v>0.16400523572428669</v>
      </c>
      <c r="R98" s="1256">
        <f>'Prg. Marketing'!Q99</f>
        <v>0.16234634064428519</v>
      </c>
      <c r="S98" s="1256">
        <f>'Prg. Marketing'!R99</f>
        <v>0.16017741768020369</v>
      </c>
      <c r="T98" s="1256">
        <f>'Prg. Marketing'!S99</f>
        <v>0.15801534721330407</v>
      </c>
      <c r="U98" s="1256">
        <f>'Prg. Marketing'!T99</f>
        <v>0.15590050958835722</v>
      </c>
      <c r="V98" s="1256">
        <f>'Prg. Marketing'!U99</f>
        <v>0.17127099717937835</v>
      </c>
      <c r="W98" s="1256">
        <f>'Prg. Marketing'!V99</f>
        <v>0.16880476846887824</v>
      </c>
      <c r="X98" s="1256">
        <f>'Prg. Marketing'!W99</f>
        <v>0.16639618080355956</v>
      </c>
      <c r="Y98" s="1256">
        <f>'Prg. Marketing'!X99</f>
        <v>0.16404344908611107</v>
      </c>
      <c r="Z98" s="1256">
        <f>'Prg. Marketing'!Y99</f>
        <v>0.161744848764627</v>
      </c>
      <c r="AA98" s="1257">
        <f>'Prg. Marketing'!Z99</f>
        <v>0.1594987150915218</v>
      </c>
      <c r="AB98" s="1256">
        <f>'Prg. Marketing'!AA99</f>
        <v>0.16332972256266265</v>
      </c>
      <c r="AC98" s="1256">
        <f>'Prg. Marketing'!AB99</f>
        <v>0.16917287211576093</v>
      </c>
      <c r="AD98" s="1256">
        <f>'Prg. Marketing'!AC99</f>
        <v>0.16696063448789486</v>
      </c>
      <c r="AE98" s="1256">
        <f>'Prg. Marketing'!AD99</f>
        <v>0.16468508932482234</v>
      </c>
      <c r="AF98" s="1256">
        <f>'Prg. Marketing'!AE99</f>
        <v>0.16245766886089039</v>
      </c>
      <c r="AG98" s="1256">
        <f>'Prg. Marketing'!AF99</f>
        <v>0.16029352723244614</v>
      </c>
      <c r="AH98" s="1256">
        <f>'Prg. Marketing'!AG99</f>
        <v>0.15819223765789422</v>
      </c>
      <c r="AI98" s="1256">
        <f>'Prg. Marketing'!AH99</f>
        <v>0.15615100251298619</v>
      </c>
      <c r="AJ98" s="1256">
        <f>'Prg. Marketing'!AI99</f>
        <v>0.15995270230086281</v>
      </c>
      <c r="AK98" s="1256">
        <f>'Prg. Marketing'!AJ99</f>
        <v>0.15934720023862023</v>
      </c>
      <c r="AL98" s="1256">
        <f>'Prg. Marketing'!AK99</f>
        <v>0.15769823120836102</v>
      </c>
      <c r="AM98" s="1257">
        <f>'Prg. Marketing'!AL99</f>
        <v>0.16187863455392268</v>
      </c>
      <c r="AN98" s="1256">
        <f>'Prg. Marketing'!AM99</f>
        <v>0.15989139312967957</v>
      </c>
      <c r="AO98" s="1256">
        <f>'Prg. Marketing'!AN99</f>
        <v>0.16286716150803238</v>
      </c>
      <c r="AP98" s="1256">
        <f>'Prg. Marketing'!AO99</f>
        <v>0.15879956452334512</v>
      </c>
      <c r="AQ98" s="1256">
        <f>'Prg. Marketing'!AP99</f>
        <v>0.15562978118354917</v>
      </c>
      <c r="AR98" s="1256">
        <f>'Prg. Marketing'!AQ99</f>
        <v>0.15266640039074145</v>
      </c>
      <c r="AS98" s="1256">
        <f>'Prg. Marketing'!AR99</f>
        <v>0.1546689682581481</v>
      </c>
      <c r="AT98" s="1256">
        <f>'Prg. Marketing'!AS99</f>
        <v>0.15821276979386259</v>
      </c>
      <c r="AU98" s="1256">
        <f>'Prg. Marketing'!AT99</f>
        <v>0.1555388388324731</v>
      </c>
      <c r="AV98" s="1256">
        <f>'Prg. Marketing'!AU99</f>
        <v>0.15270546026883391</v>
      </c>
      <c r="AW98" s="1256">
        <f>'Prg. Marketing'!AV99</f>
        <v>0.14988159905347817</v>
      </c>
      <c r="AX98" s="1256">
        <f>'Prg. Marketing'!AW99</f>
        <v>0.14710707027747608</v>
      </c>
      <c r="AY98" s="1257">
        <f>'Prg. Marketing'!AX99</f>
        <v>0.15407653851622244</v>
      </c>
      <c r="AZ98" s="1256">
        <f>'Prg. Marketing'!AY99</f>
        <v>0.16054343406250043</v>
      </c>
      <c r="BA98" s="1256">
        <f>'Prg. Marketing'!AZ99</f>
        <v>0.15686106636547753</v>
      </c>
      <c r="BB98" s="1256">
        <f>'Prg. Marketing'!BA99</f>
        <v>0.15228075921661741</v>
      </c>
      <c r="BC98" s="1256">
        <f>'Prg. Marketing'!BB99</f>
        <v>0.14752370246582019</v>
      </c>
      <c r="BD98" s="1256">
        <f>'Prg. Marketing'!BC99</f>
        <v>0.14281864905584088</v>
      </c>
      <c r="BE98" s="1256">
        <f>'Prg. Marketing'!BD99</f>
        <v>0.14218670465505434</v>
      </c>
      <c r="BF98" s="1256">
        <f>'Prg. Marketing'!BE99</f>
        <v>0.14979394396883058</v>
      </c>
      <c r="BG98" s="1256">
        <f>'Prg. Marketing'!BF99</f>
        <v>0.14674452373324415</v>
      </c>
      <c r="BH98" s="1256">
        <f>'Prg. Marketing'!BG99</f>
        <v>0.14274982462166602</v>
      </c>
      <c r="BI98" s="1256">
        <f>'Prg. Marketing'!BH99</f>
        <v>0.14193944096783306</v>
      </c>
      <c r="BJ98" s="1256">
        <f>'Prg. Marketing'!BI99</f>
        <v>0.14186834379445748</v>
      </c>
      <c r="BK98" s="1257">
        <f>'Prg. Marketing'!BJ99</f>
        <v>0.13949880018557881</v>
      </c>
    </row>
    <row r="99" spans="1:63" s="1256" customFormat="1" ht="18.75">
      <c r="A99" s="1252"/>
      <c r="B99" s="1253"/>
      <c r="C99" s="1254" t="str">
        <f t="shared" si="2"/>
        <v>Presentations</v>
      </c>
      <c r="D99" s="1255">
        <f>'Prg. Marketing'!C117</f>
        <v>0.25901808785529717</v>
      </c>
      <c r="E99" s="1256">
        <f>'Prg. Marketing'!D117</f>
        <v>0.27855297157622738</v>
      </c>
      <c r="F99" s="1256">
        <f>'Prg. Marketing'!E117</f>
        <v>0.26225695278417621</v>
      </c>
      <c r="G99" s="1256">
        <f>'Prg. Marketing'!F117</f>
        <v>0.24700230160466757</v>
      </c>
      <c r="H99" s="1256">
        <f>'Prg. Marketing'!G117</f>
        <v>0.26164292070186035</v>
      </c>
      <c r="I99" s="1256">
        <f>'Prg. Marketing'!H117</f>
        <v>0.24627187673222692</v>
      </c>
      <c r="J99" s="1256">
        <f>'Prg. Marketing'!I117</f>
        <v>0.23187781405787053</v>
      </c>
      <c r="K99" s="1256">
        <f>'Prg. Marketing'!J117</f>
        <v>0.21839395395147365</v>
      </c>
      <c r="L99" s="1256">
        <f>'Prg. Marketing'!K117</f>
        <v>0.22224122947587421</v>
      </c>
      <c r="M99" s="1256">
        <f>'Prg. Marketing'!L117</f>
        <v>0.2105428732911932</v>
      </c>
      <c r="N99" s="1256">
        <f>'Prg. Marketing'!M117</f>
        <v>0.19839202429054162</v>
      </c>
      <c r="O99" s="1257">
        <f>'Prg. Marketing'!N117</f>
        <v>0.18690929595339198</v>
      </c>
      <c r="P99" s="1256">
        <f>'Prg. Marketing'!O117</f>
        <v>0.17613455214803383</v>
      </c>
      <c r="Q99" s="1256">
        <f>'Prg. Marketing'!P117</f>
        <v>0.17193945054401949</v>
      </c>
      <c r="R99" s="1256">
        <f>'Prg. Marketing'!Q117</f>
        <v>0.16993851718360625</v>
      </c>
      <c r="S99" s="1256">
        <f>'Prg. Marketing'!R117</f>
        <v>0.16709464150796099</v>
      </c>
      <c r="T99" s="1256">
        <f>'Prg. Marketing'!S117</f>
        <v>0.16425668695854856</v>
      </c>
      <c r="U99" s="1256">
        <f>'Prg. Marketing'!T117</f>
        <v>0.16149100594014748</v>
      </c>
      <c r="V99" s="1256">
        <f>'Prg. Marketing'!U117</f>
        <v>0.1874345601714841</v>
      </c>
      <c r="W99" s="1256">
        <f>'Prg. Marketing'!V117</f>
        <v>0.18408135562927755</v>
      </c>
      <c r="X99" s="1256">
        <f>'Prg. Marketing'!W117</f>
        <v>0.18081763406807366</v>
      </c>
      <c r="Y99" s="1256">
        <f>'Prg. Marketing'!X117</f>
        <v>0.17764050242961127</v>
      </c>
      <c r="Z99" s="1256">
        <f>'Prg. Marketing'!Y117</f>
        <v>0.17454716679812499</v>
      </c>
      <c r="AA99" s="1257">
        <f>'Prg. Marketing'!Z117</f>
        <v>0.17153493118545152</v>
      </c>
      <c r="AB99" s="1256">
        <f>'Prg. Marketing'!AA117</f>
        <v>0.17849758373352137</v>
      </c>
      <c r="AC99" s="1256">
        <f>'Prg. Marketing'!AB117</f>
        <v>0.18872371774402541</v>
      </c>
      <c r="AD99" s="1256">
        <f>'Prg. Marketing'!AC117</f>
        <v>0.18571682427544656</v>
      </c>
      <c r="AE99" s="1256">
        <f>'Prg. Marketing'!AD117</f>
        <v>0.18260156758045593</v>
      </c>
      <c r="AF99" s="1256">
        <f>'Prg. Marketing'!AE117</f>
        <v>0.17956097314464065</v>
      </c>
      <c r="AG99" s="1256">
        <f>'Prg. Marketing'!AF117</f>
        <v>0.1766199578628464</v>
      </c>
      <c r="AH99" s="1256">
        <f>'Prg. Marketing'!AG117</f>
        <v>0.17377785135293305</v>
      </c>
      <c r="AI99" s="1256">
        <f>'Prg. Marketing'!AH117</f>
        <v>0.17103008960892355</v>
      </c>
      <c r="AJ99" s="1256">
        <f>'Prg. Marketing'!AI117</f>
        <v>0.17787337793643071</v>
      </c>
      <c r="AK99" s="1256">
        <f>'Prg. Marketing'!AJ117</f>
        <v>0.17747492034669865</v>
      </c>
      <c r="AL99" s="1256">
        <f>'Prg. Marketing'!AK117</f>
        <v>0.17535868870026947</v>
      </c>
      <c r="AM99" s="1257">
        <f>'Prg. Marketing'!AL117</f>
        <v>0.18281132352692558</v>
      </c>
      <c r="AN99" s="1256">
        <f>'Prg. Marketing'!AM117</f>
        <v>0.18013129255466889</v>
      </c>
      <c r="AO99" s="1256">
        <f>'Prg. Marketing'!AN117</f>
        <v>0.18630280132579044</v>
      </c>
      <c r="AP99" s="1256">
        <f>'Prg. Marketing'!AO117</f>
        <v>0.18088764141532487</v>
      </c>
      <c r="AQ99" s="1256">
        <f>'Prg. Marketing'!AP117</f>
        <v>0.17692716861028296</v>
      </c>
      <c r="AR99" s="1256">
        <f>'Prg. Marketing'!AQ117</f>
        <v>0.1732862512391001</v>
      </c>
      <c r="AS99" s="1256">
        <f>'Prg. Marketing'!AR117</f>
        <v>0.17778134200838688</v>
      </c>
      <c r="AT99" s="1256">
        <f>'Prg. Marketing'!AS117</f>
        <v>0.18478865444115949</v>
      </c>
      <c r="AU99" s="1256">
        <f>'Prg. Marketing'!AT117</f>
        <v>0.181566668493434</v>
      </c>
      <c r="AV99" s="1256">
        <f>'Prg. Marketing'!AU117</f>
        <v>0.17806461827412556</v>
      </c>
      <c r="AW99" s="1256">
        <f>'Prg. Marketing'!AV117</f>
        <v>0.17456026276446482</v>
      </c>
      <c r="AX99" s="1256">
        <f>'Prg. Marketing'!AW117</f>
        <v>0.17111926597742247</v>
      </c>
      <c r="AY99" s="1257">
        <f>'Prg. Marketing'!AX117</f>
        <v>0.18366252962687324</v>
      </c>
      <c r="AZ99" s="1256">
        <f>'Prg. Marketing'!AY117</f>
        <v>0.19536335658043533</v>
      </c>
      <c r="BA99" s="1256">
        <f>'Prg. Marketing'!AZ117</f>
        <v>0.19225025893196607</v>
      </c>
      <c r="BB99" s="1256">
        <f>'Prg. Marketing'!BA117</f>
        <v>0.18755339436187421</v>
      </c>
      <c r="BC99" s="1256">
        <f>'Prg. Marketing'!BB117</f>
        <v>0.18245463474127524</v>
      </c>
      <c r="BD99" s="1256">
        <f>'Prg. Marketing'!BC117</f>
        <v>0.17733324450461782</v>
      </c>
      <c r="BE99" s="1256">
        <f>'Prg. Marketing'!BD117</f>
        <v>0.17893006209759374</v>
      </c>
      <c r="BF99" s="1256">
        <f>'Prg. Marketing'!BE117</f>
        <v>0.19433940349089279</v>
      </c>
      <c r="BG99" s="1256">
        <f>'Prg. Marketing'!BF117</f>
        <v>0.19180691002983621</v>
      </c>
      <c r="BH99" s="1256">
        <f>'Prg. Marketing'!BG117</f>
        <v>0.18758907149306389</v>
      </c>
      <c r="BI99" s="1256">
        <f>'Prg. Marketing'!BH117</f>
        <v>0.18870113398398233</v>
      </c>
      <c r="BJ99" s="1256">
        <f>'Prg. Marketing'!BI117</f>
        <v>0.1910286276902079</v>
      </c>
      <c r="BK99" s="1257">
        <f>'Prg. Marketing'!BJ117</f>
        <v>0.1893718342898319</v>
      </c>
    </row>
    <row r="100" spans="1:63" s="1256" customFormat="1" ht="18.75">
      <c r="A100" s="1252"/>
      <c r="B100" s="1253"/>
      <c r="C100" s="1254" t="str">
        <f t="shared" si="2"/>
        <v>Tabeling</v>
      </c>
      <c r="D100" s="1255">
        <f>'Prg. Marketing'!C135</f>
        <v>0.19817938420348058</v>
      </c>
      <c r="E100" s="1256">
        <f>'Prg. Marketing'!D135</f>
        <v>0.19817938420348055</v>
      </c>
      <c r="F100" s="1256">
        <f>'Prg. Marketing'!E135</f>
        <v>0.18578105541145301</v>
      </c>
      <c r="G100" s="1256">
        <f>'Prg. Marketing'!F135</f>
        <v>0.17422668217840587</v>
      </c>
      <c r="H100" s="1256">
        <f>'Prg. Marketing'!G135</f>
        <v>0.19042917562007863</v>
      </c>
      <c r="I100" s="1256">
        <f>'Prg. Marketing'!H135</f>
        <v>0.17852903121130709</v>
      </c>
      <c r="J100" s="1256">
        <f>'Prg. Marketing'!I135</f>
        <v>0.1674293578415661</v>
      </c>
      <c r="K100" s="1256">
        <f>'Prg. Marketing'!J135</f>
        <v>0.15707290773867105</v>
      </c>
      <c r="L100" s="1256">
        <f>'Prg. Marketing'!K135</f>
        <v>0.16277749263664837</v>
      </c>
      <c r="M100" s="1256">
        <f>'Prg. Marketing'!L135</f>
        <v>0.15388911579412956</v>
      </c>
      <c r="N100" s="1256">
        <f>'Prg. Marketing'!M135</f>
        <v>0.1444869548343912</v>
      </c>
      <c r="O100" s="1257">
        <f>'Prg. Marketing'!N135</f>
        <v>0.13562018795394484</v>
      </c>
      <c r="P100" s="1256">
        <f>'Prg. Marketing'!O135</f>
        <v>0.12732997219015574</v>
      </c>
      <c r="Q100" s="1256">
        <f>'Prg. Marketing'!P135</f>
        <v>0.12419905597631196</v>
      </c>
      <c r="R100" s="1256">
        <f>'Prg. Marketing'!Q135</f>
        <v>0.12310121845351593</v>
      </c>
      <c r="S100" s="1256">
        <f>'Prg. Marketing'!R135</f>
        <v>0.1211944762547027</v>
      </c>
      <c r="T100" s="1256">
        <f>'Prg. Marketing'!S135</f>
        <v>0.11927361057892798</v>
      </c>
      <c r="U100" s="1256">
        <f>'Prg. Marketing'!T135</f>
        <v>0.11740172153477231</v>
      </c>
      <c r="V100" s="1256">
        <f>'Prg. Marketing'!U135</f>
        <v>0.14294780219876041</v>
      </c>
      <c r="W100" s="1256">
        <f>'Prg. Marketing'!V135</f>
        <v>0.14058569974239443</v>
      </c>
      <c r="X100" s="1256">
        <f>'Prg. Marketing'!W135</f>
        <v>0.13828604361666247</v>
      </c>
      <c r="Y100" s="1256">
        <f>'Prg. Marketing'!X135</f>
        <v>0.13604694645354359</v>
      </c>
      <c r="Z100" s="1256">
        <f>'Prg. Marketing'!Y135</f>
        <v>0.13386657916169678</v>
      </c>
      <c r="AA100" s="1257">
        <f>'Prg. Marketing'!Z135</f>
        <v>0.13174317129992788</v>
      </c>
      <c r="AB100" s="1256">
        <f>'Prg. Marketing'!AA135</f>
        <v>0.13936793199409464</v>
      </c>
      <c r="AC100" s="1256">
        <f>'Prg. Marketing'!AB135</f>
        <v>0.15000337390623752</v>
      </c>
      <c r="AD100" s="1256">
        <f>'Prg. Marketing'!AC135</f>
        <v>0.14766365016432681</v>
      </c>
      <c r="AE100" s="1256">
        <f>'Prg. Marketing'!AD135</f>
        <v>0.1452027475950417</v>
      </c>
      <c r="AF100" s="1256">
        <f>'Prg. Marketing'!AE135</f>
        <v>0.14280086798661629</v>
      </c>
      <c r="AG100" s="1256">
        <f>'Prg. Marketing'!AF135</f>
        <v>0.14048321752989601</v>
      </c>
      <c r="AH100" s="1256">
        <f>'Prg. Marketing'!AG135</f>
        <v>0.13824981385391241</v>
      </c>
      <c r="AI100" s="1256">
        <f>'Prg. Marketing'!AH135</f>
        <v>0.13609679128710708</v>
      </c>
      <c r="AJ100" s="1256">
        <f>'Prg. Marketing'!AI135</f>
        <v>0.14351204865308814</v>
      </c>
      <c r="AK100" s="1256">
        <f>'Prg. Marketing'!AJ135</f>
        <v>0.14370903681390898</v>
      </c>
      <c r="AL100" s="1256">
        <f>'Prg. Marketing'!AK135</f>
        <v>0.14217985551577794</v>
      </c>
      <c r="AM100" s="1257">
        <f>'Prg. Marketing'!AL135</f>
        <v>0.15027103189987023</v>
      </c>
      <c r="AN100" s="1256">
        <f>'Prg. Marketing'!AM135</f>
        <v>0.14817654168095612</v>
      </c>
      <c r="AO100" s="1256">
        <f>'Prg. Marketing'!AN135</f>
        <v>0.15242737706398013</v>
      </c>
      <c r="AP100" s="1256">
        <f>'Prg. Marketing'!AO135</f>
        <v>0.1451785529852076</v>
      </c>
      <c r="AQ100" s="1256">
        <f>'Prg. Marketing'!AP135</f>
        <v>0.1395140703853173</v>
      </c>
      <c r="AR100" s="1256">
        <f>'Prg. Marketing'!AQ135</f>
        <v>0.13428925177690323</v>
      </c>
      <c r="AS100" s="1256">
        <f>'Prg. Marketing'!AR135</f>
        <v>0.13675721494697679</v>
      </c>
      <c r="AT100" s="1256">
        <f>'Prg. Marketing'!AS135</f>
        <v>0.14140274082914805</v>
      </c>
      <c r="AU100" s="1256">
        <f>'Prg. Marketing'!AT135</f>
        <v>0.13664579022019357</v>
      </c>
      <c r="AV100" s="1256">
        <f>'Prg. Marketing'!AU135</f>
        <v>0.13175089316088254</v>
      </c>
      <c r="AW100" s="1256">
        <f>'Prg. Marketing'!AV135</f>
        <v>0.12697003152205907</v>
      </c>
      <c r="AX100" s="1256">
        <f>'Prg. Marketing'!AW135</f>
        <v>0.12235733905202949</v>
      </c>
      <c r="AY100" s="1257">
        <f>'Prg. Marketing'!AX135</f>
        <v>0.13134021159839016</v>
      </c>
      <c r="AZ100" s="1256">
        <f>'Prg. Marketing'!AY135</f>
        <v>0.13929646336179435</v>
      </c>
      <c r="BA100" s="1256">
        <f>'Prg. Marketing'!AZ135</f>
        <v>0.13623675540256347</v>
      </c>
      <c r="BB100" s="1256">
        <f>'Prg. Marketing'!BA135</f>
        <v>0.13190661922144248</v>
      </c>
      <c r="BC100" s="1256">
        <f>'Prg. Marketing'!BB135</f>
        <v>0.12729528929654055</v>
      </c>
      <c r="BD100" s="1256">
        <f>'Prg. Marketing'!BC135</f>
        <v>0.12271558276284472</v>
      </c>
      <c r="BE100" s="1256">
        <f>'Prg. Marketing'!BD135</f>
        <v>0.12354142172120297</v>
      </c>
      <c r="BF100" s="1256">
        <f>'Prg. Marketing'!BE135</f>
        <v>0.13525286081189955</v>
      </c>
      <c r="BG100" s="1256">
        <f>'Prg. Marketing'!BF135</f>
        <v>0.13268055155883215</v>
      </c>
      <c r="BH100" s="1256">
        <f>'Prg. Marketing'!BG135</f>
        <v>0.1288158771290327</v>
      </c>
      <c r="BI100" s="1256">
        <f>'Prg. Marketing'!BH135</f>
        <v>0.12910485362834531</v>
      </c>
      <c r="BJ100" s="1256">
        <f>'Prg. Marketing'!BI135</f>
        <v>0.13029835022351019</v>
      </c>
      <c r="BK100" s="1257">
        <f>'Prg. Marketing'!BJ135</f>
        <v>0.12842634890313664</v>
      </c>
    </row>
    <row r="101" spans="1:63" s="1256" customFormat="1" ht="18.75">
      <c r="A101" s="1252"/>
      <c r="B101" s="1253"/>
      <c r="C101" s="1254" t="str">
        <f t="shared" si="2"/>
        <v>Campaign</v>
      </c>
      <c r="D101" s="1255">
        <f>'Prg. Marketing'!C153</f>
        <v>0.26723688133571855</v>
      </c>
      <c r="E101" s="1256">
        <f>'Prg. Marketing'!D153</f>
        <v>0.2672368813357186</v>
      </c>
      <c r="F101" s="1256">
        <f>'Prg. Marketing'!E153</f>
        <v>0.24219406466005089</v>
      </c>
      <c r="G101" s="1256">
        <f>'Prg. Marketing'!F153</f>
        <v>0.21956200268811579</v>
      </c>
      <c r="H101" s="1256">
        <f>'Prg. Marketing'!G153</f>
        <v>0.2165690211980725</v>
      </c>
      <c r="I101" s="1256">
        <f>'Prg. Marketing'!H153</f>
        <v>0.19619520213174368</v>
      </c>
      <c r="J101" s="1256">
        <f>'Prg. Marketing'!I153</f>
        <v>0.17778607310671998</v>
      </c>
      <c r="K101" s="1256">
        <f>'Prg. Marketing'!J153</f>
        <v>0.16114701805781806</v>
      </c>
      <c r="L101" s="1256">
        <f>'Prg. Marketing'!K153</f>
        <v>0.15451497038602158</v>
      </c>
      <c r="M101" s="1256">
        <f>'Prg. Marketing'!L153</f>
        <v>0.14063452207183691</v>
      </c>
      <c r="N101" s="1256">
        <f>'Prg. Marketing'!M153</f>
        <v>0.12750124659493742</v>
      </c>
      <c r="O101" s="1257">
        <f>'Prg. Marketing'!N153</f>
        <v>0.11558334581007755</v>
      </c>
      <c r="P101" s="1256">
        <f>'Prg. Marketing'!O153</f>
        <v>0.10480172675990154</v>
      </c>
      <c r="Q101" s="1256">
        <f>'Prg. Marketing'!P153</f>
        <v>0.1015349748119723</v>
      </c>
      <c r="R101" s="1256">
        <f>'Prg. Marketing'!Q153</f>
        <v>9.9257035608519575E-2</v>
      </c>
      <c r="S101" s="1256">
        <f>'Prg. Marketing'!R153</f>
        <v>9.6670355832347829E-2</v>
      </c>
      <c r="T101" s="1256">
        <f>'Prg. Marketing'!S153</f>
        <v>9.413565753126793E-2</v>
      </c>
      <c r="U101" s="1256">
        <f>'Prg. Marketing'!T153</f>
        <v>9.1678930666929448E-2</v>
      </c>
      <c r="V101" s="1256">
        <f>'Prg. Marketing'!U153</f>
        <v>0.10077930071019055</v>
      </c>
      <c r="W101" s="1256">
        <f>'Prg. Marketing'!V153</f>
        <v>9.8044027871160774E-2</v>
      </c>
      <c r="X101" s="1256">
        <f>'Prg. Marketing'!W153</f>
        <v>9.5396576172144559E-2</v>
      </c>
      <c r="Y101" s="1256">
        <f>'Prg. Marketing'!X153</f>
        <v>9.2833652521388518E-2</v>
      </c>
      <c r="Z101" s="1256">
        <f>'Prg. Marketing'!Y153</f>
        <v>9.0352101206841465E-2</v>
      </c>
      <c r="AA101" s="1257">
        <f>'Prg. Marketing'!Z153</f>
        <v>8.7948898659070185E-2</v>
      </c>
      <c r="AB101" s="1256">
        <f>'Prg. Marketing'!AA153</f>
        <v>8.9309368258935054E-2</v>
      </c>
      <c r="AC101" s="1256">
        <f>'Prg. Marketing'!AB153</f>
        <v>9.2276828300288008E-2</v>
      </c>
      <c r="AD101" s="1256">
        <f>'Prg. Marketing'!AC153</f>
        <v>9.0337457697046389E-2</v>
      </c>
      <c r="AE101" s="1256">
        <f>'Prg. Marketing'!AD153</f>
        <v>8.8383210150485364E-2</v>
      </c>
      <c r="AF101" s="1256">
        <f>'Prg. Marketing'!AE153</f>
        <v>8.6480910478855907E-2</v>
      </c>
      <c r="AG101" s="1256">
        <f>'Prg. Marketing'!AF153</f>
        <v>8.4638636017513563E-2</v>
      </c>
      <c r="AH101" s="1256">
        <f>'Prg. Marketing'!AG153</f>
        <v>8.285508966837335E-2</v>
      </c>
      <c r="AI101" s="1256">
        <f>'Prg. Marketing'!AH153</f>
        <v>8.1127617801456081E-2</v>
      </c>
      <c r="AJ101" s="1256">
        <f>'Prg. Marketing'!AI153</f>
        <v>8.2791584641067714E-2</v>
      </c>
      <c r="AK101" s="1256">
        <f>'Prg. Marketing'!AJ153</f>
        <v>8.1902256801085122E-2</v>
      </c>
      <c r="AL101" s="1256">
        <f>'Prg. Marketing'!AK153</f>
        <v>8.0427878031462133E-2</v>
      </c>
      <c r="AM101" s="1257">
        <f>'Prg. Marketing'!AL153</f>
        <v>8.2259819658806979E-2</v>
      </c>
      <c r="AN101" s="1256">
        <f>'Prg. Marketing'!AM153</f>
        <v>8.0605206071070828E-2</v>
      </c>
      <c r="AO101" s="1256">
        <f>'Prg. Marketing'!AN153</f>
        <v>8.0433801875049407E-2</v>
      </c>
      <c r="AP101" s="1256">
        <f>'Prg. Marketing'!AO153</f>
        <v>7.646387445822643E-2</v>
      </c>
      <c r="AQ101" s="1256">
        <f>'Prg. Marketing'!AP153</f>
        <v>7.3103747265607116E-2</v>
      </c>
      <c r="AR101" s="1256">
        <f>'Prg. Marketing'!AQ153</f>
        <v>6.9963860981128154E-2</v>
      </c>
      <c r="AS101" s="1256">
        <f>'Prg. Marketing'!AR153</f>
        <v>6.9394269514800988E-2</v>
      </c>
      <c r="AT101" s="1256">
        <f>'Prg. Marketing'!AS153</f>
        <v>6.9556184371951366E-2</v>
      </c>
      <c r="AU101" s="1256">
        <f>'Prg. Marketing'!AT153</f>
        <v>6.6730424476946618E-2</v>
      </c>
      <c r="AV101" s="1256">
        <f>'Prg. Marketing'!AU153</f>
        <v>6.3925066929111818E-2</v>
      </c>
      <c r="AW101" s="1256">
        <f>'Prg. Marketing'!AV153</f>
        <v>6.1218647949172714E-2</v>
      </c>
      <c r="AX101" s="1256">
        <f>'Prg. Marketing'!AW153</f>
        <v>5.8625485447145541E-2</v>
      </c>
      <c r="AY101" s="1257">
        <f>'Prg. Marketing'!AX153</f>
        <v>6.0298303654079947E-2</v>
      </c>
      <c r="AZ101" s="1256">
        <f>'Prg. Marketing'!AY153</f>
        <v>6.1645338695208281E-2</v>
      </c>
      <c r="BA101" s="1256">
        <f>'Prg. Marketing'!AZ153</f>
        <v>5.9083234088894925E-2</v>
      </c>
      <c r="BB101" s="1256">
        <f>'Prg. Marketing'!BA153</f>
        <v>5.623219352602854E-2</v>
      </c>
      <c r="BC101" s="1256">
        <f>'Prg. Marketing'!BB153</f>
        <v>5.3396336278226861E-2</v>
      </c>
      <c r="BD101" s="1256">
        <f>'Prg. Marketing'!BC153</f>
        <v>5.0666180209191662E-2</v>
      </c>
      <c r="BE101" s="1256">
        <f>'Prg. Marketing'!BD153</f>
        <v>4.9560899962843095E-2</v>
      </c>
      <c r="BF101" s="1256">
        <f>'Prg. Marketing'!BE153</f>
        <v>5.153272331564885E-2</v>
      </c>
      <c r="BG101" s="1256">
        <f>'Prg. Marketing'!BF153</f>
        <v>4.9526557007126451E-2</v>
      </c>
      <c r="BH101" s="1256">
        <f>'Prg. Marketing'!BG153</f>
        <v>4.7238826662029595E-2</v>
      </c>
      <c r="BI101" s="1256">
        <f>'Prg. Marketing'!BH153</f>
        <v>4.6131420180358484E-2</v>
      </c>
      <c r="BJ101" s="1256">
        <f>'Prg. Marketing'!BI153</f>
        <v>4.5299073015785715E-2</v>
      </c>
      <c r="BK101" s="1257">
        <f>'Prg. Marketing'!BJ153</f>
        <v>4.3706662713868756E-2</v>
      </c>
    </row>
    <row r="102" spans="1:63" s="1256" customFormat="1" ht="18.75">
      <c r="A102" s="1252"/>
      <c r="B102" s="1253"/>
      <c r="C102" s="1254" t="str">
        <f t="shared" si="2"/>
        <v>Bill Inserts</v>
      </c>
      <c r="D102" s="1255">
        <f>'Prg. Marketing'!C171</f>
        <v>0.17725104353011331</v>
      </c>
      <c r="E102" s="1256">
        <f>'Prg. Marketing'!D171</f>
        <v>0.20542635658914729</v>
      </c>
      <c r="F102" s="1256">
        <f>'Prg. Marketing'!E171</f>
        <v>0.20025041782107594</v>
      </c>
      <c r="G102" s="1256">
        <f>'Prg. Marketing'!F171</f>
        <v>0.19526535748020712</v>
      </c>
      <c r="H102" s="1256">
        <f>'Prg. Marketing'!G171</f>
        <v>0.20881804285665453</v>
      </c>
      <c r="I102" s="1256">
        <f>'Prg. Marketing'!H171</f>
        <v>0.20347845611630214</v>
      </c>
      <c r="J102" s="1256">
        <f>'Prg. Marketing'!I171</f>
        <v>0.19833183543819979</v>
      </c>
      <c r="K102" s="1256">
        <f>'Prg. Marketing'!J171</f>
        <v>0.19336950690407509</v>
      </c>
      <c r="L102" s="1256">
        <f>'Prg. Marketing'!K171</f>
        <v>0.20045918545715685</v>
      </c>
      <c r="M102" s="1256">
        <f>'Prg. Marketing'!L171</f>
        <v>0.19633311721567501</v>
      </c>
      <c r="N102" s="1256">
        <f>'Prg. Marketing'!M171</f>
        <v>0.19147360277962475</v>
      </c>
      <c r="O102" s="1257">
        <f>'Prg. Marketing'!N171</f>
        <v>0.18671319957448099</v>
      </c>
      <c r="P102" s="1256">
        <f>'Prg. Marketing'!O171</f>
        <v>0.18211176931437584</v>
      </c>
      <c r="Q102" s="1256">
        <f>'Prg. Marketing'!P171</f>
        <v>0.18060904834210287</v>
      </c>
      <c r="R102" s="1256">
        <f>'Prg. Marketing'!Q171</f>
        <v>0.18088298955327725</v>
      </c>
      <c r="S102" s="1256">
        <f>'Prg. Marketing'!R171</f>
        <v>0.18042257864495831</v>
      </c>
      <c r="T102" s="1256">
        <f>'Prg. Marketing'!S171</f>
        <v>0.17993021401269763</v>
      </c>
      <c r="U102" s="1256">
        <f>'Prg. Marketing'!T171</f>
        <v>0.17946297753935589</v>
      </c>
      <c r="V102" s="1256">
        <f>'Prg. Marketing'!U171</f>
        <v>0.20424672582772907</v>
      </c>
      <c r="W102" s="1256">
        <f>'Prg. Marketing'!V171</f>
        <v>0.20349412835245492</v>
      </c>
      <c r="X102" s="1256">
        <f>'Prg. Marketing'!W171</f>
        <v>0.20277448228795975</v>
      </c>
      <c r="Y102" s="1256">
        <f>'Prg. Marketing'!X171</f>
        <v>0.20208708829093661</v>
      </c>
      <c r="Z102" s="1256">
        <f>'Prg. Marketing'!Y171</f>
        <v>0.20143126326224012</v>
      </c>
      <c r="AA102" s="1257">
        <f>'Prg. Marketing'!Z171</f>
        <v>0.20080634206586517</v>
      </c>
      <c r="AB102" s="1256">
        <f>'Prg. Marketing'!AA171</f>
        <v>0.20959754529533592</v>
      </c>
      <c r="AC102" s="1256">
        <f>'Prg. Marketing'!AB171</f>
        <v>0.22064732778746043</v>
      </c>
      <c r="AD102" s="1256">
        <f>'Prg. Marketing'!AC171</f>
        <v>0.21911398168573351</v>
      </c>
      <c r="AE102" s="1256">
        <f>'Prg. Marketing'!AD171</f>
        <v>0.2174423913086618</v>
      </c>
      <c r="AF102" s="1256">
        <f>'Prg. Marketing'!AE171</f>
        <v>0.21580861892858136</v>
      </c>
      <c r="AG102" s="1256">
        <f>'Prg. Marketing'!AF171</f>
        <v>0.21423839379960616</v>
      </c>
      <c r="AH102" s="1256">
        <f>'Prg. Marketing'!AG171</f>
        <v>0.21273282283261846</v>
      </c>
      <c r="AI102" s="1256">
        <f>'Prg. Marketing'!AH171</f>
        <v>0.21128913141382397</v>
      </c>
      <c r="AJ102" s="1256">
        <f>'Prg. Marketing'!AI171</f>
        <v>0.21946780934160259</v>
      </c>
      <c r="AK102" s="1256">
        <f>'Prg. Marketing'!AJ171</f>
        <v>0.22041533971346994</v>
      </c>
      <c r="AL102" s="1256">
        <f>'Prg. Marketing'!AK171</f>
        <v>0.21961191201731706</v>
      </c>
      <c r="AM102" s="1257">
        <f>'Prg. Marketing'!AL171</f>
        <v>0.22863489749962668</v>
      </c>
      <c r="AN102" s="1256">
        <f>'Prg. Marketing'!AM171</f>
        <v>0.22727558671166936</v>
      </c>
      <c r="AO102" s="1256">
        <f>'Prg. Marketing'!AN171</f>
        <v>0.23304394513855609</v>
      </c>
      <c r="AP102" s="1256">
        <f>'Prg. Marketing'!AO171</f>
        <v>0.22680768638870633</v>
      </c>
      <c r="AQ102" s="1256">
        <f>'Prg. Marketing'!AP171</f>
        <v>0.22208950148515902</v>
      </c>
      <c r="AR102" s="1256">
        <f>'Prg. Marketing'!AQ171</f>
        <v>0.2177121987226989</v>
      </c>
      <c r="AS102" s="1256">
        <f>'Prg. Marketing'!AR171</f>
        <v>0.22178066671880581</v>
      </c>
      <c r="AT102" s="1256">
        <f>'Prg. Marketing'!AS171</f>
        <v>0.22846334194054946</v>
      </c>
      <c r="AU102" s="1256">
        <f>'Prg. Marketing'!AT171</f>
        <v>0.22454814196864134</v>
      </c>
      <c r="AV102" s="1256">
        <f>'Prg. Marketing'!AU171</f>
        <v>0.2203514862077369</v>
      </c>
      <c r="AW102" s="1256">
        <f>'Prg. Marketing'!AV171</f>
        <v>0.21616124909309986</v>
      </c>
      <c r="AX102" s="1256">
        <f>'Prg. Marketing'!AW171</f>
        <v>0.21204538169234677</v>
      </c>
      <c r="AY102" s="1257">
        <f>'Prg. Marketing'!AX171</f>
        <v>0.22451245223531621</v>
      </c>
      <c r="AZ102" s="1256">
        <f>'Prg. Marketing'!AY171</f>
        <v>0.23611438684179198</v>
      </c>
      <c r="BA102" s="1256">
        <f>'Prg. Marketing'!AZ171</f>
        <v>0.23195953074983824</v>
      </c>
      <c r="BB102" s="1256">
        <f>'Prg. Marketing'!BA171</f>
        <v>0.22618804745709287</v>
      </c>
      <c r="BC102" s="1256">
        <f>'Prg. Marketing'!BB171</f>
        <v>0.22002473588945062</v>
      </c>
      <c r="BD102" s="1256">
        <f>'Prg. Marketing'!BC171</f>
        <v>0.21386217473098304</v>
      </c>
      <c r="BE102" s="1256">
        <f>'Prg. Marketing'!BD171</f>
        <v>0.21468940578984125</v>
      </c>
      <c r="BF102" s="1256">
        <f>'Prg. Marketing'!BE171</f>
        <v>0.22986201732658884</v>
      </c>
      <c r="BG102" s="1256">
        <f>'Prg. Marketing'!BF171</f>
        <v>0.22645264312293265</v>
      </c>
      <c r="BH102" s="1256">
        <f>'Prg. Marketing'!BG171</f>
        <v>0.22131734929762306</v>
      </c>
      <c r="BI102" s="1256">
        <f>'Prg. Marketing'!BH171</f>
        <v>0.22172978744579649</v>
      </c>
      <c r="BJ102" s="1256">
        <f>'Prg. Marketing'!BI171</f>
        <v>0.22342299930160561</v>
      </c>
      <c r="BK102" s="1257">
        <f>'Prg. Marketing'!BJ171</f>
        <v>0.22100472665730062</v>
      </c>
    </row>
    <row r="103" spans="1:63" s="1256" customFormat="1" ht="18.75">
      <c r="A103" s="1252"/>
      <c r="B103" s="1253"/>
      <c r="C103" s="1254" t="str">
        <f t="shared" si="2"/>
        <v>Referral</v>
      </c>
      <c r="D103" s="1255">
        <f>'Prg. Marketing'!C189</f>
        <v>7.2975423526604632E-2</v>
      </c>
      <c r="E103" s="1256">
        <f>'Prg. Marketing'!D189</f>
        <v>7.2975423526604632E-2</v>
      </c>
      <c r="F103" s="1256">
        <f>'Prg. Marketing'!E189</f>
        <v>6.1083246687425867E-2</v>
      </c>
      <c r="G103" s="1256">
        <f>'Prg. Marketing'!F189</f>
        <v>5.1147142360069599E-2</v>
      </c>
      <c r="H103" s="1256">
        <f>'Prg. Marketing'!G189</f>
        <v>4.8094973390620042E-2</v>
      </c>
      <c r="I103" s="1256">
        <f>'Prg. Marketing'!H189</f>
        <v>4.0246435937128462E-2</v>
      </c>
      <c r="J103" s="1256">
        <f>'Prg. Marketing'!I189</f>
        <v>3.3689380436854113E-2</v>
      </c>
      <c r="K103" s="1256">
        <f>'Prg. Marketing'!J189</f>
        <v>2.820947039841824E-2</v>
      </c>
      <c r="L103" s="1256">
        <f>'Prg. Marketing'!K189</f>
        <v>2.549685007436369E-2</v>
      </c>
      <c r="M103" s="1256">
        <f>'Prg. Marketing'!L189</f>
        <v>2.1472817326378398E-2</v>
      </c>
      <c r="N103" s="1256">
        <f>'Prg. Marketing'!M189</f>
        <v>1.798819990171947E-2</v>
      </c>
      <c r="O103" s="1257">
        <f>'Prg. Marketing'!N189</f>
        <v>1.5066459979583724E-2</v>
      </c>
      <c r="P103" s="1256">
        <f>'Prg. Marketing'!O189</f>
        <v>1.2622380889877154E-2</v>
      </c>
      <c r="Q103" s="1256">
        <f>'Prg. Marketing'!P189</f>
        <v>1.11009441755846E-2</v>
      </c>
      <c r="R103" s="1256">
        <f>'Prg. Marketing'!Q189</f>
        <v>9.8831805280307772E-3</v>
      </c>
      <c r="S103" s="1256">
        <f>'Prg. Marketing'!R189</f>
        <v>8.7542044560136104E-3</v>
      </c>
      <c r="T103" s="1256">
        <f>'Prg. Marketing'!S189</f>
        <v>7.7522610487390734E-3</v>
      </c>
      <c r="U103" s="1256">
        <f>'Prg. Marketing'!T189</f>
        <v>6.8660112566112852E-3</v>
      </c>
      <c r="V103" s="1256">
        <f>'Prg. Marketing'!U189</f>
        <v>7.1644471451376163E-3</v>
      </c>
      <c r="W103" s="1256">
        <f>'Prg. Marketing'!V189</f>
        <v>6.3385752899589804E-3</v>
      </c>
      <c r="X103" s="1256">
        <f>'Prg. Marketing'!W189</f>
        <v>5.6088161650092207E-3</v>
      </c>
      <c r="Y103" s="1256">
        <f>'Prg. Marketing'!X189</f>
        <v>4.9638736027542716E-3</v>
      </c>
      <c r="Z103" s="1256">
        <f>'Prg. Marketing'!Y189</f>
        <v>4.3937924219940574E-3</v>
      </c>
      <c r="AA103" s="1257">
        <f>'Prg. Marketing'!Z189</f>
        <v>3.8897976970235586E-3</v>
      </c>
      <c r="AB103" s="1256">
        <f>'Prg. Marketing'!AA189</f>
        <v>3.6439170984812969E-3</v>
      </c>
      <c r="AC103" s="1256">
        <f>'Prg. Marketing'!AB189</f>
        <v>3.5437958144780499E-3</v>
      </c>
      <c r="AD103" s="1256">
        <f>'Prg. Marketing'!AC189</f>
        <v>3.2102378593850175E-3</v>
      </c>
      <c r="AE103" s="1256">
        <f>'Prg. Marketing'!AD189</f>
        <v>2.9056184074689566E-3</v>
      </c>
      <c r="AF103" s="1256">
        <f>'Prg. Marketing'!AE189</f>
        <v>2.630231663251876E-3</v>
      </c>
      <c r="AG103" s="1256">
        <f>'Prg. Marketing'!AF189</f>
        <v>2.3816005777795718E-3</v>
      </c>
      <c r="AH103" s="1256">
        <f>'Prg. Marketing'!AG189</f>
        <v>2.1570970894439151E-3</v>
      </c>
      <c r="AI103" s="1256">
        <f>'Prg. Marketing'!AH189</f>
        <v>1.954307667991778E-3</v>
      </c>
      <c r="AJ103" s="1256">
        <f>'Prg. Marketing'!AI189</f>
        <v>1.8698849147798775E-3</v>
      </c>
      <c r="AK103" s="1256">
        <f>'Prg. Marketing'!AJ189</f>
        <v>1.7172008441581755E-3</v>
      </c>
      <c r="AL103" s="1256">
        <f>'Prg. Marketing'!AK189</f>
        <v>1.5618399630310501E-3</v>
      </c>
      <c r="AM103" s="1257">
        <f>'Prg. Marketing'!AL189</f>
        <v>1.4979422906646817E-3</v>
      </c>
      <c r="AN103" s="1256">
        <f>'Prg. Marketing'!AM189</f>
        <v>1.3586813557490854E-3</v>
      </c>
      <c r="AO103" s="1256">
        <f>'Prg. Marketing'!AN189</f>
        <v>1.3387015886352348E-3</v>
      </c>
      <c r="AP103" s="1256">
        <f>'Prg. Marketing'!AO189</f>
        <v>1.2390300341054209E-3</v>
      </c>
      <c r="AQ103" s="1256">
        <f>'Prg. Marketing'!AP189</f>
        <v>1.1551675253954536E-3</v>
      </c>
      <c r="AR103" s="1256">
        <f>'Prg. Marketing'!AQ189</f>
        <v>1.0784161991077921E-3</v>
      </c>
      <c r="AS103" s="1256">
        <f>'Prg. Marketing'!AR189</f>
        <v>1.0541026983939188E-3</v>
      </c>
      <c r="AT103" s="1256">
        <f>'Prg. Marketing'!AS189</f>
        <v>1.0437626808623168E-3</v>
      </c>
      <c r="AU103" s="1256">
        <f>'Prg. Marketing'!AT189</f>
        <v>9.7750701340022978E-4</v>
      </c>
      <c r="AV103" s="1256">
        <f>'Prg. Marketing'!AU189</f>
        <v>9.1374743283711393E-4</v>
      </c>
      <c r="AW103" s="1256">
        <f>'Prg. Marketing'!AV189</f>
        <v>8.5380825866473303E-4</v>
      </c>
      <c r="AX103" s="1256">
        <f>'Prg. Marketing'!AW189</f>
        <v>7.9777514223857348E-4</v>
      </c>
      <c r="AY103" s="1257">
        <f>'Prg. Marketing'!AX189</f>
        <v>8.1549427738254938E-4</v>
      </c>
      <c r="AZ103" s="1256">
        <f>'Prg. Marketing'!AY189</f>
        <v>8.2626582436300176E-4</v>
      </c>
      <c r="BA103" s="1256">
        <f>'Prg. Marketing'!AZ189</f>
        <v>7.8432877900279688E-4</v>
      </c>
      <c r="BB103" s="1256">
        <f>'Prg. Marketing'!BA189</f>
        <v>7.3814222158019322E-4</v>
      </c>
      <c r="BC103" s="1256">
        <f>'Prg. Marketing'!BB189</f>
        <v>6.9272905031148035E-4</v>
      </c>
      <c r="BD103" s="1256">
        <f>'Prg. Marketing'!BC189</f>
        <v>6.495238203002039E-4</v>
      </c>
      <c r="BE103" s="1256">
        <f>'Prg. Marketing'!BD189</f>
        <v>6.3206485545657775E-4</v>
      </c>
      <c r="BF103" s="1256">
        <f>'Prg. Marketing'!BE189</f>
        <v>6.6175339601293778E-4</v>
      </c>
      <c r="BG103" s="1256">
        <f>'Prg. Marketing'!BF189</f>
        <v>6.3001621559948104E-4</v>
      </c>
      <c r="BH103" s="1256">
        <f>'Prg. Marketing'!BG189</f>
        <v>5.9439275130711733E-4</v>
      </c>
      <c r="BI103" s="1256">
        <f>'Prg. Marketing'!BH189</f>
        <v>5.7668803216924535E-4</v>
      </c>
      <c r="BJ103" s="1256">
        <f>'Prg. Marketing'!BI189</f>
        <v>5.6305617792156044E-4</v>
      </c>
      <c r="BK103" s="1257">
        <f>'Prg. Marketing'!BJ189</f>
        <v>5.3841020182926068E-4</v>
      </c>
    </row>
    <row r="104" spans="1:63" s="1256" customFormat="1" ht="18.75">
      <c r="A104" s="1252"/>
      <c r="B104" s="1253"/>
      <c r="C104" s="1254" t="str">
        <f t="shared" si="2"/>
        <v>Affiliate Partners</v>
      </c>
      <c r="D104" s="1255">
        <f>'Prg. Marketing'!C207</f>
        <v>0.856547619047619</v>
      </c>
      <c r="E104" s="1256">
        <f>'Prg. Marketing'!D207</f>
        <v>0.856547619047619</v>
      </c>
      <c r="F104" s="1256">
        <f>'Prg. Marketing'!E207</f>
        <v>0.73323724133451273</v>
      </c>
      <c r="G104" s="1256">
        <f>'Prg. Marketing'!F207</f>
        <v>0.62778906744249097</v>
      </c>
      <c r="H104" s="1256">
        <f>'Prg. Marketing'!G207</f>
        <v>0.56199922378416445</v>
      </c>
      <c r="I104" s="1256">
        <f>'Prg. Marketing'!H207</f>
        <v>0.48092345756376426</v>
      </c>
      <c r="J104" s="1256">
        <f>'Prg. Marketing'!I207</f>
        <v>0.41161391923486279</v>
      </c>
      <c r="K104" s="1256">
        <f>'Prg. Marketing'!J207</f>
        <v>0.3523513980880742</v>
      </c>
      <c r="L104" s="1256">
        <f>'Prg. Marketing'!K207</f>
        <v>0.31085008377238321</v>
      </c>
      <c r="M104" s="1256">
        <f>'Prg. Marketing'!L207</f>
        <v>0.26666728513781701</v>
      </c>
      <c r="N104" s="1256">
        <f>'Prg. Marketing'!M207</f>
        <v>0.22828411544134322</v>
      </c>
      <c r="O104" s="1257">
        <f>'Prg. Marketing'!N207</f>
        <v>0.19541997968272606</v>
      </c>
      <c r="P104" s="1256">
        <f>'Prg. Marketing'!O207</f>
        <v>0.16730981379692586</v>
      </c>
      <c r="Q104" s="1256">
        <f>'Prg. Marketing'!P207</f>
        <v>0.15255238646411659</v>
      </c>
      <c r="R104" s="1256">
        <f>'Prg. Marketing'!Q207</f>
        <v>0.13976397303802504</v>
      </c>
      <c r="S104" s="1256">
        <f>'Prg. Marketing'!R207</f>
        <v>0.12779644308625751</v>
      </c>
      <c r="T104" s="1256">
        <f>'Prg. Marketing'!S207</f>
        <v>0.11684490231140175</v>
      </c>
      <c r="U104" s="1256">
        <f>'Prg. Marketing'!T207</f>
        <v>0.10684018574387218</v>
      </c>
      <c r="V104" s="1256">
        <f>'Prg. Marketing'!U207</f>
        <v>0.10427603270117333</v>
      </c>
      <c r="W104" s="1256">
        <f>'Prg. Marketing'!V207</f>
        <v>9.5273791638726096E-2</v>
      </c>
      <c r="X104" s="1256">
        <f>'Prg. Marketing'!W207</f>
        <v>8.7056876109116138E-2</v>
      </c>
      <c r="Y104" s="1256">
        <f>'Prg. Marketing'!X207</f>
        <v>7.9555934716893026E-2</v>
      </c>
      <c r="Z104" s="1256">
        <f>'Prg. Marketing'!Y207</f>
        <v>7.2707826496334407E-2</v>
      </c>
      <c r="AA104" s="1257">
        <f>'Prg. Marketing'!Z207</f>
        <v>6.6455056424797487E-2</v>
      </c>
      <c r="AB104" s="1256">
        <f>'Prg. Marketing'!AA207</f>
        <v>6.2164414558301434E-2</v>
      </c>
      <c r="AC104" s="1256">
        <f>'Prg. Marketing'!AB207</f>
        <v>5.9230213862276705E-2</v>
      </c>
      <c r="AD104" s="1256">
        <f>'Prg. Marketing'!AC207</f>
        <v>5.4757941374903363E-2</v>
      </c>
      <c r="AE104" s="1256">
        <f>'Prg. Marketing'!AD207</f>
        <v>5.0606064126017293E-2</v>
      </c>
      <c r="AF104" s="1256">
        <f>'Prg. Marketing'!AE207</f>
        <v>4.6772554119623902E-2</v>
      </c>
      <c r="AG104" s="1256">
        <f>'Prg. Marketing'!AF207</f>
        <v>4.3235444781754111E-2</v>
      </c>
      <c r="AH104" s="1256">
        <f>'Prg. Marketing'!AG207</f>
        <v>3.9971544238504783E-2</v>
      </c>
      <c r="AI104" s="1256">
        <f>'Prg. Marketing'!AH207</f>
        <v>3.6959136877481952E-2</v>
      </c>
      <c r="AJ104" s="1256">
        <f>'Prg. Marketing'!AI207</f>
        <v>3.4971504931280394E-2</v>
      </c>
      <c r="AK104" s="1256">
        <f>'Prg. Marketing'!AJ207</f>
        <v>3.2521667208584668E-2</v>
      </c>
      <c r="AL104" s="1256">
        <f>'Prg. Marketing'!AK207</f>
        <v>3.0118282324670332E-2</v>
      </c>
      <c r="AM104" s="1257">
        <f>'Prg. Marketing'!AL207</f>
        <v>2.854314768695787E-2</v>
      </c>
      <c r="AN104" s="1256">
        <f>'Prg. Marketing'!AM207</f>
        <v>2.6400517218985276E-2</v>
      </c>
      <c r="AO104" s="1256">
        <f>'Prg. Marketing'!AN207</f>
        <v>2.5119764767512057E-2</v>
      </c>
      <c r="AP104" s="1256">
        <f>'Prg. Marketing'!AO207</f>
        <v>2.3243357964002613E-2</v>
      </c>
      <c r="AQ104" s="1256">
        <f>'Prg. Marketing'!AP207</f>
        <v>2.1578028128470612E-2</v>
      </c>
      <c r="AR104" s="1256">
        <f>'Prg. Marketing'!AQ207</f>
        <v>2.0044085113717063E-2</v>
      </c>
      <c r="AS104" s="1256">
        <f>'Prg. Marketing'!AR207</f>
        <v>1.9007806286628959E-2</v>
      </c>
      <c r="AT104" s="1256">
        <f>'Prg. Marketing'!AS207</f>
        <v>1.814191207354942E-2</v>
      </c>
      <c r="AU104" s="1256">
        <f>'Prg. Marketing'!AT207</f>
        <v>1.6875344604589143E-2</v>
      </c>
      <c r="AV104" s="1256">
        <f>'Prg. Marketing'!AU207</f>
        <v>1.5683508099675975E-2</v>
      </c>
      <c r="AW104" s="1256">
        <f>'Prg. Marketing'!AV207</f>
        <v>1.4573204505667481E-2</v>
      </c>
      <c r="AX104" s="1256">
        <f>'Prg. Marketing'!AW207</f>
        <v>1.3541358199042215E-2</v>
      </c>
      <c r="AY104" s="1257">
        <f>'Prg. Marketing'!AX207</f>
        <v>1.3131489650660964E-2</v>
      </c>
      <c r="AZ104" s="1256">
        <f>'Prg. Marketing'!AY207</f>
        <v>1.270034155510771E-2</v>
      </c>
      <c r="BA104" s="1256">
        <f>'Prg. Marketing'!AZ207</f>
        <v>1.2225131426703688E-2</v>
      </c>
      <c r="BB104" s="1256">
        <f>'Prg. Marketing'!BA207</f>
        <v>1.1716545127264303E-2</v>
      </c>
      <c r="BC104" s="1256">
        <f>'Prg. Marketing'!BB207</f>
        <v>1.1213093916971582E-2</v>
      </c>
      <c r="BD104" s="1256">
        <f>'Prg. Marketing'!BC207</f>
        <v>1.07263461475606E-2</v>
      </c>
      <c r="BE104" s="1256">
        <f>'Prg. Marketing'!BD207</f>
        <v>1.0458526927615838E-2</v>
      </c>
      <c r="BF104" s="1256">
        <f>'Prg. Marketing'!BE207</f>
        <v>1.0609368512619687E-2</v>
      </c>
      <c r="BG104" s="1256">
        <f>'Prg. Marketing'!BF207</f>
        <v>1.0233796316205607E-2</v>
      </c>
      <c r="BH104" s="1256">
        <f>'Prg. Marketing'!BG207</f>
        <v>9.8228070454090474E-3</v>
      </c>
      <c r="BI104" s="1256">
        <f>'Prg. Marketing'!BH207</f>
        <v>9.5761214719035977E-3</v>
      </c>
      <c r="BJ104" s="1256">
        <f>'Prg. Marketing'!BI207</f>
        <v>9.3718366279398717E-3</v>
      </c>
      <c r="BK104" s="1257">
        <f>'Prg. Marketing'!BJ207</f>
        <v>9.0659685429473127E-3</v>
      </c>
    </row>
    <row r="105" spans="1:63" s="1256" customFormat="1" ht="18.75">
      <c r="A105" s="1252"/>
      <c r="B105" s="1253"/>
      <c r="C105" s="1254" t="str">
        <f t="shared" si="2"/>
        <v>Utility Partners</v>
      </c>
      <c r="D105" s="1255">
        <f>'Prg. Marketing'!C225</f>
        <v>1.4654970760233919</v>
      </c>
      <c r="E105" s="1256">
        <f>'Prg. Marketing'!D225</f>
        <v>1.4654970760233921</v>
      </c>
      <c r="F105" s="1256">
        <f>'Prg. Marketing'!E225</f>
        <v>1.4156139488791009</v>
      </c>
      <c r="G105" s="1256">
        <f>'Prg. Marketing'!F225</f>
        <v>1.3678779838975352</v>
      </c>
      <c r="H105" s="1256">
        <f>'Prg. Marketing'!G225</f>
        <v>1.4627623091860273</v>
      </c>
      <c r="I105" s="1256">
        <f>'Prg. Marketing'!H225</f>
        <v>1.4124764448443956</v>
      </c>
      <c r="J105" s="1256">
        <f>'Prg. Marketing'!I225</f>
        <v>1.3643270489551784</v>
      </c>
      <c r="K105" s="1256">
        <f>'Prg. Marketing'!J225</f>
        <v>1.318207320800225</v>
      </c>
      <c r="L105" s="1256">
        <f>'Prg. Marketing'!K225</f>
        <v>1.3620963415863268</v>
      </c>
      <c r="M105" s="1256">
        <f>'Prg. Marketing'!L225</f>
        <v>1.3226538826671412</v>
      </c>
      <c r="N105" s="1256">
        <f>'Prg. Marketing'!M225</f>
        <v>1.2783759740659322</v>
      </c>
      <c r="O105" s="1257">
        <f>'Prg. Marketing'!N225</f>
        <v>1.2354137110251764</v>
      </c>
      <c r="P105" s="1256">
        <f>'Prg. Marketing'!O225</f>
        <v>1.1941736526795503</v>
      </c>
      <c r="Q105" s="1256">
        <f>'Prg. Marketing'!P225</f>
        <v>1.1635929219459802</v>
      </c>
      <c r="R105" s="1256">
        <f>'Prg. Marketing'!Q225</f>
        <v>1.1460370205884338</v>
      </c>
      <c r="S105" s="1256">
        <f>'Prg. Marketing'!R225</f>
        <v>1.1237206889727065</v>
      </c>
      <c r="T105" s="1256">
        <f>'Prg. Marketing'!S225</f>
        <v>1.1016095971762432</v>
      </c>
      <c r="U105" s="1256">
        <f>'Prg. Marketing'!T225</f>
        <v>1.0800842020581078</v>
      </c>
      <c r="V105" s="1256">
        <f>'Prg. Marketing'!U225</f>
        <v>1.223332278828454</v>
      </c>
      <c r="W105" s="1256">
        <f>'Prg. Marketing'!V225</f>
        <v>1.1981119530152229</v>
      </c>
      <c r="X105" s="1256">
        <f>'Prg. Marketing'!W225</f>
        <v>1.1735934885764614</v>
      </c>
      <c r="Y105" s="1256">
        <f>'Prg. Marketing'!X225</f>
        <v>1.1497530478804854</v>
      </c>
      <c r="Z105" s="1256">
        <f>'Prg. Marketing'!Y225</f>
        <v>1.1265676774594142</v>
      </c>
      <c r="AA105" s="1257">
        <f>'Prg. Marketing'!Z225</f>
        <v>1.1040152867104205</v>
      </c>
      <c r="AB105" s="1256">
        <f>'Prg. Marketing'!AA225</f>
        <v>1.1374469557050313</v>
      </c>
      <c r="AC105" s="1256">
        <f>'Prg. Marketing'!AB225</f>
        <v>1.1907494058292274</v>
      </c>
      <c r="AD105" s="1256">
        <f>'Prg. Marketing'!AC225</f>
        <v>1.1701119669736328</v>
      </c>
      <c r="AE105" s="1256">
        <f>'Prg. Marketing'!AD225</f>
        <v>1.1489738724041776</v>
      </c>
      <c r="AF105" s="1256">
        <f>'Prg. Marketing'!AE225</f>
        <v>1.1283531452720152</v>
      </c>
      <c r="AG105" s="1256">
        <f>'Prg. Marketing'!AF225</f>
        <v>1.1083839896829906</v>
      </c>
      <c r="AH105" s="1256">
        <f>'Prg. Marketing'!AG225</f>
        <v>1.0890582069293535</v>
      </c>
      <c r="AI105" s="1256">
        <f>'Prg. Marketing'!AH225</f>
        <v>1.0703462440991292</v>
      </c>
      <c r="AJ105" s="1256">
        <f>'Prg. Marketing'!AI225</f>
        <v>1.1043418465101829</v>
      </c>
      <c r="AK105" s="1256">
        <f>'Prg. Marketing'!AJ225</f>
        <v>1.0985402111987668</v>
      </c>
      <c r="AL105" s="1256">
        <f>'Prg. Marketing'!AK225</f>
        <v>1.0833895965915616</v>
      </c>
      <c r="AM105" s="1257">
        <f>'Prg. Marketing'!AL225</f>
        <v>1.120420136789543</v>
      </c>
      <c r="AN105" s="1256">
        <f>'Prg. Marketing'!AM225</f>
        <v>1.1022267103008967</v>
      </c>
      <c r="AO105" s="1256">
        <f>'Prg. Marketing'!AN225</f>
        <v>1.133822404898005</v>
      </c>
      <c r="AP105" s="1256">
        <f>'Prg. Marketing'!AO225</f>
        <v>1.1025087519919001</v>
      </c>
      <c r="AQ105" s="1256">
        <f>'Prg. Marketing'!AP225</f>
        <v>1.0791266155085324</v>
      </c>
      <c r="AR105" s="1256">
        <f>'Prg. Marketing'!AQ225</f>
        <v>1.057509439439501</v>
      </c>
      <c r="AS105" s="1256">
        <f>'Prg. Marketing'!AR225</f>
        <v>1.0801161532104315</v>
      </c>
      <c r="AT105" s="1256">
        <f>'Prg. Marketing'!AS225</f>
        <v>1.1163976055301867</v>
      </c>
      <c r="AU105" s="1256">
        <f>'Prg. Marketing'!AT225</f>
        <v>1.0971407480996473</v>
      </c>
      <c r="AV105" s="1256">
        <f>'Prg. Marketing'!AU225</f>
        <v>1.0763899122405125</v>
      </c>
      <c r="AW105" s="1256">
        <f>'Prg. Marketing'!AV225</f>
        <v>1.0556534732655727</v>
      </c>
      <c r="AX105" s="1256">
        <f>'Prg. Marketing'!AW225</f>
        <v>1.0352877020788585</v>
      </c>
      <c r="AY105" s="1257">
        <f>'Prg. Marketing'!AX225</f>
        <v>1.1017753631681237</v>
      </c>
      <c r="AZ105" s="1256">
        <f>'Prg. Marketing'!AY225</f>
        <v>1.1637125441362501</v>
      </c>
      <c r="BA105" s="1256">
        <f>'Prg. Marketing'!AZ225</f>
        <v>1.1439697806680758</v>
      </c>
      <c r="BB105" s="1256">
        <f>'Prg. Marketing'!BA225</f>
        <v>1.1157021806408709</v>
      </c>
      <c r="BC105" s="1256">
        <f>'Prg. Marketing'!BB225</f>
        <v>1.0853275714173232</v>
      </c>
      <c r="BD105" s="1256">
        <f>'Prg. Marketing'!BC225</f>
        <v>1.0549040342250089</v>
      </c>
      <c r="BE105" s="1256">
        <f>'Prg. Marketing'!BD225</f>
        <v>1.0610461138106919</v>
      </c>
      <c r="BF105" s="1256">
        <f>'Prg. Marketing'!BE225</f>
        <v>1.14228851998626</v>
      </c>
      <c r="BG105" s="1256">
        <f>'Prg. Marketing'!BF225</f>
        <v>1.1261379689285362</v>
      </c>
      <c r="BH105" s="1256">
        <f>'Prg. Marketing'!BG225</f>
        <v>1.1008986899726214</v>
      </c>
      <c r="BI105" s="1256">
        <f>'Prg. Marketing'!BH225</f>
        <v>1.1046760415878836</v>
      </c>
      <c r="BJ105" s="1256">
        <f>'Prg. Marketing'!BI225</f>
        <v>1.1151182291750026</v>
      </c>
      <c r="BK105" s="1257">
        <f>'Prg. Marketing'!BJ225</f>
        <v>1.1039783801445033</v>
      </c>
    </row>
    <row r="106" spans="1:63" s="1256" customFormat="1" ht="18.75">
      <c r="A106" s="1252"/>
      <c r="B106" s="1253"/>
      <c r="C106" s="1254" t="str">
        <f t="shared" si="2"/>
        <v>Other</v>
      </c>
      <c r="D106" s="1255">
        <f>'Prg. Marketing'!C243</f>
        <v>0.31464285714285717</v>
      </c>
      <c r="E106" s="1256">
        <f>'Prg. Marketing'!D243</f>
        <v>0.31464285714285711</v>
      </c>
      <c r="F106" s="1256">
        <f>'Prg. Marketing'!E243</f>
        <v>0.29489532248820538</v>
      </c>
      <c r="G106" s="1256">
        <f>'Prg. Marketing'!F243</f>
        <v>0.27644203747648038</v>
      </c>
      <c r="H106" s="1256">
        <f>'Prg. Marketing'!G243</f>
        <v>0.34302476235268853</v>
      </c>
      <c r="I106" s="1256">
        <f>'Prg. Marketing'!H243</f>
        <v>0.32238423539731087</v>
      </c>
      <c r="J106" s="1256">
        <f>'Prg. Marketing'!I243</f>
        <v>0.30303914152700245</v>
      </c>
      <c r="K106" s="1256">
        <f>'Prg. Marketing'!J243</f>
        <v>0.28490609603288836</v>
      </c>
      <c r="L106" s="1256">
        <f>'Prg. Marketing'!K243</f>
        <v>0.3187806819040202</v>
      </c>
      <c r="M106" s="1256">
        <f>'Prg. Marketing'!L243</f>
        <v>0.30410968638510738</v>
      </c>
      <c r="N106" s="1256">
        <f>'Prg. Marketing'!M243</f>
        <v>0.28666897507044992</v>
      </c>
      <c r="O106" s="1257">
        <f>'Prg. Marketing'!N243</f>
        <v>0.27000117975373944</v>
      </c>
      <c r="P106" s="1256">
        <f>'Prg. Marketing'!O243</f>
        <v>0.25432356400966416</v>
      </c>
      <c r="Q106" s="1256">
        <f>'Prg. Marketing'!P243</f>
        <v>0.24394057463001387</v>
      </c>
      <c r="R106" s="1256">
        <f>'Prg. Marketing'!Q243</f>
        <v>0.24072190407972616</v>
      </c>
      <c r="S106" s="1256">
        <f>'Prg. Marketing'!R243</f>
        <v>0.23464969270401842</v>
      </c>
      <c r="T106" s="1256">
        <f>'Prg. Marketing'!S243</f>
        <v>0.22852551680318106</v>
      </c>
      <c r="U106" s="1256">
        <f>'Prg. Marketing'!T243</f>
        <v>0.22257180882141583</v>
      </c>
      <c r="V106" s="1256">
        <f>'Prg. Marketing'!U243</f>
        <v>0.31326307920277019</v>
      </c>
      <c r="W106" s="1256">
        <f>'Prg. Marketing'!V243</f>
        <v>0.30557706713000155</v>
      </c>
      <c r="X106" s="1256">
        <f>'Prg. Marketing'!W243</f>
        <v>0.29810902489540014</v>
      </c>
      <c r="Y106" s="1256">
        <f>'Prg. Marketing'!X243</f>
        <v>0.29085230683359392</v>
      </c>
      <c r="Z106" s="1256">
        <f>'Prg. Marketing'!Y243</f>
        <v>0.28380047267769148</v>
      </c>
      <c r="AA106" s="1257">
        <f>'Prg. Marketing'!Z243</f>
        <v>0.27694728887581715</v>
      </c>
      <c r="AB106" s="1256">
        <f>'Prg. Marketing'!AA243</f>
        <v>0.30445385073856146</v>
      </c>
      <c r="AC106" s="1256">
        <f>'Prg. Marketing'!AB243</f>
        <v>0.34279688738489306</v>
      </c>
      <c r="AD106" s="1256">
        <f>'Prg. Marketing'!AC243</f>
        <v>0.33539913271750132</v>
      </c>
      <c r="AE106" s="1256">
        <f>'Prg. Marketing'!AD243</f>
        <v>0.32757034573269295</v>
      </c>
      <c r="AF106" s="1256">
        <f>'Prg. Marketing'!AE243</f>
        <v>0.31994574758833894</v>
      </c>
      <c r="AG106" s="1256">
        <f>'Prg. Marketing'!AF243</f>
        <v>0.31261420666183382</v>
      </c>
      <c r="AH106" s="1256">
        <f>'Prg. Marketing'!AG243</f>
        <v>0.30557580267154816</v>
      </c>
      <c r="AI106" s="1256">
        <f>'Prg. Marketing'!AH243</f>
        <v>0.29881692679086558</v>
      </c>
      <c r="AJ106" s="1256">
        <f>'Prg. Marketing'!AI243</f>
        <v>0.32578202467495965</v>
      </c>
      <c r="AK106" s="1256">
        <f>'Prg. Marketing'!AJ243</f>
        <v>0.3272992623947219</v>
      </c>
      <c r="AL106" s="1256">
        <f>'Prg. Marketing'!AK243</f>
        <v>0.32272806852291969</v>
      </c>
      <c r="AM106" s="1257">
        <f>'Prg. Marketing'!AL243</f>
        <v>0.35206447197778967</v>
      </c>
      <c r="AN106" s="1256">
        <f>'Prg. Marketing'!AM243</f>
        <v>0.34549312080758077</v>
      </c>
      <c r="AO106" s="1256">
        <f>'Prg. Marketing'!AN243</f>
        <v>0.37635957952744059</v>
      </c>
      <c r="AP106" s="1256">
        <f>'Prg. Marketing'!AO243</f>
        <v>0.36565320053192124</v>
      </c>
      <c r="AQ106" s="1256">
        <f>'Prg. Marketing'!AP243</f>
        <v>0.35993027767836833</v>
      </c>
      <c r="AR106" s="1256">
        <f>'Prg. Marketing'!AQ243</f>
        <v>0.35514265700523251</v>
      </c>
      <c r="AS106" s="1256">
        <f>'Prg. Marketing'!AR243</f>
        <v>0.38077712055076496</v>
      </c>
      <c r="AT106" s="1256">
        <f>'Prg. Marketing'!AS243</f>
        <v>0.41646197841674987</v>
      </c>
      <c r="AU106" s="1256">
        <f>'Prg. Marketing'!AT243</f>
        <v>0.41341109257722503</v>
      </c>
      <c r="AV106" s="1256">
        <f>'Prg. Marketing'!AU243</f>
        <v>0.40906934322980631</v>
      </c>
      <c r="AW106" s="1256">
        <f>'Prg. Marketing'!AV243</f>
        <v>0.40449075169731269</v>
      </c>
      <c r="AX106" s="1256">
        <f>'Prg. Marketing'!AW243</f>
        <v>0.39993269535908937</v>
      </c>
      <c r="AY106" s="1257">
        <f>'Prg. Marketing'!AX243</f>
        <v>0.45968617969830244</v>
      </c>
      <c r="AZ106" s="1256">
        <f>'Prg. Marketing'!AY243</f>
        <v>0.51726158701267066</v>
      </c>
      <c r="BA106" s="1256">
        <f>'Prg. Marketing'!AZ243</f>
        <v>0.50410695863232846</v>
      </c>
      <c r="BB106" s="1256">
        <f>'Prg. Marketing'!BA243</f>
        <v>0.48476932508693532</v>
      </c>
      <c r="BC106" s="1256">
        <f>'Prg. Marketing'!BB243</f>
        <v>0.46415871564095518</v>
      </c>
      <c r="BD106" s="1256">
        <f>'Prg. Marketing'!BC243</f>
        <v>0.44380682808998528</v>
      </c>
      <c r="BE106" s="1256">
        <f>'Prg. Marketing'!BD243</f>
        <v>0.44912151620375623</v>
      </c>
      <c r="BF106" s="1256">
        <f>'Prg. Marketing'!BE243</f>
        <v>0.50519498389680506</v>
      </c>
      <c r="BG106" s="1256">
        <f>'Prg. Marketing'!BF243</f>
        <v>0.4937292739113136</v>
      </c>
      <c r="BH106" s="1256">
        <f>'Prg. Marketing'!BG243</f>
        <v>0.47629101595498607</v>
      </c>
      <c r="BI106" s="1256">
        <f>'Prg. Marketing'!BH243</f>
        <v>0.47796157564567116</v>
      </c>
      <c r="BJ106" s="1256">
        <f>'Prg. Marketing'!BI243</f>
        <v>0.48353612592369172</v>
      </c>
      <c r="BK106" s="1257">
        <f>'Prg. Marketing'!BJ243</f>
        <v>0.47504145456473529</v>
      </c>
    </row>
    <row r="107" spans="1:63" s="340" customFormat="1" ht="18.75">
      <c r="A107" s="1245"/>
      <c r="B107" s="373"/>
      <c r="C107" s="356"/>
      <c r="D107" s="339"/>
      <c r="O107" s="404"/>
      <c r="AA107" s="404"/>
      <c r="AM107" s="404"/>
      <c r="AY107" s="404"/>
      <c r="BK107" s="404"/>
    </row>
  </sheetData>
  <pageMargins left="0.7" right="0.7" top="0.75" bottom="0.75" header="0.3" footer="0.3"/>
  <pageSetup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-0.499984740745262"/>
  </sheetPr>
  <dimension ref="A1:BK73"/>
  <sheetViews>
    <sheetView showGridLines="0" topLeftCell="A14" zoomScale="70" zoomScaleNormal="70" zoomScalePageLayoutView="70" workbookViewId="0">
      <pane xSplit="1" topLeftCell="B1" activePane="topRight" state="frozenSplit"/>
      <selection activeCell="BI26" sqref="BI26"/>
      <selection pane="topRight" activeCell="AX40" sqref="AX40"/>
    </sheetView>
  </sheetViews>
  <sheetFormatPr defaultColWidth="8.85546875" defaultRowHeight="15" outlineLevelRow="1"/>
  <cols>
    <col min="1" max="1" width="39.140625" customWidth="1"/>
    <col min="2" max="12" width="13.7109375" customWidth="1"/>
    <col min="13" max="13" width="13.7109375" style="114" customWidth="1"/>
    <col min="14" max="24" width="13.7109375" style="109" customWidth="1"/>
    <col min="25" max="25" width="13.7109375" style="114" customWidth="1"/>
    <col min="26" max="36" width="13.7109375" style="109" customWidth="1"/>
    <col min="37" max="37" width="13.7109375" style="114" customWidth="1"/>
    <col min="38" max="48" width="13.7109375" style="109" customWidth="1"/>
    <col min="49" max="49" width="13.7109375" style="114" customWidth="1"/>
    <col min="50" max="60" width="13.7109375" style="109" customWidth="1"/>
    <col min="61" max="61" width="13.7109375" style="114" customWidth="1"/>
    <col min="62" max="62" width="8.85546875" style="532"/>
    <col min="63" max="63" width="12.28515625" bestFit="1" customWidth="1"/>
  </cols>
  <sheetData>
    <row r="1" spans="1:62" s="19" customFormat="1" ht="22.5" customHeight="1">
      <c r="B1" s="1286" t="s">
        <v>189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7" t="s">
        <v>190</v>
      </c>
      <c r="O1" s="1288"/>
      <c r="P1" s="1288"/>
      <c r="Q1" s="1288"/>
      <c r="R1" s="1288"/>
      <c r="S1" s="1288"/>
      <c r="T1" s="1288"/>
      <c r="U1" s="1288"/>
      <c r="V1" s="1288"/>
      <c r="W1" s="1288"/>
      <c r="X1" s="1288"/>
      <c r="Y1" s="1288"/>
      <c r="Z1" s="1287" t="s">
        <v>191</v>
      </c>
      <c r="AA1" s="1288"/>
      <c r="AB1" s="1288"/>
      <c r="AC1" s="1288"/>
      <c r="AD1" s="1288"/>
      <c r="AE1" s="1288"/>
      <c r="AF1" s="1288"/>
      <c r="AG1" s="1288"/>
      <c r="AH1" s="1288"/>
      <c r="AI1" s="1288"/>
      <c r="AJ1" s="1288"/>
      <c r="AK1" s="1288"/>
      <c r="AL1" s="1287" t="s">
        <v>192</v>
      </c>
      <c r="AM1" s="1288"/>
      <c r="AN1" s="1288"/>
      <c r="AO1" s="1288"/>
      <c r="AP1" s="1288"/>
      <c r="AQ1" s="1288"/>
      <c r="AR1" s="1288"/>
      <c r="AS1" s="1288"/>
      <c r="AT1" s="1288"/>
      <c r="AU1" s="1288"/>
      <c r="AV1" s="1288"/>
      <c r="AW1" s="1288"/>
      <c r="AX1" s="1287" t="s">
        <v>193</v>
      </c>
      <c r="AY1" s="1288"/>
      <c r="AZ1" s="1288"/>
      <c r="BA1" s="1288"/>
      <c r="BB1" s="1288"/>
      <c r="BC1" s="1288"/>
      <c r="BD1" s="1288"/>
      <c r="BE1" s="1288"/>
      <c r="BF1" s="1288"/>
      <c r="BG1" s="1288"/>
      <c r="BH1" s="1288"/>
      <c r="BI1" s="1289"/>
      <c r="BJ1" s="529"/>
    </row>
    <row r="2" spans="1:62" hidden="1">
      <c r="A2" s="55" t="s">
        <v>158</v>
      </c>
      <c r="B2" s="50" t="s">
        <v>157</v>
      </c>
      <c r="C2" s="50" t="s">
        <v>156</v>
      </c>
      <c r="D2" s="50" t="s">
        <v>155</v>
      </c>
      <c r="E2" s="50" t="s">
        <v>154</v>
      </c>
      <c r="F2" s="50" t="s">
        <v>153</v>
      </c>
      <c r="G2" s="50" t="s">
        <v>152</v>
      </c>
      <c r="H2" s="50" t="s">
        <v>151</v>
      </c>
      <c r="I2" s="50" t="s">
        <v>150</v>
      </c>
      <c r="J2" s="50" t="s">
        <v>149</v>
      </c>
      <c r="K2" s="50" t="s">
        <v>148</v>
      </c>
      <c r="L2" s="50" t="s">
        <v>147</v>
      </c>
      <c r="M2" s="111" t="s">
        <v>146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111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111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111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111"/>
    </row>
    <row r="3" spans="1:62" s="554" customFormat="1" ht="15.75">
      <c r="A3" s="551"/>
      <c r="B3" s="552" t="s">
        <v>1</v>
      </c>
      <c r="C3" s="552" t="s">
        <v>2</v>
      </c>
      <c r="D3" s="552" t="s">
        <v>159</v>
      </c>
      <c r="E3" s="552" t="s">
        <v>160</v>
      </c>
      <c r="F3" s="552" t="s">
        <v>5</v>
      </c>
      <c r="G3" s="552" t="s">
        <v>161</v>
      </c>
      <c r="H3" s="552" t="s">
        <v>145</v>
      </c>
      <c r="I3" s="552" t="s">
        <v>8</v>
      </c>
      <c r="J3" s="552" t="s">
        <v>9</v>
      </c>
      <c r="K3" s="552" t="s">
        <v>10</v>
      </c>
      <c r="L3" s="552" t="s">
        <v>11</v>
      </c>
      <c r="M3" s="553" t="s">
        <v>12</v>
      </c>
      <c r="N3" s="552" t="s">
        <v>1</v>
      </c>
      <c r="O3" s="552" t="s">
        <v>2</v>
      </c>
      <c r="P3" s="552" t="s">
        <v>159</v>
      </c>
      <c r="Q3" s="552" t="s">
        <v>160</v>
      </c>
      <c r="R3" s="552" t="s">
        <v>5</v>
      </c>
      <c r="S3" s="552" t="s">
        <v>161</v>
      </c>
      <c r="T3" s="552" t="s">
        <v>145</v>
      </c>
      <c r="U3" s="552" t="s">
        <v>8</v>
      </c>
      <c r="V3" s="552" t="s">
        <v>9</v>
      </c>
      <c r="W3" s="552" t="s">
        <v>10</v>
      </c>
      <c r="X3" s="552" t="s">
        <v>11</v>
      </c>
      <c r="Y3" s="553" t="s">
        <v>12</v>
      </c>
      <c r="Z3" s="552" t="s">
        <v>1</v>
      </c>
      <c r="AA3" s="552" t="s">
        <v>2</v>
      </c>
      <c r="AB3" s="552" t="s">
        <v>159</v>
      </c>
      <c r="AC3" s="552" t="s">
        <v>160</v>
      </c>
      <c r="AD3" s="552" t="s">
        <v>5</v>
      </c>
      <c r="AE3" s="552" t="s">
        <v>161</v>
      </c>
      <c r="AF3" s="552" t="s">
        <v>145</v>
      </c>
      <c r="AG3" s="552" t="s">
        <v>8</v>
      </c>
      <c r="AH3" s="552" t="s">
        <v>9</v>
      </c>
      <c r="AI3" s="552" t="s">
        <v>10</v>
      </c>
      <c r="AJ3" s="552" t="s">
        <v>11</v>
      </c>
      <c r="AK3" s="553" t="s">
        <v>12</v>
      </c>
      <c r="AL3" s="552" t="s">
        <v>1</v>
      </c>
      <c r="AM3" s="552" t="s">
        <v>2</v>
      </c>
      <c r="AN3" s="552" t="s">
        <v>159</v>
      </c>
      <c r="AO3" s="552" t="s">
        <v>160</v>
      </c>
      <c r="AP3" s="552" t="s">
        <v>5</v>
      </c>
      <c r="AQ3" s="552" t="s">
        <v>161</v>
      </c>
      <c r="AR3" s="552" t="s">
        <v>145</v>
      </c>
      <c r="AS3" s="552" t="s">
        <v>8</v>
      </c>
      <c r="AT3" s="552" t="s">
        <v>9</v>
      </c>
      <c r="AU3" s="552" t="s">
        <v>10</v>
      </c>
      <c r="AV3" s="552" t="s">
        <v>11</v>
      </c>
      <c r="AW3" s="553" t="s">
        <v>12</v>
      </c>
      <c r="AX3" s="552" t="s">
        <v>1</v>
      </c>
      <c r="AY3" s="552" t="s">
        <v>2</v>
      </c>
      <c r="AZ3" s="552" t="s">
        <v>159</v>
      </c>
      <c r="BA3" s="552" t="s">
        <v>160</v>
      </c>
      <c r="BB3" s="552" t="s">
        <v>5</v>
      </c>
      <c r="BC3" s="552" t="s">
        <v>161</v>
      </c>
      <c r="BD3" s="552" t="s">
        <v>145</v>
      </c>
      <c r="BE3" s="552" t="s">
        <v>8</v>
      </c>
      <c r="BF3" s="552" t="s">
        <v>9</v>
      </c>
      <c r="BG3" s="552" t="s">
        <v>10</v>
      </c>
      <c r="BH3" s="552" t="s">
        <v>11</v>
      </c>
      <c r="BI3" s="553" t="s">
        <v>12</v>
      </c>
      <c r="BJ3" s="1174"/>
    </row>
    <row r="4" spans="1:62" ht="18.75">
      <c r="A4" s="1186" t="s">
        <v>144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11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111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111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111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111"/>
    </row>
    <row r="5" spans="1:62" s="539" customFormat="1">
      <c r="A5" s="536" t="s">
        <v>226</v>
      </c>
      <c r="B5" s="537">
        <v>20</v>
      </c>
      <c r="C5" s="537">
        <f>B5*1.04</f>
        <v>20.8</v>
      </c>
      <c r="D5" s="537">
        <f t="shared" ref="D5:BI5" si="0">C5*1.04</f>
        <v>21.632000000000001</v>
      </c>
      <c r="E5" s="537">
        <f t="shared" si="0"/>
        <v>22.497280000000003</v>
      </c>
      <c r="F5" s="537">
        <f t="shared" si="0"/>
        <v>23.397171200000006</v>
      </c>
      <c r="G5" s="537">
        <f t="shared" si="0"/>
        <v>24.333058048000009</v>
      </c>
      <c r="H5" s="537">
        <f t="shared" si="0"/>
        <v>25.30638036992001</v>
      </c>
      <c r="I5" s="537">
        <f t="shared" si="0"/>
        <v>26.318635584716812</v>
      </c>
      <c r="J5" s="537">
        <f t="shared" si="0"/>
        <v>27.371381008105487</v>
      </c>
      <c r="K5" s="537">
        <f t="shared" si="0"/>
        <v>28.466236248429709</v>
      </c>
      <c r="L5" s="537">
        <f t="shared" si="0"/>
        <v>29.6048856983669</v>
      </c>
      <c r="M5" s="538">
        <f t="shared" si="0"/>
        <v>30.789081126301578</v>
      </c>
      <c r="N5" s="537">
        <f t="shared" si="0"/>
        <v>32.02064437135364</v>
      </c>
      <c r="O5" s="537">
        <f t="shared" si="0"/>
        <v>33.301470146207784</v>
      </c>
      <c r="P5" s="537">
        <f t="shared" si="0"/>
        <v>34.633528952056096</v>
      </c>
      <c r="Q5" s="537">
        <f t="shared" si="0"/>
        <v>36.018870110138344</v>
      </c>
      <c r="R5" s="537">
        <f t="shared" si="0"/>
        <v>37.45962491454388</v>
      </c>
      <c r="S5" s="537">
        <f t="shared" si="0"/>
        <v>38.958009911125636</v>
      </c>
      <c r="T5" s="537">
        <f t="shared" si="0"/>
        <v>40.516330307570662</v>
      </c>
      <c r="U5" s="537">
        <f t="shared" si="0"/>
        <v>42.136983519873489</v>
      </c>
      <c r="V5" s="537">
        <f t="shared" si="0"/>
        <v>43.822462860668431</v>
      </c>
      <c r="W5" s="537">
        <f t="shared" si="0"/>
        <v>45.57536137509517</v>
      </c>
      <c r="X5" s="537">
        <f t="shared" si="0"/>
        <v>47.398375830098978</v>
      </c>
      <c r="Y5" s="538">
        <f t="shared" si="0"/>
        <v>49.29431086330294</v>
      </c>
      <c r="Z5" s="537">
        <f t="shared" si="0"/>
        <v>51.26608329783506</v>
      </c>
      <c r="AA5" s="537">
        <f t="shared" si="0"/>
        <v>53.316726629748466</v>
      </c>
      <c r="AB5" s="537">
        <f t="shared" si="0"/>
        <v>55.44939569493841</v>
      </c>
      <c r="AC5" s="537">
        <f t="shared" si="0"/>
        <v>57.667371522735948</v>
      </c>
      <c r="AD5" s="537">
        <f t="shared" si="0"/>
        <v>59.974066383645386</v>
      </c>
      <c r="AE5" s="537">
        <f t="shared" si="0"/>
        <v>62.373029038991206</v>
      </c>
      <c r="AF5" s="537">
        <f t="shared" si="0"/>
        <v>64.867950200550851</v>
      </c>
      <c r="AG5" s="537">
        <f t="shared" si="0"/>
        <v>67.462668208572893</v>
      </c>
      <c r="AH5" s="537">
        <f t="shared" si="0"/>
        <v>70.161174936915813</v>
      </c>
      <c r="AI5" s="537">
        <f t="shared" si="0"/>
        <v>72.967621934392454</v>
      </c>
      <c r="AJ5" s="537">
        <f t="shared" si="0"/>
        <v>75.886326811768157</v>
      </c>
      <c r="AK5" s="538">
        <f t="shared" si="0"/>
        <v>78.921779884238887</v>
      </c>
      <c r="AL5" s="537">
        <f t="shared" si="0"/>
        <v>82.078651079608449</v>
      </c>
      <c r="AM5" s="537">
        <f t="shared" si="0"/>
        <v>85.361797122792794</v>
      </c>
      <c r="AN5" s="537">
        <f t="shared" si="0"/>
        <v>88.776269007704514</v>
      </c>
      <c r="AO5" s="537">
        <f t="shared" si="0"/>
        <v>92.3273197680127</v>
      </c>
      <c r="AP5" s="537">
        <f t="shared" si="0"/>
        <v>96.020412558733213</v>
      </c>
      <c r="AQ5" s="537">
        <f t="shared" si="0"/>
        <v>99.86122906108254</v>
      </c>
      <c r="AR5" s="537">
        <f t="shared" si="0"/>
        <v>103.85567822352584</v>
      </c>
      <c r="AS5" s="537">
        <f t="shared" si="0"/>
        <v>108.00990535246687</v>
      </c>
      <c r="AT5" s="537">
        <f t="shared" si="0"/>
        <v>112.33030156656555</v>
      </c>
      <c r="AU5" s="537">
        <f t="shared" si="0"/>
        <v>116.82351362922817</v>
      </c>
      <c r="AV5" s="537">
        <f t="shared" si="0"/>
        <v>121.4964541743973</v>
      </c>
      <c r="AW5" s="538">
        <f t="shared" si="0"/>
        <v>126.3563123413732</v>
      </c>
      <c r="AX5" s="537">
        <f t="shared" si="0"/>
        <v>131.41056483502814</v>
      </c>
      <c r="AY5" s="537">
        <f t="shared" si="0"/>
        <v>136.66698742842928</v>
      </c>
      <c r="AZ5" s="537">
        <f t="shared" si="0"/>
        <v>142.13366692556644</v>
      </c>
      <c r="BA5" s="537">
        <f t="shared" si="0"/>
        <v>147.81901360258911</v>
      </c>
      <c r="BB5" s="537">
        <f t="shared" si="0"/>
        <v>153.73177414669269</v>
      </c>
      <c r="BC5" s="537">
        <f t="shared" si="0"/>
        <v>159.8810451125604</v>
      </c>
      <c r="BD5" s="537">
        <f t="shared" si="0"/>
        <v>166.27628691706283</v>
      </c>
      <c r="BE5" s="537">
        <f t="shared" si="0"/>
        <v>172.92733839374534</v>
      </c>
      <c r="BF5" s="537">
        <f t="shared" si="0"/>
        <v>179.84443192949516</v>
      </c>
      <c r="BG5" s="537">
        <f t="shared" si="0"/>
        <v>187.03820920667496</v>
      </c>
      <c r="BH5" s="537">
        <f t="shared" si="0"/>
        <v>194.51973757494196</v>
      </c>
      <c r="BI5" s="538">
        <f t="shared" si="0"/>
        <v>202.30052707793965</v>
      </c>
      <c r="BJ5" s="1175"/>
    </row>
    <row r="6" spans="1:62" s="533" customFormat="1">
      <c r="A6" s="535" t="s">
        <v>244</v>
      </c>
      <c r="B6" s="224">
        <v>0.6</v>
      </c>
      <c r="C6" s="533">
        <f>B6*(1+C8)</f>
        <v>0.59699999999999998</v>
      </c>
      <c r="D6" s="533">
        <f t="shared" ref="D6:BI6" si="1">C6*(1+D8)</f>
        <v>0.59365679999999998</v>
      </c>
      <c r="E6" s="533">
        <f t="shared" si="1"/>
        <v>0.58997612783999998</v>
      </c>
      <c r="F6" s="533">
        <f t="shared" si="1"/>
        <v>0.58596429017068796</v>
      </c>
      <c r="G6" s="533">
        <f t="shared" si="1"/>
        <v>0.58162815442342486</v>
      </c>
      <c r="H6" s="533">
        <f t="shared" si="1"/>
        <v>0.57697512918803751</v>
      </c>
      <c r="I6" s="533">
        <f t="shared" si="1"/>
        <v>0.57201314307702034</v>
      </c>
      <c r="J6" s="533">
        <f t="shared" si="1"/>
        <v>0.5667506221607117</v>
      </c>
      <c r="K6" s="533">
        <f t="shared" si="1"/>
        <v>0.56119646606353668</v>
      </c>
      <c r="L6" s="533">
        <f t="shared" si="1"/>
        <v>0.5553600228164759</v>
      </c>
      <c r="M6" s="534">
        <f t="shared" si="1"/>
        <v>0.54925106256549461</v>
      </c>
      <c r="N6" s="533">
        <f t="shared" si="1"/>
        <v>0.54276990002722181</v>
      </c>
      <c r="O6" s="533">
        <f t="shared" si="1"/>
        <v>0.53593099928687882</v>
      </c>
      <c r="P6" s="533">
        <f t="shared" si="1"/>
        <v>0.5287495238964347</v>
      </c>
      <c r="Q6" s="533">
        <f t="shared" si="1"/>
        <v>0.52124128065710529</v>
      </c>
      <c r="R6" s="533">
        <f t="shared" si="1"/>
        <v>0.51342266144724868</v>
      </c>
      <c r="S6" s="533">
        <f t="shared" si="1"/>
        <v>0.50531058339638213</v>
      </c>
      <c r="T6" s="533">
        <f t="shared" si="1"/>
        <v>0.49692242771200223</v>
      </c>
      <c r="U6" s="533">
        <f t="shared" si="1"/>
        <v>0.48827597746981344</v>
      </c>
      <c r="V6" s="533">
        <f t="shared" si="1"/>
        <v>0.47938935467986282</v>
      </c>
      <c r="W6" s="533">
        <f t="shared" si="1"/>
        <v>0.4702809569409454</v>
      </c>
      <c r="X6" s="533">
        <f t="shared" si="1"/>
        <v>0.46096939399351466</v>
      </c>
      <c r="Y6" s="534">
        <f t="shared" si="1"/>
        <v>0.45147342447724831</v>
      </c>
      <c r="Z6" s="533">
        <f t="shared" si="1"/>
        <v>0.44172159850853976</v>
      </c>
      <c r="AA6" s="533">
        <f t="shared" si="1"/>
        <v>0.43173869038224677</v>
      </c>
      <c r="AB6" s="533">
        <f t="shared" si="1"/>
        <v>0.42154965728922578</v>
      </c>
      <c r="AC6" s="533">
        <f t="shared" si="1"/>
        <v>0.41117953571991084</v>
      </c>
      <c r="AD6" s="533">
        <f t="shared" si="1"/>
        <v>0.40065333960548116</v>
      </c>
      <c r="AE6" s="533">
        <f t="shared" si="1"/>
        <v>0.3899959607719754</v>
      </c>
      <c r="AF6" s="533">
        <f t="shared" si="1"/>
        <v>0.37923207225466887</v>
      </c>
      <c r="AG6" s="533">
        <f t="shared" si="1"/>
        <v>0.36838603498818534</v>
      </c>
      <c r="AH6" s="533">
        <f t="shared" si="1"/>
        <v>0.35748180835253507</v>
      </c>
      <c r="AI6" s="533">
        <f t="shared" si="1"/>
        <v>0.34654286501694753</v>
      </c>
      <c r="AJ6" s="533">
        <f t="shared" si="1"/>
        <v>0.335592110482412</v>
      </c>
      <c r="AK6" s="534">
        <f t="shared" si="1"/>
        <v>0.32465180768068536</v>
      </c>
      <c r="AL6" s="533">
        <f t="shared" si="1"/>
        <v>0.31374350694261433</v>
      </c>
      <c r="AM6" s="533">
        <f t="shared" si="1"/>
        <v>0.30288798160239988</v>
      </c>
      <c r="AN6" s="533">
        <f t="shared" si="1"/>
        <v>0.29210516945735443</v>
      </c>
      <c r="AO6" s="533">
        <f t="shared" si="1"/>
        <v>0.28141412025521528</v>
      </c>
      <c r="AP6" s="533">
        <f t="shared" si="1"/>
        <v>0.27083294933361918</v>
      </c>
      <c r="AQ6" s="533">
        <f t="shared" si="1"/>
        <v>0.26037879748934151</v>
      </c>
      <c r="AR6" s="533">
        <f t="shared" si="1"/>
        <v>0.25006779710876359</v>
      </c>
      <c r="AS6" s="533">
        <f t="shared" si="1"/>
        <v>0.23991504454614779</v>
      </c>
      <c r="AT6" s="533">
        <f t="shared" si="1"/>
        <v>0.22993457869302805</v>
      </c>
      <c r="AU6" s="533">
        <f t="shared" si="1"/>
        <v>0.22013936564070508</v>
      </c>
      <c r="AV6" s="533">
        <f t="shared" si="1"/>
        <v>0.21054128929877033</v>
      </c>
      <c r="AW6" s="534">
        <f t="shared" si="1"/>
        <v>0.20115114779604518</v>
      </c>
      <c r="AX6" s="533">
        <f t="shared" si="1"/>
        <v>0.19197865545654552</v>
      </c>
      <c r="AY6" s="533">
        <f t="shared" si="1"/>
        <v>0.18303245011227051</v>
      </c>
      <c r="AZ6" s="533">
        <f t="shared" si="1"/>
        <v>0.17432010548692645</v>
      </c>
      <c r="BA6" s="533">
        <f t="shared" si="1"/>
        <v>0.16584814836026182</v>
      </c>
      <c r="BB6" s="533">
        <f t="shared" si="1"/>
        <v>0.15762208020159285</v>
      </c>
      <c r="BC6" s="533">
        <f t="shared" si="1"/>
        <v>0.14964640294339226</v>
      </c>
      <c r="BD6" s="533">
        <f t="shared" si="1"/>
        <v>0.14192464855151324</v>
      </c>
      <c r="BE6" s="533">
        <f t="shared" si="1"/>
        <v>0.13445941203770365</v>
      </c>
      <c r="BF6" s="533">
        <f t="shared" si="1"/>
        <v>0.12725238755248272</v>
      </c>
      <c r="BG6" s="533">
        <f t="shared" si="1"/>
        <v>0.12030440719211717</v>
      </c>
      <c r="BH6" s="533">
        <f t="shared" si="1"/>
        <v>0.11361548215223546</v>
      </c>
      <c r="BI6" s="534">
        <f t="shared" si="1"/>
        <v>0.10718484586241894</v>
      </c>
    </row>
    <row r="7" spans="1:62" s="549" customFormat="1">
      <c r="A7" s="547" t="s">
        <v>245</v>
      </c>
      <c r="B7" s="548">
        <f>1-B6</f>
        <v>0.4</v>
      </c>
      <c r="C7" s="549">
        <f>1-C6</f>
        <v>0.40300000000000002</v>
      </c>
      <c r="D7" s="549">
        <f t="shared" ref="D7:BI7" si="2">1-D6</f>
        <v>0.40634320000000002</v>
      </c>
      <c r="E7" s="549">
        <f t="shared" si="2"/>
        <v>0.41002387216000002</v>
      </c>
      <c r="F7" s="549">
        <f t="shared" si="2"/>
        <v>0.41403570982931204</v>
      </c>
      <c r="G7" s="549">
        <f t="shared" si="2"/>
        <v>0.41837184557657514</v>
      </c>
      <c r="H7" s="549">
        <f t="shared" si="2"/>
        <v>0.42302487081196249</v>
      </c>
      <c r="I7" s="549">
        <f t="shared" si="2"/>
        <v>0.42798685692297966</v>
      </c>
      <c r="J7" s="549">
        <f t="shared" si="2"/>
        <v>0.4332493778392883</v>
      </c>
      <c r="K7" s="549">
        <f t="shared" si="2"/>
        <v>0.43880353393646332</v>
      </c>
      <c r="L7" s="549">
        <f t="shared" si="2"/>
        <v>0.4446399771835241</v>
      </c>
      <c r="M7" s="550">
        <f t="shared" si="2"/>
        <v>0.45074893743450539</v>
      </c>
      <c r="N7" s="549">
        <f t="shared" si="2"/>
        <v>0.45723009997277819</v>
      </c>
      <c r="O7" s="549">
        <f t="shared" si="2"/>
        <v>0.46406900071312118</v>
      </c>
      <c r="P7" s="549">
        <f t="shared" si="2"/>
        <v>0.4712504761035653</v>
      </c>
      <c r="Q7" s="549">
        <f t="shared" si="2"/>
        <v>0.47875871934289471</v>
      </c>
      <c r="R7" s="549">
        <f t="shared" si="2"/>
        <v>0.48657733855275132</v>
      </c>
      <c r="S7" s="549">
        <f t="shared" si="2"/>
        <v>0.49468941660361787</v>
      </c>
      <c r="T7" s="549">
        <f t="shared" si="2"/>
        <v>0.50307757228799777</v>
      </c>
      <c r="U7" s="549">
        <f t="shared" si="2"/>
        <v>0.51172402253018656</v>
      </c>
      <c r="V7" s="549">
        <f t="shared" si="2"/>
        <v>0.52061064532013712</v>
      </c>
      <c r="W7" s="549">
        <f t="shared" si="2"/>
        <v>0.5297190430590546</v>
      </c>
      <c r="X7" s="549">
        <f t="shared" si="2"/>
        <v>0.53903060600648534</v>
      </c>
      <c r="Y7" s="550">
        <f t="shared" si="2"/>
        <v>0.54852657552275175</v>
      </c>
      <c r="Z7" s="549">
        <f t="shared" si="2"/>
        <v>0.55827840149146024</v>
      </c>
      <c r="AA7" s="549">
        <f t="shared" si="2"/>
        <v>0.56826130961775323</v>
      </c>
      <c r="AB7" s="549">
        <f t="shared" si="2"/>
        <v>0.57845034271077422</v>
      </c>
      <c r="AC7" s="549">
        <f t="shared" si="2"/>
        <v>0.58882046428008916</v>
      </c>
      <c r="AD7" s="549">
        <f t="shared" si="2"/>
        <v>0.59934666039451878</v>
      </c>
      <c r="AE7" s="549">
        <f t="shared" si="2"/>
        <v>0.6100040392280246</v>
      </c>
      <c r="AF7" s="549">
        <f t="shared" si="2"/>
        <v>0.62076792774533107</v>
      </c>
      <c r="AG7" s="549">
        <f t="shared" si="2"/>
        <v>0.63161396501181466</v>
      </c>
      <c r="AH7" s="549">
        <f t="shared" si="2"/>
        <v>0.64251819164746493</v>
      </c>
      <c r="AI7" s="549">
        <f t="shared" si="2"/>
        <v>0.65345713498305247</v>
      </c>
      <c r="AJ7" s="549">
        <f t="shared" si="2"/>
        <v>0.664407889517588</v>
      </c>
      <c r="AK7" s="550">
        <f t="shared" si="2"/>
        <v>0.67534819231931464</v>
      </c>
      <c r="AL7" s="549">
        <f t="shared" si="2"/>
        <v>0.68625649305738567</v>
      </c>
      <c r="AM7" s="549">
        <f t="shared" si="2"/>
        <v>0.69711201839760006</v>
      </c>
      <c r="AN7" s="549">
        <f t="shared" si="2"/>
        <v>0.70789483054264557</v>
      </c>
      <c r="AO7" s="549">
        <f t="shared" si="2"/>
        <v>0.71858587974478472</v>
      </c>
      <c r="AP7" s="549">
        <f t="shared" si="2"/>
        <v>0.72916705066638077</v>
      </c>
      <c r="AQ7" s="549">
        <f t="shared" si="2"/>
        <v>0.73962120251065855</v>
      </c>
      <c r="AR7" s="549">
        <f t="shared" si="2"/>
        <v>0.74993220289123641</v>
      </c>
      <c r="AS7" s="549">
        <f t="shared" si="2"/>
        <v>0.76008495545385224</v>
      </c>
      <c r="AT7" s="549">
        <f t="shared" si="2"/>
        <v>0.77006542130697198</v>
      </c>
      <c r="AU7" s="549">
        <f t="shared" si="2"/>
        <v>0.77986063435929487</v>
      </c>
      <c r="AV7" s="549">
        <f t="shared" si="2"/>
        <v>0.78945871070122964</v>
      </c>
      <c r="AW7" s="550">
        <f t="shared" si="2"/>
        <v>0.79884885220395485</v>
      </c>
      <c r="AX7" s="549">
        <f t="shared" si="2"/>
        <v>0.80802134454345453</v>
      </c>
      <c r="AY7" s="549">
        <f t="shared" si="2"/>
        <v>0.81696754988772946</v>
      </c>
      <c r="AZ7" s="549">
        <f t="shared" si="2"/>
        <v>0.82567989451307355</v>
      </c>
      <c r="BA7" s="549">
        <f t="shared" si="2"/>
        <v>0.83415185163973815</v>
      </c>
      <c r="BB7" s="549">
        <f t="shared" si="2"/>
        <v>0.84237791979840715</v>
      </c>
      <c r="BC7" s="549">
        <f t="shared" si="2"/>
        <v>0.85035359705660774</v>
      </c>
      <c r="BD7" s="549">
        <f t="shared" si="2"/>
        <v>0.85807535144848679</v>
      </c>
      <c r="BE7" s="549">
        <f t="shared" si="2"/>
        <v>0.86554058796229638</v>
      </c>
      <c r="BF7" s="549">
        <f t="shared" si="2"/>
        <v>0.87274761244751731</v>
      </c>
      <c r="BG7" s="549">
        <f t="shared" si="2"/>
        <v>0.87969559280788279</v>
      </c>
      <c r="BH7" s="549">
        <f t="shared" si="2"/>
        <v>0.88638451784776451</v>
      </c>
      <c r="BI7" s="550">
        <f t="shared" si="2"/>
        <v>0.89281515413758106</v>
      </c>
    </row>
    <row r="8" spans="1:62" s="542" customFormat="1" hidden="1" outlineLevel="1">
      <c r="A8" s="540" t="s">
        <v>284</v>
      </c>
      <c r="B8" s="541"/>
      <c r="C8" s="542">
        <v>-5.0000000000000001E-3</v>
      </c>
      <c r="D8" s="542">
        <f>C8-0.0006</f>
        <v>-5.5999999999999999E-3</v>
      </c>
      <c r="E8" s="542">
        <f>D8-0.0006</f>
        <v>-6.1999999999999998E-3</v>
      </c>
      <c r="F8" s="542">
        <f>E8-0.0006</f>
        <v>-6.7999999999999996E-3</v>
      </c>
      <c r="G8" s="542">
        <f>F8-0.0006</f>
        <v>-7.3999999999999995E-3</v>
      </c>
      <c r="H8" s="542">
        <f t="shared" ref="H8:M8" si="3">G8-0.0006</f>
        <v>-8.0000000000000002E-3</v>
      </c>
      <c r="I8" s="542">
        <f t="shared" si="3"/>
        <v>-8.6E-3</v>
      </c>
      <c r="J8" s="542">
        <f t="shared" si="3"/>
        <v>-9.1999999999999998E-3</v>
      </c>
      <c r="K8" s="542">
        <f t="shared" si="3"/>
        <v>-9.7999999999999997E-3</v>
      </c>
      <c r="L8" s="542">
        <f t="shared" si="3"/>
        <v>-1.04E-2</v>
      </c>
      <c r="M8" s="543">
        <f t="shared" si="3"/>
        <v>-1.0999999999999999E-2</v>
      </c>
      <c r="N8" s="542">
        <f>M8-0.0008</f>
        <v>-1.18E-2</v>
      </c>
      <c r="O8" s="542">
        <f t="shared" ref="O8:Y8" si="4">N8-0.0008</f>
        <v>-1.26E-2</v>
      </c>
      <c r="P8" s="542">
        <f t="shared" si="4"/>
        <v>-1.34E-2</v>
      </c>
      <c r="Q8" s="542">
        <f t="shared" si="4"/>
        <v>-1.4200000000000001E-2</v>
      </c>
      <c r="R8" s="542">
        <f t="shared" si="4"/>
        <v>-1.5000000000000001E-2</v>
      </c>
      <c r="S8" s="542">
        <f t="shared" si="4"/>
        <v>-1.5800000000000002E-2</v>
      </c>
      <c r="T8" s="542">
        <f t="shared" si="4"/>
        <v>-1.66E-2</v>
      </c>
      <c r="U8" s="542">
        <f t="shared" si="4"/>
        <v>-1.7399999999999999E-2</v>
      </c>
      <c r="V8" s="542">
        <f t="shared" si="4"/>
        <v>-1.8199999999999997E-2</v>
      </c>
      <c r="W8" s="542">
        <f t="shared" si="4"/>
        <v>-1.8999999999999996E-2</v>
      </c>
      <c r="X8" s="542">
        <f t="shared" si="4"/>
        <v>-1.9799999999999995E-2</v>
      </c>
      <c r="Y8" s="543">
        <f t="shared" si="4"/>
        <v>-2.0599999999999993E-2</v>
      </c>
      <c r="Z8" s="542">
        <f>Y8-0.001</f>
        <v>-2.1599999999999994E-2</v>
      </c>
      <c r="AA8" s="542">
        <f t="shared" ref="AA8:AK8" si="5">Z8-0.001</f>
        <v>-2.2599999999999995E-2</v>
      </c>
      <c r="AB8" s="542">
        <f t="shared" si="5"/>
        <v>-2.3599999999999996E-2</v>
      </c>
      <c r="AC8" s="542">
        <f t="shared" si="5"/>
        <v>-2.4599999999999997E-2</v>
      </c>
      <c r="AD8" s="542">
        <f t="shared" si="5"/>
        <v>-2.5599999999999998E-2</v>
      </c>
      <c r="AE8" s="542">
        <f t="shared" si="5"/>
        <v>-2.6599999999999999E-2</v>
      </c>
      <c r="AF8" s="542">
        <f t="shared" si="5"/>
        <v>-2.76E-2</v>
      </c>
      <c r="AG8" s="542">
        <f t="shared" si="5"/>
        <v>-2.86E-2</v>
      </c>
      <c r="AH8" s="542">
        <f t="shared" si="5"/>
        <v>-2.9600000000000001E-2</v>
      </c>
      <c r="AI8" s="542">
        <f t="shared" si="5"/>
        <v>-3.0600000000000002E-2</v>
      </c>
      <c r="AJ8" s="542">
        <f t="shared" si="5"/>
        <v>-3.1600000000000003E-2</v>
      </c>
      <c r="AK8" s="543">
        <f t="shared" si="5"/>
        <v>-3.2600000000000004E-2</v>
      </c>
      <c r="AL8" s="542">
        <f>AK8-0.001</f>
        <v>-3.3600000000000005E-2</v>
      </c>
      <c r="AM8" s="542">
        <f t="shared" ref="AM8:BI8" si="6">AL8-0.001</f>
        <v>-3.4600000000000006E-2</v>
      </c>
      <c r="AN8" s="542">
        <f t="shared" si="6"/>
        <v>-3.5600000000000007E-2</v>
      </c>
      <c r="AO8" s="542">
        <f t="shared" si="6"/>
        <v>-3.6600000000000008E-2</v>
      </c>
      <c r="AP8" s="542">
        <f t="shared" si="6"/>
        <v>-3.7600000000000008E-2</v>
      </c>
      <c r="AQ8" s="542">
        <f t="shared" si="6"/>
        <v>-3.8600000000000009E-2</v>
      </c>
      <c r="AR8" s="542">
        <f t="shared" si="6"/>
        <v>-3.960000000000001E-2</v>
      </c>
      <c r="AS8" s="542">
        <f t="shared" si="6"/>
        <v>-4.0600000000000011E-2</v>
      </c>
      <c r="AT8" s="542">
        <f t="shared" si="6"/>
        <v>-4.1600000000000012E-2</v>
      </c>
      <c r="AU8" s="542">
        <f t="shared" si="6"/>
        <v>-4.2600000000000013E-2</v>
      </c>
      <c r="AV8" s="542">
        <f t="shared" si="6"/>
        <v>-4.3600000000000014E-2</v>
      </c>
      <c r="AW8" s="543">
        <f t="shared" si="6"/>
        <v>-4.4600000000000015E-2</v>
      </c>
      <c r="AX8" s="542">
        <f t="shared" si="6"/>
        <v>-4.5600000000000016E-2</v>
      </c>
      <c r="AY8" s="542">
        <f t="shared" si="6"/>
        <v>-4.6600000000000016E-2</v>
      </c>
      <c r="AZ8" s="542">
        <f t="shared" si="6"/>
        <v>-4.7600000000000017E-2</v>
      </c>
      <c r="BA8" s="542">
        <f t="shared" si="6"/>
        <v>-4.8600000000000018E-2</v>
      </c>
      <c r="BB8" s="542">
        <f t="shared" si="6"/>
        <v>-4.9600000000000019E-2</v>
      </c>
      <c r="BC8" s="542">
        <f t="shared" si="6"/>
        <v>-5.060000000000002E-2</v>
      </c>
      <c r="BD8" s="542">
        <f t="shared" si="6"/>
        <v>-5.1600000000000021E-2</v>
      </c>
      <c r="BE8" s="542">
        <f t="shared" si="6"/>
        <v>-5.2600000000000022E-2</v>
      </c>
      <c r="BF8" s="542">
        <f t="shared" si="6"/>
        <v>-5.3600000000000023E-2</v>
      </c>
      <c r="BG8" s="542">
        <f t="shared" si="6"/>
        <v>-5.4600000000000024E-2</v>
      </c>
      <c r="BH8" s="542">
        <f t="shared" si="6"/>
        <v>-5.5600000000000024E-2</v>
      </c>
      <c r="BI8" s="543">
        <f t="shared" si="6"/>
        <v>-5.6600000000000025E-2</v>
      </c>
    </row>
    <row r="9" spans="1:62" s="57" customFormat="1" collapsed="1">
      <c r="A9" s="529"/>
      <c r="G9" s="530"/>
      <c r="M9" s="531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1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1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1"/>
      <c r="AX9" s="532"/>
      <c r="AY9" s="532"/>
      <c r="AZ9" s="532"/>
      <c r="BA9" s="532"/>
      <c r="BB9" s="532"/>
      <c r="BC9" s="532"/>
      <c r="BD9" s="532"/>
      <c r="BE9" s="532"/>
      <c r="BF9" s="532"/>
      <c r="BG9" s="532"/>
      <c r="BH9" s="532"/>
      <c r="BI9" s="531"/>
      <c r="BJ9" s="532"/>
    </row>
    <row r="10" spans="1:62" s="57" customFormat="1" ht="18.75">
      <c r="A10" s="823" t="s">
        <v>238</v>
      </c>
      <c r="B10" s="544"/>
      <c r="C10" s="544"/>
      <c r="D10" s="544"/>
      <c r="E10" s="544"/>
      <c r="F10" s="544"/>
      <c r="G10" s="545"/>
      <c r="H10" s="544"/>
      <c r="I10" s="544"/>
      <c r="J10" s="544"/>
      <c r="K10" s="544"/>
      <c r="L10" s="544"/>
      <c r="M10" s="546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1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1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1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1"/>
      <c r="BJ10" s="532"/>
    </row>
    <row r="11" spans="1:62" s="502" customFormat="1">
      <c r="A11" s="501" t="s">
        <v>226</v>
      </c>
      <c r="B11" s="502">
        <f>B5*B6</f>
        <v>12</v>
      </c>
      <c r="C11" s="502">
        <f t="shared" ref="C11:BI11" si="7">C5*C6</f>
        <v>12.4176</v>
      </c>
      <c r="D11" s="502">
        <f t="shared" si="7"/>
        <v>12.8419838976</v>
      </c>
      <c r="E11" s="502">
        <f t="shared" si="7"/>
        <v>13.272858141332277</v>
      </c>
      <c r="F11" s="502">
        <f t="shared" si="7"/>
        <v>13.709906814210067</v>
      </c>
      <c r="G11" s="502">
        <f t="shared" si="7"/>
        <v>14.152791643936309</v>
      </c>
      <c r="H11" s="502">
        <f t="shared" si="7"/>
        <v>14.601152083216213</v>
      </c>
      <c r="I11" s="502">
        <f t="shared" si="7"/>
        <v>15.054605462312576</v>
      </c>
      <c r="J11" s="502">
        <f t="shared" si="7"/>
        <v>15.512747215741673</v>
      </c>
      <c r="K11" s="502">
        <f t="shared" si="7"/>
        <v>15.975151184748501</v>
      </c>
      <c r="L11" s="502">
        <f t="shared" si="7"/>
        <v>16.441369996924202</v>
      </c>
      <c r="M11" s="503">
        <f t="shared" si="7"/>
        <v>16.910935524036358</v>
      </c>
      <c r="N11" s="502">
        <f t="shared" si="7"/>
        <v>17.379841944246838</v>
      </c>
      <c r="O11" s="502">
        <f t="shared" si="7"/>
        <v>17.847290173179299</v>
      </c>
      <c r="P11" s="502">
        <f t="shared" si="7"/>
        <v>18.312461944253048</v>
      </c>
      <c r="Q11" s="502">
        <f t="shared" si="7"/>
        <v>18.774521984030443</v>
      </c>
      <c r="R11" s="502">
        <f t="shared" si="7"/>
        <v>19.232620320440784</v>
      </c>
      <c r="S11" s="502">
        <f t="shared" si="7"/>
        <v>19.685894716152934</v>
      </c>
      <c r="T11" s="502">
        <f t="shared" si="7"/>
        <v>20.133473218419386</v>
      </c>
      <c r="U11" s="502">
        <f t="shared" si="7"/>
        <v>20.574476815795649</v>
      </c>
      <c r="V11" s="502">
        <f t="shared" si="7"/>
        <v>21.008022191258092</v>
      </c>
      <c r="W11" s="502">
        <f t="shared" si="7"/>
        <v>21.433224560409158</v>
      </c>
      <c r="X11" s="502">
        <f t="shared" si="7"/>
        <v>21.849200582677579</v>
      </c>
      <c r="Y11" s="503">
        <f t="shared" si="7"/>
        <v>22.255071332701402</v>
      </c>
      <c r="Z11" s="502">
        <f t="shared" si="7"/>
        <v>22.645336263591656</v>
      </c>
      <c r="AA11" s="502">
        <f t="shared" si="7"/>
        <v>23.018893730595863</v>
      </c>
      <c r="AB11" s="502">
        <f t="shared" si="7"/>
        <v>23.374673752095958</v>
      </c>
      <c r="AC11" s="502">
        <f t="shared" si="7"/>
        <v>23.711643048906176</v>
      </c>
      <c r="AD11" s="502">
        <f t="shared" si="7"/>
        <v>24.028809986328348</v>
      </c>
      <c r="AE11" s="502">
        <f t="shared" si="7"/>
        <v>24.325229386319698</v>
      </c>
      <c r="AF11" s="502">
        <f t="shared" si="7"/>
        <v>24.600007177467564</v>
      </c>
      <c r="AG11" s="502">
        <f t="shared" si="7"/>
        <v>24.852304851079673</v>
      </c>
      <c r="AH11" s="502">
        <f t="shared" si="7"/>
        <v>25.081343692587225</v>
      </c>
      <c r="AI11" s="502">
        <f t="shared" si="7"/>
        <v>25.286408758617824</v>
      </c>
      <c r="AJ11" s="502">
        <f t="shared" si="7"/>
        <v>25.466852571519322</v>
      </c>
      <c r="AK11" s="503">
        <f t="shared" si="7"/>
        <v>25.622098504795307</v>
      </c>
      <c r="AL11" s="502">
        <f t="shared" si="7"/>
        <v>25.751643834835551</v>
      </c>
      <c r="AM11" s="502">
        <f t="shared" si="7"/>
        <v>25.855062436476256</v>
      </c>
      <c r="AN11" s="502">
        <f t="shared" si="7"/>
        <v>25.932007102287209</v>
      </c>
      <c r="AO11" s="502">
        <f t="shared" si="7"/>
        <v>25.982211468037242</v>
      </c>
      <c r="AP11" s="502">
        <f t="shared" si="7"/>
        <v>26.005491529512604</v>
      </c>
      <c r="AQ11" s="502">
        <f t="shared" si="7"/>
        <v>26.001746738732354</v>
      </c>
      <c r="AR11" s="502">
        <f t="shared" si="7"/>
        <v>25.970960670593698</v>
      </c>
      <c r="AS11" s="502">
        <f t="shared" si="7"/>
        <v>25.913201254062297</v>
      </c>
      <c r="AT11" s="502">
        <f t="shared" si="7"/>
        <v>25.828620565169039</v>
      </c>
      <c r="AU11" s="502">
        <f t="shared" si="7"/>
        <v>25.717454182256553</v>
      </c>
      <c r="AV11" s="502">
        <f t="shared" si="7"/>
        <v>25.580020107106574</v>
      </c>
      <c r="AW11" s="503">
        <f t="shared" si="7"/>
        <v>25.416717258742807</v>
      </c>
      <c r="AX11" s="502">
        <f t="shared" si="7"/>
        <v>25.228023549813905</v>
      </c>
      <c r="AY11" s="502">
        <f t="shared" si="7"/>
        <v>25.014493558488283</v>
      </c>
      <c r="AZ11" s="502">
        <f t="shared" si="7"/>
        <v>24.776755811708412</v>
      </c>
      <c r="BA11" s="502">
        <f t="shared" si="7"/>
        <v>24.51550969842976</v>
      </c>
      <c r="BB11" s="502">
        <f t="shared" si="7"/>
        <v>24.231522034083152</v>
      </c>
      <c r="BC11" s="502">
        <f t="shared" si="7"/>
        <v>23.92562329992489</v>
      </c>
      <c r="BD11" s="502">
        <f t="shared" si="7"/>
        <v>23.59870358315472</v>
      </c>
      <c r="BE11" s="502">
        <f t="shared" si="7"/>
        <v>23.251708245668016</v>
      </c>
      <c r="BF11" s="502">
        <f t="shared" si="7"/>
        <v>22.885633351048217</v>
      </c>
      <c r="BG11" s="502">
        <f t="shared" si="7"/>
        <v>22.501520880884225</v>
      </c>
      <c r="BH11" s="502">
        <f t="shared" si="7"/>
        <v>22.100453772703343</v>
      </c>
      <c r="BI11" s="503">
        <f t="shared" si="7"/>
        <v>21.683550812735071</v>
      </c>
    </row>
    <row r="12" spans="1:62" s="526" customFormat="1">
      <c r="A12" s="527" t="s">
        <v>227</v>
      </c>
      <c r="B12" s="525">
        <v>0.3</v>
      </c>
      <c r="C12" s="525">
        <f>B12*1.0015</f>
        <v>0.30044999999999999</v>
      </c>
      <c r="D12" s="525">
        <f t="shared" ref="D12:BI12" si="8">C12*1.0015</f>
        <v>0.30090067500000001</v>
      </c>
      <c r="E12" s="525">
        <f t="shared" si="8"/>
        <v>0.3013520260125</v>
      </c>
      <c r="F12" s="525">
        <f t="shared" si="8"/>
        <v>0.30180405405151878</v>
      </c>
      <c r="G12" s="525">
        <f t="shared" si="8"/>
        <v>0.30225676013259606</v>
      </c>
      <c r="H12" s="525">
        <f t="shared" si="8"/>
        <v>0.30271014527279499</v>
      </c>
      <c r="I12" s="525">
        <f t="shared" si="8"/>
        <v>0.30316421049070419</v>
      </c>
      <c r="J12" s="525">
        <f t="shared" si="8"/>
        <v>0.30361895680644024</v>
      </c>
      <c r="K12" s="525">
        <f t="shared" si="8"/>
        <v>0.30407438524164992</v>
      </c>
      <c r="L12" s="525">
        <f t="shared" si="8"/>
        <v>0.30453049681951244</v>
      </c>
      <c r="M12" s="523">
        <f t="shared" si="8"/>
        <v>0.30498729256474172</v>
      </c>
      <c r="N12" s="524">
        <f t="shared" si="8"/>
        <v>0.30544477350358884</v>
      </c>
      <c r="O12" s="525">
        <f t="shared" si="8"/>
        <v>0.30590294066384421</v>
      </c>
      <c r="P12" s="525">
        <f t="shared" si="8"/>
        <v>0.30636179507484002</v>
      </c>
      <c r="Q12" s="525">
        <f t="shared" si="8"/>
        <v>0.3068213377674523</v>
      </c>
      <c r="R12" s="525">
        <f t="shared" si="8"/>
        <v>0.30728156977410348</v>
      </c>
      <c r="S12" s="525">
        <f t="shared" si="8"/>
        <v>0.30774249212876464</v>
      </c>
      <c r="T12" s="525">
        <f t="shared" si="8"/>
        <v>0.30820410586695779</v>
      </c>
      <c r="U12" s="525">
        <f t="shared" si="8"/>
        <v>0.30866641202575823</v>
      </c>
      <c r="V12" s="525">
        <f t="shared" si="8"/>
        <v>0.30912941164379687</v>
      </c>
      <c r="W12" s="525">
        <f t="shared" si="8"/>
        <v>0.30959310576126259</v>
      </c>
      <c r="X12" s="525">
        <f t="shared" si="8"/>
        <v>0.31005749541990452</v>
      </c>
      <c r="Y12" s="523">
        <f t="shared" si="8"/>
        <v>0.31052258166303437</v>
      </c>
      <c r="Z12" s="525">
        <f t="shared" si="8"/>
        <v>0.31098836553552894</v>
      </c>
      <c r="AA12" s="525">
        <f t="shared" si="8"/>
        <v>0.31145484808383228</v>
      </c>
      <c r="AB12" s="525">
        <f t="shared" si="8"/>
        <v>0.31192203035595806</v>
      </c>
      <c r="AC12" s="525">
        <f t="shared" si="8"/>
        <v>0.31238991340149203</v>
      </c>
      <c r="AD12" s="525">
        <f t="shared" si="8"/>
        <v>0.31285849827159429</v>
      </c>
      <c r="AE12" s="525">
        <f t="shared" si="8"/>
        <v>0.31332778601900169</v>
      </c>
      <c r="AF12" s="525">
        <f t="shared" si="8"/>
        <v>0.31379777769803019</v>
      </c>
      <c r="AG12" s="525">
        <f t="shared" si="8"/>
        <v>0.31426847436457728</v>
      </c>
      <c r="AH12" s="525">
        <f t="shared" si="8"/>
        <v>0.31473987707612416</v>
      </c>
      <c r="AI12" s="525">
        <f t="shared" si="8"/>
        <v>0.31521198689173835</v>
      </c>
      <c r="AJ12" s="525">
        <f t="shared" si="8"/>
        <v>0.31568480487207595</v>
      </c>
      <c r="AK12" s="523">
        <f t="shared" si="8"/>
        <v>0.3161583320793841</v>
      </c>
      <c r="AL12" s="525">
        <f t="shared" si="8"/>
        <v>0.31663256957750319</v>
      </c>
      <c r="AM12" s="525">
        <f t="shared" si="8"/>
        <v>0.31710751843186946</v>
      </c>
      <c r="AN12" s="525">
        <f t="shared" si="8"/>
        <v>0.31758317970951727</v>
      </c>
      <c r="AO12" s="525">
        <f t="shared" si="8"/>
        <v>0.31805955447908157</v>
      </c>
      <c r="AP12" s="525">
        <f t="shared" si="8"/>
        <v>0.31853664381080021</v>
      </c>
      <c r="AQ12" s="525">
        <f t="shared" si="8"/>
        <v>0.31901444877651641</v>
      </c>
      <c r="AR12" s="525">
        <f t="shared" si="8"/>
        <v>0.31949297044968122</v>
      </c>
      <c r="AS12" s="525">
        <f t="shared" si="8"/>
        <v>0.31997220990535574</v>
      </c>
      <c r="AT12" s="525">
        <f t="shared" si="8"/>
        <v>0.32045216822021377</v>
      </c>
      <c r="AU12" s="525">
        <f t="shared" si="8"/>
        <v>0.32093284647254411</v>
      </c>
      <c r="AV12" s="525">
        <f t="shared" si="8"/>
        <v>0.32141424574225297</v>
      </c>
      <c r="AW12" s="523">
        <f t="shared" si="8"/>
        <v>0.32189636711086639</v>
      </c>
      <c r="AX12" s="525">
        <f t="shared" si="8"/>
        <v>0.32237921166153272</v>
      </c>
      <c r="AY12" s="525">
        <f t="shared" si="8"/>
        <v>0.32286278047902506</v>
      </c>
      <c r="AZ12" s="525">
        <f t="shared" si="8"/>
        <v>0.3233470746497436</v>
      </c>
      <c r="BA12" s="525">
        <f t="shared" si="8"/>
        <v>0.32383209526171824</v>
      </c>
      <c r="BB12" s="525">
        <f t="shared" si="8"/>
        <v>0.32431784340461084</v>
      </c>
      <c r="BC12" s="525">
        <f t="shared" si="8"/>
        <v>0.32480432016971778</v>
      </c>
      <c r="BD12" s="525">
        <f t="shared" si="8"/>
        <v>0.32529152664997235</v>
      </c>
      <c r="BE12" s="525">
        <f t="shared" si="8"/>
        <v>0.32577946393994733</v>
      </c>
      <c r="BF12" s="525">
        <f t="shared" si="8"/>
        <v>0.32626813313585729</v>
      </c>
      <c r="BG12" s="525">
        <f t="shared" si="8"/>
        <v>0.32675753533556107</v>
      </c>
      <c r="BH12" s="525">
        <f t="shared" si="8"/>
        <v>0.32724767163856444</v>
      </c>
      <c r="BI12" s="523">
        <f t="shared" si="8"/>
        <v>0.3277385431460223</v>
      </c>
    </row>
    <row r="13" spans="1:62" s="339" customFormat="1">
      <c r="A13" s="433" t="s">
        <v>143</v>
      </c>
      <c r="B13" s="474">
        <f>B12*B11</f>
        <v>3.5999999999999996</v>
      </c>
      <c r="C13" s="474">
        <f t="shared" ref="C13:BI13" si="9">C12*C11</f>
        <v>3.7308679200000001</v>
      </c>
      <c r="D13" s="474">
        <f t="shared" si="9"/>
        <v>3.8641616231269711</v>
      </c>
      <c r="E13" s="474">
        <f t="shared" si="9"/>
        <v>3.9998026918669867</v>
      </c>
      <c r="F13" s="474">
        <f t="shared" si="9"/>
        <v>4.1377054571971401</v>
      </c>
      <c r="G13" s="474">
        <f t="shared" si="9"/>
        <v>4.2777769491278672</v>
      </c>
      <c r="H13" s="474">
        <f t="shared" si="9"/>
        <v>4.419916868260553</v>
      </c>
      <c r="I13" s="474">
        <f t="shared" si="9"/>
        <v>4.5640175792310353</v>
      </c>
      <c r="J13" s="474">
        <f t="shared" si="9"/>
        <v>4.709964126845497</v>
      </c>
      <c r="K13" s="474">
        <f t="shared" si="9"/>
        <v>4.8576342756448163</v>
      </c>
      <c r="L13" s="474">
        <f t="shared" si="9"/>
        <v>5.0068985735567528</v>
      </c>
      <c r="M13" s="475">
        <f t="shared" si="9"/>
        <v>5.1576204402127601</v>
      </c>
      <c r="N13" s="474">
        <f t="shared" si="9"/>
        <v>5.3085818861886489</v>
      </c>
      <c r="O13" s="474">
        <f t="shared" si="9"/>
        <v>5.4595385468564768</v>
      </c>
      <c r="P13" s="474">
        <f t="shared" si="9"/>
        <v>5.610238713481059</v>
      </c>
      <c r="Q13" s="474">
        <f t="shared" si="9"/>
        <v>5.7604239510846629</v>
      </c>
      <c r="R13" s="474">
        <f t="shared" si="9"/>
        <v>5.9098297629343648</v>
      </c>
      <c r="S13" s="474">
        <f t="shared" si="9"/>
        <v>6.058186299733384</v>
      </c>
      <c r="T13" s="474">
        <f t="shared" si="9"/>
        <v>6.2052191112792876</v>
      </c>
      <c r="U13" s="474">
        <f t="shared" si="9"/>
        <v>6.3506499380387895</v>
      </c>
      <c r="V13" s="474">
        <f t="shared" si="9"/>
        <v>6.4941975397834426</v>
      </c>
      <c r="W13" s="474">
        <f t="shared" si="9"/>
        <v>6.6355785581356432</v>
      </c>
      <c r="X13" s="474">
        <f t="shared" si="9"/>
        <v>6.7745084095921282</v>
      </c>
      <c r="Y13" s="475">
        <f t="shared" si="9"/>
        <v>6.9107022053254257</v>
      </c>
      <c r="Z13" s="474">
        <f t="shared" si="9"/>
        <v>7.0424361116168113</v>
      </c>
      <c r="AA13" s="474">
        <f t="shared" si="9"/>
        <v>7.1693460499206143</v>
      </c>
      <c r="AB13" s="474">
        <f t="shared" si="9"/>
        <v>7.2910756956618918</v>
      </c>
      <c r="AC13" s="474">
        <f t="shared" si="9"/>
        <v>7.4072781186548902</v>
      </c>
      <c r="AD13" s="474">
        <f t="shared" si="9"/>
        <v>7.517617407576175</v>
      </c>
      <c r="AE13" s="474">
        <f t="shared" si="9"/>
        <v>7.62177026801991</v>
      </c>
      <c r="AF13" s="474">
        <f t="shared" si="9"/>
        <v>7.7194275836449133</v>
      </c>
      <c r="AG13" s="474">
        <f t="shared" si="9"/>
        <v>7.8102959299921917</v>
      </c>
      <c r="AH13" s="474">
        <f t="shared" si="9"/>
        <v>7.8940990307089258</v>
      </c>
      <c r="AI13" s="474">
        <f t="shared" si="9"/>
        <v>7.9705791461605795</v>
      </c>
      <c r="AJ13" s="474">
        <f t="shared" si="9"/>
        <v>8.0394983847460022</v>
      </c>
      <c r="AK13" s="475">
        <f t="shared" si="9"/>
        <v>8.100639927649766</v>
      </c>
      <c r="AL13" s="474">
        <f t="shared" si="9"/>
        <v>8.1538091582686487</v>
      </c>
      <c r="AM13" s="474">
        <f t="shared" si="9"/>
        <v>8.1988346881320293</v>
      </c>
      <c r="AN13" s="474">
        <f t="shared" si="9"/>
        <v>8.2355692717941569</v>
      </c>
      <c r="AO13" s="474">
        <f t="shared" si="9"/>
        <v>8.2638906039052085</v>
      </c>
      <c r="AP13" s="474">
        <f t="shared" si="9"/>
        <v>8.2837019924611379</v>
      </c>
      <c r="AQ13" s="474">
        <f t="shared" si="9"/>
        <v>8.2949329030832857</v>
      </c>
      <c r="AR13" s="474">
        <f t="shared" si="9"/>
        <v>8.297539370079825</v>
      </c>
      <c r="AS13" s="474">
        <f t="shared" si="9"/>
        <v>8.2915042709845483</v>
      </c>
      <c r="AT13" s="474">
        <f t="shared" si="9"/>
        <v>8.2768374622456218</v>
      </c>
      <c r="AU13" s="474">
        <f t="shared" si="9"/>
        <v>8.2535757747388292</v>
      </c>
      <c r="AV13" s="474">
        <f t="shared" si="9"/>
        <v>8.2217828687973249</v>
      </c>
      <c r="AW13" s="475">
        <f t="shared" si="9"/>
        <v>8.1815489494733686</v>
      </c>
      <c r="AX13" s="474">
        <f t="shared" si="9"/>
        <v>8.1329903437675881</v>
      </c>
      <c r="AY13" s="474">
        <f t="shared" si="9"/>
        <v>8.0762489425681885</v>
      </c>
      <c r="AZ13" s="474">
        <f t="shared" si="9"/>
        <v>8.0114915110269482</v>
      </c>
      <c r="BA13" s="474">
        <f t="shared" si="9"/>
        <v>7.938908872051484</v>
      </c>
      <c r="BB13" s="474">
        <f t="shared" si="9"/>
        <v>7.8587149685051569</v>
      </c>
      <c r="BC13" s="474">
        <f t="shared" si="9"/>
        <v>7.7711458105688633</v>
      </c>
      <c r="BD13" s="474">
        <f t="shared" si="9"/>
        <v>7.6764583155245711</v>
      </c>
      <c r="BE13" s="474">
        <f t="shared" si="9"/>
        <v>7.5749290479617795</v>
      </c>
      <c r="BF13" s="474">
        <f t="shared" si="9"/>
        <v>7.466852869078215</v>
      </c>
      <c r="BG13" s="474">
        <f t="shared" si="9"/>
        <v>7.352541504339392</v>
      </c>
      <c r="BH13" s="474">
        <f t="shared" si="9"/>
        <v>7.232322039272896</v>
      </c>
      <c r="BI13" s="475">
        <f t="shared" si="9"/>
        <v>7.1065353535985398</v>
      </c>
    </row>
    <row r="14" spans="1:62" s="339" customFormat="1">
      <c r="A14" s="433" t="s">
        <v>142</v>
      </c>
      <c r="B14" s="525">
        <v>0.42</v>
      </c>
      <c r="C14" s="525">
        <f>B14*1.005</f>
        <v>0.42209999999999992</v>
      </c>
      <c r="D14" s="525">
        <f t="shared" ref="D14:BI14" si="10">C14*1.005</f>
        <v>0.42421049999999988</v>
      </c>
      <c r="E14" s="525">
        <f t="shared" si="10"/>
        <v>0.42633155249999982</v>
      </c>
      <c r="F14" s="525">
        <f t="shared" si="10"/>
        <v>0.42846321026249978</v>
      </c>
      <c r="G14" s="525">
        <f t="shared" si="10"/>
        <v>0.43060552631381221</v>
      </c>
      <c r="H14" s="525">
        <f t="shared" si="10"/>
        <v>0.43275855394538121</v>
      </c>
      <c r="I14" s="525">
        <f t="shared" si="10"/>
        <v>0.43492234671510804</v>
      </c>
      <c r="J14" s="525">
        <f t="shared" si="10"/>
        <v>0.43709695844868351</v>
      </c>
      <c r="K14" s="525">
        <f t="shared" si="10"/>
        <v>0.43928244324092691</v>
      </c>
      <c r="L14" s="525">
        <f t="shared" si="10"/>
        <v>0.4414788554571315</v>
      </c>
      <c r="M14" s="523">
        <f t="shared" si="10"/>
        <v>0.44368624973441712</v>
      </c>
      <c r="N14" s="524">
        <f t="shared" si="10"/>
        <v>0.44590468098308916</v>
      </c>
      <c r="O14" s="525">
        <f t="shared" si="10"/>
        <v>0.44813420438800455</v>
      </c>
      <c r="P14" s="525">
        <f t="shared" si="10"/>
        <v>0.45037487540994453</v>
      </c>
      <c r="Q14" s="525">
        <f t="shared" si="10"/>
        <v>0.45262674978699419</v>
      </c>
      <c r="R14" s="525">
        <f t="shared" si="10"/>
        <v>0.45488988353592913</v>
      </c>
      <c r="S14" s="525">
        <f t="shared" si="10"/>
        <v>0.45716433295360875</v>
      </c>
      <c r="T14" s="525">
        <f t="shared" si="10"/>
        <v>0.45945015461837674</v>
      </c>
      <c r="U14" s="525">
        <f t="shared" si="10"/>
        <v>0.46174740539146858</v>
      </c>
      <c r="V14" s="525">
        <f t="shared" si="10"/>
        <v>0.46405614241842585</v>
      </c>
      <c r="W14" s="525">
        <f t="shared" si="10"/>
        <v>0.46637642313051791</v>
      </c>
      <c r="X14" s="525">
        <f t="shared" si="10"/>
        <v>0.46870830524617046</v>
      </c>
      <c r="Y14" s="523">
        <f t="shared" si="10"/>
        <v>0.47105184677240125</v>
      </c>
      <c r="Z14" s="525">
        <f t="shared" si="10"/>
        <v>0.47340710600626323</v>
      </c>
      <c r="AA14" s="525">
        <f t="shared" si="10"/>
        <v>0.47577414153629449</v>
      </c>
      <c r="AB14" s="525">
        <f t="shared" si="10"/>
        <v>0.47815301224397594</v>
      </c>
      <c r="AC14" s="525">
        <f t="shared" si="10"/>
        <v>0.48054377730519576</v>
      </c>
      <c r="AD14" s="525">
        <f t="shared" si="10"/>
        <v>0.4829464961917217</v>
      </c>
      <c r="AE14" s="525">
        <f t="shared" si="10"/>
        <v>0.48536122867268028</v>
      </c>
      <c r="AF14" s="525">
        <f t="shared" si="10"/>
        <v>0.4877880348160436</v>
      </c>
      <c r="AG14" s="525">
        <f t="shared" si="10"/>
        <v>0.49022697499012374</v>
      </c>
      <c r="AH14" s="525">
        <f t="shared" si="10"/>
        <v>0.49267810986507432</v>
      </c>
      <c r="AI14" s="525">
        <f t="shared" si="10"/>
        <v>0.49514150041439964</v>
      </c>
      <c r="AJ14" s="525">
        <f t="shared" si="10"/>
        <v>0.49761720791647157</v>
      </c>
      <c r="AK14" s="523">
        <f t="shared" si="10"/>
        <v>0.50010529395605385</v>
      </c>
      <c r="AL14" s="525">
        <f t="shared" si="10"/>
        <v>0.50260582042583402</v>
      </c>
      <c r="AM14" s="525">
        <f t="shared" si="10"/>
        <v>0.50511884952796315</v>
      </c>
      <c r="AN14" s="525">
        <f t="shared" si="10"/>
        <v>0.50764444377560292</v>
      </c>
      <c r="AO14" s="525">
        <f t="shared" si="10"/>
        <v>0.51018266599448092</v>
      </c>
      <c r="AP14" s="525">
        <f t="shared" si="10"/>
        <v>0.51273357932445329</v>
      </c>
      <c r="AQ14" s="525">
        <f t="shared" si="10"/>
        <v>0.51529724722107551</v>
      </c>
      <c r="AR14" s="525">
        <f t="shared" si="10"/>
        <v>0.5178737334571808</v>
      </c>
      <c r="AS14" s="525">
        <f t="shared" si="10"/>
        <v>0.52046310212446667</v>
      </c>
      <c r="AT14" s="525">
        <f t="shared" si="10"/>
        <v>0.52306541763508896</v>
      </c>
      <c r="AU14" s="525">
        <f t="shared" si="10"/>
        <v>0.52568074472326431</v>
      </c>
      <c r="AV14" s="525">
        <f t="shared" si="10"/>
        <v>0.52830914844688059</v>
      </c>
      <c r="AW14" s="523">
        <f t="shared" si="10"/>
        <v>0.53095069418911489</v>
      </c>
      <c r="AX14" s="525">
        <f t="shared" si="10"/>
        <v>0.53360544766006046</v>
      </c>
      <c r="AY14" s="525">
        <f t="shared" si="10"/>
        <v>0.53627347489836075</v>
      </c>
      <c r="AZ14" s="525">
        <f t="shared" si="10"/>
        <v>0.53895484227285251</v>
      </c>
      <c r="BA14" s="525">
        <f t="shared" si="10"/>
        <v>0.54164961648421672</v>
      </c>
      <c r="BB14" s="525">
        <f t="shared" si="10"/>
        <v>0.54435786456663771</v>
      </c>
      <c r="BC14" s="525">
        <f t="shared" si="10"/>
        <v>0.54707965388947088</v>
      </c>
      <c r="BD14" s="525">
        <f t="shared" si="10"/>
        <v>0.54981505215891813</v>
      </c>
      <c r="BE14" s="525">
        <f t="shared" si="10"/>
        <v>0.55256412741971261</v>
      </c>
      <c r="BF14" s="525">
        <f t="shared" si="10"/>
        <v>0.55532694805681115</v>
      </c>
      <c r="BG14" s="525">
        <f t="shared" si="10"/>
        <v>0.55810358279709515</v>
      </c>
      <c r="BH14" s="525">
        <f t="shared" si="10"/>
        <v>0.56089410071108059</v>
      </c>
      <c r="BI14" s="523">
        <f t="shared" si="10"/>
        <v>0.56369857121463596</v>
      </c>
    </row>
    <row r="15" spans="1:62" s="339" customFormat="1">
      <c r="A15" s="433" t="s">
        <v>141</v>
      </c>
      <c r="B15" s="477">
        <f>B13*B14</f>
        <v>1.5119999999999998</v>
      </c>
      <c r="C15" s="477">
        <f>C13*C14</f>
        <v>1.5747993490319998</v>
      </c>
      <c r="D15" s="477">
        <f t="shared" ref="D15:BI15" si="11">D13*D14</f>
        <v>1.6392179342275035</v>
      </c>
      <c r="E15" s="477">
        <f t="shared" si="11"/>
        <v>1.7052420913173307</v>
      </c>
      <c r="F15" s="477">
        <f t="shared" si="11"/>
        <v>1.7728545633113511</v>
      </c>
      <c r="G15" s="477">
        <f t="shared" si="11"/>
        <v>1.8420343946322992</v>
      </c>
      <c r="H15" s="477">
        <f t="shared" si="11"/>
        <v>1.9127568324672348</v>
      </c>
      <c r="I15" s="477">
        <f t="shared" si="11"/>
        <v>1.9849932360081683</v>
      </c>
      <c r="J15" s="477">
        <f t="shared" si="11"/>
        <v>2.0587109942465762</v>
      </c>
      <c r="K15" s="477">
        <f t="shared" si="11"/>
        <v>2.133873452976125</v>
      </c>
      <c r="L15" s="477">
        <f t="shared" si="11"/>
        <v>2.2104398516437795</v>
      </c>
      <c r="M15" s="476">
        <f t="shared" si="11"/>
        <v>2.2883652706715729</v>
      </c>
      <c r="N15" s="477">
        <f t="shared" si="11"/>
        <v>2.3671215124335552</v>
      </c>
      <c r="O15" s="477">
        <f t="shared" si="11"/>
        <v>2.4466059630211698</v>
      </c>
      <c r="P15" s="477">
        <f t="shared" si="11"/>
        <v>2.5267105616040793</v>
      </c>
      <c r="Q15" s="477">
        <f t="shared" si="11"/>
        <v>2.6073219703746062</v>
      </c>
      <c r="R15" s="477">
        <f t="shared" si="11"/>
        <v>2.688321772578381</v>
      </c>
      <c r="S15" s="477">
        <f t="shared" si="11"/>
        <v>2.7695866986263038</v>
      </c>
      <c r="T15" s="477">
        <f t="shared" si="11"/>
        <v>2.8509888801181749</v>
      </c>
      <c r="U15" s="477">
        <f t="shared" si="11"/>
        <v>2.9323961314389018</v>
      </c>
      <c r="V15" s="477">
        <f t="shared" si="11"/>
        <v>3.0136722584151361</v>
      </c>
      <c r="W15" s="477">
        <f t="shared" si="11"/>
        <v>3.0946773933448606</v>
      </c>
      <c r="X15" s="477">
        <f t="shared" si="11"/>
        <v>3.1752683555358558</v>
      </c>
      <c r="Y15" s="476">
        <f t="shared" si="11"/>
        <v>3.2552990363126479</v>
      </c>
      <c r="Z15" s="477">
        <f t="shared" si="11"/>
        <v>3.3339392988345162</v>
      </c>
      <c r="AA15" s="477">
        <f t="shared" si="11"/>
        <v>3.410989462277604</v>
      </c>
      <c r="AB15" s="477">
        <f t="shared" si="11"/>
        <v>3.4862498063795759</v>
      </c>
      <c r="AC15" s="477">
        <f t="shared" si="11"/>
        <v>3.5595214066885448</v>
      </c>
      <c r="AD15" s="477">
        <f t="shared" si="11"/>
        <v>3.6306069866988078</v>
      </c>
      <c r="AE15" s="477">
        <f t="shared" si="11"/>
        <v>3.6993117819470474</v>
      </c>
      <c r="AF15" s="477">
        <f t="shared" si="11"/>
        <v>3.7654444109309124</v>
      </c>
      <c r="AG15" s="477">
        <f t="shared" si="11"/>
        <v>3.8288177475377476</v>
      </c>
      <c r="AH15" s="477">
        <f t="shared" si="11"/>
        <v>3.8892497895373888</v>
      </c>
      <c r="AI15" s="477">
        <f t="shared" si="11"/>
        <v>3.9465645176016735</v>
      </c>
      <c r="AJ15" s="477">
        <f t="shared" si="11"/>
        <v>4.0005927392662883</v>
      </c>
      <c r="AK15" s="476">
        <f t="shared" si="11"/>
        <v>4.0511729122494327</v>
      </c>
      <c r="AL15" s="477">
        <f t="shared" si="11"/>
        <v>4.0981519415872931</v>
      </c>
      <c r="AM15" s="477">
        <f t="shared" si="11"/>
        <v>4.1413859451392074</v>
      </c>
      <c r="AN15" s="477">
        <f t="shared" si="11"/>
        <v>4.1807409821553918</v>
      </c>
      <c r="AO15" s="477">
        <f t="shared" si="11"/>
        <v>4.2160937397870999</v>
      </c>
      <c r="AP15" s="477">
        <f t="shared" si="11"/>
        <v>4.2473321726517046</v>
      </c>
      <c r="AQ15" s="477">
        <f t="shared" si="11"/>
        <v>4.2743560908423417</v>
      </c>
      <c r="AR15" s="477">
        <f t="shared" si="11"/>
        <v>4.2970776920911833</v>
      </c>
      <c r="AS15" s="477">
        <f t="shared" si="11"/>
        <v>4.3154220341548823</v>
      </c>
      <c r="AT15" s="477">
        <f t="shared" si="11"/>
        <v>4.329327443887256</v>
      </c>
      <c r="AU15" s="477">
        <f t="shared" si="11"/>
        <v>4.3387458598946012</v>
      </c>
      <c r="AV15" s="477">
        <f t="shared" si="11"/>
        <v>4.3436431061294654</v>
      </c>
      <c r="AW15" s="476">
        <f t="shared" si="11"/>
        <v>4.3439990942651088</v>
      </c>
      <c r="AX15" s="477">
        <f t="shared" si="11"/>
        <v>4.3398079532010527</v>
      </c>
      <c r="AY15" s="477">
        <f t="shared" si="11"/>
        <v>4.3310780845752541</v>
      </c>
      <c r="AZ15" s="477">
        <f t="shared" si="11"/>
        <v>4.317832143695826</v>
      </c>
      <c r="BA15" s="477">
        <f t="shared" si="11"/>
        <v>4.3001069458498318</v>
      </c>
      <c r="BB15" s="477">
        <f t="shared" si="11"/>
        <v>4.2779532984933386</v>
      </c>
      <c r="BC15" s="477">
        <f t="shared" si="11"/>
        <v>4.251435760370625</v>
      </c>
      <c r="BD15" s="477">
        <f t="shared" si="11"/>
        <v>4.2206323291459027</v>
      </c>
      <c r="BE15" s="477">
        <f t="shared" si="11"/>
        <v>4.1856340596532347</v>
      </c>
      <c r="BF15" s="477">
        <f t="shared" si="11"/>
        <v>4.1465446153744496</v>
      </c>
      <c r="BG15" s="477">
        <f t="shared" si="11"/>
        <v>4.1034797562361582</v>
      </c>
      <c r="BH15" s="477">
        <f t="shared" si="11"/>
        <v>4.0565667662708993</v>
      </c>
      <c r="BI15" s="476">
        <f t="shared" si="11"/>
        <v>4.005943825109795</v>
      </c>
    </row>
    <row r="16" spans="1:62" s="395" customFormat="1">
      <c r="A16" s="516" t="s">
        <v>140</v>
      </c>
      <c r="B16" s="521">
        <f>B14*B13*B49</f>
        <v>9071.9999999999982</v>
      </c>
      <c r="C16" s="521">
        <f t="shared" ref="C16:BI16" si="12">C14*C13*C49</f>
        <v>9763.7559639983992</v>
      </c>
      <c r="D16" s="521">
        <f t="shared" si="12"/>
        <v>10490.994779056022</v>
      </c>
      <c r="E16" s="521">
        <f t="shared" si="12"/>
        <v>11595.646220957849</v>
      </c>
      <c r="F16" s="521">
        <f t="shared" si="12"/>
        <v>12409.981943179457</v>
      </c>
      <c r="G16" s="521">
        <f t="shared" si="12"/>
        <v>13262.647641352554</v>
      </c>
      <c r="H16" s="521">
        <f t="shared" si="12"/>
        <v>13963.124877010814</v>
      </c>
      <c r="I16" s="521">
        <f t="shared" si="12"/>
        <v>14688.949946460445</v>
      </c>
      <c r="J16" s="521">
        <f t="shared" si="12"/>
        <v>15440.332456849321</v>
      </c>
      <c r="K16" s="521">
        <f t="shared" si="12"/>
        <v>16004.050897320938</v>
      </c>
      <c r="L16" s="521">
        <f t="shared" si="12"/>
        <v>16578.298887328347</v>
      </c>
      <c r="M16" s="522">
        <f t="shared" si="12"/>
        <v>17162.739530036797</v>
      </c>
      <c r="N16" s="521">
        <f t="shared" si="12"/>
        <v>17753.411343251664</v>
      </c>
      <c r="O16" s="521">
        <f t="shared" si="12"/>
        <v>18349.544722658775</v>
      </c>
      <c r="P16" s="521">
        <f t="shared" si="12"/>
        <v>18950.329212030596</v>
      </c>
      <c r="Q16" s="521">
        <f t="shared" si="12"/>
        <v>19554.914777809547</v>
      </c>
      <c r="R16" s="521">
        <f t="shared" si="12"/>
        <v>20162.413294337857</v>
      </c>
      <c r="S16" s="521">
        <f t="shared" si="12"/>
        <v>20771.900239697279</v>
      </c>
      <c r="T16" s="521">
        <f t="shared" si="12"/>
        <v>21382.41660088631</v>
      </c>
      <c r="U16" s="521">
        <f t="shared" si="12"/>
        <v>21992.970985791762</v>
      </c>
      <c r="V16" s="521">
        <f t="shared" si="12"/>
        <v>22602.541938113522</v>
      </c>
      <c r="W16" s="521">
        <f t="shared" si="12"/>
        <v>23210.080450086454</v>
      </c>
      <c r="X16" s="521">
        <f t="shared" si="12"/>
        <v>23814.51266651892</v>
      </c>
      <c r="Y16" s="522">
        <f t="shared" si="12"/>
        <v>24414.74277234486</v>
      </c>
      <c r="Z16" s="521">
        <f t="shared" si="12"/>
        <v>25004.544741258873</v>
      </c>
      <c r="AA16" s="521">
        <f t="shared" si="12"/>
        <v>25582.420967082031</v>
      </c>
      <c r="AB16" s="521">
        <f t="shared" si="12"/>
        <v>26146.873547846819</v>
      </c>
      <c r="AC16" s="521">
        <f t="shared" si="12"/>
        <v>26696.410550164084</v>
      </c>
      <c r="AD16" s="521">
        <f t="shared" si="12"/>
        <v>27229.552400241057</v>
      </c>
      <c r="AE16" s="521">
        <f t="shared" si="12"/>
        <v>27744.838364602856</v>
      </c>
      <c r="AF16" s="521">
        <f t="shared" si="12"/>
        <v>28240.833081981844</v>
      </c>
      <c r="AG16" s="521">
        <f t="shared" si="12"/>
        <v>28716.133106533107</v>
      </c>
      <c r="AH16" s="521">
        <f t="shared" si="12"/>
        <v>29169.373421530414</v>
      </c>
      <c r="AI16" s="521">
        <f t="shared" si="12"/>
        <v>29599.233882012551</v>
      </c>
      <c r="AJ16" s="521">
        <f t="shared" si="12"/>
        <v>30004.445544497161</v>
      </c>
      <c r="AK16" s="522">
        <f t="shared" si="12"/>
        <v>30383.796841870746</v>
      </c>
      <c r="AL16" s="521">
        <f t="shared" si="12"/>
        <v>30736.1395619047</v>
      </c>
      <c r="AM16" s="521">
        <f t="shared" si="12"/>
        <v>31060.394588544055</v>
      </c>
      <c r="AN16" s="521">
        <f t="shared" si="12"/>
        <v>31355.557366165438</v>
      </c>
      <c r="AO16" s="521">
        <f t="shared" si="12"/>
        <v>31620.703048403248</v>
      </c>
      <c r="AP16" s="521">
        <f t="shared" si="12"/>
        <v>31854.991294887783</v>
      </c>
      <c r="AQ16" s="521">
        <f t="shared" si="12"/>
        <v>32057.670681317562</v>
      </c>
      <c r="AR16" s="521">
        <f t="shared" si="12"/>
        <v>32228.082690683874</v>
      </c>
      <c r="AS16" s="521">
        <f t="shared" si="12"/>
        <v>32365.665256161617</v>
      </c>
      <c r="AT16" s="521">
        <f t="shared" si="12"/>
        <v>32469.95582915442</v>
      </c>
      <c r="AU16" s="521">
        <f t="shared" si="12"/>
        <v>32540.593949209509</v>
      </c>
      <c r="AV16" s="521">
        <f t="shared" si="12"/>
        <v>32577.323295970989</v>
      </c>
      <c r="AW16" s="522">
        <f t="shared" si="12"/>
        <v>32579.993206988314</v>
      </c>
      <c r="AX16" s="521">
        <f t="shared" si="12"/>
        <v>32548.559649007897</v>
      </c>
      <c r="AY16" s="521">
        <f t="shared" si="12"/>
        <v>32483.085634314404</v>
      </c>
      <c r="AZ16" s="521">
        <f t="shared" si="12"/>
        <v>32383.741077718696</v>
      </c>
      <c r="BA16" s="521">
        <f t="shared" si="12"/>
        <v>32250.802093873739</v>
      </c>
      <c r="BB16" s="521">
        <f t="shared" si="12"/>
        <v>32084.649738700038</v>
      </c>
      <c r="BC16" s="521">
        <f t="shared" si="12"/>
        <v>31885.768202779687</v>
      </c>
      <c r="BD16" s="521">
        <f t="shared" si="12"/>
        <v>31654.742468594271</v>
      </c>
      <c r="BE16" s="521">
        <f t="shared" si="12"/>
        <v>31392.25544739926</v>
      </c>
      <c r="BF16" s="521">
        <f t="shared" si="12"/>
        <v>31099.084615308373</v>
      </c>
      <c r="BG16" s="521">
        <f t="shared" si="12"/>
        <v>30776.098171771187</v>
      </c>
      <c r="BH16" s="521">
        <f t="shared" si="12"/>
        <v>30424.250747031743</v>
      </c>
      <c r="BI16" s="522">
        <f t="shared" si="12"/>
        <v>30044.578688323461</v>
      </c>
    </row>
    <row r="17" spans="1:62" s="453" customFormat="1" ht="12.75" customHeight="1"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6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6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6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6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6"/>
      <c r="BJ17" s="471"/>
    </row>
    <row r="18" spans="1:62" s="515" customFormat="1">
      <c r="A18" s="528" t="s">
        <v>139</v>
      </c>
      <c r="B18" s="513">
        <v>300</v>
      </c>
      <c r="C18" s="513">
        <v>300</v>
      </c>
      <c r="D18" s="513">
        <v>300</v>
      </c>
      <c r="E18" s="513">
        <v>300</v>
      </c>
      <c r="F18" s="513">
        <v>300</v>
      </c>
      <c r="G18" s="513">
        <v>300</v>
      </c>
      <c r="H18" s="513">
        <v>300</v>
      </c>
      <c r="I18" s="513">
        <v>300</v>
      </c>
      <c r="J18" s="513">
        <v>300</v>
      </c>
      <c r="K18" s="513">
        <v>300</v>
      </c>
      <c r="L18" s="513">
        <v>300</v>
      </c>
      <c r="M18" s="514">
        <v>300</v>
      </c>
      <c r="N18" s="513">
        <v>200</v>
      </c>
      <c r="O18" s="513">
        <v>200</v>
      </c>
      <c r="P18" s="513">
        <v>200</v>
      </c>
      <c r="Q18" s="513">
        <v>200</v>
      </c>
      <c r="R18" s="513">
        <v>200</v>
      </c>
      <c r="S18" s="513">
        <v>200</v>
      </c>
      <c r="T18" s="513">
        <v>200</v>
      </c>
      <c r="U18" s="513">
        <v>200</v>
      </c>
      <c r="V18" s="513">
        <v>200</v>
      </c>
      <c r="W18" s="513">
        <v>200</v>
      </c>
      <c r="X18" s="513">
        <v>200</v>
      </c>
      <c r="Y18" s="514">
        <v>200</v>
      </c>
      <c r="Z18" s="513">
        <v>200</v>
      </c>
      <c r="AA18" s="513">
        <v>200</v>
      </c>
      <c r="AB18" s="513">
        <v>200</v>
      </c>
      <c r="AC18" s="513">
        <v>200</v>
      </c>
      <c r="AD18" s="513">
        <v>200</v>
      </c>
      <c r="AE18" s="513">
        <v>200</v>
      </c>
      <c r="AF18" s="513">
        <v>200</v>
      </c>
      <c r="AG18" s="513">
        <v>200</v>
      </c>
      <c r="AH18" s="513">
        <v>200</v>
      </c>
      <c r="AI18" s="513">
        <v>200</v>
      </c>
      <c r="AJ18" s="513">
        <v>200</v>
      </c>
      <c r="AK18" s="514">
        <v>200</v>
      </c>
      <c r="AL18" s="513">
        <v>200</v>
      </c>
      <c r="AM18" s="513">
        <v>200</v>
      </c>
      <c r="AN18" s="513">
        <v>200</v>
      </c>
      <c r="AO18" s="513">
        <v>200</v>
      </c>
      <c r="AP18" s="513">
        <v>200</v>
      </c>
      <c r="AQ18" s="513">
        <v>200</v>
      </c>
      <c r="AR18" s="513">
        <v>200</v>
      </c>
      <c r="AS18" s="513">
        <v>200</v>
      </c>
      <c r="AT18" s="513">
        <v>200</v>
      </c>
      <c r="AU18" s="513">
        <v>200</v>
      </c>
      <c r="AV18" s="513">
        <v>200</v>
      </c>
      <c r="AW18" s="514">
        <v>200</v>
      </c>
      <c r="AX18" s="513">
        <v>200</v>
      </c>
      <c r="AY18" s="513">
        <v>200</v>
      </c>
      <c r="AZ18" s="513">
        <v>200</v>
      </c>
      <c r="BA18" s="513">
        <v>200</v>
      </c>
      <c r="BB18" s="513">
        <v>200</v>
      </c>
      <c r="BC18" s="513">
        <v>200</v>
      </c>
      <c r="BD18" s="513">
        <v>200</v>
      </c>
      <c r="BE18" s="513">
        <v>200</v>
      </c>
      <c r="BF18" s="513">
        <v>200</v>
      </c>
      <c r="BG18" s="513">
        <v>200</v>
      </c>
      <c r="BH18" s="513">
        <v>200</v>
      </c>
      <c r="BI18" s="514">
        <v>200</v>
      </c>
      <c r="BJ18" s="1176"/>
    </row>
    <row r="19" spans="1:62" s="395" customFormat="1">
      <c r="A19" s="516" t="s">
        <v>162</v>
      </c>
      <c r="B19" s="517">
        <f t="shared" ref="B19:BI19" si="13">B13*B18</f>
        <v>1080</v>
      </c>
      <c r="C19" s="517">
        <f t="shared" si="13"/>
        <v>1119.260376</v>
      </c>
      <c r="D19" s="517">
        <f t="shared" si="13"/>
        <v>1159.2484869380912</v>
      </c>
      <c r="E19" s="517">
        <f t="shared" si="13"/>
        <v>1199.9408075600959</v>
      </c>
      <c r="F19" s="517">
        <f t="shared" si="13"/>
        <v>1241.311637159142</v>
      </c>
      <c r="G19" s="517">
        <f t="shared" si="13"/>
        <v>1283.3330847383602</v>
      </c>
      <c r="H19" s="517">
        <f t="shared" si="13"/>
        <v>1325.9750604781659</v>
      </c>
      <c r="I19" s="517">
        <f t="shared" si="13"/>
        <v>1369.2052737693107</v>
      </c>
      <c r="J19" s="517">
        <f t="shared" si="13"/>
        <v>1412.9892380536492</v>
      </c>
      <c r="K19" s="517">
        <f t="shared" si="13"/>
        <v>1457.2902826934449</v>
      </c>
      <c r="L19" s="517">
        <f t="shared" si="13"/>
        <v>1502.0695720670258</v>
      </c>
      <c r="M19" s="518">
        <f t="shared" si="13"/>
        <v>1547.2861320638281</v>
      </c>
      <c r="N19" s="517">
        <f t="shared" si="13"/>
        <v>1061.7163772377298</v>
      </c>
      <c r="O19" s="517">
        <f t="shared" si="13"/>
        <v>1091.9077093712954</v>
      </c>
      <c r="P19" s="517">
        <f t="shared" si="13"/>
        <v>1122.0477426962118</v>
      </c>
      <c r="Q19" s="517">
        <f t="shared" si="13"/>
        <v>1152.0847902169326</v>
      </c>
      <c r="R19" s="517">
        <f t="shared" si="13"/>
        <v>1181.9659525868728</v>
      </c>
      <c r="S19" s="517">
        <f t="shared" si="13"/>
        <v>1211.6372599466767</v>
      </c>
      <c r="T19" s="517">
        <f t="shared" si="13"/>
        <v>1241.0438222558575</v>
      </c>
      <c r="U19" s="517">
        <f t="shared" si="13"/>
        <v>1270.1299876077578</v>
      </c>
      <c r="V19" s="517">
        <f t="shared" si="13"/>
        <v>1298.8395079566885</v>
      </c>
      <c r="W19" s="517">
        <f t="shared" si="13"/>
        <v>1327.1157116271286</v>
      </c>
      <c r="X19" s="517">
        <f t="shared" si="13"/>
        <v>1354.9016819184255</v>
      </c>
      <c r="Y19" s="518">
        <f t="shared" si="13"/>
        <v>1382.140441065085</v>
      </c>
      <c r="Z19" s="517">
        <f t="shared" si="13"/>
        <v>1408.4872223233622</v>
      </c>
      <c r="AA19" s="517">
        <f t="shared" si="13"/>
        <v>1433.8692099841228</v>
      </c>
      <c r="AB19" s="517">
        <f t="shared" si="13"/>
        <v>1458.2151391323785</v>
      </c>
      <c r="AC19" s="517">
        <f t="shared" si="13"/>
        <v>1481.455623730978</v>
      </c>
      <c r="AD19" s="517">
        <f t="shared" si="13"/>
        <v>1503.5234815152351</v>
      </c>
      <c r="AE19" s="517">
        <f t="shared" si="13"/>
        <v>1524.354053603982</v>
      </c>
      <c r="AF19" s="517">
        <f t="shared" si="13"/>
        <v>1543.8855167289826</v>
      </c>
      <c r="AG19" s="517">
        <f t="shared" si="13"/>
        <v>1562.0591859984384</v>
      </c>
      <c r="AH19" s="517">
        <f t="shared" si="13"/>
        <v>1578.8198061417852</v>
      </c>
      <c r="AI19" s="517">
        <f t="shared" si="13"/>
        <v>1594.1158292321159</v>
      </c>
      <c r="AJ19" s="517">
        <f t="shared" si="13"/>
        <v>1607.8996769492005</v>
      </c>
      <c r="AK19" s="518">
        <f t="shared" si="13"/>
        <v>1620.1279855299531</v>
      </c>
      <c r="AL19" s="517">
        <f t="shared" si="13"/>
        <v>1630.7618316537298</v>
      </c>
      <c r="AM19" s="517">
        <f t="shared" si="13"/>
        <v>1639.7669376264059</v>
      </c>
      <c r="AN19" s="517">
        <f t="shared" si="13"/>
        <v>1647.1138543588313</v>
      </c>
      <c r="AO19" s="517">
        <f t="shared" si="13"/>
        <v>1652.7781207810417</v>
      </c>
      <c r="AP19" s="517">
        <f t="shared" si="13"/>
        <v>1656.7403984922275</v>
      </c>
      <c r="AQ19" s="517">
        <f t="shared" si="13"/>
        <v>1658.9865806166572</v>
      </c>
      <c r="AR19" s="517">
        <f t="shared" si="13"/>
        <v>1659.5078740159649</v>
      </c>
      <c r="AS19" s="517">
        <f t="shared" si="13"/>
        <v>1658.3008541969098</v>
      </c>
      <c r="AT19" s="517">
        <f t="shared" si="13"/>
        <v>1655.3674924491243</v>
      </c>
      <c r="AU19" s="517">
        <f t="shared" si="13"/>
        <v>1650.7151549477658</v>
      </c>
      <c r="AV19" s="517">
        <f t="shared" si="13"/>
        <v>1644.3565737594649</v>
      </c>
      <c r="AW19" s="518">
        <f t="shared" si="13"/>
        <v>1636.3097898946737</v>
      </c>
      <c r="AX19" s="517">
        <f t="shared" si="13"/>
        <v>1626.5980687535175</v>
      </c>
      <c r="AY19" s="517">
        <f t="shared" si="13"/>
        <v>1615.2497885136377</v>
      </c>
      <c r="AZ19" s="517">
        <f t="shared" si="13"/>
        <v>1602.2983022053897</v>
      </c>
      <c r="BA19" s="517">
        <f t="shared" si="13"/>
        <v>1587.7817744102967</v>
      </c>
      <c r="BB19" s="517">
        <f t="shared" si="13"/>
        <v>1571.7429937010313</v>
      </c>
      <c r="BC19" s="517">
        <f t="shared" si="13"/>
        <v>1554.2291621137726</v>
      </c>
      <c r="BD19" s="517">
        <f t="shared" si="13"/>
        <v>1535.2916631049143</v>
      </c>
      <c r="BE19" s="517">
        <f t="shared" si="13"/>
        <v>1514.985809592356</v>
      </c>
      <c r="BF19" s="517">
        <f t="shared" si="13"/>
        <v>1493.370573815643</v>
      </c>
      <c r="BG19" s="517">
        <f t="shared" si="13"/>
        <v>1470.5083008678785</v>
      </c>
      <c r="BH19" s="517">
        <f t="shared" si="13"/>
        <v>1446.4644078545791</v>
      </c>
      <c r="BI19" s="518">
        <f t="shared" si="13"/>
        <v>1421.307070719708</v>
      </c>
    </row>
    <row r="20" spans="1:62" s="57" customFormat="1" ht="9" customHeight="1">
      <c r="B20" s="508"/>
      <c r="C20" s="508"/>
      <c r="D20" s="508"/>
      <c r="E20" s="508"/>
      <c r="F20" s="508"/>
      <c r="G20" s="509"/>
      <c r="H20" s="508"/>
      <c r="I20" s="508"/>
      <c r="J20" s="508"/>
      <c r="K20" s="508"/>
      <c r="L20" s="508"/>
      <c r="M20" s="510"/>
      <c r="N20" s="511"/>
      <c r="O20" s="511"/>
      <c r="P20" s="511"/>
      <c r="Q20" s="511"/>
      <c r="R20" s="511"/>
      <c r="S20" s="512"/>
      <c r="T20" s="511"/>
      <c r="U20" s="511"/>
      <c r="V20" s="511"/>
      <c r="W20" s="511"/>
      <c r="X20" s="511"/>
      <c r="Y20" s="510"/>
      <c r="Z20" s="511"/>
      <c r="AA20" s="511"/>
      <c r="AB20" s="511"/>
      <c r="AC20" s="511"/>
      <c r="AD20" s="511"/>
      <c r="AE20" s="512"/>
      <c r="AF20" s="511"/>
      <c r="AG20" s="511"/>
      <c r="AH20" s="511"/>
      <c r="AI20" s="511"/>
      <c r="AJ20" s="511"/>
      <c r="AK20" s="510"/>
      <c r="AL20" s="511"/>
      <c r="AM20" s="511"/>
      <c r="AN20" s="511"/>
      <c r="AO20" s="511"/>
      <c r="AP20" s="511"/>
      <c r="AQ20" s="512"/>
      <c r="AR20" s="511"/>
      <c r="AS20" s="511"/>
      <c r="AT20" s="511"/>
      <c r="AU20" s="511"/>
      <c r="AV20" s="511"/>
      <c r="AW20" s="510"/>
      <c r="AX20" s="511"/>
      <c r="AY20" s="511"/>
      <c r="AZ20" s="511"/>
      <c r="BA20" s="511"/>
      <c r="BB20" s="511"/>
      <c r="BC20" s="512"/>
      <c r="BD20" s="511"/>
      <c r="BE20" s="511"/>
      <c r="BF20" s="511"/>
      <c r="BG20" s="511"/>
      <c r="BH20" s="511"/>
      <c r="BI20" s="510"/>
      <c r="BJ20" s="532"/>
    </row>
    <row r="21" spans="1:62" s="500" customFormat="1">
      <c r="A21" s="520" t="s">
        <v>13</v>
      </c>
      <c r="B21" s="498">
        <f t="shared" ref="B21:BI21" si="14">B16+B19</f>
        <v>10151.999999999998</v>
      </c>
      <c r="C21" s="498">
        <f t="shared" si="14"/>
        <v>10883.016339998399</v>
      </c>
      <c r="D21" s="498">
        <f t="shared" si="14"/>
        <v>11650.243265994113</v>
      </c>
      <c r="E21" s="498">
        <f t="shared" si="14"/>
        <v>12795.587028517944</v>
      </c>
      <c r="F21" s="498">
        <f t="shared" si="14"/>
        <v>13651.293580338599</v>
      </c>
      <c r="G21" s="498">
        <f t="shared" si="14"/>
        <v>14545.980726090915</v>
      </c>
      <c r="H21" s="498">
        <f t="shared" si="14"/>
        <v>15289.09993748898</v>
      </c>
      <c r="I21" s="498">
        <f t="shared" si="14"/>
        <v>16058.155220229755</v>
      </c>
      <c r="J21" s="498">
        <f t="shared" si="14"/>
        <v>16853.32169490297</v>
      </c>
      <c r="K21" s="498">
        <f t="shared" si="14"/>
        <v>17461.341180014384</v>
      </c>
      <c r="L21" s="498">
        <f t="shared" si="14"/>
        <v>18080.368459395373</v>
      </c>
      <c r="M21" s="499">
        <f t="shared" si="14"/>
        <v>18710.025662100627</v>
      </c>
      <c r="N21" s="498">
        <f t="shared" si="14"/>
        <v>18815.127720489392</v>
      </c>
      <c r="O21" s="498">
        <f t="shared" si="14"/>
        <v>19441.45243203007</v>
      </c>
      <c r="P21" s="498">
        <f t="shared" si="14"/>
        <v>20072.376954726809</v>
      </c>
      <c r="Q21" s="498">
        <f t="shared" si="14"/>
        <v>20706.99956802648</v>
      </c>
      <c r="R21" s="498">
        <f t="shared" si="14"/>
        <v>21344.379246924731</v>
      </c>
      <c r="S21" s="498">
        <f t="shared" si="14"/>
        <v>21983.537499643957</v>
      </c>
      <c r="T21" s="498">
        <f t="shared" si="14"/>
        <v>22623.460423142169</v>
      </c>
      <c r="U21" s="498">
        <f t="shared" si="14"/>
        <v>23263.10097339952</v>
      </c>
      <c r="V21" s="498">
        <f t="shared" si="14"/>
        <v>23901.381446070209</v>
      </c>
      <c r="W21" s="498">
        <f t="shared" si="14"/>
        <v>24537.196161713582</v>
      </c>
      <c r="X21" s="498">
        <f t="shared" si="14"/>
        <v>25169.414348437345</v>
      </c>
      <c r="Y21" s="499">
        <f t="shared" si="14"/>
        <v>25796.883213409947</v>
      </c>
      <c r="Z21" s="498">
        <f t="shared" si="14"/>
        <v>26413.031963582234</v>
      </c>
      <c r="AA21" s="498">
        <f t="shared" si="14"/>
        <v>27016.290177066156</v>
      </c>
      <c r="AB21" s="498">
        <f t="shared" si="14"/>
        <v>27605.088686979198</v>
      </c>
      <c r="AC21" s="498">
        <f t="shared" si="14"/>
        <v>28177.866173895061</v>
      </c>
      <c r="AD21" s="498">
        <f t="shared" si="14"/>
        <v>28733.075881756293</v>
      </c>
      <c r="AE21" s="498">
        <f t="shared" si="14"/>
        <v>29269.19241820684</v>
      </c>
      <c r="AF21" s="498">
        <f t="shared" si="14"/>
        <v>29784.718598710828</v>
      </c>
      <c r="AG21" s="498">
        <f t="shared" si="14"/>
        <v>30278.192292531545</v>
      </c>
      <c r="AH21" s="498">
        <f t="shared" si="14"/>
        <v>30748.1932276722</v>
      </c>
      <c r="AI21" s="498">
        <f t="shared" si="14"/>
        <v>31193.349711244668</v>
      </c>
      <c r="AJ21" s="498">
        <f t="shared" si="14"/>
        <v>31612.345221446361</v>
      </c>
      <c r="AK21" s="499">
        <f t="shared" si="14"/>
        <v>32003.9248274007</v>
      </c>
      <c r="AL21" s="498">
        <f t="shared" si="14"/>
        <v>32366.90139355843</v>
      </c>
      <c r="AM21" s="498">
        <f t="shared" si="14"/>
        <v>32700.161526170461</v>
      </c>
      <c r="AN21" s="498">
        <f t="shared" si="14"/>
        <v>33002.671220524266</v>
      </c>
      <c r="AO21" s="498">
        <f t="shared" si="14"/>
        <v>33273.481169184292</v>
      </c>
      <c r="AP21" s="498">
        <f t="shared" si="14"/>
        <v>33511.73169338001</v>
      </c>
      <c r="AQ21" s="498">
        <f t="shared" si="14"/>
        <v>33716.657261934219</v>
      </c>
      <c r="AR21" s="498">
        <f t="shared" si="14"/>
        <v>33887.590564699836</v>
      </c>
      <c r="AS21" s="498">
        <f t="shared" si="14"/>
        <v>34023.966110358524</v>
      </c>
      <c r="AT21" s="498">
        <f t="shared" si="14"/>
        <v>34125.323321603544</v>
      </c>
      <c r="AU21" s="498">
        <f t="shared" si="14"/>
        <v>34191.309104157277</v>
      </c>
      <c r="AV21" s="498">
        <f t="shared" si="14"/>
        <v>34221.679869730455</v>
      </c>
      <c r="AW21" s="499">
        <f t="shared" si="14"/>
        <v>34216.302996882987</v>
      </c>
      <c r="AX21" s="498">
        <f t="shared" si="14"/>
        <v>34175.157717761416</v>
      </c>
      <c r="AY21" s="498">
        <f t="shared" si="14"/>
        <v>34098.335422828044</v>
      </c>
      <c r="AZ21" s="498">
        <f t="shared" si="14"/>
        <v>33986.039379924085</v>
      </c>
      <c r="BA21" s="498">
        <f t="shared" si="14"/>
        <v>33838.583868284033</v>
      </c>
      <c r="BB21" s="498">
        <f t="shared" si="14"/>
        <v>33656.392732401073</v>
      </c>
      <c r="BC21" s="498">
        <f t="shared" si="14"/>
        <v>33439.997364893461</v>
      </c>
      <c r="BD21" s="498">
        <f t="shared" si="14"/>
        <v>33190.034131699183</v>
      </c>
      <c r="BE21" s="498">
        <f t="shared" si="14"/>
        <v>32907.24125699162</v>
      </c>
      <c r="BF21" s="498">
        <f t="shared" si="14"/>
        <v>32592.455189124015</v>
      </c>
      <c r="BG21" s="498">
        <f t="shared" si="14"/>
        <v>32246.606472639065</v>
      </c>
      <c r="BH21" s="498">
        <f t="shared" si="14"/>
        <v>31870.715154886322</v>
      </c>
      <c r="BI21" s="499">
        <f t="shared" si="14"/>
        <v>31465.885759043169</v>
      </c>
    </row>
    <row r="22" spans="1:62" s="496" customFormat="1">
      <c r="B22" s="492"/>
      <c r="C22" s="492"/>
      <c r="D22" s="492"/>
      <c r="E22" s="492"/>
      <c r="F22" s="492"/>
      <c r="G22" s="493"/>
      <c r="H22" s="492"/>
      <c r="I22" s="492"/>
      <c r="J22" s="492"/>
      <c r="K22" s="492"/>
      <c r="L22" s="492"/>
      <c r="M22" s="494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4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4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4"/>
      <c r="AX22" s="495"/>
      <c r="AY22" s="495"/>
      <c r="AZ22" s="495"/>
      <c r="BA22" s="495"/>
      <c r="BB22" s="495"/>
      <c r="BC22" s="495"/>
      <c r="BD22" s="495"/>
      <c r="BE22" s="495"/>
      <c r="BF22" s="495"/>
      <c r="BG22" s="495"/>
      <c r="BH22" s="495"/>
      <c r="BI22" s="494"/>
      <c r="BJ22" s="562"/>
    </row>
    <row r="23" spans="1:62" s="496" customFormat="1" ht="18.75">
      <c r="A23" s="823" t="s">
        <v>239</v>
      </c>
      <c r="B23" s="492"/>
      <c r="C23" s="492"/>
      <c r="D23" s="492"/>
      <c r="E23" s="492"/>
      <c r="F23" s="492"/>
      <c r="G23" s="493"/>
      <c r="H23" s="492"/>
      <c r="I23" s="492"/>
      <c r="J23" s="492"/>
      <c r="K23" s="492"/>
      <c r="L23" s="492"/>
      <c r="M23" s="494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4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4"/>
      <c r="AL23" s="495"/>
      <c r="AM23" s="495"/>
      <c r="AN23" s="495"/>
      <c r="AO23" s="495"/>
      <c r="AP23" s="495"/>
      <c r="AQ23" s="495"/>
      <c r="AR23" s="495"/>
      <c r="AS23" s="495"/>
      <c r="AT23" s="495"/>
      <c r="AU23" s="495"/>
      <c r="AV23" s="495"/>
      <c r="AW23" s="494"/>
      <c r="AX23" s="495"/>
      <c r="AY23" s="495"/>
      <c r="AZ23" s="495"/>
      <c r="BA23" s="495"/>
      <c r="BB23" s="495"/>
      <c r="BC23" s="495"/>
      <c r="BD23" s="495"/>
      <c r="BE23" s="495"/>
      <c r="BF23" s="495"/>
      <c r="BG23" s="495"/>
      <c r="BH23" s="495"/>
      <c r="BI23" s="494"/>
      <c r="BJ23" s="562"/>
    </row>
    <row r="24" spans="1:62" s="502" customFormat="1">
      <c r="A24" s="501" t="s">
        <v>226</v>
      </c>
      <c r="B24" s="502">
        <f>B5*B7</f>
        <v>8</v>
      </c>
      <c r="C24" s="502">
        <f t="shared" ref="C24:BI24" si="15">C5*C7</f>
        <v>8.3824000000000005</v>
      </c>
      <c r="D24" s="502">
        <f t="shared" si="15"/>
        <v>8.790016102400001</v>
      </c>
      <c r="E24" s="502">
        <f t="shared" si="15"/>
        <v>9.2244218586677267</v>
      </c>
      <c r="F24" s="502">
        <f t="shared" si="15"/>
        <v>9.6872643857899394</v>
      </c>
      <c r="G24" s="502">
        <f t="shared" si="15"/>
        <v>10.180266404063699</v>
      </c>
      <c r="H24" s="502">
        <f t="shared" si="15"/>
        <v>10.705228286703797</v>
      </c>
      <c r="I24" s="502">
        <f t="shared" si="15"/>
        <v>11.264030122404236</v>
      </c>
      <c r="J24" s="502">
        <f t="shared" si="15"/>
        <v>11.858633792363815</v>
      </c>
      <c r="K24" s="502">
        <f t="shared" si="15"/>
        <v>12.491085063681208</v>
      </c>
      <c r="L24" s="502">
        <f t="shared" si="15"/>
        <v>13.163515701442698</v>
      </c>
      <c r="M24" s="503">
        <f t="shared" si="15"/>
        <v>13.878145602265221</v>
      </c>
      <c r="N24" s="502">
        <f t="shared" si="15"/>
        <v>14.640802427106802</v>
      </c>
      <c r="O24" s="502">
        <f t="shared" si="15"/>
        <v>15.454179973028484</v>
      </c>
      <c r="P24" s="502">
        <f t="shared" si="15"/>
        <v>16.321067007803048</v>
      </c>
      <c r="Q24" s="502">
        <f t="shared" si="15"/>
        <v>17.244348126107901</v>
      </c>
      <c r="R24" s="502">
        <f t="shared" si="15"/>
        <v>18.227004594103096</v>
      </c>
      <c r="S24" s="502">
        <f t="shared" si="15"/>
        <v>19.272115194972702</v>
      </c>
      <c r="T24" s="502">
        <f t="shared" si="15"/>
        <v>20.382857089151276</v>
      </c>
      <c r="U24" s="502">
        <f t="shared" si="15"/>
        <v>21.56250670407784</v>
      </c>
      <c r="V24" s="502">
        <f t="shared" si="15"/>
        <v>22.814440669410335</v>
      </c>
      <c r="W24" s="502">
        <f t="shared" si="15"/>
        <v>24.142136814686012</v>
      </c>
      <c r="X24" s="502">
        <f t="shared" si="15"/>
        <v>25.549175247421399</v>
      </c>
      <c r="Y24" s="503">
        <f t="shared" si="15"/>
        <v>27.039239530601542</v>
      </c>
      <c r="Z24" s="502">
        <f t="shared" si="15"/>
        <v>28.620747034243404</v>
      </c>
      <c r="AA24" s="502">
        <f t="shared" si="15"/>
        <v>30.297832899152603</v>
      </c>
      <c r="AB24" s="502">
        <f t="shared" si="15"/>
        <v>32.074721942842451</v>
      </c>
      <c r="AC24" s="502">
        <f t="shared" si="15"/>
        <v>33.955728473829772</v>
      </c>
      <c r="AD24" s="502">
        <f t="shared" si="15"/>
        <v>35.945256397317038</v>
      </c>
      <c r="AE24" s="502">
        <f t="shared" si="15"/>
        <v>38.047799652671507</v>
      </c>
      <c r="AF24" s="502">
        <f t="shared" si="15"/>
        <v>40.267943023083284</v>
      </c>
      <c r="AG24" s="502">
        <f t="shared" si="15"/>
        <v>42.61036335749322</v>
      </c>
      <c r="AH24" s="502">
        <f t="shared" si="15"/>
        <v>45.079831244328588</v>
      </c>
      <c r="AI24" s="502">
        <f t="shared" si="15"/>
        <v>47.68121317577463</v>
      </c>
      <c r="AJ24" s="502">
        <f t="shared" si="15"/>
        <v>50.419474240248832</v>
      </c>
      <c r="AK24" s="503">
        <f t="shared" si="15"/>
        <v>53.299681379443584</v>
      </c>
      <c r="AL24" s="502">
        <f t="shared" si="15"/>
        <v>56.327007244772894</v>
      </c>
      <c r="AM24" s="502">
        <f t="shared" si="15"/>
        <v>59.506734686316534</v>
      </c>
      <c r="AN24" s="502">
        <f t="shared" si="15"/>
        <v>62.844261905417305</v>
      </c>
      <c r="AO24" s="502">
        <f t="shared" si="15"/>
        <v>66.345108299975465</v>
      </c>
      <c r="AP24" s="502">
        <f t="shared" si="15"/>
        <v>70.014921029220602</v>
      </c>
      <c r="AQ24" s="502">
        <f t="shared" si="15"/>
        <v>73.859482322350189</v>
      </c>
      <c r="AR24" s="502">
        <f t="shared" si="15"/>
        <v>77.884717552932145</v>
      </c>
      <c r="AS24" s="502">
        <f t="shared" si="15"/>
        <v>82.096704098404587</v>
      </c>
      <c r="AT24" s="502">
        <f t="shared" si="15"/>
        <v>86.50168100139652</v>
      </c>
      <c r="AU24" s="502">
        <f t="shared" si="15"/>
        <v>91.106059446971614</v>
      </c>
      <c r="AV24" s="502">
        <f t="shared" si="15"/>
        <v>95.916434067290723</v>
      </c>
      <c r="AW24" s="503">
        <f t="shared" si="15"/>
        <v>100.93959508263039</v>
      </c>
      <c r="AX24" s="502">
        <f t="shared" si="15"/>
        <v>106.18254128521424</v>
      </c>
      <c r="AY24" s="502">
        <f t="shared" si="15"/>
        <v>111.652493869941</v>
      </c>
      <c r="AZ24" s="502">
        <f t="shared" si="15"/>
        <v>117.35691111385803</v>
      </c>
      <c r="BA24" s="502">
        <f t="shared" si="15"/>
        <v>123.30350390415934</v>
      </c>
      <c r="BB24" s="502">
        <f t="shared" si="15"/>
        <v>129.50025211260953</v>
      </c>
      <c r="BC24" s="502">
        <f t="shared" si="15"/>
        <v>135.95542181263551</v>
      </c>
      <c r="BD24" s="502">
        <f t="shared" si="15"/>
        <v>142.6775833339081</v>
      </c>
      <c r="BE24" s="502">
        <f t="shared" si="15"/>
        <v>149.67563014807735</v>
      </c>
      <c r="BF24" s="502">
        <f t="shared" si="15"/>
        <v>156.95879857844696</v>
      </c>
      <c r="BG24" s="502">
        <f t="shared" si="15"/>
        <v>164.53668832579072</v>
      </c>
      <c r="BH24" s="502">
        <f t="shared" si="15"/>
        <v>172.4192838022386</v>
      </c>
      <c r="BI24" s="503">
        <f t="shared" si="15"/>
        <v>180.61697626520458</v>
      </c>
    </row>
    <row r="25" spans="1:62" s="250" customFormat="1">
      <c r="A25" s="527" t="s">
        <v>227</v>
      </c>
      <c r="B25" s="224">
        <f>'Prg. Marketing'!C11</f>
        <v>0.53083700440528636</v>
      </c>
      <c r="C25" s="224">
        <f>'Prg. Marketing'!D11</f>
        <v>0.53083700440528636</v>
      </c>
      <c r="D25" s="224">
        <f>'Prg. Marketing'!E11</f>
        <v>0.53378702169559233</v>
      </c>
      <c r="E25" s="224">
        <f>'Prg. Marketing'!F11</f>
        <v>0.53688999185392483</v>
      </c>
      <c r="F25" s="224">
        <f>'Prg. Marketing'!G11</f>
        <v>0.54014973743824024</v>
      </c>
      <c r="G25" s="224">
        <f>'Prg. Marketing'!H11</f>
        <v>0.54356896410253286</v>
      </c>
      <c r="H25" s="224">
        <f>'Prg. Marketing'!I11</f>
        <v>0.54714911895536023</v>
      </c>
      <c r="I25" s="224">
        <f>'Prg. Marketing'!J11</f>
        <v>0.55089026625288529</v>
      </c>
      <c r="J25" s="224">
        <f>'Prg. Marketing'!K11</f>
        <v>0.55479098659207571</v>
      </c>
      <c r="K25" s="224">
        <f>'Prg. Marketing'!L11</f>
        <v>0.5588483053777723</v>
      </c>
      <c r="L25" s="224">
        <f>'Prg. Marketing'!M11</f>
        <v>0.5630576555495459</v>
      </c>
      <c r="M25" s="222">
        <f>'Prg. Marketing'!N11</f>
        <v>0.56741287838004928</v>
      </c>
      <c r="N25" s="224">
        <f>'Prg. Marketing'!O11</f>
        <v>0.57190626464236616</v>
      </c>
      <c r="O25" s="224">
        <f>'Prg. Marketing'!P11</f>
        <v>0.57642754789087547</v>
      </c>
      <c r="P25" s="224">
        <f>'Prg. Marketing'!Q11</f>
        <v>0.58110244886335527</v>
      </c>
      <c r="Q25" s="224">
        <f>'Prg. Marketing'!R11</f>
        <v>0.58592245295794587</v>
      </c>
      <c r="R25" s="224">
        <f>'Prg. Marketing'!S11</f>
        <v>0.59087748409088703</v>
      </c>
      <c r="S25" s="224">
        <f>'Prg. Marketing'!T11</f>
        <v>0.5959560052475491</v>
      </c>
      <c r="T25" s="224">
        <f>'Prg. Marketing'!U11</f>
        <v>0.60114515783338751</v>
      </c>
      <c r="U25" s="224">
        <f>'Prg. Marketing'!V11</f>
        <v>0.60643093665358938</v>
      </c>
      <c r="V25" s="224">
        <f>'Prg. Marketing'!W11</f>
        <v>0.61179839562984917</v>
      </c>
      <c r="W25" s="224">
        <f>'Prg. Marketing'!X11</f>
        <v>0.61723187786313505</v>
      </c>
      <c r="X25" s="224">
        <f>'Prg. Marketing'!Y11</f>
        <v>0.62271526248692266</v>
      </c>
      <c r="Y25" s="222">
        <f>'Prg. Marketing'!Z11</f>
        <v>0.62823222001439094</v>
      </c>
      <c r="Z25" s="224">
        <f>'Prg. Marketing'!AA11</f>
        <v>0.63376646761768607</v>
      </c>
      <c r="AA25" s="224">
        <f>'Prg. Marketing'!AB11</f>
        <v>0.6383358815893434</v>
      </c>
      <c r="AB25" s="224">
        <f>'Prg. Marketing'!AC11</f>
        <v>0.6428798195498816</v>
      </c>
      <c r="AC25" s="224">
        <f>'Prg. Marketing'!AD11</f>
        <v>0.64738936916986001</v>
      </c>
      <c r="AD25" s="224">
        <f>'Prg. Marketing'!AE11</f>
        <v>0.65185615775716477</v>
      </c>
      <c r="AE25" s="224">
        <f>'Prg. Marketing'!AF11</f>
        <v>0.65627241974434936</v>
      </c>
      <c r="AF25" s="224">
        <f>'Prg. Marketing'!AG11</f>
        <v>0.66063105061274319</v>
      </c>
      <c r="AG25" s="224">
        <f>'Prg. Marketing'!AH11</f>
        <v>0.66492564692405209</v>
      </c>
      <c r="AH25" s="224">
        <f>'Prg. Marketing'!AI11</f>
        <v>0.66915053256961909</v>
      </c>
      <c r="AI25" s="224">
        <f>'Prg. Marketing'!AJ11</f>
        <v>0.67330077174274761</v>
      </c>
      <c r="AJ25" s="224">
        <f>'Prg. Marketing'!AK11</f>
        <v>0.6773721694767102</v>
      </c>
      <c r="AK25" s="222">
        <f>'Prg. Marketing'!AL11</f>
        <v>0.68136126086151128</v>
      </c>
      <c r="AL25" s="224">
        <f>'Prg. Marketing'!AM11</f>
        <v>0.68526529025203331</v>
      </c>
      <c r="AM25" s="224">
        <f>'Prg. Marketing'!AN11</f>
        <v>0.68704974056551271</v>
      </c>
      <c r="AN25" s="224">
        <f>'Prg. Marketing'!AO11</f>
        <v>0.68879756711402063</v>
      </c>
      <c r="AO25" s="224">
        <f>'Prg. Marketing'!AP11</f>
        <v>0.69050922729071518</v>
      </c>
      <c r="AP25" s="224">
        <f>'Prg. Marketing'!AQ11</f>
        <v>0.69218521179386217</v>
      </c>
      <c r="AQ25" s="224">
        <f>'Prg. Marketing'!AR11</f>
        <v>0.69382604124228109</v>
      </c>
      <c r="AR25" s="224">
        <f>'Prg. Marketing'!AS11</f>
        <v>0.6954322629113342</v>
      </c>
      <c r="AS25" s="224">
        <f>'Prg. Marketing'!AT11</f>
        <v>0.69700444759811153</v>
      </c>
      <c r="AT25" s="224">
        <f>'Prg. Marketing'!AU11</f>
        <v>0.69854318662265746</v>
      </c>
      <c r="AU25" s="224">
        <f>'Prg. Marketing'!AV11</f>
        <v>0.7000490889704245</v>
      </c>
      <c r="AV25" s="224">
        <f>'Prg. Marketing'!AW11</f>
        <v>0.70152277857959289</v>
      </c>
      <c r="AW25" s="222">
        <f>'Prg. Marketing'!AX11</f>
        <v>0.70296489177548516</v>
      </c>
      <c r="AX25" s="224">
        <f>'Prg. Marketing'!AY11</f>
        <v>0.70437607485303866</v>
      </c>
      <c r="AY25" s="224">
        <f>'Prg. Marketing'!AZ11</f>
        <v>0.70629461407491678</v>
      </c>
      <c r="AZ25" s="224">
        <f>'Prg. Marketing'!BA11</f>
        <v>0.70820108491444345</v>
      </c>
      <c r="BA25" s="224">
        <f>'Prg. Marketing'!BB11</f>
        <v>0.71009540750951339</v>
      </c>
      <c r="BB25" s="224">
        <f>'Prg. Marketing'!BC11</f>
        <v>0.71197751131761322</v>
      </c>
      <c r="BC25" s="224">
        <f>'Prg. Marketing'!BD11</f>
        <v>0.71384733488037011</v>
      </c>
      <c r="BD25" s="224">
        <f>'Prg. Marketing'!BE11</f>
        <v>0.71570482558363679</v>
      </c>
      <c r="BE25" s="224">
        <f>'Prg. Marketing'!BF11</f>
        <v>0.71754993941384693</v>
      </c>
      <c r="BF25" s="224">
        <f>'Prg. Marketing'!BG11</f>
        <v>0.71938264071135671</v>
      </c>
      <c r="BG25" s="224">
        <f>'Prg. Marketing'!BH11</f>
        <v>0.7212029019214371</v>
      </c>
      <c r="BH25" s="224">
        <f>'Prg. Marketing'!BI11</f>
        <v>0.72301070334357143</v>
      </c>
      <c r="BI25" s="222">
        <f>'Prg. Marketing'!BJ11</f>
        <v>0.72480603287966772</v>
      </c>
      <c r="BJ25" s="355"/>
    </row>
    <row r="26" spans="1:62" s="339" customFormat="1">
      <c r="A26" s="433" t="s">
        <v>143</v>
      </c>
      <c r="B26" s="474">
        <f>B25*B24</f>
        <v>4.2466960352422909</v>
      </c>
      <c r="C26" s="474">
        <f t="shared" ref="C26:BI26" si="16">C25*C24</f>
        <v>4.4496881057268727</v>
      </c>
      <c r="D26" s="474">
        <f t="shared" si="16"/>
        <v>4.6919965159563954</v>
      </c>
      <c r="E26" s="474">
        <f t="shared" si="16"/>
        <v>4.952499776557282</v>
      </c>
      <c r="F26" s="474">
        <f t="shared" si="16"/>
        <v>5.232573314479251</v>
      </c>
      <c r="G26" s="474">
        <f t="shared" si="16"/>
        <v>5.5336768635447227</v>
      </c>
      <c r="H26" s="474">
        <f t="shared" si="16"/>
        <v>5.857356225285983</v>
      </c>
      <c r="I26" s="474">
        <f t="shared" si="16"/>
        <v>6.2052445532117897</v>
      </c>
      <c r="J26" s="474">
        <f t="shared" si="16"/>
        <v>6.579063141299649</v>
      </c>
      <c r="K26" s="474">
        <f t="shared" si="16"/>
        <v>6.9806217201678464</v>
      </c>
      <c r="L26" s="474">
        <f t="shared" si="16"/>
        <v>7.4118182896439615</v>
      </c>
      <c r="M26" s="475">
        <f t="shared" si="16"/>
        <v>7.8746385427587313</v>
      </c>
      <c r="N26" s="474">
        <f t="shared" si="16"/>
        <v>8.3731666274535392</v>
      </c>
      <c r="O26" s="474">
        <f t="shared" si="16"/>
        <v>8.9082150665170854</v>
      </c>
      <c r="P26" s="474">
        <f t="shared" si="16"/>
        <v>9.4842120062972661</v>
      </c>
      <c r="Q26" s="474">
        <f t="shared" si="16"/>
        <v>10.103850753709899</v>
      </c>
      <c r="R26" s="474">
        <f t="shared" si="16"/>
        <v>10.769926617076678</v>
      </c>
      <c r="S26" s="474">
        <f t="shared" si="16"/>
        <v>11.485332784266523</v>
      </c>
      <c r="T26" s="474">
        <f t="shared" si="16"/>
        <v>12.253055841953225</v>
      </c>
      <c r="U26" s="474">
        <f t="shared" si="16"/>
        <v>13.076171137153224</v>
      </c>
      <c r="V26" s="474">
        <f t="shared" si="16"/>
        <v>13.957838198737624</v>
      </c>
      <c r="W26" s="474">
        <f t="shared" si="16"/>
        <v>14.901296441757372</v>
      </c>
      <c r="X26" s="474">
        <f t="shared" si="16"/>
        <v>15.909861370522403</v>
      </c>
      <c r="Y26" s="475">
        <f t="shared" si="16"/>
        <v>16.986921477810686</v>
      </c>
      <c r="Z26" s="474">
        <f t="shared" si="16"/>
        <v>18.138869748471809</v>
      </c>
      <c r="AA26" s="474">
        <f t="shared" si="16"/>
        <v>19.340193873927188</v>
      </c>
      <c r="AB26" s="474">
        <f t="shared" si="16"/>
        <v>20.620191454727184</v>
      </c>
      <c r="AC26" s="474">
        <f t="shared" si="16"/>
        <v>21.982577636375709</v>
      </c>
      <c r="AD26" s="474">
        <f t="shared" si="16"/>
        <v>23.43113672475123</v>
      </c>
      <c r="AE26" s="474">
        <f t="shared" si="16"/>
        <v>24.969721544006944</v>
      </c>
      <c r="AF26" s="474">
        <f t="shared" si="16"/>
        <v>26.602253505353591</v>
      </c>
      <c r="AG26" s="474">
        <f t="shared" si="16"/>
        <v>28.332723421150103</v>
      </c>
      <c r="AH26" s="474">
        <f t="shared" si="16"/>
        <v>30.16519308529103</v>
      </c>
      <c r="AI26" s="474">
        <f t="shared" si="16"/>
        <v>32.103797628879526</v>
      </c>
      <c r="AJ26" s="474">
        <f t="shared" si="16"/>
        <v>34.152748649992454</v>
      </c>
      <c r="AK26" s="475">
        <f t="shared" si="16"/>
        <v>36.316338108214495</v>
      </c>
      <c r="AL26" s="474">
        <f t="shared" si="16"/>
        <v>38.598942968617678</v>
      </c>
      <c r="AM26" s="474">
        <f t="shared" si="16"/>
        <v>40.884086628134568</v>
      </c>
      <c r="AN26" s="474">
        <f t="shared" si="16"/>
        <v>43.286974707527769</v>
      </c>
      <c r="AO26" s="474">
        <f t="shared" si="16"/>
        <v>45.811909466734875</v>
      </c>
      <c r="AP26" s="474">
        <f t="shared" si="16"/>
        <v>48.463292941341599</v>
      </c>
      <c r="AQ26" s="474">
        <f t="shared" si="16"/>
        <v>51.245632227920474</v>
      </c>
      <c r="AR26" s="474">
        <f t="shared" si="16"/>
        <v>54.163545374045711</v>
      </c>
      <c r="AS26" s="474">
        <f t="shared" si="16"/>
        <v>57.22176788973411</v>
      </c>
      <c r="AT26" s="474">
        <f t="shared" si="16"/>
        <v>60.425159894932115</v>
      </c>
      <c r="AU26" s="474">
        <f t="shared" si="16"/>
        <v>63.778713915537814</v>
      </c>
      <c r="AV26" s="474">
        <f t="shared" si="16"/>
        <v>67.287563338332106</v>
      </c>
      <c r="AW26" s="475">
        <f t="shared" si="16"/>
        <v>70.956991533122562</v>
      </c>
      <c r="AX26" s="474">
        <f t="shared" si="16"/>
        <v>74.792441648399929</v>
      </c>
      <c r="AY26" s="474">
        <f t="shared" si="16"/>
        <v>78.859555068371989</v>
      </c>
      <c r="AZ26" s="474">
        <f t="shared" si="16"/>
        <v>83.112291773042159</v>
      </c>
      <c r="BA26" s="474">
        <f t="shared" si="16"/>
        <v>87.5572518521749</v>
      </c>
      <c r="BB26" s="474">
        <f t="shared" si="16"/>
        <v>92.201267214139222</v>
      </c>
      <c r="BC26" s="474">
        <f t="shared" si="16"/>
        <v>97.051415523486398</v>
      </c>
      <c r="BD26" s="474">
        <f t="shared" si="16"/>
        <v>102.1150348946895</v>
      </c>
      <c r="BE26" s="474">
        <f t="shared" si="16"/>
        <v>107.39973934448226</v>
      </c>
      <c r="BF26" s="474">
        <f t="shared" si="16"/>
        <v>112.91343500424512</v>
      </c>
      <c r="BG26" s="474">
        <f t="shared" si="16"/>
        <v>118.66433709310331</v>
      </c>
      <c r="BH26" s="474">
        <f t="shared" si="16"/>
        <v>124.66098765185139</v>
      </c>
      <c r="BI26" s="475">
        <f t="shared" si="16"/>
        <v>130.91227403750403</v>
      </c>
    </row>
    <row r="27" spans="1:62" s="109" customFormat="1">
      <c r="A27" s="433" t="s">
        <v>142</v>
      </c>
      <c r="B27" s="224">
        <f>'Prg. Marketing'!C13</f>
        <v>0.41493775933609961</v>
      </c>
      <c r="C27" s="224">
        <f>'Prg. Marketing'!D13</f>
        <v>0.41493775933609955</v>
      </c>
      <c r="D27" s="224">
        <f>'Prg. Marketing'!E13</f>
        <v>0.41981208893636629</v>
      </c>
      <c r="E27" s="224">
        <f>'Prg. Marketing'!F13</f>
        <v>0.4248746219770943</v>
      </c>
      <c r="F27" s="224">
        <f>'Prg. Marketing'!G13</f>
        <v>0.43012122507597084</v>
      </c>
      <c r="G27" s="224">
        <f>'Prg. Marketing'!H13</f>
        <v>0.43554569002621463</v>
      </c>
      <c r="H27" s="224">
        <f>'Prg. Marketing'!I13</f>
        <v>0.44113968492269268</v>
      </c>
      <c r="I27" s="224">
        <f>'Prg. Marketing'!J13</f>
        <v>0.44689275924681882</v>
      </c>
      <c r="J27" s="224">
        <f>'Prg. Marketing'!K13</f>
        <v>0.45279240750841171</v>
      </c>
      <c r="K27" s="224">
        <f>'Prg. Marketing'!L13</f>
        <v>0.45882419344272241</v>
      </c>
      <c r="L27" s="224">
        <f>'Prg. Marketing'!M13</f>
        <v>0.46497193377706847</v>
      </c>
      <c r="M27" s="222">
        <f>'Prg. Marketing'!N13</f>
        <v>0.47121793742541135</v>
      </c>
      <c r="N27" s="224">
        <f>'Prg. Marketing'!O13</f>
        <v>0.47754329289037839</v>
      </c>
      <c r="O27" s="224">
        <f>'Prg. Marketing'!P13</f>
        <v>0.48339477152286314</v>
      </c>
      <c r="P27" s="224">
        <f>'Prg. Marketing'!Q13</f>
        <v>0.48936949648641237</v>
      </c>
      <c r="Q27" s="224">
        <f>'Prg. Marketing'!R13</f>
        <v>0.49544939585114528</v>
      </c>
      <c r="R27" s="224">
        <f>'Prg. Marketing'!S13</f>
        <v>0.50161516073264878</v>
      </c>
      <c r="S27" s="224">
        <f>'Prg. Marketing'!T13</f>
        <v>0.50784655370953147</v>
      </c>
      <c r="T27" s="224">
        <f>'Prg. Marketing'!U13</f>
        <v>0.51412274331674368</v>
      </c>
      <c r="U27" s="224">
        <f>'Prg. Marketing'!V13</f>
        <v>0.52042265285557532</v>
      </c>
      <c r="V27" s="224">
        <f>'Prg. Marketing'!W13</f>
        <v>0.52672531111982712</v>
      </c>
      <c r="W27" s="224">
        <f>'Prg. Marketing'!X13</f>
        <v>0.53301019274708794</v>
      </c>
      <c r="X27" s="224">
        <f>'Prg. Marketing'!Y13</f>
        <v>0.53925753674130417</v>
      </c>
      <c r="Y27" s="222">
        <f>'Prg. Marketing'!Z13</f>
        <v>0.5454486331901921</v>
      </c>
      <c r="Z27" s="224">
        <f>'Prg. Marketing'!AA13</f>
        <v>0.55156607017819703</v>
      </c>
      <c r="AA27" s="224">
        <f>'Prg. Marketing'!AB13</f>
        <v>0.55650476231659829</v>
      </c>
      <c r="AB27" s="224">
        <f>'Prg. Marketing'!AC13</f>
        <v>0.56136002220526049</v>
      </c>
      <c r="AC27" s="224">
        <f>'Prg. Marketing'!AD13</f>
        <v>0.56612445464782302</v>
      </c>
      <c r="AD27" s="224">
        <f>'Prg. Marketing'!AE13</f>
        <v>0.57079162145332474</v>
      </c>
      <c r="AE27" s="224">
        <f>'Prg. Marketing'!AF13</f>
        <v>0.57535604877426538</v>
      </c>
      <c r="AF27" s="224">
        <f>'Prg. Marketing'!AG13</f>
        <v>0.57981321858467738</v>
      </c>
      <c r="AG27" s="224">
        <f>'Prg. Marketing'!AH13</f>
        <v>0.58415954594627162</v>
      </c>
      <c r="AH27" s="224">
        <f>'Prg. Marketing'!AI13</f>
        <v>0.58839234394146034</v>
      </c>
      <c r="AI27" s="224">
        <f>'Prg. Marketing'!AJ13</f>
        <v>0.59250977828631013</v>
      </c>
      <c r="AJ27" s="224">
        <f>'Prg. Marketing'!AK13</f>
        <v>0.59651081368171244</v>
      </c>
      <c r="AK27" s="222">
        <f>'Prg. Marketing'!AL13</f>
        <v>0.60039515392829435</v>
      </c>
      <c r="AL27" s="224">
        <f>'Prg. Marketing'!AM13</f>
        <v>0.60416317773318207</v>
      </c>
      <c r="AM27" s="224">
        <f>'Prg. Marketing'!AN13</f>
        <v>0.60589436466103075</v>
      </c>
      <c r="AN27" s="224">
        <f>'Prg. Marketing'!AO13</f>
        <v>0.60758515481729591</v>
      </c>
      <c r="AO27" s="224">
        <f>'Prg. Marketing'!AP13</f>
        <v>0.60923637773609252</v>
      </c>
      <c r="AP27" s="224">
        <f>'Prg. Marketing'!AQ13</f>
        <v>0.61084887473153526</v>
      </c>
      <c r="AQ27" s="224">
        <f>'Prg. Marketing'!AR13</f>
        <v>0.61242349596937229</v>
      </c>
      <c r="AR27" s="224">
        <f>'Prg. Marketing'!AS13</f>
        <v>0.61396109773246355</v>
      </c>
      <c r="AS27" s="224">
        <f>'Prg. Marketing'!AT13</f>
        <v>0.61546253987699417</v>
      </c>
      <c r="AT27" s="224">
        <f>'Prg. Marketing'!AU13</f>
        <v>0.61692868347532837</v>
      </c>
      <c r="AU27" s="224">
        <f>'Prg. Marketing'!AV13</f>
        <v>0.61836038864056553</v>
      </c>
      <c r="AV27" s="224">
        <f>'Prg. Marketing'!AW13</f>
        <v>0.61975851252716119</v>
      </c>
      <c r="AW27" s="222">
        <f>'Prg. Marketing'!AX13</f>
        <v>0.62112390750139579</v>
      </c>
      <c r="AX27" s="224">
        <f>'Prg. Marketing'!AY13</f>
        <v>0.62245741947502264</v>
      </c>
      <c r="AY27" s="224">
        <f>'Prg. Marketing'!AZ13</f>
        <v>0.62422245556002698</v>
      </c>
      <c r="AZ27" s="224">
        <f>'Prg. Marketing'!BA13</f>
        <v>0.62597101562084478</v>
      </c>
      <c r="BA27" s="224">
        <f>'Prg. Marketing'!BB13</f>
        <v>0.62770320435363125</v>
      </c>
      <c r="BB27" s="224">
        <f>'Prg. Marketing'!BC13</f>
        <v>0.62941913282238782</v>
      </c>
      <c r="BC27" s="224">
        <f>'Prg. Marketing'!BD13</f>
        <v>0.63111891809480292</v>
      </c>
      <c r="BD27" s="224">
        <f>'Prg. Marketing'!BE13</f>
        <v>0.63280268288639996</v>
      </c>
      <c r="BE27" s="224">
        <f>'Prg. Marketing'!BF13</f>
        <v>0.63447055521330009</v>
      </c>
      <c r="BF27" s="224">
        <f>'Prg. Marketing'!BG13</f>
        <v>0.63612266805384632</v>
      </c>
      <c r="BG27" s="224">
        <f>'Prg. Marketing'!BH13</f>
        <v>0.63775915901931624</v>
      </c>
      <c r="BH27" s="224">
        <f>'Prg. Marketing'!BI13</f>
        <v>0.6393801700338908</v>
      </c>
      <c r="BI27" s="222">
        <f>'Prg. Marketing'!BJ13</f>
        <v>0.64098584702402273</v>
      </c>
      <c r="BJ27" s="532"/>
    </row>
    <row r="28" spans="1:62" s="339" customFormat="1">
      <c r="A28" s="433" t="s">
        <v>141</v>
      </c>
      <c r="B28" s="477">
        <f>B26*B27</f>
        <v>1.7621145374449341</v>
      </c>
      <c r="C28" s="477">
        <f>C26*C27</f>
        <v>1.8463436123348018</v>
      </c>
      <c r="D28" s="477">
        <f t="shared" ref="D28:BI28" si="17">D26*D27</f>
        <v>1.969756858645807</v>
      </c>
      <c r="E28" s="477">
        <f t="shared" si="17"/>
        <v>2.1041914704064193</v>
      </c>
      <c r="F28" s="477">
        <f t="shared" si="17"/>
        <v>2.2506408443236485</v>
      </c>
      <c r="G28" s="477">
        <f t="shared" si="17"/>
        <v>2.4101691079146854</v>
      </c>
      <c r="H28" s="477">
        <f t="shared" si="17"/>
        <v>2.583912279702631</v>
      </c>
      <c r="I28" s="477">
        <f t="shared" si="17"/>
        <v>2.7730788601861103</v>
      </c>
      <c r="J28" s="477">
        <f t="shared" si="17"/>
        <v>2.978949838898922</v>
      </c>
      <c r="K28" s="477">
        <f t="shared" si="17"/>
        <v>3.2028781304847618</v>
      </c>
      <c r="L28" s="477">
        <f t="shared" si="17"/>
        <v>3.4462874829399968</v>
      </c>
      <c r="M28" s="476">
        <f t="shared" si="17"/>
        <v>3.7106709320894162</v>
      </c>
      <c r="N28" s="477">
        <f t="shared" si="17"/>
        <v>3.9985495631939871</v>
      </c>
      <c r="O28" s="477">
        <f t="shared" si="17"/>
        <v>4.3061845867555535</v>
      </c>
      <c r="P28" s="477">
        <f t="shared" si="17"/>
        <v>4.6412840540920799</v>
      </c>
      <c r="Q28" s="477">
        <f t="shared" si="17"/>
        <v>5.0059467516957081</v>
      </c>
      <c r="R28" s="477">
        <f t="shared" si="17"/>
        <v>5.4023584711037502</v>
      </c>
      <c r="S28" s="477">
        <f t="shared" si="17"/>
        <v>5.8327866726968516</v>
      </c>
      <c r="T28" s="477">
        <f t="shared" si="17"/>
        <v>6.2995746834782445</v>
      </c>
      <c r="U28" s="477">
        <f t="shared" si="17"/>
        <v>6.8051356723907857</v>
      </c>
      <c r="V28" s="477">
        <f t="shared" si="17"/>
        <v>7.3519466677902825</v>
      </c>
      <c r="W28" s="477">
        <f t="shared" si="17"/>
        <v>7.9425428886025928</v>
      </c>
      <c r="X28" s="477">
        <f t="shared" si="17"/>
        <v>8.5795126525635403</v>
      </c>
      <c r="Y28" s="476">
        <f t="shared" si="17"/>
        <v>9.2654931021809563</v>
      </c>
      <c r="Z28" s="477">
        <f t="shared" si="17"/>
        <v>10.004785104638776</v>
      </c>
      <c r="AA28" s="477">
        <f t="shared" si="17"/>
        <v>10.76290999496678</v>
      </c>
      <c r="AB28" s="477">
        <f t="shared" si="17"/>
        <v>11.575351132902375</v>
      </c>
      <c r="AC28" s="477">
        <f t="shared" si="17"/>
        <v>12.444874776146628</v>
      </c>
      <c r="AD28" s="477">
        <f t="shared" si="17"/>
        <v>13.3742965236153</v>
      </c>
      <c r="AE28" s="477">
        <f t="shared" si="17"/>
        <v>14.366480326553484</v>
      </c>
      <c r="AF28" s="477">
        <f t="shared" si="17"/>
        <v>15.424338226544581</v>
      </c>
      <c r="AG28" s="477">
        <f t="shared" si="17"/>
        <v>16.550830849120338</v>
      </c>
      <c r="AH28" s="477">
        <f t="shared" si="17"/>
        <v>17.74896866490112</v>
      </c>
      <c r="AI28" s="477">
        <f t="shared" si="17"/>
        <v>19.021814015235979</v>
      </c>
      <c r="AJ28" s="477">
        <f t="shared" si="17"/>
        <v>20.372483886674004</v>
      </c>
      <c r="AK28" s="476">
        <f t="shared" si="17"/>
        <v>21.804153408593425</v>
      </c>
      <c r="AL28" s="477">
        <f t="shared" si="17"/>
        <v>23.320060041061922</v>
      </c>
      <c r="AM28" s="477">
        <f t="shared" si="17"/>
        <v>24.771437692300136</v>
      </c>
      <c r="AN28" s="477">
        <f t="shared" si="17"/>
        <v>26.300523229245631</v>
      </c>
      <c r="AO28" s="477">
        <f t="shared" si="17"/>
        <v>27.91028178068736</v>
      </c>
      <c r="AP28" s="477">
        <f t="shared" si="17"/>
        <v>29.603747959003272</v>
      </c>
      <c r="AQ28" s="477">
        <f t="shared" si="17"/>
        <v>31.384029242183789</v>
      </c>
      <c r="AR28" s="477">
        <f t="shared" si="17"/>
        <v>33.254309774931201</v>
      </c>
      <c r="AS28" s="477">
        <f t="shared" si="17"/>
        <v>35.217854601667582</v>
      </c>
      <c r="AT28" s="477">
        <f t="shared" si="17"/>
        <v>37.278014342766681</v>
      </c>
      <c r="AU28" s="477">
        <f t="shared" si="17"/>
        <v>39.43823032380741</v>
      </c>
      <c r="AV28" s="477">
        <f t="shared" si="17"/>
        <v>41.702040166141849</v>
      </c>
      <c r="AW28" s="476">
        <f t="shared" si="17"/>
        <v>44.073083845596543</v>
      </c>
      <c r="AX28" s="477">
        <f t="shared" si="17"/>
        <v>46.555110224699227</v>
      </c>
      <c r="AY28" s="477">
        <f t="shared" si="17"/>
        <v>49.225905109150332</v>
      </c>
      <c r="AZ28" s="477">
        <f t="shared" si="17"/>
        <v>52.025885691747185</v>
      </c>
      <c r="BA28" s="477">
        <f t="shared" si="17"/>
        <v>54.959967552008102</v>
      </c>
      <c r="BB28" s="477">
        <f t="shared" si="17"/>
        <v>58.033241655048769</v>
      </c>
      <c r="BC28" s="477">
        <f t="shared" si="17"/>
        <v>61.250984364751893</v>
      </c>
      <c r="BD28" s="477">
        <f t="shared" si="17"/>
        <v>64.618668044397864</v>
      </c>
      <c r="BE28" s="477">
        <f t="shared" si="17"/>
        <v>68.141972251657364</v>
      </c>
      <c r="BF28" s="477">
        <f t="shared" si="17"/>
        <v>71.826795534024967</v>
      </c>
      <c r="BG28" s="477">
        <f t="shared" si="17"/>
        <v>75.679267830082225</v>
      </c>
      <c r="BH28" s="477">
        <f t="shared" si="17"/>
        <v>79.705763481433507</v>
      </c>
      <c r="BI28" s="476">
        <f t="shared" si="17"/>
        <v>83.912914859770495</v>
      </c>
    </row>
    <row r="29" spans="1:62" s="395" customFormat="1">
      <c r="A29" s="516" t="s">
        <v>140</v>
      </c>
      <c r="B29" s="521">
        <f>B27*B26*B49</f>
        <v>10572.687224669604</v>
      </c>
      <c r="C29" s="521">
        <f>C27*C26*C49</f>
        <v>11447.330396475771</v>
      </c>
      <c r="D29" s="521">
        <f t="shared" ref="D29:BI29" si="18">D27*D26*D49</f>
        <v>12606.443895333165</v>
      </c>
      <c r="E29" s="521">
        <f t="shared" si="18"/>
        <v>14308.501998763651</v>
      </c>
      <c r="F29" s="521">
        <f t="shared" si="18"/>
        <v>15754.485910265539</v>
      </c>
      <c r="G29" s="521">
        <f t="shared" si="18"/>
        <v>17353.217576985735</v>
      </c>
      <c r="H29" s="521">
        <f t="shared" si="18"/>
        <v>18862.559641829208</v>
      </c>
      <c r="I29" s="521">
        <f t="shared" si="18"/>
        <v>20520.783565377216</v>
      </c>
      <c r="J29" s="521">
        <f t="shared" si="18"/>
        <v>22342.123791741913</v>
      </c>
      <c r="K29" s="521">
        <f t="shared" si="18"/>
        <v>24021.585978635714</v>
      </c>
      <c r="L29" s="521">
        <f t="shared" si="18"/>
        <v>25847.156122049975</v>
      </c>
      <c r="M29" s="522">
        <f t="shared" si="18"/>
        <v>27830.031990670621</v>
      </c>
      <c r="N29" s="521">
        <f t="shared" si="18"/>
        <v>29989.121723954904</v>
      </c>
      <c r="O29" s="521">
        <f t="shared" si="18"/>
        <v>32296.384400666651</v>
      </c>
      <c r="P29" s="521">
        <f t="shared" si="18"/>
        <v>34809.630405690601</v>
      </c>
      <c r="Q29" s="521">
        <f t="shared" si="18"/>
        <v>37544.600637717813</v>
      </c>
      <c r="R29" s="521">
        <f t="shared" si="18"/>
        <v>40517.688533278124</v>
      </c>
      <c r="S29" s="521">
        <f t="shared" si="18"/>
        <v>43745.900045226386</v>
      </c>
      <c r="T29" s="521">
        <f t="shared" si="18"/>
        <v>47246.810126086835</v>
      </c>
      <c r="U29" s="521">
        <f t="shared" si="18"/>
        <v>51038.517542930895</v>
      </c>
      <c r="V29" s="521">
        <f t="shared" si="18"/>
        <v>55139.600008427122</v>
      </c>
      <c r="W29" s="521">
        <f t="shared" si="18"/>
        <v>59569.071664519448</v>
      </c>
      <c r="X29" s="521">
        <f t="shared" si="18"/>
        <v>64346.344894226553</v>
      </c>
      <c r="Y29" s="522">
        <f t="shared" si="18"/>
        <v>69491.198266357169</v>
      </c>
      <c r="Z29" s="521">
        <f t="shared" si="18"/>
        <v>75035.888284790824</v>
      </c>
      <c r="AA29" s="521">
        <f t="shared" si="18"/>
        <v>80721.824962250845</v>
      </c>
      <c r="AB29" s="521">
        <f t="shared" si="18"/>
        <v>86815.133496767812</v>
      </c>
      <c r="AC29" s="521">
        <f t="shared" si="18"/>
        <v>93336.560821099716</v>
      </c>
      <c r="AD29" s="521">
        <f t="shared" si="18"/>
        <v>100307.22392711474</v>
      </c>
      <c r="AE29" s="521">
        <f t="shared" si="18"/>
        <v>107748.60244915113</v>
      </c>
      <c r="AF29" s="521">
        <f t="shared" si="18"/>
        <v>115682.53669908436</v>
      </c>
      <c r="AG29" s="521">
        <f t="shared" si="18"/>
        <v>124131.23136840253</v>
      </c>
      <c r="AH29" s="521">
        <f t="shared" si="18"/>
        <v>133117.26498675841</v>
      </c>
      <c r="AI29" s="521">
        <f t="shared" si="18"/>
        <v>142663.60511426983</v>
      </c>
      <c r="AJ29" s="521">
        <f t="shared" si="18"/>
        <v>152793.62915005503</v>
      </c>
      <c r="AK29" s="522">
        <f t="shared" si="18"/>
        <v>163531.15056445068</v>
      </c>
      <c r="AL29" s="521">
        <f t="shared" si="18"/>
        <v>174900.45030796441</v>
      </c>
      <c r="AM29" s="521">
        <f t="shared" si="18"/>
        <v>185785.78269225103</v>
      </c>
      <c r="AN29" s="521">
        <f t="shared" si="18"/>
        <v>197253.92421934224</v>
      </c>
      <c r="AO29" s="521">
        <f t="shared" si="18"/>
        <v>209327.11335515519</v>
      </c>
      <c r="AP29" s="521">
        <f t="shared" si="18"/>
        <v>222028.10969252454</v>
      </c>
      <c r="AQ29" s="521">
        <f t="shared" si="18"/>
        <v>235380.21931637841</v>
      </c>
      <c r="AR29" s="521">
        <f t="shared" si="18"/>
        <v>249407.32331198402</v>
      </c>
      <c r="AS29" s="521">
        <f t="shared" si="18"/>
        <v>264133.90951250686</v>
      </c>
      <c r="AT29" s="521">
        <f t="shared" si="18"/>
        <v>279585.10757075011</v>
      </c>
      <c r="AU29" s="521">
        <f t="shared" si="18"/>
        <v>295786.72742855555</v>
      </c>
      <c r="AV29" s="521">
        <f t="shared" si="18"/>
        <v>312765.30124606384</v>
      </c>
      <c r="AW29" s="522">
        <f t="shared" si="18"/>
        <v>330548.12884197407</v>
      </c>
      <c r="AX29" s="521">
        <f t="shared" si="18"/>
        <v>349163.32668524422</v>
      </c>
      <c r="AY29" s="521">
        <f t="shared" si="18"/>
        <v>369194.28831862751</v>
      </c>
      <c r="AZ29" s="521">
        <f t="shared" si="18"/>
        <v>390194.14268810389</v>
      </c>
      <c r="BA29" s="521">
        <f t="shared" si="18"/>
        <v>412199.75664006075</v>
      </c>
      <c r="BB29" s="521">
        <f t="shared" si="18"/>
        <v>435249.31241286575</v>
      </c>
      <c r="BC29" s="521">
        <f t="shared" si="18"/>
        <v>459382.38273563923</v>
      </c>
      <c r="BD29" s="521">
        <f t="shared" si="18"/>
        <v>484640.01033298398</v>
      </c>
      <c r="BE29" s="521">
        <f t="shared" si="18"/>
        <v>511064.79188743024</v>
      </c>
      <c r="BF29" s="521">
        <f t="shared" si="18"/>
        <v>538700.96650518721</v>
      </c>
      <c r="BG29" s="521">
        <f t="shared" si="18"/>
        <v>567594.50872561673</v>
      </c>
      <c r="BH29" s="521">
        <f t="shared" si="18"/>
        <v>597793.22611075127</v>
      </c>
      <c r="BI29" s="522">
        <f t="shared" si="18"/>
        <v>629346.86144827877</v>
      </c>
    </row>
    <row r="30" spans="1:62" s="453" customFormat="1" ht="9" customHeight="1"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6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6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6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6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6"/>
      <c r="BJ30" s="471"/>
    </row>
    <row r="31" spans="1:62" s="515" customFormat="1">
      <c r="A31" s="528" t="s">
        <v>139</v>
      </c>
      <c r="B31" s="513">
        <v>300</v>
      </c>
      <c r="C31" s="513">
        <v>300</v>
      </c>
      <c r="D31" s="513">
        <v>300</v>
      </c>
      <c r="E31" s="513">
        <v>300</v>
      </c>
      <c r="F31" s="513">
        <v>300</v>
      </c>
      <c r="G31" s="513">
        <v>300</v>
      </c>
      <c r="H31" s="513">
        <v>300</v>
      </c>
      <c r="I31" s="513">
        <v>300</v>
      </c>
      <c r="J31" s="513">
        <v>300</v>
      </c>
      <c r="K31" s="513">
        <v>300</v>
      </c>
      <c r="L31" s="513">
        <v>300</v>
      </c>
      <c r="M31" s="514">
        <v>300</v>
      </c>
      <c r="N31" s="513">
        <v>200</v>
      </c>
      <c r="O31" s="513">
        <v>200</v>
      </c>
      <c r="P31" s="513">
        <v>200</v>
      </c>
      <c r="Q31" s="513">
        <v>200</v>
      </c>
      <c r="R31" s="513">
        <v>200</v>
      </c>
      <c r="S31" s="513">
        <v>200</v>
      </c>
      <c r="T31" s="513">
        <v>200</v>
      </c>
      <c r="U31" s="513">
        <v>200</v>
      </c>
      <c r="V31" s="513">
        <v>200</v>
      </c>
      <c r="W31" s="513">
        <v>200</v>
      </c>
      <c r="X31" s="513">
        <v>200</v>
      </c>
      <c r="Y31" s="514">
        <v>200</v>
      </c>
      <c r="Z31" s="513">
        <v>200</v>
      </c>
      <c r="AA31" s="513">
        <v>200</v>
      </c>
      <c r="AB31" s="513">
        <v>200</v>
      </c>
      <c r="AC31" s="513">
        <v>200</v>
      </c>
      <c r="AD31" s="513">
        <v>200</v>
      </c>
      <c r="AE31" s="513">
        <v>200</v>
      </c>
      <c r="AF31" s="513">
        <v>200</v>
      </c>
      <c r="AG31" s="513">
        <v>200</v>
      </c>
      <c r="AH31" s="513">
        <v>200</v>
      </c>
      <c r="AI31" s="513">
        <v>200</v>
      </c>
      <c r="AJ31" s="513">
        <v>200</v>
      </c>
      <c r="AK31" s="514">
        <v>200</v>
      </c>
      <c r="AL31" s="513">
        <v>200</v>
      </c>
      <c r="AM31" s="513">
        <v>200</v>
      </c>
      <c r="AN31" s="513">
        <v>200</v>
      </c>
      <c r="AO31" s="513">
        <v>200</v>
      </c>
      <c r="AP31" s="513">
        <v>200</v>
      </c>
      <c r="AQ31" s="513">
        <v>200</v>
      </c>
      <c r="AR31" s="513">
        <v>200</v>
      </c>
      <c r="AS31" s="513">
        <v>200</v>
      </c>
      <c r="AT31" s="513">
        <v>200</v>
      </c>
      <c r="AU31" s="513">
        <v>200</v>
      </c>
      <c r="AV31" s="513">
        <v>200</v>
      </c>
      <c r="AW31" s="514">
        <v>200</v>
      </c>
      <c r="AX31" s="513">
        <v>200</v>
      </c>
      <c r="AY31" s="513">
        <v>200</v>
      </c>
      <c r="AZ31" s="513">
        <v>200</v>
      </c>
      <c r="BA31" s="513">
        <v>200</v>
      </c>
      <c r="BB31" s="513">
        <v>200</v>
      </c>
      <c r="BC31" s="513">
        <v>200</v>
      </c>
      <c r="BD31" s="513">
        <v>200</v>
      </c>
      <c r="BE31" s="513">
        <v>200</v>
      </c>
      <c r="BF31" s="513">
        <v>200</v>
      </c>
      <c r="BG31" s="513">
        <v>200</v>
      </c>
      <c r="BH31" s="513">
        <v>200</v>
      </c>
      <c r="BI31" s="514">
        <v>200</v>
      </c>
      <c r="BJ31" s="1177"/>
    </row>
    <row r="32" spans="1:62" s="395" customFormat="1">
      <c r="A32" s="516" t="s">
        <v>162</v>
      </c>
      <c r="B32" s="517">
        <f t="shared" ref="B32:AG32" si="19">B26*B31</f>
        <v>1274.0088105726873</v>
      </c>
      <c r="C32" s="517">
        <f t="shared" si="19"/>
        <v>1334.9064317180619</v>
      </c>
      <c r="D32" s="517">
        <f t="shared" si="19"/>
        <v>1407.5989547869187</v>
      </c>
      <c r="E32" s="517">
        <f t="shared" si="19"/>
        <v>1485.7499329671846</v>
      </c>
      <c r="F32" s="517">
        <f t="shared" si="19"/>
        <v>1569.7719943437753</v>
      </c>
      <c r="G32" s="517">
        <f t="shared" si="19"/>
        <v>1660.1030590634168</v>
      </c>
      <c r="H32" s="517">
        <f t="shared" si="19"/>
        <v>1757.206867585795</v>
      </c>
      <c r="I32" s="517">
        <f t="shared" si="19"/>
        <v>1861.5733659635368</v>
      </c>
      <c r="J32" s="517">
        <f t="shared" si="19"/>
        <v>1973.7189423898947</v>
      </c>
      <c r="K32" s="517">
        <f t="shared" si="19"/>
        <v>2094.1865160503539</v>
      </c>
      <c r="L32" s="517">
        <f t="shared" si="19"/>
        <v>2223.5454868931884</v>
      </c>
      <c r="M32" s="518">
        <f t="shared" si="19"/>
        <v>2362.3915628276195</v>
      </c>
      <c r="N32" s="517">
        <f t="shared" si="19"/>
        <v>1674.6333254907079</v>
      </c>
      <c r="O32" s="517">
        <f t="shared" si="19"/>
        <v>1781.6430133034171</v>
      </c>
      <c r="P32" s="517">
        <f t="shared" si="19"/>
        <v>1896.8424012594533</v>
      </c>
      <c r="Q32" s="517">
        <f t="shared" si="19"/>
        <v>2020.7701507419799</v>
      </c>
      <c r="R32" s="517">
        <f t="shared" si="19"/>
        <v>2153.9853234153356</v>
      </c>
      <c r="S32" s="517">
        <f t="shared" si="19"/>
        <v>2297.0665568533045</v>
      </c>
      <c r="T32" s="517">
        <f t="shared" si="19"/>
        <v>2450.6111683906452</v>
      </c>
      <c r="U32" s="517">
        <f t="shared" si="19"/>
        <v>2615.2342274306448</v>
      </c>
      <c r="V32" s="517">
        <f t="shared" si="19"/>
        <v>2791.5676397475249</v>
      </c>
      <c r="W32" s="517">
        <f t="shared" si="19"/>
        <v>2980.2592883514744</v>
      </c>
      <c r="X32" s="517">
        <f t="shared" si="19"/>
        <v>3181.9722741044807</v>
      </c>
      <c r="Y32" s="518">
        <f t="shared" si="19"/>
        <v>3397.3842955621371</v>
      </c>
      <c r="Z32" s="517">
        <f t="shared" si="19"/>
        <v>3627.7739496943618</v>
      </c>
      <c r="AA32" s="517">
        <f t="shared" si="19"/>
        <v>3868.0387747854375</v>
      </c>
      <c r="AB32" s="517">
        <f t="shared" si="19"/>
        <v>4124.0382909454365</v>
      </c>
      <c r="AC32" s="517">
        <f t="shared" si="19"/>
        <v>4396.5155272751417</v>
      </c>
      <c r="AD32" s="517">
        <f t="shared" si="19"/>
        <v>4686.2273449502463</v>
      </c>
      <c r="AE32" s="517">
        <f t="shared" si="19"/>
        <v>4993.9443088013886</v>
      </c>
      <c r="AF32" s="517">
        <f t="shared" si="19"/>
        <v>5320.4507010707184</v>
      </c>
      <c r="AG32" s="517">
        <f t="shared" si="19"/>
        <v>5666.5446842300207</v>
      </c>
      <c r="AH32" s="517">
        <f t="shared" ref="AH32:BI32" si="20">AH26*AH31</f>
        <v>6033.038617058206</v>
      </c>
      <c r="AI32" s="517">
        <f t="shared" si="20"/>
        <v>6420.7595257759049</v>
      </c>
      <c r="AJ32" s="517">
        <f t="shared" si="20"/>
        <v>6830.5497299984909</v>
      </c>
      <c r="AK32" s="518">
        <f t="shared" si="20"/>
        <v>7263.267621642899</v>
      </c>
      <c r="AL32" s="517">
        <f t="shared" si="20"/>
        <v>7719.7885937235351</v>
      </c>
      <c r="AM32" s="517">
        <f t="shared" si="20"/>
        <v>8176.8173256269138</v>
      </c>
      <c r="AN32" s="517">
        <f t="shared" si="20"/>
        <v>8657.394941505554</v>
      </c>
      <c r="AO32" s="517">
        <f t="shared" si="20"/>
        <v>9162.3818933469756</v>
      </c>
      <c r="AP32" s="517">
        <f t="shared" si="20"/>
        <v>9692.6585882683194</v>
      </c>
      <c r="AQ32" s="517">
        <f t="shared" si="20"/>
        <v>10249.126445584096</v>
      </c>
      <c r="AR32" s="517">
        <f t="shared" si="20"/>
        <v>10832.709074809141</v>
      </c>
      <c r="AS32" s="517">
        <f t="shared" si="20"/>
        <v>11444.353577946822</v>
      </c>
      <c r="AT32" s="517">
        <f t="shared" si="20"/>
        <v>12085.031978986422</v>
      </c>
      <c r="AU32" s="517">
        <f t="shared" si="20"/>
        <v>12755.742783107562</v>
      </c>
      <c r="AV32" s="517">
        <f t="shared" si="20"/>
        <v>13457.51266766642</v>
      </c>
      <c r="AW32" s="518">
        <f t="shared" si="20"/>
        <v>14191.398306624513</v>
      </c>
      <c r="AX32" s="517">
        <f t="shared" si="20"/>
        <v>14958.488329679985</v>
      </c>
      <c r="AY32" s="517">
        <f t="shared" si="20"/>
        <v>15771.911013674398</v>
      </c>
      <c r="AZ32" s="517">
        <f t="shared" si="20"/>
        <v>16622.458354608432</v>
      </c>
      <c r="BA32" s="517">
        <f t="shared" si="20"/>
        <v>17511.450370434981</v>
      </c>
      <c r="BB32" s="517">
        <f t="shared" si="20"/>
        <v>18440.253442827845</v>
      </c>
      <c r="BC32" s="517">
        <f t="shared" si="20"/>
        <v>19410.283104697279</v>
      </c>
      <c r="BD32" s="517">
        <f t="shared" si="20"/>
        <v>20423.006978937901</v>
      </c>
      <c r="BE32" s="517">
        <f t="shared" si="20"/>
        <v>21479.947868896452</v>
      </c>
      <c r="BF32" s="517">
        <f t="shared" si="20"/>
        <v>22582.687000849022</v>
      </c>
      <c r="BG32" s="517">
        <f t="shared" si="20"/>
        <v>23732.867418620663</v>
      </c>
      <c r="BH32" s="517">
        <f t="shared" si="20"/>
        <v>24932.197530370278</v>
      </c>
      <c r="BI32" s="518">
        <f t="shared" si="20"/>
        <v>26182.454807500806</v>
      </c>
    </row>
    <row r="33" spans="1:63" s="57" customFormat="1" ht="9" customHeight="1">
      <c r="B33" s="508"/>
      <c r="C33" s="508"/>
      <c r="D33" s="508"/>
      <c r="E33" s="508"/>
      <c r="F33" s="508"/>
      <c r="G33" s="509"/>
      <c r="H33" s="508"/>
      <c r="I33" s="508"/>
      <c r="J33" s="508"/>
      <c r="K33" s="508"/>
      <c r="L33" s="508"/>
      <c r="M33" s="510"/>
      <c r="N33" s="511"/>
      <c r="O33" s="511"/>
      <c r="P33" s="511"/>
      <c r="Q33" s="511"/>
      <c r="R33" s="511"/>
      <c r="S33" s="512"/>
      <c r="T33" s="511"/>
      <c r="U33" s="511"/>
      <c r="V33" s="511"/>
      <c r="W33" s="511"/>
      <c r="X33" s="511"/>
      <c r="Y33" s="510"/>
      <c r="Z33" s="511"/>
      <c r="AA33" s="511"/>
      <c r="AB33" s="511"/>
      <c r="AC33" s="511"/>
      <c r="AD33" s="511"/>
      <c r="AE33" s="512"/>
      <c r="AF33" s="511"/>
      <c r="AG33" s="511"/>
      <c r="AH33" s="511"/>
      <c r="AI33" s="511"/>
      <c r="AJ33" s="511"/>
      <c r="AK33" s="510"/>
      <c r="AL33" s="511"/>
      <c r="AM33" s="511"/>
      <c r="AN33" s="511"/>
      <c r="AO33" s="511"/>
      <c r="AP33" s="511"/>
      <c r="AQ33" s="512"/>
      <c r="AR33" s="511"/>
      <c r="AS33" s="511"/>
      <c r="AT33" s="511"/>
      <c r="AU33" s="511"/>
      <c r="AV33" s="511"/>
      <c r="AW33" s="510"/>
      <c r="AX33" s="511"/>
      <c r="AY33" s="511"/>
      <c r="AZ33" s="511"/>
      <c r="BA33" s="511"/>
      <c r="BB33" s="511"/>
      <c r="BC33" s="512"/>
      <c r="BD33" s="511"/>
      <c r="BE33" s="511"/>
      <c r="BF33" s="511"/>
      <c r="BG33" s="511"/>
      <c r="BH33" s="511"/>
      <c r="BI33" s="510"/>
      <c r="BJ33" s="532"/>
    </row>
    <row r="34" spans="1:63" s="500" customFormat="1">
      <c r="A34" s="520" t="s">
        <v>13</v>
      </c>
      <c r="B34" s="498">
        <f t="shared" ref="B34:BI34" si="21">B26+B29</f>
        <v>10576.933920704847</v>
      </c>
      <c r="C34" s="498">
        <f t="shared" si="21"/>
        <v>11451.780084581498</v>
      </c>
      <c r="D34" s="498">
        <f t="shared" si="21"/>
        <v>12611.135891849121</v>
      </c>
      <c r="E34" s="498">
        <f t="shared" si="21"/>
        <v>14313.454498540208</v>
      </c>
      <c r="F34" s="498">
        <f t="shared" si="21"/>
        <v>15759.718483580018</v>
      </c>
      <c r="G34" s="498">
        <f t="shared" si="21"/>
        <v>17358.751253849281</v>
      </c>
      <c r="H34" s="498">
        <f t="shared" si="21"/>
        <v>18868.416998054494</v>
      </c>
      <c r="I34" s="498">
        <f t="shared" si="21"/>
        <v>20526.98880993043</v>
      </c>
      <c r="J34" s="498">
        <f t="shared" si="21"/>
        <v>22348.702854883213</v>
      </c>
      <c r="K34" s="498">
        <f t="shared" si="21"/>
        <v>24028.566600355884</v>
      </c>
      <c r="L34" s="498">
        <f t="shared" si="21"/>
        <v>25854.567940339621</v>
      </c>
      <c r="M34" s="499">
        <f t="shared" si="21"/>
        <v>27837.906629213379</v>
      </c>
      <c r="N34" s="498">
        <f t="shared" si="21"/>
        <v>29997.494890582358</v>
      </c>
      <c r="O34" s="498">
        <f t="shared" si="21"/>
        <v>32305.292615733168</v>
      </c>
      <c r="P34" s="498">
        <f t="shared" si="21"/>
        <v>34819.114617696898</v>
      </c>
      <c r="Q34" s="498">
        <f t="shared" si="21"/>
        <v>37554.704488471521</v>
      </c>
      <c r="R34" s="498">
        <f t="shared" si="21"/>
        <v>40528.458459895199</v>
      </c>
      <c r="S34" s="498">
        <f t="shared" si="21"/>
        <v>43757.385378010651</v>
      </c>
      <c r="T34" s="498">
        <f t="shared" si="21"/>
        <v>47259.063181928788</v>
      </c>
      <c r="U34" s="498">
        <f t="shared" si="21"/>
        <v>51051.593714068047</v>
      </c>
      <c r="V34" s="498">
        <f t="shared" si="21"/>
        <v>55153.557846625859</v>
      </c>
      <c r="W34" s="498">
        <f t="shared" si="21"/>
        <v>59583.972960961204</v>
      </c>
      <c r="X34" s="498">
        <f t="shared" si="21"/>
        <v>64362.254755597074</v>
      </c>
      <c r="Y34" s="499">
        <f t="shared" si="21"/>
        <v>69508.185187834984</v>
      </c>
      <c r="Z34" s="498">
        <f t="shared" si="21"/>
        <v>75054.02715453929</v>
      </c>
      <c r="AA34" s="498">
        <f t="shared" si="21"/>
        <v>80741.165156124771</v>
      </c>
      <c r="AB34" s="498">
        <f t="shared" si="21"/>
        <v>86835.753688222539</v>
      </c>
      <c r="AC34" s="498">
        <f t="shared" si="21"/>
        <v>93358.543398736088</v>
      </c>
      <c r="AD34" s="498">
        <f t="shared" si="21"/>
        <v>100330.6550638395</v>
      </c>
      <c r="AE34" s="498">
        <f t="shared" si="21"/>
        <v>107773.57217069514</v>
      </c>
      <c r="AF34" s="498">
        <f t="shared" si="21"/>
        <v>115709.13895258971</v>
      </c>
      <c r="AG34" s="498">
        <f t="shared" si="21"/>
        <v>124159.56409182367</v>
      </c>
      <c r="AH34" s="498">
        <f t="shared" si="21"/>
        <v>133147.43017984371</v>
      </c>
      <c r="AI34" s="498">
        <f t="shared" si="21"/>
        <v>142695.70891189872</v>
      </c>
      <c r="AJ34" s="498">
        <f t="shared" si="21"/>
        <v>152827.78189870503</v>
      </c>
      <c r="AK34" s="499">
        <f t="shared" si="21"/>
        <v>163567.4669025589</v>
      </c>
      <c r="AL34" s="498">
        <f t="shared" si="21"/>
        <v>174939.04925093302</v>
      </c>
      <c r="AM34" s="498">
        <f t="shared" si="21"/>
        <v>185826.66677887915</v>
      </c>
      <c r="AN34" s="498">
        <f t="shared" si="21"/>
        <v>197297.21119404977</v>
      </c>
      <c r="AO34" s="498">
        <f t="shared" si="21"/>
        <v>209372.92526462194</v>
      </c>
      <c r="AP34" s="498">
        <f t="shared" si="21"/>
        <v>222076.57298546587</v>
      </c>
      <c r="AQ34" s="498">
        <f t="shared" si="21"/>
        <v>235431.46494860633</v>
      </c>
      <c r="AR34" s="498">
        <f t="shared" si="21"/>
        <v>249461.48685735808</v>
      </c>
      <c r="AS34" s="498">
        <f t="shared" si="21"/>
        <v>264191.1312803966</v>
      </c>
      <c r="AT34" s="498">
        <f t="shared" si="21"/>
        <v>279645.53273064503</v>
      </c>
      <c r="AU34" s="498">
        <f t="shared" si="21"/>
        <v>295850.5061424711</v>
      </c>
      <c r="AV34" s="498">
        <f t="shared" si="21"/>
        <v>312832.58880940219</v>
      </c>
      <c r="AW34" s="499">
        <f t="shared" si="21"/>
        <v>330619.08583350718</v>
      </c>
      <c r="AX34" s="498">
        <f t="shared" si="21"/>
        <v>349238.11912689259</v>
      </c>
      <c r="AY34" s="498">
        <f t="shared" si="21"/>
        <v>369273.14787369588</v>
      </c>
      <c r="AZ34" s="498">
        <f t="shared" si="21"/>
        <v>390277.25497987692</v>
      </c>
      <c r="BA34" s="498">
        <f t="shared" si="21"/>
        <v>412287.31389191293</v>
      </c>
      <c r="BB34" s="498">
        <f t="shared" si="21"/>
        <v>435341.51368007989</v>
      </c>
      <c r="BC34" s="498">
        <f t="shared" si="21"/>
        <v>459479.43415116274</v>
      </c>
      <c r="BD34" s="498">
        <f t="shared" si="21"/>
        <v>484742.12536787865</v>
      </c>
      <c r="BE34" s="498">
        <f t="shared" si="21"/>
        <v>511172.19162677473</v>
      </c>
      <c r="BF34" s="498">
        <f t="shared" si="21"/>
        <v>538813.87994019152</v>
      </c>
      <c r="BG34" s="498">
        <f t="shared" si="21"/>
        <v>567713.17306270986</v>
      </c>
      <c r="BH34" s="498">
        <f t="shared" si="21"/>
        <v>597917.88709840318</v>
      </c>
      <c r="BI34" s="499">
        <f t="shared" si="21"/>
        <v>629477.77372231625</v>
      </c>
    </row>
    <row r="35" spans="1:63" s="57" customFormat="1" ht="9" customHeight="1">
      <c r="B35" s="508"/>
      <c r="C35" s="508"/>
      <c r="D35" s="508"/>
      <c r="E35" s="508"/>
      <c r="F35" s="508"/>
      <c r="G35" s="509"/>
      <c r="H35" s="508"/>
      <c r="I35" s="508"/>
      <c r="J35" s="508"/>
      <c r="K35" s="508"/>
      <c r="L35" s="508"/>
      <c r="M35" s="510"/>
      <c r="N35" s="511"/>
      <c r="O35" s="511"/>
      <c r="P35" s="511"/>
      <c r="Q35" s="511"/>
      <c r="R35" s="511"/>
      <c r="S35" s="512"/>
      <c r="T35" s="511"/>
      <c r="U35" s="511"/>
      <c r="V35" s="511"/>
      <c r="W35" s="511"/>
      <c r="X35" s="511"/>
      <c r="Y35" s="510"/>
      <c r="Z35" s="511"/>
      <c r="AA35" s="511"/>
      <c r="AB35" s="511"/>
      <c r="AC35" s="511"/>
      <c r="AD35" s="511"/>
      <c r="AE35" s="512"/>
      <c r="AF35" s="511"/>
      <c r="AG35" s="511"/>
      <c r="AH35" s="511"/>
      <c r="AI35" s="511"/>
      <c r="AJ35" s="511"/>
      <c r="AK35" s="510"/>
      <c r="AL35" s="511"/>
      <c r="AM35" s="511"/>
      <c r="AN35" s="511"/>
      <c r="AO35" s="511"/>
      <c r="AP35" s="511"/>
      <c r="AQ35" s="512"/>
      <c r="AR35" s="511"/>
      <c r="AS35" s="511"/>
      <c r="AT35" s="511"/>
      <c r="AU35" s="511"/>
      <c r="AV35" s="511"/>
      <c r="AW35" s="510"/>
      <c r="AX35" s="511"/>
      <c r="AY35" s="511"/>
      <c r="AZ35" s="511"/>
      <c r="BA35" s="511"/>
      <c r="BB35" s="511"/>
      <c r="BC35" s="512"/>
      <c r="BD35" s="511"/>
      <c r="BE35" s="511"/>
      <c r="BF35" s="511"/>
      <c r="BG35" s="511"/>
      <c r="BH35" s="511"/>
      <c r="BI35" s="510"/>
      <c r="BJ35" s="532"/>
    </row>
    <row r="36" spans="1:63" s="57" customFormat="1" ht="9" customHeight="1">
      <c r="B36" s="508"/>
      <c r="C36" s="508"/>
      <c r="D36" s="508"/>
      <c r="E36" s="508"/>
      <c r="F36" s="508"/>
      <c r="G36" s="509"/>
      <c r="H36" s="508"/>
      <c r="I36" s="508"/>
      <c r="J36" s="508"/>
      <c r="K36" s="508"/>
      <c r="L36" s="508"/>
      <c r="M36" s="510"/>
      <c r="N36" s="511"/>
      <c r="O36" s="511"/>
      <c r="P36" s="511"/>
      <c r="Q36" s="511"/>
      <c r="R36" s="511"/>
      <c r="S36" s="512"/>
      <c r="T36" s="511"/>
      <c r="U36" s="511"/>
      <c r="V36" s="511"/>
      <c r="W36" s="511"/>
      <c r="X36" s="511"/>
      <c r="Y36" s="510"/>
      <c r="Z36" s="511"/>
      <c r="AA36" s="511"/>
      <c r="AB36" s="511"/>
      <c r="AC36" s="511"/>
      <c r="AD36" s="511"/>
      <c r="AE36" s="512"/>
      <c r="AF36" s="511"/>
      <c r="AG36" s="511"/>
      <c r="AH36" s="511"/>
      <c r="AI36" s="511"/>
      <c r="AJ36" s="511"/>
      <c r="AK36" s="510"/>
      <c r="AL36" s="511"/>
      <c r="AM36" s="511"/>
      <c r="AN36" s="511"/>
      <c r="AO36" s="511"/>
      <c r="AP36" s="511"/>
      <c r="AQ36" s="512"/>
      <c r="AR36" s="511"/>
      <c r="AS36" s="511"/>
      <c r="AT36" s="511"/>
      <c r="AU36" s="511"/>
      <c r="AV36" s="511"/>
      <c r="AW36" s="510"/>
      <c r="AX36" s="511"/>
      <c r="AY36" s="511"/>
      <c r="AZ36" s="511"/>
      <c r="BA36" s="511"/>
      <c r="BB36" s="511"/>
      <c r="BC36" s="512"/>
      <c r="BD36" s="511"/>
      <c r="BE36" s="511"/>
      <c r="BF36" s="511"/>
      <c r="BG36" s="511"/>
      <c r="BH36" s="511"/>
      <c r="BI36" s="510"/>
      <c r="BJ36" s="532"/>
    </row>
    <row r="37" spans="1:63" s="500" customFormat="1" ht="15.75">
      <c r="A37" s="497" t="s">
        <v>138</v>
      </c>
      <c r="B37" s="498">
        <f>B34+B21</f>
        <v>20728.933920704847</v>
      </c>
      <c r="C37" s="498">
        <f>C34+C21</f>
        <v>22334.796424579898</v>
      </c>
      <c r="D37" s="498">
        <f t="shared" ref="D37:BI37" si="22">D34+D21</f>
        <v>24261.379157843236</v>
      </c>
      <c r="E37" s="498">
        <f t="shared" si="22"/>
        <v>27109.041527058151</v>
      </c>
      <c r="F37" s="498">
        <f t="shared" si="22"/>
        <v>29411.012063918617</v>
      </c>
      <c r="G37" s="498">
        <f t="shared" si="22"/>
        <v>31904.731979940196</v>
      </c>
      <c r="H37" s="498">
        <f t="shared" si="22"/>
        <v>34157.516935543477</v>
      </c>
      <c r="I37" s="498">
        <f t="shared" si="22"/>
        <v>36585.144030160183</v>
      </c>
      <c r="J37" s="498">
        <f t="shared" si="22"/>
        <v>39202.024549786183</v>
      </c>
      <c r="K37" s="498">
        <f t="shared" si="22"/>
        <v>41489.907780370268</v>
      </c>
      <c r="L37" s="498">
        <f t="shared" si="22"/>
        <v>43934.936399734994</v>
      </c>
      <c r="M37" s="499">
        <f t="shared" si="22"/>
        <v>46547.932291314006</v>
      </c>
      <c r="N37" s="498">
        <f t="shared" si="22"/>
        <v>48812.622611071754</v>
      </c>
      <c r="O37" s="498">
        <f t="shared" si="22"/>
        <v>51746.745047763237</v>
      </c>
      <c r="P37" s="498">
        <f t="shared" si="22"/>
        <v>54891.491572423707</v>
      </c>
      <c r="Q37" s="498">
        <f t="shared" si="22"/>
        <v>58261.704056497998</v>
      </c>
      <c r="R37" s="498">
        <f t="shared" si="22"/>
        <v>61872.837706819933</v>
      </c>
      <c r="S37" s="498">
        <f t="shared" si="22"/>
        <v>65740.922877654608</v>
      </c>
      <c r="T37" s="498">
        <f t="shared" si="22"/>
        <v>69882.52360507095</v>
      </c>
      <c r="U37" s="498">
        <f t="shared" si="22"/>
        <v>74314.694687467563</v>
      </c>
      <c r="V37" s="498">
        <f t="shared" si="22"/>
        <v>79054.939292696072</v>
      </c>
      <c r="W37" s="498">
        <f t="shared" si="22"/>
        <v>84121.169122674793</v>
      </c>
      <c r="X37" s="498">
        <f t="shared" si="22"/>
        <v>89531.669104034416</v>
      </c>
      <c r="Y37" s="499">
        <f t="shared" si="22"/>
        <v>95305.068401244935</v>
      </c>
      <c r="Z37" s="498">
        <f t="shared" si="22"/>
        <v>101467.05911812153</v>
      </c>
      <c r="AA37" s="498">
        <f t="shared" si="22"/>
        <v>107757.45533319093</v>
      </c>
      <c r="AB37" s="498">
        <f t="shared" si="22"/>
        <v>114440.84237520174</v>
      </c>
      <c r="AC37" s="498">
        <f t="shared" si="22"/>
        <v>121536.40957263115</v>
      </c>
      <c r="AD37" s="498">
        <f t="shared" si="22"/>
        <v>129063.73094559579</v>
      </c>
      <c r="AE37" s="498">
        <f t="shared" si="22"/>
        <v>137042.76458890198</v>
      </c>
      <c r="AF37" s="498">
        <f t="shared" si="22"/>
        <v>145493.85755130055</v>
      </c>
      <c r="AG37" s="498">
        <f t="shared" si="22"/>
        <v>154437.75638435522</v>
      </c>
      <c r="AH37" s="498">
        <f t="shared" si="22"/>
        <v>163895.6234075159</v>
      </c>
      <c r="AI37" s="498">
        <f t="shared" si="22"/>
        <v>173889.05862314338</v>
      </c>
      <c r="AJ37" s="498">
        <f t="shared" si="22"/>
        <v>184440.12712015139</v>
      </c>
      <c r="AK37" s="499">
        <f t="shared" si="22"/>
        <v>195571.39172995961</v>
      </c>
      <c r="AL37" s="498">
        <f t="shared" si="22"/>
        <v>207305.95064449144</v>
      </c>
      <c r="AM37" s="498">
        <f t="shared" si="22"/>
        <v>218526.82830504962</v>
      </c>
      <c r="AN37" s="498">
        <f t="shared" si="22"/>
        <v>230299.88241457404</v>
      </c>
      <c r="AO37" s="498">
        <f t="shared" si="22"/>
        <v>242646.40643380623</v>
      </c>
      <c r="AP37" s="498">
        <f t="shared" si="22"/>
        <v>255588.30467884589</v>
      </c>
      <c r="AQ37" s="498">
        <f t="shared" si="22"/>
        <v>269148.12221054058</v>
      </c>
      <c r="AR37" s="498">
        <f t="shared" si="22"/>
        <v>283349.07742205792</v>
      </c>
      <c r="AS37" s="498">
        <f t="shared" si="22"/>
        <v>298215.09739075514</v>
      </c>
      <c r="AT37" s="498">
        <f t="shared" si="22"/>
        <v>313770.85605224856</v>
      </c>
      <c r="AU37" s="498">
        <f t="shared" si="22"/>
        <v>330041.81524662836</v>
      </c>
      <c r="AV37" s="498">
        <f t="shared" si="22"/>
        <v>347054.26867913263</v>
      </c>
      <c r="AW37" s="499">
        <f t="shared" si="22"/>
        <v>364835.38883039018</v>
      </c>
      <c r="AX37" s="498">
        <f t="shared" si="22"/>
        <v>383413.276844654</v>
      </c>
      <c r="AY37" s="498">
        <f t="shared" si="22"/>
        <v>403371.48329652392</v>
      </c>
      <c r="AZ37" s="498">
        <f t="shared" si="22"/>
        <v>424263.29435980099</v>
      </c>
      <c r="BA37" s="498">
        <f t="shared" si="22"/>
        <v>446125.89776019694</v>
      </c>
      <c r="BB37" s="498">
        <f t="shared" si="22"/>
        <v>468997.90641248098</v>
      </c>
      <c r="BC37" s="498">
        <f t="shared" si="22"/>
        <v>492919.43151605618</v>
      </c>
      <c r="BD37" s="498">
        <f t="shared" si="22"/>
        <v>517932.15949957783</v>
      </c>
      <c r="BE37" s="498">
        <f t="shared" si="22"/>
        <v>544079.43288376636</v>
      </c>
      <c r="BF37" s="498">
        <f t="shared" si="22"/>
        <v>571406.3351293155</v>
      </c>
      <c r="BG37" s="498">
        <f t="shared" si="22"/>
        <v>599959.77953534888</v>
      </c>
      <c r="BH37" s="498">
        <f t="shared" si="22"/>
        <v>629788.60225328954</v>
      </c>
      <c r="BI37" s="499">
        <f t="shared" si="22"/>
        <v>660943.65948135941</v>
      </c>
    </row>
    <row r="38" spans="1:63" s="57" customFormat="1" ht="9" customHeight="1">
      <c r="B38" s="508"/>
      <c r="C38" s="508"/>
      <c r="D38" s="508"/>
      <c r="E38" s="508"/>
      <c r="F38" s="508"/>
      <c r="G38" s="509"/>
      <c r="H38" s="508"/>
      <c r="I38" s="508"/>
      <c r="J38" s="508"/>
      <c r="K38" s="508"/>
      <c r="L38" s="508"/>
      <c r="M38" s="510"/>
      <c r="N38" s="511"/>
      <c r="O38" s="511"/>
      <c r="P38" s="511"/>
      <c r="Q38" s="511"/>
      <c r="R38" s="511"/>
      <c r="S38" s="512"/>
      <c r="T38" s="511"/>
      <c r="U38" s="511"/>
      <c r="V38" s="511"/>
      <c r="W38" s="511"/>
      <c r="X38" s="511"/>
      <c r="Y38" s="510"/>
      <c r="Z38" s="511"/>
      <c r="AA38" s="511"/>
      <c r="AB38" s="511"/>
      <c r="AC38" s="511"/>
      <c r="AD38" s="511"/>
      <c r="AE38" s="512"/>
      <c r="AF38" s="511"/>
      <c r="AG38" s="511"/>
      <c r="AH38" s="511"/>
      <c r="AI38" s="511"/>
      <c r="AJ38" s="511"/>
      <c r="AK38" s="510"/>
      <c r="AL38" s="511"/>
      <c r="AM38" s="511"/>
      <c r="AN38" s="511"/>
      <c r="AO38" s="511"/>
      <c r="AP38" s="511"/>
      <c r="AQ38" s="512"/>
      <c r="AR38" s="511"/>
      <c r="AS38" s="511"/>
      <c r="AT38" s="511"/>
      <c r="AU38" s="511"/>
      <c r="AV38" s="511"/>
      <c r="AW38" s="510"/>
      <c r="AX38" s="511"/>
      <c r="AY38" s="511"/>
      <c r="AZ38" s="511"/>
      <c r="BA38" s="511"/>
      <c r="BB38" s="511"/>
      <c r="BC38" s="512"/>
      <c r="BD38" s="511"/>
      <c r="BE38" s="511"/>
      <c r="BF38" s="511"/>
      <c r="BG38" s="511"/>
      <c r="BH38" s="511"/>
      <c r="BI38" s="510"/>
      <c r="BJ38" s="532"/>
    </row>
    <row r="39" spans="1:63" s="483" customFormat="1">
      <c r="A39" s="480" t="s">
        <v>174</v>
      </c>
      <c r="B39" s="481">
        <f>B37*12/1000000</f>
        <v>0.24874720704845815</v>
      </c>
      <c r="C39" s="481">
        <f t="shared" ref="C39:M39" si="23">C37*12/1000000</f>
        <v>0.26801755709495878</v>
      </c>
      <c r="D39" s="481">
        <f t="shared" si="23"/>
        <v>0.2911365498941188</v>
      </c>
      <c r="E39" s="481">
        <f t="shared" si="23"/>
        <v>0.32530849832469783</v>
      </c>
      <c r="F39" s="481">
        <f t="shared" si="23"/>
        <v>0.35293214476702339</v>
      </c>
      <c r="G39" s="481">
        <f t="shared" si="23"/>
        <v>0.38285678375928234</v>
      </c>
      <c r="H39" s="481">
        <f t="shared" si="23"/>
        <v>0.40989020322652175</v>
      </c>
      <c r="I39" s="481">
        <f t="shared" si="23"/>
        <v>0.43902172836192221</v>
      </c>
      <c r="J39" s="481">
        <f t="shared" si="23"/>
        <v>0.47042429459743423</v>
      </c>
      <c r="K39" s="481">
        <f t="shared" si="23"/>
        <v>0.49787889336444319</v>
      </c>
      <c r="L39" s="481">
        <f t="shared" si="23"/>
        <v>0.52721923679681992</v>
      </c>
      <c r="M39" s="482">
        <f t="shared" si="23"/>
        <v>0.55857518749576807</v>
      </c>
      <c r="N39" s="481">
        <f>N37*12/1000000</f>
        <v>0.5857514713328611</v>
      </c>
      <c r="O39" s="481">
        <f t="shared" ref="O39" si="24">O37*12/1000000</f>
        <v>0.62096094057315887</v>
      </c>
      <c r="P39" s="481">
        <f t="shared" ref="P39" si="25">P37*12/1000000</f>
        <v>0.65869789886908447</v>
      </c>
      <c r="Q39" s="481">
        <f t="shared" ref="Q39" si="26">Q37*12/1000000</f>
        <v>0.69914044867797587</v>
      </c>
      <c r="R39" s="481">
        <f t="shared" ref="R39" si="27">R37*12/1000000</f>
        <v>0.74247405248183918</v>
      </c>
      <c r="S39" s="481">
        <f t="shared" ref="S39" si="28">S37*12/1000000</f>
        <v>0.78889107453185525</v>
      </c>
      <c r="T39" s="481">
        <f t="shared" ref="T39" si="29">T37*12/1000000</f>
        <v>0.83859028326085139</v>
      </c>
      <c r="U39" s="481">
        <f t="shared" ref="U39" si="30">U37*12/1000000</f>
        <v>0.89177633624961072</v>
      </c>
      <c r="V39" s="481">
        <f t="shared" ref="V39" si="31">V37*12/1000000</f>
        <v>0.94865927151235285</v>
      </c>
      <c r="W39" s="481">
        <f t="shared" ref="W39" si="32">W37*12/1000000</f>
        <v>1.0094540294720975</v>
      </c>
      <c r="X39" s="481">
        <f t="shared" ref="X39" si="33">X37*12/1000000</f>
        <v>1.0743800292484129</v>
      </c>
      <c r="Y39" s="482">
        <f t="shared" ref="Y39" si="34">Y37*12/1000000</f>
        <v>1.1436608208149392</v>
      </c>
      <c r="Z39" s="481">
        <f>Z37*12/1000000</f>
        <v>1.2176047094174585</v>
      </c>
      <c r="AA39" s="481">
        <f t="shared" ref="AA39" si="35">AA37*12/1000000</f>
        <v>1.2930894639982913</v>
      </c>
      <c r="AB39" s="481">
        <f t="shared" ref="AB39" si="36">AB37*12/1000000</f>
        <v>1.3732901085024207</v>
      </c>
      <c r="AC39" s="481">
        <f t="shared" ref="AC39" si="37">AC37*12/1000000</f>
        <v>1.4584369148715739</v>
      </c>
      <c r="AD39" s="481">
        <f t="shared" ref="AD39" si="38">AD37*12/1000000</f>
        <v>1.5487647713471495</v>
      </c>
      <c r="AE39" s="481">
        <f t="shared" ref="AE39" si="39">AE37*12/1000000</f>
        <v>1.6445131750668236</v>
      </c>
      <c r="AF39" s="481">
        <f t="shared" ref="AF39" si="40">AF37*12/1000000</f>
        <v>1.7459262906156066</v>
      </c>
      <c r="AG39" s="481">
        <f t="shared" ref="AG39" si="41">AG37*12/1000000</f>
        <v>1.8532530766122626</v>
      </c>
      <c r="AH39" s="481">
        <f t="shared" ref="AH39" si="42">AH37*12/1000000</f>
        <v>1.9667474808901908</v>
      </c>
      <c r="AI39" s="481">
        <f t="shared" ref="AI39" si="43">AI37*12/1000000</f>
        <v>2.0866687034777209</v>
      </c>
      <c r="AJ39" s="481">
        <f t="shared" ref="AJ39" si="44">AJ37*12/1000000</f>
        <v>2.2132815254418166</v>
      </c>
      <c r="AK39" s="482">
        <f t="shared" ref="AK39" si="45">AK37*12/1000000</f>
        <v>2.3468567007595151</v>
      </c>
      <c r="AL39" s="481">
        <f>AL37*12/1000000</f>
        <v>2.4876714077338971</v>
      </c>
      <c r="AM39" s="481">
        <f t="shared" ref="AM39" si="46">AM37*12/1000000</f>
        <v>2.6223219396605959</v>
      </c>
      <c r="AN39" s="481">
        <f t="shared" ref="AN39" si="47">AN37*12/1000000</f>
        <v>2.7635985889748884</v>
      </c>
      <c r="AO39" s="481">
        <f t="shared" ref="AO39" si="48">AO37*12/1000000</f>
        <v>2.9117568772056743</v>
      </c>
      <c r="AP39" s="481">
        <f t="shared" ref="AP39" si="49">AP37*12/1000000</f>
        <v>3.0670596561461507</v>
      </c>
      <c r="AQ39" s="481">
        <f t="shared" ref="AQ39" si="50">AQ37*12/1000000</f>
        <v>3.2297774665264871</v>
      </c>
      <c r="AR39" s="481">
        <f t="shared" ref="AR39" si="51">AR37*12/1000000</f>
        <v>3.4001889290646949</v>
      </c>
      <c r="AS39" s="481">
        <f t="shared" ref="AS39" si="52">AS37*12/1000000</f>
        <v>3.5785811686890621</v>
      </c>
      <c r="AT39" s="481">
        <f t="shared" ref="AT39" si="53">AT37*12/1000000</f>
        <v>3.7652502726269832</v>
      </c>
      <c r="AU39" s="481">
        <f t="shared" ref="AU39" si="54">AU37*12/1000000</f>
        <v>3.9605017829595406</v>
      </c>
      <c r="AV39" s="481">
        <f t="shared" ref="AV39" si="55">AV37*12/1000000</f>
        <v>4.1646512241495914</v>
      </c>
      <c r="AW39" s="482">
        <f t="shared" ref="AW39" si="56">AW37*12/1000000</f>
        <v>4.3780246659646815</v>
      </c>
      <c r="AX39" s="481">
        <f>AX37*12/1000000</f>
        <v>4.6009593221358482</v>
      </c>
      <c r="AY39" s="481">
        <f t="shared" ref="AY39" si="57">AY37*12/1000000</f>
        <v>4.8404577995582878</v>
      </c>
      <c r="AZ39" s="481">
        <f t="shared" ref="AZ39" si="58">AZ37*12/1000000</f>
        <v>5.0911595323176124</v>
      </c>
      <c r="BA39" s="481">
        <f t="shared" ref="BA39" si="59">BA37*12/1000000</f>
        <v>5.3535107731223626</v>
      </c>
      <c r="BB39" s="481">
        <f t="shared" ref="BB39" si="60">BB37*12/1000000</f>
        <v>5.6279748769497724</v>
      </c>
      <c r="BC39" s="481">
        <f t="shared" ref="BC39" si="61">BC37*12/1000000</f>
        <v>5.9150331781926742</v>
      </c>
      <c r="BD39" s="481">
        <f t="shared" ref="BD39" si="62">BD37*12/1000000</f>
        <v>6.2151859139949348</v>
      </c>
      <c r="BE39" s="481">
        <f t="shared" ref="BE39" si="63">BE37*12/1000000</f>
        <v>6.5289531946051955</v>
      </c>
      <c r="BF39" s="481">
        <f t="shared" ref="BF39" si="64">BF37*12/1000000</f>
        <v>6.8568760215517859</v>
      </c>
      <c r="BG39" s="481">
        <f t="shared" ref="BG39" si="65">BG37*12/1000000</f>
        <v>7.1995173544241862</v>
      </c>
      <c r="BH39" s="481">
        <f t="shared" ref="BH39" si="66">BH37*12/1000000</f>
        <v>7.5574632270394746</v>
      </c>
      <c r="BI39" s="482">
        <f t="shared" ref="BI39" si="67">BI37*12/1000000</f>
        <v>7.9313239137763132</v>
      </c>
    </row>
    <row r="40" spans="1:63" s="485" customFormat="1">
      <c r="A40" s="484" t="s">
        <v>45</v>
      </c>
      <c r="B40" s="435">
        <f>'Pro Forma'!E37</f>
        <v>-33184.964170807638</v>
      </c>
      <c r="C40" s="435">
        <f>'Pro Forma'!F37</f>
        <v>-14837.14568100147</v>
      </c>
      <c r="D40" s="435">
        <f>'Pro Forma'!G37</f>
        <v>-14268.717003781454</v>
      </c>
      <c r="E40" s="435">
        <f>'Pro Forma'!H37</f>
        <v>-13405.013342705901</v>
      </c>
      <c r="F40" s="435">
        <f>'Pro Forma'!I37</f>
        <v>-12685.072540306182</v>
      </c>
      <c r="G40" s="435">
        <f>'Pro Forma'!J37</f>
        <v>-17604.404805924125</v>
      </c>
      <c r="H40" s="435">
        <f>'Pro Forma'!K37</f>
        <v>-15156.124616524507</v>
      </c>
      <c r="I40" s="435">
        <f>'Pro Forma'!L37</f>
        <v>-13971.31609512752</v>
      </c>
      <c r="J40" s="435">
        <f>'Pro Forma'!M37</f>
        <v>-13027.555718246989</v>
      </c>
      <c r="K40" s="435">
        <f>'Pro Forma'!N37</f>
        <v>-12167.444211420123</v>
      </c>
      <c r="L40" s="435">
        <f>'Pro Forma'!O37</f>
        <v>-11228.257793696379</v>
      </c>
      <c r="M40" s="434">
        <f>'Pro Forma'!P37</f>
        <v>-10203.756141625032</v>
      </c>
      <c r="N40" s="435">
        <f>'Pro Forma'!Q37</f>
        <v>-8928.9645055486872</v>
      </c>
      <c r="O40" s="435">
        <f>'Pro Forma'!R37</f>
        <v>-6565.2951604608934</v>
      </c>
      <c r="P40" s="435">
        <f>'Pro Forma'!S37</f>
        <v>-7951.6323699894165</v>
      </c>
      <c r="Q40" s="435">
        <f>'Pro Forma'!T37</f>
        <v>-6483.5792380389103</v>
      </c>
      <c r="R40" s="435">
        <f>'Pro Forma'!U37</f>
        <v>-5307.1722049655655</v>
      </c>
      <c r="S40" s="435">
        <f>'Pro Forma'!V37</f>
        <v>-3966.3475887754175</v>
      </c>
      <c r="T40" s="435">
        <f>'Pro Forma'!W37</f>
        <v>-2466.8649492429358</v>
      </c>
      <c r="U40" s="435">
        <f>'Pro Forma'!X37</f>
        <v>-826.64406907309967</v>
      </c>
      <c r="V40" s="435">
        <f>'Pro Forma'!Y37</f>
        <v>-10770.241509529737</v>
      </c>
      <c r="W40" s="435">
        <f>'Pro Forma'!Z37</f>
        <v>-19174.962642260827</v>
      </c>
      <c r="X40" s="435">
        <f>'Pro Forma'!AA37</f>
        <v>-16925.443971653156</v>
      </c>
      <c r="Y40" s="434">
        <f>'Pro Forma'!AB37</f>
        <v>-25696.207513260568</v>
      </c>
      <c r="Z40" s="435">
        <f>'Pro Forma'!AC37</f>
        <v>-30466.524333613874</v>
      </c>
      <c r="AA40" s="435">
        <f>'Pro Forma'!AD37</f>
        <v>-30644.209260269774</v>
      </c>
      <c r="AB40" s="435">
        <f>'Pro Forma'!AE37</f>
        <v>-25743.81021126837</v>
      </c>
      <c r="AC40" s="435">
        <f>'Pro Forma'!AF37</f>
        <v>-25374.965354328699</v>
      </c>
      <c r="AD40" s="435">
        <f>'Pro Forma'!AG37</f>
        <v>-21685.632709168298</v>
      </c>
      <c r="AE40" s="435">
        <f>'Pro Forma'!AH37</f>
        <v>-17735.699053003482</v>
      </c>
      <c r="AF40" s="435">
        <f>'Pro Forma'!AI37</f>
        <v>-25824.517795504849</v>
      </c>
      <c r="AG40" s="435">
        <f>'Pro Forma'!AJ37</f>
        <v>-13812.381476188923</v>
      </c>
      <c r="AH40" s="435">
        <f>'Pro Forma'!AK37</f>
        <v>-15733.807969274916</v>
      </c>
      <c r="AI40" s="435">
        <f>'Pro Forma'!AL37</f>
        <v>-12981.108202038886</v>
      </c>
      <c r="AJ40" s="435">
        <f>'Pro Forma'!AM37</f>
        <v>-27659.485752690453</v>
      </c>
      <c r="AK40" s="434">
        <f>'Pro Forma'!AN37</f>
        <v>-14368.892474155029</v>
      </c>
      <c r="AL40" s="435">
        <f>'Pro Forma'!AO37</f>
        <v>-16222.784178653252</v>
      </c>
      <c r="AM40" s="435">
        <f>'Pro Forma'!AP37</f>
        <v>-10757.412118790759</v>
      </c>
      <c r="AN40" s="435">
        <f>'Pro Forma'!AQ37</f>
        <v>-7276.3573668028694</v>
      </c>
      <c r="AO40" s="435">
        <f>'Pro Forma'!AR37</f>
        <v>-728.33143403028953</v>
      </c>
      <c r="AP40" s="435">
        <f>'Pro Forma'!AS37</f>
        <v>-6343.9301669844717</v>
      </c>
      <c r="AQ40" s="435">
        <f>'Pro Forma'!AT37</f>
        <v>2806.545093130655</v>
      </c>
      <c r="AR40" s="435">
        <f>'Pro Forma'!AU37</f>
        <v>10443.101931745798</v>
      </c>
      <c r="AS40" s="435">
        <f>'Pro Forma'!AV37</f>
        <v>4256.0741498096177</v>
      </c>
      <c r="AT40" s="435">
        <f>'Pro Forma'!AW37</f>
        <v>-243.85907681621029</v>
      </c>
      <c r="AU40" s="435">
        <f>'Pro Forma'!AX37</f>
        <v>8404.3480662194488</v>
      </c>
      <c r="AV40" s="435">
        <f>'Pro Forma'!AY37</f>
        <v>10505.464546137853</v>
      </c>
      <c r="AW40" s="434">
        <f>'Pro Forma'!AZ37</f>
        <v>5996.34105228525</v>
      </c>
      <c r="AX40" s="434">
        <f>'Pro Forma'!BA37</f>
        <v>31887.180861373214</v>
      </c>
      <c r="AY40" s="435">
        <f>'Pro Forma'!BB37</f>
        <v>30001.697847926363</v>
      </c>
      <c r="AZ40" s="435">
        <f>'Pro Forma'!BC37</f>
        <v>46776.772437808642</v>
      </c>
      <c r="BA40" s="435">
        <f>'Pro Forma'!BD37</f>
        <v>56453.023504686862</v>
      </c>
      <c r="BB40" s="435">
        <f>'Pro Forma'!BE37</f>
        <v>34612.048960618442</v>
      </c>
      <c r="BC40" s="435">
        <f>'Pro Forma'!BF37</f>
        <v>50152.012728689035</v>
      </c>
      <c r="BD40" s="435">
        <f>'Pro Forma'!BG37</f>
        <v>53675.159443150013</v>
      </c>
      <c r="BE40" s="435">
        <f>'Pro Forma'!BH37</f>
        <v>65097.243003978132</v>
      </c>
      <c r="BF40" s="435">
        <f>'Pro Forma'!BI37</f>
        <v>64026.27428619354</v>
      </c>
      <c r="BG40" s="435">
        <f>'Pro Forma'!BJ37</f>
        <v>86851.848491002631</v>
      </c>
      <c r="BH40" s="435">
        <f>'Pro Forma'!BK37</f>
        <v>91885.359055585635</v>
      </c>
      <c r="BI40" s="434">
        <f>'Pro Forma'!BL37</f>
        <v>103791.23160800259</v>
      </c>
    </row>
    <row r="41" spans="1:63" s="491" customFormat="1">
      <c r="A41" s="486" t="s">
        <v>250</v>
      </c>
      <c r="B41" s="487">
        <f>B40</f>
        <v>-33184.964170807638</v>
      </c>
      <c r="C41" s="487">
        <f t="shared" ref="C41:M41" si="68">C40+B41</f>
        <v>-48022.109851809109</v>
      </c>
      <c r="D41" s="487">
        <f t="shared" si="68"/>
        <v>-62290.826855590567</v>
      </c>
      <c r="E41" s="487">
        <f t="shared" si="68"/>
        <v>-75695.840198296471</v>
      </c>
      <c r="F41" s="487">
        <f t="shared" si="68"/>
        <v>-88380.912738602652</v>
      </c>
      <c r="G41" s="487">
        <f t="shared" si="68"/>
        <v>-105985.31754452677</v>
      </c>
      <c r="H41" s="487">
        <f t="shared" si="68"/>
        <v>-121141.44216105128</v>
      </c>
      <c r="I41" s="487">
        <f t="shared" si="68"/>
        <v>-135112.75825617881</v>
      </c>
      <c r="J41" s="487">
        <f t="shared" si="68"/>
        <v>-148140.31397442581</v>
      </c>
      <c r="K41" s="487">
        <f t="shared" si="68"/>
        <v>-160307.75818584592</v>
      </c>
      <c r="L41" s="487">
        <f t="shared" si="68"/>
        <v>-171536.01597954228</v>
      </c>
      <c r="M41" s="488">
        <f t="shared" si="68"/>
        <v>-181739.77212116731</v>
      </c>
      <c r="N41" s="489">
        <f t="shared" ref="N41:BI41" si="69">N40+M41</f>
        <v>-190668.73662671598</v>
      </c>
      <c r="O41" s="489">
        <f t="shared" si="69"/>
        <v>-197234.03178717688</v>
      </c>
      <c r="P41" s="489">
        <f t="shared" si="69"/>
        <v>-205185.66415716629</v>
      </c>
      <c r="Q41" s="489">
        <f t="shared" si="69"/>
        <v>-211669.24339520521</v>
      </c>
      <c r="R41" s="489">
        <f t="shared" si="69"/>
        <v>-216976.41560017079</v>
      </c>
      <c r="S41" s="489">
        <f t="shared" si="69"/>
        <v>-220942.76318894621</v>
      </c>
      <c r="T41" s="489">
        <f t="shared" si="69"/>
        <v>-223409.62813818915</v>
      </c>
      <c r="U41" s="489">
        <f t="shared" si="69"/>
        <v>-224236.27220726226</v>
      </c>
      <c r="V41" s="489">
        <f t="shared" si="69"/>
        <v>-235006.51371679199</v>
      </c>
      <c r="W41" s="489">
        <f t="shared" si="69"/>
        <v>-254181.47635905282</v>
      </c>
      <c r="X41" s="489">
        <f t="shared" si="69"/>
        <v>-271106.92033070599</v>
      </c>
      <c r="Y41" s="490">
        <f t="shared" si="69"/>
        <v>-296803.12784396659</v>
      </c>
      <c r="Z41" s="489">
        <f t="shared" si="69"/>
        <v>-327269.65217758046</v>
      </c>
      <c r="AA41" s="489">
        <f t="shared" si="69"/>
        <v>-357913.86143785022</v>
      </c>
      <c r="AB41" s="487">
        <f t="shared" si="69"/>
        <v>-383657.67164911859</v>
      </c>
      <c r="AC41" s="487">
        <f t="shared" si="69"/>
        <v>-409032.63700344728</v>
      </c>
      <c r="AD41" s="487">
        <f t="shared" si="69"/>
        <v>-430718.26971261558</v>
      </c>
      <c r="AE41" s="487">
        <f t="shared" si="69"/>
        <v>-448453.96876561909</v>
      </c>
      <c r="AF41" s="487">
        <f t="shared" si="69"/>
        <v>-474278.48656112392</v>
      </c>
      <c r="AG41" s="487">
        <f t="shared" si="69"/>
        <v>-488090.86803731287</v>
      </c>
      <c r="AH41" s="487">
        <f t="shared" si="69"/>
        <v>-503824.6760065878</v>
      </c>
      <c r="AI41" s="487">
        <f t="shared" si="69"/>
        <v>-516805.78420862672</v>
      </c>
      <c r="AJ41" s="487">
        <f t="shared" si="69"/>
        <v>-544465.26996131719</v>
      </c>
      <c r="AK41" s="488">
        <f t="shared" si="69"/>
        <v>-558834.16243547224</v>
      </c>
      <c r="AL41" s="487">
        <f t="shared" si="69"/>
        <v>-575056.94661412551</v>
      </c>
      <c r="AM41" s="487">
        <f t="shared" si="69"/>
        <v>-585814.3587329163</v>
      </c>
      <c r="AN41" s="487">
        <f t="shared" si="69"/>
        <v>-593090.71609971917</v>
      </c>
      <c r="AO41" s="487">
        <f t="shared" si="69"/>
        <v>-593819.04753374949</v>
      </c>
      <c r="AP41" s="487">
        <f t="shared" si="69"/>
        <v>-600162.97770073393</v>
      </c>
      <c r="AQ41" s="487">
        <f t="shared" si="69"/>
        <v>-597356.43260760326</v>
      </c>
      <c r="AR41" s="487">
        <f t="shared" si="69"/>
        <v>-586913.33067585749</v>
      </c>
      <c r="AS41" s="487">
        <f t="shared" si="69"/>
        <v>-582657.25652604783</v>
      </c>
      <c r="AT41" s="487">
        <f t="shared" si="69"/>
        <v>-582901.11560286407</v>
      </c>
      <c r="AU41" s="487">
        <f t="shared" si="69"/>
        <v>-574496.76753664459</v>
      </c>
      <c r="AV41" s="487">
        <f t="shared" si="69"/>
        <v>-563991.30299050675</v>
      </c>
      <c r="AW41" s="488">
        <f t="shared" si="69"/>
        <v>-557994.96193822147</v>
      </c>
      <c r="AX41" s="487">
        <f t="shared" si="69"/>
        <v>-526107.78107684827</v>
      </c>
      <c r="AY41" s="487">
        <f t="shared" si="69"/>
        <v>-496106.08322892193</v>
      </c>
      <c r="AZ41" s="487">
        <f t="shared" si="69"/>
        <v>-449329.3107911133</v>
      </c>
      <c r="BA41" s="487">
        <f t="shared" si="69"/>
        <v>-392876.28728642641</v>
      </c>
      <c r="BB41" s="487">
        <f t="shared" si="69"/>
        <v>-358264.23832580796</v>
      </c>
      <c r="BC41" s="487">
        <f t="shared" si="69"/>
        <v>-308112.22559711896</v>
      </c>
      <c r="BD41" s="487">
        <f t="shared" si="69"/>
        <v>-254437.06615396895</v>
      </c>
      <c r="BE41" s="487">
        <f t="shared" si="69"/>
        <v>-189339.82314999081</v>
      </c>
      <c r="BF41" s="487">
        <f t="shared" si="69"/>
        <v>-125313.54886379727</v>
      </c>
      <c r="BG41" s="487">
        <f t="shared" si="69"/>
        <v>-38461.700372794643</v>
      </c>
      <c r="BH41" s="487">
        <f t="shared" si="69"/>
        <v>53423.658682790992</v>
      </c>
      <c r="BI41" s="488">
        <f t="shared" si="69"/>
        <v>157214.89029079358</v>
      </c>
    </row>
    <row r="42" spans="1:63" s="444" customFormat="1" hidden="1">
      <c r="A42" s="437"/>
      <c r="B42" s="438">
        <f>IF(B40&lt;0,1,0)</f>
        <v>1</v>
      </c>
      <c r="C42" s="438">
        <f t="shared" ref="C42:BI42" si="70">IF(C40&lt;0,1,0)</f>
        <v>1</v>
      </c>
      <c r="D42" s="438">
        <f t="shared" si="70"/>
        <v>1</v>
      </c>
      <c r="E42" s="438">
        <f t="shared" si="70"/>
        <v>1</v>
      </c>
      <c r="F42" s="438">
        <f t="shared" si="70"/>
        <v>1</v>
      </c>
      <c r="G42" s="438">
        <f t="shared" si="70"/>
        <v>1</v>
      </c>
      <c r="H42" s="438">
        <f t="shared" si="70"/>
        <v>1</v>
      </c>
      <c r="I42" s="438">
        <f t="shared" si="70"/>
        <v>1</v>
      </c>
      <c r="J42" s="438">
        <f t="shared" si="70"/>
        <v>1</v>
      </c>
      <c r="K42" s="438">
        <f t="shared" si="70"/>
        <v>1</v>
      </c>
      <c r="L42" s="438">
        <f t="shared" si="70"/>
        <v>1</v>
      </c>
      <c r="M42" s="439">
        <f t="shared" si="70"/>
        <v>1</v>
      </c>
      <c r="N42" s="440">
        <f t="shared" si="70"/>
        <v>1</v>
      </c>
      <c r="O42" s="440">
        <f t="shared" si="70"/>
        <v>1</v>
      </c>
      <c r="P42" s="440">
        <f t="shared" si="70"/>
        <v>1</v>
      </c>
      <c r="Q42" s="440">
        <f t="shared" si="70"/>
        <v>1</v>
      </c>
      <c r="R42" s="440">
        <f t="shared" si="70"/>
        <v>1</v>
      </c>
      <c r="S42" s="440">
        <f t="shared" si="70"/>
        <v>1</v>
      </c>
      <c r="T42" s="440">
        <f t="shared" si="70"/>
        <v>1</v>
      </c>
      <c r="U42" s="478">
        <f t="shared" si="70"/>
        <v>1</v>
      </c>
      <c r="V42" s="478">
        <f t="shared" si="70"/>
        <v>1</v>
      </c>
      <c r="W42" s="440">
        <f t="shared" si="70"/>
        <v>1</v>
      </c>
      <c r="X42" s="478">
        <f t="shared" si="70"/>
        <v>1</v>
      </c>
      <c r="Y42" s="479">
        <f t="shared" si="70"/>
        <v>1</v>
      </c>
      <c r="Z42" s="440">
        <f t="shared" si="70"/>
        <v>1</v>
      </c>
      <c r="AA42" s="440">
        <f t="shared" si="70"/>
        <v>1</v>
      </c>
      <c r="AB42" s="440">
        <f t="shared" si="70"/>
        <v>1</v>
      </c>
      <c r="AC42" s="440">
        <f t="shared" si="70"/>
        <v>1</v>
      </c>
      <c r="AD42" s="440">
        <f t="shared" si="70"/>
        <v>1</v>
      </c>
      <c r="AE42" s="440">
        <f t="shared" si="70"/>
        <v>1</v>
      </c>
      <c r="AF42" s="440">
        <f t="shared" si="70"/>
        <v>1</v>
      </c>
      <c r="AG42" s="440">
        <f t="shared" si="70"/>
        <v>1</v>
      </c>
      <c r="AH42" s="440">
        <f t="shared" si="70"/>
        <v>1</v>
      </c>
      <c r="AI42" s="440">
        <f t="shared" si="70"/>
        <v>1</v>
      </c>
      <c r="AJ42" s="440">
        <f t="shared" si="70"/>
        <v>1</v>
      </c>
      <c r="AK42" s="443">
        <f t="shared" si="70"/>
        <v>1</v>
      </c>
      <c r="AL42" s="440">
        <f t="shared" si="70"/>
        <v>1</v>
      </c>
      <c r="AM42" s="440">
        <f t="shared" si="70"/>
        <v>1</v>
      </c>
      <c r="AN42" s="440">
        <f t="shared" si="70"/>
        <v>1</v>
      </c>
      <c r="AO42" s="440">
        <f t="shared" si="70"/>
        <v>1</v>
      </c>
      <c r="AP42" s="440">
        <f t="shared" si="70"/>
        <v>1</v>
      </c>
      <c r="AQ42" s="440">
        <f t="shared" si="70"/>
        <v>0</v>
      </c>
      <c r="AR42" s="440">
        <f t="shared" si="70"/>
        <v>0</v>
      </c>
      <c r="AS42" s="440">
        <f t="shared" si="70"/>
        <v>0</v>
      </c>
      <c r="AT42" s="440">
        <f t="shared" si="70"/>
        <v>1</v>
      </c>
      <c r="AU42" s="440">
        <f t="shared" si="70"/>
        <v>0</v>
      </c>
      <c r="AV42" s="440">
        <f t="shared" si="70"/>
        <v>0</v>
      </c>
      <c r="AW42" s="443">
        <f t="shared" si="70"/>
        <v>0</v>
      </c>
      <c r="AX42" s="440">
        <f t="shared" si="70"/>
        <v>0</v>
      </c>
      <c r="AY42" s="440">
        <f t="shared" si="70"/>
        <v>0</v>
      </c>
      <c r="AZ42" s="440">
        <f t="shared" si="70"/>
        <v>0</v>
      </c>
      <c r="BA42" s="440">
        <f t="shared" si="70"/>
        <v>0</v>
      </c>
      <c r="BB42" s="440">
        <f t="shared" si="70"/>
        <v>0</v>
      </c>
      <c r="BC42" s="440">
        <f t="shared" si="70"/>
        <v>0</v>
      </c>
      <c r="BD42" s="440">
        <f t="shared" si="70"/>
        <v>0</v>
      </c>
      <c r="BE42" s="440">
        <f t="shared" si="70"/>
        <v>0</v>
      </c>
      <c r="BF42" s="440">
        <f t="shared" si="70"/>
        <v>0</v>
      </c>
      <c r="BG42" s="440">
        <f t="shared" si="70"/>
        <v>0</v>
      </c>
      <c r="BH42" s="440">
        <f t="shared" si="70"/>
        <v>0</v>
      </c>
      <c r="BI42" s="443">
        <f t="shared" si="70"/>
        <v>0</v>
      </c>
      <c r="BJ42" s="1178"/>
    </row>
    <row r="43" spans="1:63" s="444" customFormat="1" hidden="1">
      <c r="A43" s="437"/>
      <c r="B43" s="438">
        <f>IF(B40&lt;0,B40,0)</f>
        <v>-33184.964170807638</v>
      </c>
      <c r="C43" s="438">
        <f t="shared" ref="C43:BI43" si="71">IF(C40&lt;0,C40,0)</f>
        <v>-14837.14568100147</v>
      </c>
      <c r="D43" s="438">
        <f t="shared" si="71"/>
        <v>-14268.717003781454</v>
      </c>
      <c r="E43" s="438">
        <f t="shared" si="71"/>
        <v>-13405.013342705901</v>
      </c>
      <c r="F43" s="438">
        <f t="shared" si="71"/>
        <v>-12685.072540306182</v>
      </c>
      <c r="G43" s="436">
        <f t="shared" si="71"/>
        <v>-17604.404805924125</v>
      </c>
      <c r="H43" s="438">
        <f t="shared" si="71"/>
        <v>-15156.124616524507</v>
      </c>
      <c r="I43" s="438">
        <f t="shared" si="71"/>
        <v>-13971.31609512752</v>
      </c>
      <c r="J43" s="438">
        <f t="shared" si="71"/>
        <v>-13027.555718246989</v>
      </c>
      <c r="K43" s="438">
        <f t="shared" si="71"/>
        <v>-12167.444211420123</v>
      </c>
      <c r="L43" s="438">
        <f t="shared" si="71"/>
        <v>-11228.257793696379</v>
      </c>
      <c r="M43" s="439">
        <f t="shared" si="71"/>
        <v>-10203.756141625032</v>
      </c>
      <c r="N43" s="440">
        <f t="shared" si="71"/>
        <v>-8928.9645055486872</v>
      </c>
      <c r="O43" s="440">
        <f t="shared" si="71"/>
        <v>-6565.2951604608934</v>
      </c>
      <c r="P43" s="440">
        <f t="shared" si="71"/>
        <v>-7951.6323699894165</v>
      </c>
      <c r="Q43" s="440">
        <f t="shared" si="71"/>
        <v>-6483.5792380389103</v>
      </c>
      <c r="R43" s="440">
        <f t="shared" si="71"/>
        <v>-5307.1722049655655</v>
      </c>
      <c r="S43" s="440">
        <f t="shared" si="71"/>
        <v>-3966.3475887754175</v>
      </c>
      <c r="T43" s="440">
        <f t="shared" si="71"/>
        <v>-2466.8649492429358</v>
      </c>
      <c r="U43" s="441">
        <f t="shared" si="71"/>
        <v>-826.64406907309967</v>
      </c>
      <c r="V43" s="441">
        <f t="shared" si="71"/>
        <v>-10770.241509529737</v>
      </c>
      <c r="W43" s="440">
        <f t="shared" si="71"/>
        <v>-19174.962642260827</v>
      </c>
      <c r="X43" s="441">
        <f t="shared" si="71"/>
        <v>-16925.443971653156</v>
      </c>
      <c r="Y43" s="442">
        <f t="shared" si="71"/>
        <v>-25696.207513260568</v>
      </c>
      <c r="Z43" s="440">
        <f t="shared" si="71"/>
        <v>-30466.524333613874</v>
      </c>
      <c r="AA43" s="440">
        <f t="shared" si="71"/>
        <v>-30644.209260269774</v>
      </c>
      <c r="AB43" s="440">
        <f t="shared" si="71"/>
        <v>-25743.81021126837</v>
      </c>
      <c r="AC43" s="440">
        <f t="shared" si="71"/>
        <v>-25374.965354328699</v>
      </c>
      <c r="AD43" s="440">
        <f t="shared" si="71"/>
        <v>-21685.632709168298</v>
      </c>
      <c r="AE43" s="440">
        <f t="shared" si="71"/>
        <v>-17735.699053003482</v>
      </c>
      <c r="AF43" s="440">
        <f t="shared" si="71"/>
        <v>-25824.517795504849</v>
      </c>
      <c r="AG43" s="440">
        <f t="shared" si="71"/>
        <v>-13812.381476188923</v>
      </c>
      <c r="AH43" s="440">
        <f t="shared" si="71"/>
        <v>-15733.807969274916</v>
      </c>
      <c r="AI43" s="440">
        <f t="shared" si="71"/>
        <v>-12981.108202038886</v>
      </c>
      <c r="AJ43" s="440">
        <f t="shared" si="71"/>
        <v>-27659.485752690453</v>
      </c>
      <c r="AK43" s="443">
        <f t="shared" si="71"/>
        <v>-14368.892474155029</v>
      </c>
      <c r="AL43" s="440">
        <f t="shared" si="71"/>
        <v>-16222.784178653252</v>
      </c>
      <c r="AM43" s="440">
        <f t="shared" si="71"/>
        <v>-10757.412118790759</v>
      </c>
      <c r="AN43" s="440">
        <f t="shared" si="71"/>
        <v>-7276.3573668028694</v>
      </c>
      <c r="AO43" s="440">
        <f t="shared" si="71"/>
        <v>-728.33143403028953</v>
      </c>
      <c r="AP43" s="440">
        <f t="shared" si="71"/>
        <v>-6343.9301669844717</v>
      </c>
      <c r="AQ43" s="440">
        <f t="shared" si="71"/>
        <v>0</v>
      </c>
      <c r="AR43" s="440">
        <f t="shared" si="71"/>
        <v>0</v>
      </c>
      <c r="AS43" s="440">
        <f t="shared" si="71"/>
        <v>0</v>
      </c>
      <c r="AT43" s="440">
        <f t="shared" si="71"/>
        <v>-243.85907681621029</v>
      </c>
      <c r="AU43" s="440">
        <f t="shared" si="71"/>
        <v>0</v>
      </c>
      <c r="AV43" s="440">
        <f t="shared" si="71"/>
        <v>0</v>
      </c>
      <c r="AW43" s="443">
        <f t="shared" si="71"/>
        <v>0</v>
      </c>
      <c r="AX43" s="440">
        <f t="shared" si="71"/>
        <v>0</v>
      </c>
      <c r="AY43" s="440">
        <f t="shared" si="71"/>
        <v>0</v>
      </c>
      <c r="AZ43" s="440">
        <f t="shared" si="71"/>
        <v>0</v>
      </c>
      <c r="BA43" s="440">
        <f t="shared" si="71"/>
        <v>0</v>
      </c>
      <c r="BB43" s="440">
        <f t="shared" si="71"/>
        <v>0</v>
      </c>
      <c r="BC43" s="440">
        <f t="shared" si="71"/>
        <v>0</v>
      </c>
      <c r="BD43" s="440">
        <f t="shared" si="71"/>
        <v>0</v>
      </c>
      <c r="BE43" s="440">
        <f t="shared" si="71"/>
        <v>0</v>
      </c>
      <c r="BF43" s="440">
        <f t="shared" si="71"/>
        <v>0</v>
      </c>
      <c r="BG43" s="440">
        <f t="shared" si="71"/>
        <v>0</v>
      </c>
      <c r="BH43" s="440">
        <f t="shared" si="71"/>
        <v>0</v>
      </c>
      <c r="BI43" s="443">
        <f t="shared" si="71"/>
        <v>0</v>
      </c>
      <c r="BJ43" s="1178"/>
    </row>
    <row r="44" spans="1:63" s="555" customFormat="1">
      <c r="B44" s="556"/>
      <c r="C44" s="556"/>
      <c r="D44" s="556"/>
      <c r="E44" s="556"/>
      <c r="F44" s="556"/>
      <c r="G44" s="557"/>
      <c r="H44" s="556"/>
      <c r="I44" s="556"/>
      <c r="J44" s="556"/>
      <c r="K44" s="556"/>
      <c r="L44" s="556"/>
      <c r="M44" s="558"/>
      <c r="N44" s="559"/>
      <c r="O44" s="559"/>
      <c r="P44" s="559"/>
      <c r="Q44" s="559"/>
      <c r="R44" s="559"/>
      <c r="S44" s="559"/>
      <c r="T44" s="559"/>
      <c r="U44" s="560"/>
      <c r="V44" s="560"/>
      <c r="W44" s="559"/>
      <c r="X44" s="560"/>
      <c r="Y44" s="561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58"/>
      <c r="AL44" s="559"/>
      <c r="AM44" s="559"/>
      <c r="AN44" s="559"/>
      <c r="AO44" s="559"/>
      <c r="AP44" s="559"/>
      <c r="AQ44" s="559"/>
      <c r="AR44" s="559"/>
      <c r="AS44" s="559"/>
      <c r="AT44" s="559"/>
      <c r="AU44" s="559"/>
      <c r="AV44" s="559"/>
      <c r="AW44" s="558"/>
      <c r="AX44" s="559"/>
      <c r="AY44" s="559"/>
      <c r="AZ44" s="559"/>
      <c r="BA44" s="559"/>
      <c r="BB44" s="559"/>
      <c r="BC44" s="559"/>
      <c r="BD44" s="559"/>
      <c r="BE44" s="559"/>
      <c r="BF44" s="559"/>
      <c r="BG44" s="559"/>
      <c r="BH44" s="559"/>
      <c r="BI44" s="558"/>
      <c r="BJ44" s="1179"/>
    </row>
    <row r="45" spans="1:63" s="462" customFormat="1" ht="18" customHeight="1">
      <c r="A45" s="454" t="s">
        <v>366</v>
      </c>
      <c r="B45" s="455">
        <f>SUM(B43:BI43)</f>
        <v>-600406.83677755017</v>
      </c>
      <c r="C45" s="456"/>
      <c r="D45" s="456"/>
      <c r="E45" s="456"/>
      <c r="F45" s="456"/>
      <c r="G45" s="457"/>
      <c r="H45" s="456"/>
      <c r="I45" s="456" t="s">
        <v>19</v>
      </c>
      <c r="J45" s="456">
        <f>SUM(B37:M37)</f>
        <v>397667.35706095403</v>
      </c>
      <c r="K45" s="456"/>
      <c r="L45" s="460" t="s">
        <v>385</v>
      </c>
      <c r="M45" s="458">
        <f>SUM(B40:M40)</f>
        <v>-181739.77212116731</v>
      </c>
      <c r="N45" s="456"/>
      <c r="O45" s="456"/>
      <c r="P45" s="456"/>
      <c r="Q45" s="456"/>
      <c r="R45" s="456"/>
      <c r="S45" s="456"/>
      <c r="T45" s="456"/>
      <c r="U45" s="459" t="s">
        <v>19</v>
      </c>
      <c r="V45" s="459">
        <f>SUM(N37:Y37)</f>
        <v>833536.38808541989</v>
      </c>
      <c r="W45" s="456"/>
      <c r="X45" s="460" t="s">
        <v>385</v>
      </c>
      <c r="Y45" s="458">
        <f>SUM(N40:Y40)</f>
        <v>-115063.3557227992</v>
      </c>
      <c r="Z45" s="456"/>
      <c r="AA45" s="456"/>
      <c r="AB45" s="456"/>
      <c r="AC45" s="456"/>
      <c r="AD45" s="456"/>
      <c r="AE45" s="456"/>
      <c r="AF45" s="456"/>
      <c r="AG45" s="459" t="s">
        <v>19</v>
      </c>
      <c r="AH45" s="459">
        <f>SUM(Z37:AK37)</f>
        <v>1729036.0767500692</v>
      </c>
      <c r="AI45" s="456"/>
      <c r="AJ45" s="460" t="s">
        <v>385</v>
      </c>
      <c r="AK45" s="458">
        <f>SUM(Z40:AK40)</f>
        <v>-262031.03459150557</v>
      </c>
      <c r="AL45" s="456"/>
      <c r="AM45" s="456"/>
      <c r="AN45" s="456"/>
      <c r="AO45" s="456"/>
      <c r="AP45" s="456"/>
      <c r="AQ45" s="456"/>
      <c r="AR45" s="456"/>
      <c r="AS45" s="459" t="s">
        <v>19</v>
      </c>
      <c r="AT45" s="459">
        <f>SUM(AL37:AW37)</f>
        <v>3360781.9983085212</v>
      </c>
      <c r="AU45" s="456"/>
      <c r="AV45" s="460" t="s">
        <v>385</v>
      </c>
      <c r="AW45" s="458">
        <f>SUM(AL40:AW40)</f>
        <v>839.20049725077115</v>
      </c>
      <c r="AX45" s="456"/>
      <c r="AY45" s="456"/>
      <c r="AZ45" s="456"/>
      <c r="BA45" s="456"/>
      <c r="BB45" s="456"/>
      <c r="BC45" s="456"/>
      <c r="BD45" s="456"/>
      <c r="BE45" s="459" t="s">
        <v>19</v>
      </c>
      <c r="BF45" s="459">
        <f>SUM(AX37:BI37)</f>
        <v>6143201.258972371</v>
      </c>
      <c r="BG45" s="456"/>
      <c r="BH45" s="460" t="s">
        <v>385</v>
      </c>
      <c r="BI45" s="458">
        <f>SUM(AX40:BI40)</f>
        <v>715209.85222901509</v>
      </c>
      <c r="BK45" s="461"/>
    </row>
    <row r="46" spans="1:63" s="468" customFormat="1" ht="18" customHeight="1">
      <c r="A46" s="463" t="s">
        <v>367</v>
      </c>
      <c r="B46" s="464">
        <f>SUM(B42:BI42)</f>
        <v>42</v>
      </c>
      <c r="C46" s="465" t="s">
        <v>368</v>
      </c>
      <c r="D46" s="465"/>
      <c r="E46" s="465"/>
      <c r="F46" s="465"/>
      <c r="G46" s="465"/>
      <c r="H46" s="465"/>
      <c r="I46" s="465"/>
      <c r="J46" s="465"/>
      <c r="K46" s="465"/>
      <c r="L46" s="466" t="s">
        <v>255</v>
      </c>
      <c r="M46" s="1196">
        <f>M45/J45</f>
        <v>-0.45701455976762617</v>
      </c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7" t="s">
        <v>255</v>
      </c>
      <c r="Y46" s="1197">
        <f>Y45/V45</f>
        <v>-0.13804239067126081</v>
      </c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7" t="s">
        <v>255</v>
      </c>
      <c r="AK46" s="1197">
        <f>AK45/AH45</f>
        <v>-0.15154746515412468</v>
      </c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7" t="s">
        <v>255</v>
      </c>
      <c r="AW46" s="1197">
        <f>AW45/AT45</f>
        <v>2.4970393726017934E-4</v>
      </c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7" t="s">
        <v>255</v>
      </c>
      <c r="BI46" s="1197">
        <f>BI45/BF45</f>
        <v>0.11642298893991546</v>
      </c>
    </row>
    <row r="47" spans="1:63" s="471" customFormat="1" ht="15" customHeight="1">
      <c r="A47" s="469"/>
      <c r="B47" s="449"/>
      <c r="C47" s="449"/>
      <c r="D47" s="449"/>
      <c r="E47" s="449"/>
      <c r="F47" s="449"/>
      <c r="G47" s="450"/>
      <c r="H47" s="449"/>
      <c r="I47" s="449"/>
      <c r="J47" s="449"/>
      <c r="K47" s="449"/>
      <c r="L47" s="470"/>
      <c r="M47" s="448"/>
      <c r="N47" s="449"/>
      <c r="O47" s="449"/>
      <c r="P47" s="449"/>
      <c r="Q47" s="449"/>
      <c r="R47" s="449"/>
      <c r="S47" s="450"/>
      <c r="T47" s="449"/>
      <c r="U47" s="449"/>
      <c r="V47" s="449"/>
      <c r="W47" s="449"/>
      <c r="X47" s="451"/>
      <c r="Y47" s="452"/>
      <c r="Z47" s="449"/>
      <c r="AA47" s="449"/>
      <c r="AB47" s="449"/>
      <c r="AC47" s="449"/>
      <c r="AD47" s="449"/>
      <c r="AE47" s="450"/>
      <c r="AF47" s="449"/>
      <c r="AG47" s="449"/>
      <c r="AH47" s="449"/>
      <c r="AI47" s="449"/>
      <c r="AJ47" s="451"/>
      <c r="AK47" s="452"/>
      <c r="AL47" s="449"/>
      <c r="AM47" s="449"/>
      <c r="AN47" s="449"/>
      <c r="AO47" s="449"/>
      <c r="AP47" s="449"/>
      <c r="AQ47" s="450"/>
      <c r="AR47" s="449"/>
      <c r="AS47" s="449"/>
      <c r="AT47" s="449"/>
      <c r="AU47" s="449"/>
      <c r="AV47" s="451"/>
      <c r="AW47" s="452"/>
      <c r="AX47" s="449"/>
      <c r="AY47" s="449"/>
      <c r="AZ47" s="449"/>
      <c r="BA47" s="449"/>
      <c r="BB47" s="449"/>
      <c r="BC47" s="450"/>
      <c r="BD47" s="449"/>
      <c r="BE47" s="449"/>
      <c r="BF47" s="449"/>
      <c r="BG47" s="449"/>
      <c r="BH47" s="451"/>
      <c r="BI47" s="452"/>
    </row>
    <row r="48" spans="1:63" s="57" customFormat="1">
      <c r="A48" s="562" t="s">
        <v>137</v>
      </c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6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6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6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6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6"/>
      <c r="BJ48" s="532"/>
    </row>
    <row r="49" spans="1:62" s="515" customFormat="1">
      <c r="A49" s="528" t="s">
        <v>136</v>
      </c>
      <c r="B49" s="513">
        <v>6000</v>
      </c>
      <c r="C49" s="513">
        <v>6200</v>
      </c>
      <c r="D49" s="513">
        <v>6400</v>
      </c>
      <c r="E49" s="513">
        <v>6800</v>
      </c>
      <c r="F49" s="513">
        <v>7000</v>
      </c>
      <c r="G49" s="513">
        <v>7200</v>
      </c>
      <c r="H49" s="513">
        <v>7300</v>
      </c>
      <c r="I49" s="513">
        <v>7400</v>
      </c>
      <c r="J49" s="513">
        <v>7500</v>
      </c>
      <c r="K49" s="513">
        <v>7500</v>
      </c>
      <c r="L49" s="513">
        <v>7500</v>
      </c>
      <c r="M49" s="514">
        <v>7500</v>
      </c>
      <c r="N49" s="513">
        <v>7500</v>
      </c>
      <c r="O49" s="513">
        <v>7500</v>
      </c>
      <c r="P49" s="513">
        <v>7500</v>
      </c>
      <c r="Q49" s="513">
        <v>7500</v>
      </c>
      <c r="R49" s="513">
        <v>7500</v>
      </c>
      <c r="S49" s="513">
        <v>7500</v>
      </c>
      <c r="T49" s="513">
        <v>7500</v>
      </c>
      <c r="U49" s="513">
        <v>7500</v>
      </c>
      <c r="V49" s="513">
        <v>7500</v>
      </c>
      <c r="W49" s="513">
        <v>7500</v>
      </c>
      <c r="X49" s="513">
        <v>7500</v>
      </c>
      <c r="Y49" s="514">
        <v>7500</v>
      </c>
      <c r="Z49" s="514">
        <v>7500</v>
      </c>
      <c r="AA49" s="513">
        <v>7500</v>
      </c>
      <c r="AB49" s="513">
        <v>7500</v>
      </c>
      <c r="AC49" s="513">
        <v>7500</v>
      </c>
      <c r="AD49" s="513">
        <v>7500</v>
      </c>
      <c r="AE49" s="513">
        <v>7500</v>
      </c>
      <c r="AF49" s="513">
        <v>7500</v>
      </c>
      <c r="AG49" s="513">
        <v>7500</v>
      </c>
      <c r="AH49" s="513">
        <v>7500</v>
      </c>
      <c r="AI49" s="513">
        <v>7500</v>
      </c>
      <c r="AJ49" s="513">
        <v>7500</v>
      </c>
      <c r="AK49" s="514">
        <v>7500</v>
      </c>
      <c r="AL49" s="514">
        <v>7500</v>
      </c>
      <c r="AM49" s="513">
        <v>7500</v>
      </c>
      <c r="AN49" s="513">
        <v>7500</v>
      </c>
      <c r="AO49" s="513">
        <v>7500</v>
      </c>
      <c r="AP49" s="513">
        <v>7500</v>
      </c>
      <c r="AQ49" s="513">
        <v>7500</v>
      </c>
      <c r="AR49" s="513">
        <v>7500</v>
      </c>
      <c r="AS49" s="513">
        <v>7500</v>
      </c>
      <c r="AT49" s="513">
        <v>7500</v>
      </c>
      <c r="AU49" s="513">
        <v>7500</v>
      </c>
      <c r="AV49" s="513">
        <v>7500</v>
      </c>
      <c r="AW49" s="514">
        <v>7500</v>
      </c>
      <c r="AX49" s="513">
        <v>7500</v>
      </c>
      <c r="AY49" s="513">
        <v>7500</v>
      </c>
      <c r="AZ49" s="513">
        <v>7500</v>
      </c>
      <c r="BA49" s="513">
        <v>7500</v>
      </c>
      <c r="BB49" s="513">
        <v>7500</v>
      </c>
      <c r="BC49" s="513">
        <v>7500</v>
      </c>
      <c r="BD49" s="513">
        <v>7500</v>
      </c>
      <c r="BE49" s="513">
        <v>7500</v>
      </c>
      <c r="BF49" s="513">
        <v>7500</v>
      </c>
      <c r="BG49" s="513">
        <v>7500</v>
      </c>
      <c r="BH49" s="513">
        <v>7500</v>
      </c>
      <c r="BI49" s="514">
        <v>7500</v>
      </c>
      <c r="BJ49" s="1177"/>
    </row>
    <row r="50" spans="1:62" s="109" customFormat="1">
      <c r="A50" s="433" t="s">
        <v>135</v>
      </c>
      <c r="B50" s="412">
        <v>125</v>
      </c>
      <c r="C50" s="412">
        <v>125</v>
      </c>
      <c r="D50" s="412">
        <v>125</v>
      </c>
      <c r="E50" s="412">
        <v>125</v>
      </c>
      <c r="F50" s="412">
        <v>125</v>
      </c>
      <c r="G50" s="412">
        <v>125</v>
      </c>
      <c r="H50" s="412">
        <v>125</v>
      </c>
      <c r="I50" s="412">
        <v>125</v>
      </c>
      <c r="J50" s="412">
        <v>125</v>
      </c>
      <c r="K50" s="412">
        <v>125</v>
      </c>
      <c r="L50" s="412">
        <v>125</v>
      </c>
      <c r="M50" s="221">
        <v>125</v>
      </c>
      <c r="N50" s="412">
        <v>127</v>
      </c>
      <c r="O50" s="412">
        <v>127</v>
      </c>
      <c r="P50" s="412">
        <v>127</v>
      </c>
      <c r="Q50" s="412">
        <v>127</v>
      </c>
      <c r="R50" s="412">
        <v>127</v>
      </c>
      <c r="S50" s="412">
        <v>127</v>
      </c>
      <c r="T50" s="412">
        <v>127</v>
      </c>
      <c r="U50" s="412">
        <v>127</v>
      </c>
      <c r="V50" s="412">
        <v>127</v>
      </c>
      <c r="W50" s="412">
        <v>127</v>
      </c>
      <c r="X50" s="412">
        <v>127</v>
      </c>
      <c r="Y50" s="221">
        <v>127</v>
      </c>
      <c r="Z50" s="412">
        <v>130</v>
      </c>
      <c r="AA50" s="412">
        <v>130</v>
      </c>
      <c r="AB50" s="412">
        <v>130</v>
      </c>
      <c r="AC50" s="412">
        <v>130</v>
      </c>
      <c r="AD50" s="412">
        <v>130</v>
      </c>
      <c r="AE50" s="412">
        <v>130</v>
      </c>
      <c r="AF50" s="412">
        <v>130</v>
      </c>
      <c r="AG50" s="412">
        <v>130</v>
      </c>
      <c r="AH50" s="412">
        <v>130</v>
      </c>
      <c r="AI50" s="412">
        <v>130</v>
      </c>
      <c r="AJ50" s="412">
        <v>130</v>
      </c>
      <c r="AK50" s="221">
        <v>130</v>
      </c>
      <c r="AL50" s="412">
        <v>130</v>
      </c>
      <c r="AM50" s="412">
        <v>130</v>
      </c>
      <c r="AN50" s="412">
        <v>130</v>
      </c>
      <c r="AO50" s="412">
        <v>130</v>
      </c>
      <c r="AP50" s="412">
        <v>130</v>
      </c>
      <c r="AQ50" s="412">
        <v>130</v>
      </c>
      <c r="AR50" s="412">
        <v>130</v>
      </c>
      <c r="AS50" s="412">
        <v>130</v>
      </c>
      <c r="AT50" s="412">
        <v>130</v>
      </c>
      <c r="AU50" s="412">
        <v>130</v>
      </c>
      <c r="AV50" s="412">
        <v>130</v>
      </c>
      <c r="AW50" s="221">
        <v>130</v>
      </c>
      <c r="AX50" s="412">
        <v>130</v>
      </c>
      <c r="AY50" s="412">
        <v>130</v>
      </c>
      <c r="AZ50" s="412">
        <v>130</v>
      </c>
      <c r="BA50" s="412">
        <v>130</v>
      </c>
      <c r="BB50" s="412">
        <v>130</v>
      </c>
      <c r="BC50" s="412">
        <v>130</v>
      </c>
      <c r="BD50" s="412">
        <v>130</v>
      </c>
      <c r="BE50" s="412">
        <v>130</v>
      </c>
      <c r="BF50" s="412">
        <v>130</v>
      </c>
      <c r="BG50" s="412">
        <v>130</v>
      </c>
      <c r="BH50" s="412">
        <v>130</v>
      </c>
      <c r="BI50" s="221">
        <v>130</v>
      </c>
      <c r="BJ50" s="532"/>
    </row>
    <row r="51" spans="1:62" s="109" customFormat="1" hidden="1">
      <c r="A51" s="433" t="s">
        <v>134</v>
      </c>
      <c r="B51" s="108">
        <f t="shared" ref="B51:L51" si="72">(B49-B62)/(B50*B52)</f>
        <v>43.733333333333334</v>
      </c>
      <c r="C51" s="108">
        <f t="shared" si="72"/>
        <v>45.191111111111113</v>
      </c>
      <c r="D51" s="108">
        <f t="shared" si="72"/>
        <v>46.648888888888891</v>
      </c>
      <c r="E51" s="108">
        <f t="shared" si="72"/>
        <v>49.564444444444447</v>
      </c>
      <c r="F51" s="108">
        <f t="shared" si="72"/>
        <v>49.913043478260867</v>
      </c>
      <c r="G51" s="108">
        <f t="shared" si="72"/>
        <v>51.339130434782611</v>
      </c>
      <c r="H51" s="108">
        <f t="shared" si="72"/>
        <v>52.052173913043475</v>
      </c>
      <c r="I51" s="108">
        <f t="shared" si="72"/>
        <v>54.052173913043475</v>
      </c>
      <c r="J51" s="108">
        <f t="shared" si="72"/>
        <v>53.05263157894737</v>
      </c>
      <c r="K51" s="108">
        <f t="shared" si="72"/>
        <v>53.05263157894737</v>
      </c>
      <c r="L51" s="108">
        <f t="shared" si="72"/>
        <v>53.05263157894737</v>
      </c>
      <c r="M51" s="113"/>
      <c r="N51" s="108">
        <f t="shared" ref="N51:BI51" si="73">(N49-N62)/(N50*N52)</f>
        <v>53.460422710319108</v>
      </c>
      <c r="O51" s="108">
        <f t="shared" si="73"/>
        <v>53.460422710319108</v>
      </c>
      <c r="P51" s="108">
        <f t="shared" si="73"/>
        <v>53.460422710319108</v>
      </c>
      <c r="Q51" s="108">
        <f t="shared" si="73"/>
        <v>53.460422710319108</v>
      </c>
      <c r="R51" s="108">
        <f t="shared" si="73"/>
        <v>53.460422710319108</v>
      </c>
      <c r="S51" s="108">
        <f t="shared" si="73"/>
        <v>53.460422710319108</v>
      </c>
      <c r="T51" s="108">
        <f t="shared" si="73"/>
        <v>53.460422710319108</v>
      </c>
      <c r="U51" s="108">
        <f t="shared" si="73"/>
        <v>53.460422710319108</v>
      </c>
      <c r="V51" s="108">
        <f t="shared" si="73"/>
        <v>53.460422710319108</v>
      </c>
      <c r="W51" s="108">
        <f t="shared" si="73"/>
        <v>54.703688354745132</v>
      </c>
      <c r="X51" s="108">
        <f t="shared" si="73"/>
        <v>54.703688354745132</v>
      </c>
      <c r="Y51" s="113">
        <f t="shared" si="73"/>
        <v>54.703688354745132</v>
      </c>
      <c r="Z51" s="108">
        <f t="shared" si="73"/>
        <v>54.655870445344128</v>
      </c>
      <c r="AA51" s="108">
        <f t="shared" si="73"/>
        <v>54.655870445344128</v>
      </c>
      <c r="AB51" s="108">
        <f t="shared" si="73"/>
        <v>54.655870445344128</v>
      </c>
      <c r="AC51" s="108">
        <f t="shared" si="73"/>
        <v>54.655870445344128</v>
      </c>
      <c r="AD51" s="108">
        <f t="shared" si="73"/>
        <v>54.655870445344128</v>
      </c>
      <c r="AE51" s="108">
        <f t="shared" si="73"/>
        <v>54.655870445344128</v>
      </c>
      <c r="AF51" s="108">
        <f t="shared" si="73"/>
        <v>54.655870445344128</v>
      </c>
      <c r="AG51" s="108">
        <f t="shared" si="73"/>
        <v>54.655870445344128</v>
      </c>
      <c r="AH51" s="108">
        <f t="shared" si="73"/>
        <v>54.655870445344128</v>
      </c>
      <c r="AI51" s="108">
        <f t="shared" si="73"/>
        <v>54.655870445344128</v>
      </c>
      <c r="AJ51" s="108">
        <f t="shared" si="73"/>
        <v>54.655870445344128</v>
      </c>
      <c r="AK51" s="113">
        <f t="shared" si="73"/>
        <v>54.655870445344128</v>
      </c>
      <c r="AL51" s="108">
        <f t="shared" si="73"/>
        <v>54.655870445344128</v>
      </c>
      <c r="AM51" s="108">
        <f t="shared" si="73"/>
        <v>54.655870445344128</v>
      </c>
      <c r="AN51" s="108">
        <f t="shared" si="73"/>
        <v>54.655870445344128</v>
      </c>
      <c r="AO51" s="108">
        <f t="shared" si="73"/>
        <v>54.655870445344128</v>
      </c>
      <c r="AP51" s="108">
        <f t="shared" si="73"/>
        <v>54.655870445344128</v>
      </c>
      <c r="AQ51" s="108">
        <f t="shared" si="73"/>
        <v>54.655870445344128</v>
      </c>
      <c r="AR51" s="108">
        <f t="shared" si="73"/>
        <v>54.655870445344128</v>
      </c>
      <c r="AS51" s="108">
        <f t="shared" si="73"/>
        <v>54.655870445344128</v>
      </c>
      <c r="AT51" s="108">
        <f t="shared" si="73"/>
        <v>54.655870445344128</v>
      </c>
      <c r="AU51" s="108">
        <f t="shared" si="73"/>
        <v>54.655870445344128</v>
      </c>
      <c r="AV51" s="108">
        <f t="shared" si="73"/>
        <v>54.655870445344128</v>
      </c>
      <c r="AW51" s="113">
        <f t="shared" si="73"/>
        <v>54.655870445344128</v>
      </c>
      <c r="AX51" s="108">
        <f t="shared" si="73"/>
        <v>54.655870445344128</v>
      </c>
      <c r="AY51" s="108">
        <f t="shared" si="73"/>
        <v>54.655870445344128</v>
      </c>
      <c r="AZ51" s="108">
        <f t="shared" si="73"/>
        <v>54.655870445344128</v>
      </c>
      <c r="BA51" s="108">
        <f t="shared" si="73"/>
        <v>54.655870445344128</v>
      </c>
      <c r="BB51" s="108">
        <f t="shared" si="73"/>
        <v>54.655870445344128</v>
      </c>
      <c r="BC51" s="108">
        <f t="shared" si="73"/>
        <v>54.655870445344128</v>
      </c>
      <c r="BD51" s="108">
        <f t="shared" si="73"/>
        <v>54.655870445344128</v>
      </c>
      <c r="BE51" s="108">
        <f t="shared" si="73"/>
        <v>54.655870445344128</v>
      </c>
      <c r="BF51" s="108">
        <f t="shared" si="73"/>
        <v>54.655870445344128</v>
      </c>
      <c r="BG51" s="108">
        <f t="shared" si="73"/>
        <v>54.655870445344128</v>
      </c>
      <c r="BH51" s="108">
        <f t="shared" si="73"/>
        <v>54.655870445344128</v>
      </c>
      <c r="BI51" s="113">
        <f t="shared" si="73"/>
        <v>54.655870445344128</v>
      </c>
      <c r="BJ51" s="532"/>
    </row>
    <row r="52" spans="1:62" s="504" customFormat="1">
      <c r="A52" s="516" t="s">
        <v>133</v>
      </c>
      <c r="B52" s="564">
        <v>0.9</v>
      </c>
      <c r="C52" s="564">
        <v>0.9</v>
      </c>
      <c r="D52" s="564">
        <v>0.9</v>
      </c>
      <c r="E52" s="564">
        <v>0.9</v>
      </c>
      <c r="F52" s="564">
        <v>0.92</v>
      </c>
      <c r="G52" s="564">
        <v>0.92</v>
      </c>
      <c r="H52" s="564">
        <v>0.92</v>
      </c>
      <c r="I52" s="564">
        <v>0.92</v>
      </c>
      <c r="J52" s="564">
        <v>0.95</v>
      </c>
      <c r="K52" s="564">
        <v>0.95</v>
      </c>
      <c r="L52" s="564">
        <v>0.95</v>
      </c>
      <c r="M52" s="565">
        <v>0.95</v>
      </c>
      <c r="N52" s="566">
        <v>0.95</v>
      </c>
      <c r="O52" s="564">
        <v>0.95</v>
      </c>
      <c r="P52" s="564">
        <v>0.95</v>
      </c>
      <c r="Q52" s="564">
        <v>0.95</v>
      </c>
      <c r="R52" s="564">
        <v>0.95</v>
      </c>
      <c r="S52" s="564">
        <v>0.95</v>
      </c>
      <c r="T52" s="564">
        <v>0.95</v>
      </c>
      <c r="U52" s="564">
        <v>0.95</v>
      </c>
      <c r="V52" s="564">
        <v>0.95</v>
      </c>
      <c r="W52" s="564">
        <v>0.95</v>
      </c>
      <c r="X52" s="564">
        <v>0.95</v>
      </c>
      <c r="Y52" s="565">
        <v>0.95</v>
      </c>
      <c r="Z52" s="564">
        <v>0.95</v>
      </c>
      <c r="AA52" s="564">
        <v>0.95</v>
      </c>
      <c r="AB52" s="564">
        <v>0.95</v>
      </c>
      <c r="AC52" s="564">
        <v>0.95</v>
      </c>
      <c r="AD52" s="564">
        <v>0.95</v>
      </c>
      <c r="AE52" s="564">
        <v>0.95</v>
      </c>
      <c r="AF52" s="564">
        <v>0.95</v>
      </c>
      <c r="AG52" s="564">
        <v>0.95</v>
      </c>
      <c r="AH52" s="564">
        <v>0.95</v>
      </c>
      <c r="AI52" s="564">
        <v>0.95</v>
      </c>
      <c r="AJ52" s="564">
        <v>0.95</v>
      </c>
      <c r="AK52" s="565">
        <v>0.95</v>
      </c>
      <c r="AL52" s="564">
        <v>0.95</v>
      </c>
      <c r="AM52" s="564">
        <v>0.95</v>
      </c>
      <c r="AN52" s="564">
        <v>0.95</v>
      </c>
      <c r="AO52" s="564">
        <v>0.95</v>
      </c>
      <c r="AP52" s="564">
        <v>0.95</v>
      </c>
      <c r="AQ52" s="564">
        <v>0.95</v>
      </c>
      <c r="AR52" s="564">
        <v>0.95</v>
      </c>
      <c r="AS52" s="564">
        <v>0.95</v>
      </c>
      <c r="AT52" s="564">
        <v>0.95</v>
      </c>
      <c r="AU52" s="564">
        <v>0.95</v>
      </c>
      <c r="AV52" s="564">
        <v>0.95</v>
      </c>
      <c r="AW52" s="565">
        <v>0.95</v>
      </c>
      <c r="AX52" s="564">
        <v>0.95</v>
      </c>
      <c r="AY52" s="564">
        <v>0.95</v>
      </c>
      <c r="AZ52" s="564">
        <v>0.95</v>
      </c>
      <c r="BA52" s="564">
        <v>0.95</v>
      </c>
      <c r="BB52" s="564">
        <v>0.95</v>
      </c>
      <c r="BC52" s="564">
        <v>0.95</v>
      </c>
      <c r="BD52" s="564">
        <v>0.95</v>
      </c>
      <c r="BE52" s="564">
        <v>0.95</v>
      </c>
      <c r="BF52" s="564">
        <v>0.95</v>
      </c>
      <c r="BG52" s="564">
        <v>0.95</v>
      </c>
      <c r="BH52" s="564">
        <v>0.95</v>
      </c>
      <c r="BI52" s="565">
        <v>0.95</v>
      </c>
      <c r="BJ52" s="1180"/>
    </row>
    <row r="53" spans="1:62" hidden="1">
      <c r="A53" s="340" t="s">
        <v>132</v>
      </c>
      <c r="B53" s="51">
        <f>ROUND((B16+B29-'Pro Forma'!E9)/(B50*B52)/160,0)</f>
        <v>1</v>
      </c>
      <c r="C53" s="51">
        <f>ROUND((C16+C29-'Pro Forma'!F9)/(C50*C52)/160,0)</f>
        <v>1</v>
      </c>
      <c r="D53" s="51">
        <f>ROUND((D16+D29-'Pro Forma'!G9)/(D50*D52)/160,0)</f>
        <v>1</v>
      </c>
      <c r="E53" s="51">
        <f>ROUND((E16+E29-'Pro Forma'!H9)/(E50*E52)/160,0)</f>
        <v>1</v>
      </c>
      <c r="F53" s="51">
        <f>ROUND((F16+F29-'Pro Forma'!I9)/(F50*F52)/160,0)</f>
        <v>1</v>
      </c>
      <c r="G53" s="51">
        <f>ROUND((G16+G29-'Pro Forma'!J9)/(G50*G52)/160,0)</f>
        <v>2</v>
      </c>
      <c r="H53" s="51">
        <f>ROUND((H16+H29-'Pro Forma'!K9)/(H50*H52)/160,0)</f>
        <v>2</v>
      </c>
      <c r="I53" s="51">
        <f>ROUND((I16+I29-'Pro Forma'!L9)/(I50*I52)/160,0)</f>
        <v>2</v>
      </c>
      <c r="J53" s="51">
        <f>ROUND((J16+J29-'Pro Forma'!M9)/(J50*J52)/160,0)</f>
        <v>2</v>
      </c>
      <c r="K53" s="51">
        <f>ROUND((K16+K29-'Pro Forma'!N9)/(K50*K52)/160,0)</f>
        <v>2</v>
      </c>
      <c r="L53" s="51">
        <f>ROUND((L16+L29-'Pro Forma'!O9)/(L50*L52)/160,0)</f>
        <v>2</v>
      </c>
      <c r="M53" s="113">
        <f>ROUND((M16+M29-'Pro Forma'!P9)/(M50*M52)/160,0)</f>
        <v>2</v>
      </c>
      <c r="N53" s="563">
        <f>ROUND((N16+N29-'Pro Forma'!Q9)/(N50*N52)/160,0)</f>
        <v>2</v>
      </c>
      <c r="O53" s="108">
        <f>ROUND((O16+O29-'Pro Forma'!R9)/(O50*O52)/160,0)</f>
        <v>2</v>
      </c>
      <c r="P53" s="108">
        <f>ROUND((P16+P29-'Pro Forma'!S9)/(P50*P52)/160,0)</f>
        <v>3</v>
      </c>
      <c r="Q53" s="108">
        <f>ROUND((Q16+Q29-'Pro Forma'!T9)/(Q50*Q52)/160,0)</f>
        <v>3</v>
      </c>
      <c r="R53" s="108">
        <f>ROUND((R16+R29-'Pro Forma'!U9)/(R50*R52)/160,0)</f>
        <v>3</v>
      </c>
      <c r="S53" s="108">
        <f>ROUND((S16+S29-'Pro Forma'!V9)/(S50*S52)/160,0)</f>
        <v>3</v>
      </c>
      <c r="T53" s="108">
        <f>ROUND((T16+T29-'Pro Forma'!W9)/(T50*T52)/160,0)</f>
        <v>3</v>
      </c>
      <c r="U53" s="108">
        <f>ROUND((U16+U29-'Pro Forma'!X9)/(U50*U52)/160,0)</f>
        <v>3</v>
      </c>
      <c r="V53" s="108">
        <f>ROUND((V16+V29-'Pro Forma'!Y9)/(V50*V52)/160,0)</f>
        <v>4</v>
      </c>
      <c r="W53" s="108">
        <f>ROUND((W16+W29-'Pro Forma'!Z9)/(W50*W52)/160,0)</f>
        <v>4</v>
      </c>
      <c r="X53" s="108">
        <f>ROUND((X16+X29-'Pro Forma'!AA9)/(X50*X52)/160,0)</f>
        <v>4</v>
      </c>
      <c r="Y53" s="113">
        <f>ROUND((Y16+Y29-'Pro Forma'!AB9)/(Y50*Y52)/160,0)</f>
        <v>5</v>
      </c>
      <c r="Z53" s="108">
        <f>ROUND((Z16+Z29-'Pro Forma'!AC9)/(Z50*Z52)/160,0)</f>
        <v>5</v>
      </c>
      <c r="AA53" s="108">
        <f>ROUND((AA16+AA29-'Pro Forma'!AD9)/(AA50*AA52)/160,0)</f>
        <v>5</v>
      </c>
      <c r="AB53" s="108">
        <f>ROUND((AB16+AB29-'Pro Forma'!AE9)/(AB50*AB52)/160,0)</f>
        <v>5</v>
      </c>
      <c r="AC53" s="108">
        <f>ROUND((AC16+AC29-'Pro Forma'!AF9)/(AC50*AC52)/160,0)</f>
        <v>6</v>
      </c>
      <c r="AD53" s="108">
        <f>ROUND((AD16+AD29-'Pro Forma'!AG9)/(AD50*AD52)/160,0)</f>
        <v>6</v>
      </c>
      <c r="AE53" s="108">
        <f>ROUND((AE16+AE29-'Pro Forma'!AH9)/(AE50*AE52)/160,0)</f>
        <v>6</v>
      </c>
      <c r="AF53" s="108">
        <f>ROUND((AF16+AF29-'Pro Forma'!AI9)/(AF50*AF52)/160,0)</f>
        <v>7</v>
      </c>
      <c r="AG53" s="108">
        <f>ROUND((AG16+AG29-'Pro Forma'!AJ9)/(AG50*AG52)/160,0)</f>
        <v>7</v>
      </c>
      <c r="AH53" s="108">
        <f>ROUND((AH16+AH29-'Pro Forma'!AK9)/(AH50*AH52)/160,0)</f>
        <v>8</v>
      </c>
      <c r="AI53" s="108">
        <f>ROUND((AI16+AI29-'Pro Forma'!AL9)/(AI50*AI52)/160,0)</f>
        <v>8</v>
      </c>
      <c r="AJ53" s="108">
        <f>ROUND((AJ16+AJ29-'Pro Forma'!AM9)/(AJ50*AJ52)/160,0)</f>
        <v>9</v>
      </c>
      <c r="AK53" s="113">
        <f>ROUND((AK16+AK29-'Pro Forma'!AN9)/(AK50*AK52)/160,0)</f>
        <v>9</v>
      </c>
      <c r="AL53" s="108">
        <f>ROUND((AL16+AL29-'Pro Forma'!AO9)/(AL50*AL52)/160,0)</f>
        <v>10</v>
      </c>
      <c r="AM53" s="108">
        <f>ROUND((AM16+AM29-'Pro Forma'!AP9)/(AM50*AM52)/160,0)</f>
        <v>10</v>
      </c>
      <c r="AN53" s="108">
        <f>ROUND((AN16+AN29-'Pro Forma'!AQ9)/(AN50*AN52)/160,0)</f>
        <v>11</v>
      </c>
      <c r="AO53" s="108">
        <f>ROUND((AO16+AO29-'Pro Forma'!AR9)/(AO50*AO52)/160,0)</f>
        <v>11</v>
      </c>
      <c r="AP53" s="108">
        <f>ROUND((AP16+AP29-'Pro Forma'!AS9)/(AP50*AP52)/160,0)</f>
        <v>12</v>
      </c>
      <c r="AQ53" s="108">
        <f>ROUND((AQ16+AQ29-'Pro Forma'!AT9)/(AQ50*AQ52)/160,0)</f>
        <v>13</v>
      </c>
      <c r="AR53" s="108">
        <f>ROUND((AR16+AR29-'Pro Forma'!AU9)/(AR50*AR52)/160,0)</f>
        <v>13</v>
      </c>
      <c r="AS53" s="108">
        <f>ROUND((AS16+AS29-'Pro Forma'!AV9)/(AS50*AS52)/160,0)</f>
        <v>14</v>
      </c>
      <c r="AT53" s="108">
        <f>ROUND((AT16+AT29-'Pro Forma'!AW9)/(AT50*AT52)/160,0)</f>
        <v>15</v>
      </c>
      <c r="AU53" s="108">
        <f>ROUND((AU16+AU29-'Pro Forma'!AX9)/(AU50*AU52)/160,0)</f>
        <v>15</v>
      </c>
      <c r="AV53" s="108">
        <f>ROUND((AV16+AV29-'Pro Forma'!AY9)/(AV50*AV52)/160,0)</f>
        <v>16</v>
      </c>
      <c r="AW53" s="113">
        <f>ROUND((AW16+AW29-'Pro Forma'!AZ9)/(AW50*AW52)/160,0)</f>
        <v>17</v>
      </c>
      <c r="AX53" s="108">
        <f>ROUND((AX16+AX29-'Pro Forma'!BA9)/(AX50*AX52)/160,0)</f>
        <v>18</v>
      </c>
      <c r="AY53" s="108">
        <f>ROUND((AY16+AY29-'Pro Forma'!BB9)/(AY50*AY52)/160,0)</f>
        <v>19</v>
      </c>
      <c r="AZ53" s="108">
        <f>ROUND((AZ16+AZ29-'Pro Forma'!BC9)/(AZ50*AZ52)/160,0)</f>
        <v>20</v>
      </c>
      <c r="BA53" s="108">
        <f>ROUND((BA16+BA29-'Pro Forma'!BD9)/(BA50*BA52)/160,0)</f>
        <v>21</v>
      </c>
      <c r="BB53" s="108">
        <f>ROUND((BB16+BB29-'Pro Forma'!BE9)/(BB50*BB52)/160,0)</f>
        <v>22</v>
      </c>
      <c r="BC53" s="108">
        <f>ROUND((BC16+BC29-'Pro Forma'!BF9)/(BC50*BC52)/160,0)</f>
        <v>23</v>
      </c>
      <c r="BD53" s="108">
        <f>ROUND((BD16+BD29-'Pro Forma'!BG9)/(BD50*BD52)/160,0)</f>
        <v>24</v>
      </c>
      <c r="BE53" s="108">
        <f>ROUND((BE16+BE29-'Pro Forma'!BH9)/(BE50*BE52)/160,0)</f>
        <v>25</v>
      </c>
      <c r="BF53" s="108">
        <f>ROUND((BF16+BF29-'Pro Forma'!BI9)/(BF50*BF52)/160,0)</f>
        <v>27</v>
      </c>
      <c r="BG53" s="108">
        <f>ROUND((BG16+BG29-'Pro Forma'!BJ9)/(BG50*BG52)/160,0)</f>
        <v>28</v>
      </c>
      <c r="BH53" s="108">
        <f>ROUND((BH16+BH29-'Pro Forma'!BK9)/(BH50*BH52)/160,0)</f>
        <v>29</v>
      </c>
      <c r="BI53" s="113">
        <f>ROUND((BI16+BI29-'Pro Forma'!BL9)/(BI50*BI52)/160,0)</f>
        <v>31</v>
      </c>
    </row>
    <row r="54" spans="1:62" hidden="1">
      <c r="A54" s="340" t="s">
        <v>163</v>
      </c>
      <c r="B54" s="51">
        <f>HR!D19+HR!D22+HR!D25</f>
        <v>0</v>
      </c>
      <c r="C54" s="51">
        <f>HR!E19+HR!E22+HR!E25</f>
        <v>0</v>
      </c>
      <c r="D54" s="51">
        <f>HR!F19+HR!F22+HR!F25</f>
        <v>0</v>
      </c>
      <c r="E54" s="51">
        <f>HR!G19+HR!G22+HR!G25</f>
        <v>0</v>
      </c>
      <c r="F54" s="51">
        <f>HR!H19+HR!H22+HR!H25</f>
        <v>0</v>
      </c>
      <c r="G54" s="51">
        <f>HR!I19+HR!I22+HR!I25</f>
        <v>0</v>
      </c>
      <c r="H54" s="51">
        <f>HR!J19+HR!J22+HR!J25</f>
        <v>0</v>
      </c>
      <c r="I54" s="51">
        <f>HR!K19+HR!K22+HR!K25</f>
        <v>0</v>
      </c>
      <c r="J54" s="51">
        <f>HR!L19+HR!L22+HR!L25</f>
        <v>0</v>
      </c>
      <c r="K54" s="51">
        <f>HR!M19+HR!M22+HR!M25</f>
        <v>0</v>
      </c>
      <c r="L54" s="51">
        <f>HR!N19+HR!N22+HR!N25</f>
        <v>0</v>
      </c>
      <c r="M54" s="113">
        <f>HR!O19+HR!O22+HR!O25</f>
        <v>0</v>
      </c>
      <c r="N54" s="108">
        <f>HR!P19+HR!P22+HR!P25</f>
        <v>0</v>
      </c>
      <c r="O54" s="108">
        <f>HR!Q19+HR!Q22+HR!Q25</f>
        <v>0</v>
      </c>
      <c r="P54" s="108">
        <f>HR!R19+HR!R22+HR!R25</f>
        <v>0</v>
      </c>
      <c r="Q54" s="108">
        <f>HR!S19+HR!S22+HR!S25</f>
        <v>0</v>
      </c>
      <c r="R54" s="108">
        <f>HR!T19+HR!T22+HR!T25</f>
        <v>0</v>
      </c>
      <c r="S54" s="108">
        <f>HR!U19+HR!U22+HR!U25</f>
        <v>0</v>
      </c>
      <c r="T54" s="108">
        <f>HR!V19+HR!V22+HR!V25</f>
        <v>0</v>
      </c>
      <c r="U54" s="108">
        <f>HR!W19+HR!W22+HR!W25</f>
        <v>0</v>
      </c>
      <c r="V54" s="108">
        <f>HR!X19+HR!X22+HR!X25</f>
        <v>0</v>
      </c>
      <c r="W54" s="108">
        <f>HR!Y19+HR!Y22+HR!Y25</f>
        <v>0</v>
      </c>
      <c r="X54" s="108">
        <f>HR!Z19+HR!Z22+HR!Z25</f>
        <v>0</v>
      </c>
      <c r="Y54" s="113">
        <f>HR!AA19+HR!AA22+HR!AA25</f>
        <v>1</v>
      </c>
      <c r="Z54" s="108">
        <f>HR!AB19+HR!AB22+HR!AB25</f>
        <v>1</v>
      </c>
      <c r="AA54" s="108">
        <f>HR!AC19+HR!AC22+HR!AC25</f>
        <v>1</v>
      </c>
      <c r="AB54" s="108">
        <f>HR!AD19+HR!AD22+HR!AD25</f>
        <v>1</v>
      </c>
      <c r="AC54" s="108">
        <f>HR!AE19+HR!AE22+HR!AE25</f>
        <v>1</v>
      </c>
      <c r="AD54" s="108">
        <f>HR!AF19+HR!AF22+HR!AF25</f>
        <v>1</v>
      </c>
      <c r="AE54" s="108">
        <f>HR!AG19+HR!AG22+HR!AG25</f>
        <v>1</v>
      </c>
      <c r="AF54" s="108">
        <f>HR!AH19+HR!AH22+HR!AH25</f>
        <v>1</v>
      </c>
      <c r="AG54" s="108">
        <f>HR!AI19+HR!AI22+HR!AI25</f>
        <v>1</v>
      </c>
      <c r="AH54" s="108">
        <f>HR!AJ19+HR!AJ22+HR!AJ25</f>
        <v>1</v>
      </c>
      <c r="AI54" s="108">
        <f>HR!AK19+HR!AK22+HR!AK25</f>
        <v>1</v>
      </c>
      <c r="AJ54" s="108">
        <f>HR!AL19+HR!AL22+HR!AL25</f>
        <v>1.5</v>
      </c>
      <c r="AK54" s="113">
        <f>HR!AM19+HR!AM22+HR!AM25</f>
        <v>1.5</v>
      </c>
      <c r="AL54" s="108">
        <f>HR!AN19+HR!AN22+HR!AN25</f>
        <v>2.5</v>
      </c>
      <c r="AM54" s="108">
        <f>HR!AO19+HR!AO22+HR!AO25</f>
        <v>2.5</v>
      </c>
      <c r="AN54" s="108">
        <f>HR!AP19+HR!AP22+HR!AP25</f>
        <v>2.5</v>
      </c>
      <c r="AO54" s="108">
        <f>HR!AQ19+HR!AQ22+HR!AQ25</f>
        <v>2.5</v>
      </c>
      <c r="AP54" s="108">
        <f>HR!AR19+HR!AR22+HR!AR25</f>
        <v>2.5</v>
      </c>
      <c r="AQ54" s="108">
        <f>HR!AS19+HR!AS22+HR!AS25</f>
        <v>2.5</v>
      </c>
      <c r="AR54" s="108">
        <f>HR!AT19+HR!AT22+HR!AT25</f>
        <v>2.5</v>
      </c>
      <c r="AS54" s="108">
        <f>HR!AU19+HR!AU22+HR!AU25</f>
        <v>2.5</v>
      </c>
      <c r="AT54" s="108">
        <f>HR!AV19+HR!AV22+HR!AV25</f>
        <v>3.5</v>
      </c>
      <c r="AU54" s="108">
        <f>HR!AW19+HR!AW22+HR!AW25</f>
        <v>3.5</v>
      </c>
      <c r="AV54" s="108">
        <f>HR!AX19+HR!AX22+HR!AX25</f>
        <v>4</v>
      </c>
      <c r="AW54" s="113">
        <f>HR!AY19+HR!AY22+HR!AY25</f>
        <v>4</v>
      </c>
      <c r="AX54" s="108">
        <f>HR!AZ19+HR!AZ22+HR!AZ25</f>
        <v>4</v>
      </c>
      <c r="AY54" s="108">
        <f>HR!BA19+HR!BA22+HR!BA25</f>
        <v>4</v>
      </c>
      <c r="AZ54" s="108">
        <f>HR!BB19+HR!BB22+HR!BB25</f>
        <v>4</v>
      </c>
      <c r="BA54" s="108">
        <f>HR!BC19+HR!BC22+HR!BC25</f>
        <v>4</v>
      </c>
      <c r="BB54" s="108">
        <f>HR!BD19+HR!BD22+HR!BD25</f>
        <v>4</v>
      </c>
      <c r="BC54" s="108">
        <f>HR!BE19+HR!BE22+HR!BE25</f>
        <v>4</v>
      </c>
      <c r="BD54" s="108">
        <f>HR!BF19+HR!BF22+HR!BF25</f>
        <v>4</v>
      </c>
      <c r="BE54" s="108">
        <f>HR!BG19+HR!BG22+HR!BG25</f>
        <v>5</v>
      </c>
      <c r="BF54" s="108">
        <f>HR!BH19+HR!BH22+HR!BH25</f>
        <v>5</v>
      </c>
      <c r="BG54" s="108">
        <f>HR!BI19+HR!BI22+HR!BI25</f>
        <v>5</v>
      </c>
      <c r="BH54" s="108">
        <f>HR!BJ19+HR!BJ22+HR!BJ25</f>
        <v>5</v>
      </c>
      <c r="BI54" s="113">
        <f>HR!BK19+HR!BK22+HR!BK25</f>
        <v>6</v>
      </c>
    </row>
    <row r="55" spans="1:62" hidden="1">
      <c r="A55" s="340" t="s">
        <v>131</v>
      </c>
      <c r="B55" s="53">
        <f>((HR!$B11*HR!D12)+(HR!$B14*HR!D15))/12/(20*8)/HR!D26</f>
        <v>13.541666666666666</v>
      </c>
      <c r="C55" s="53">
        <f>((HR!$B11*HR!E12)+(HR!$B14*HR!E15))/12/(20*8)/HR!E26</f>
        <v>13.541666666666666</v>
      </c>
      <c r="D55" s="53">
        <f>((HR!$B11*HR!F12)+(HR!$B14*HR!F15))/12/(20*8)/HR!F26</f>
        <v>13.541666666666666</v>
      </c>
      <c r="E55" s="53">
        <f>((HR!$B11*HR!G12)+(HR!$B14*HR!G15))/12/(20*8)/HR!G26</f>
        <v>13.541666666666666</v>
      </c>
      <c r="F55" s="53">
        <f>((HR!$B11*HR!H12)+(HR!$B14*HR!H15))/12/(20*8)/HR!H26</f>
        <v>13.541666666666666</v>
      </c>
      <c r="G55" s="53">
        <f>((HR!$B11*HR!I12)+(HR!$B14*HR!I15))/12/(20*8)/HR!I26</f>
        <v>16.145833333333336</v>
      </c>
      <c r="H55" s="53">
        <f>((HR!$B11*HR!J12)+(HR!$B14*HR!J15))/12/(20*8)/HR!J26</f>
        <v>16.145833333333336</v>
      </c>
      <c r="I55" s="53">
        <f>((HR!$B11*HR!K12)+(HR!$B14*HR!K15))/12/(20*8)/HR!K26</f>
        <v>16.145833333333336</v>
      </c>
      <c r="J55" s="53">
        <f>((HR!$B11*HR!L12)+(HR!$B14*HR!L15))/12/(20*8)/HR!L26</f>
        <v>16.145833333333336</v>
      </c>
      <c r="K55" s="53">
        <f>((HR!$B11*HR!M12)+(HR!$B14*HR!M15))/12/(20*8)/HR!M26</f>
        <v>16.145833333333336</v>
      </c>
      <c r="L55" s="53">
        <f>((HR!$B11*HR!N12)+(HR!$B14*HR!N15))/12/(20*8)/HR!N26</f>
        <v>16.145833333333336</v>
      </c>
      <c r="M55" s="115">
        <f>((HR!$B11*HR!O12)+(HR!$B14*HR!O15))/12/(20*8)/HR!O26</f>
        <v>16.145833333333336</v>
      </c>
      <c r="N55" s="110">
        <f>((HR!$B11*HR!P12)+(HR!$B14*HR!P15))/12/(20*8)/HR!P26</f>
        <v>16.145833333333336</v>
      </c>
      <c r="O55" s="110">
        <f>((HR!$B11*HR!Q12)+(HR!$B14*HR!Q15))/12/(20*8)/HR!Q26</f>
        <v>16.145833333333336</v>
      </c>
      <c r="P55" s="110">
        <f>((HR!$B11*HR!R12)+(HR!$B14*HR!R15))/12/(20*8)/HR!R26</f>
        <v>15.277777777777777</v>
      </c>
      <c r="Q55" s="110">
        <f>((HR!$B11*HR!S12)+(HR!$B14*HR!S15))/12/(20*8)/HR!S26</f>
        <v>15.277777777777777</v>
      </c>
      <c r="R55" s="110">
        <f>((HR!$B11*HR!T12)+(HR!$B14*HR!T15))/12/(20*8)/HR!T26</f>
        <v>15.277777777777777</v>
      </c>
      <c r="S55" s="110">
        <f>((HR!$B11*HR!U12)+(HR!$B14*HR!U15))/12/(20*8)/HR!U26</f>
        <v>15.277777777777777</v>
      </c>
      <c r="T55" s="110">
        <f>((HR!$B11*HR!V12)+(HR!$B14*HR!V15))/12/(20*8)/HR!V26</f>
        <v>15.277777777777777</v>
      </c>
      <c r="U55" s="110">
        <f>((HR!$B11*HR!W12)+(HR!$B14*HR!W15))/12/(20*8)/HR!W26</f>
        <v>15.277777777777777</v>
      </c>
      <c r="V55" s="110">
        <f>((HR!$B11*HR!X12)+(HR!$B14*HR!X15))/12/(20*8)/HR!X26</f>
        <v>16.145833333333336</v>
      </c>
      <c r="W55" s="110">
        <f>((HR!$B11*HR!Y12)+(HR!$B14*HR!Y15))/12/(20*8)/HR!Y26</f>
        <v>16.145833333333336</v>
      </c>
      <c r="X55" s="110">
        <f>((HR!$B11*HR!Z12)+(HR!$B14*HR!Z15))/12/(20*8)/HR!Z26</f>
        <v>16.145833333333336</v>
      </c>
      <c r="Y55" s="115">
        <f>((HR!$B11*HR!AA12)+(HR!$B14*HR!AA15))/12/(20*8)/HR!AA26</f>
        <v>15.625</v>
      </c>
      <c r="Z55" s="110">
        <f>((HR!$B11*HR!AB12)+(HR!$B14*HR!AB15))/12/(20*8)/HR!AB26</f>
        <v>15.625</v>
      </c>
      <c r="AA55" s="110">
        <f>((HR!$B11*HR!AC12)+(HR!$B14*HR!AC15))/12/(20*8)/HR!AC26</f>
        <v>15.625</v>
      </c>
      <c r="AB55" s="110">
        <f>((HR!$B11*HR!AD12)+(HR!$B14*HR!AD15))/12/(20*8)/HR!AD26</f>
        <v>15.625</v>
      </c>
      <c r="AC55" s="110">
        <f>((HR!$B11*HR!AE12)+(HR!$B14*HR!AE15))/12/(20*8)/HR!AE26</f>
        <v>15.277777777777777</v>
      </c>
      <c r="AD55" s="110">
        <f>((HR!$B11*HR!AF12)+(HR!$B14*HR!AF15))/12/(20*8)/HR!AF26</f>
        <v>15.277777777777777</v>
      </c>
      <c r="AE55" s="110">
        <f>((HR!$B11*HR!AG12)+(HR!$B14*HR!AG15))/12/(20*8)/HR!AG26</f>
        <v>15.277777777777777</v>
      </c>
      <c r="AF55" s="110">
        <f>((HR!$B11*HR!AH12)+(HR!$B14*HR!AH15))/12/(20*8)/HR!AH26</f>
        <v>15.773809523809524</v>
      </c>
      <c r="AG55" s="110">
        <f>((HR!$B11*HR!AI12)+(HR!$B14*HR!AI15))/12/(20*8)/HR!AI26</f>
        <v>15.773809523809524</v>
      </c>
      <c r="AH55" s="110">
        <f>((HR!$B11*HR!AJ12)+(HR!$B14*HR!AJ15))/12/(20*8)/HR!AJ26</f>
        <v>15.494791666666666</v>
      </c>
      <c r="AI55" s="110">
        <f>((HR!$B11*HR!AK12)+(HR!$B14*HR!AK15))/12/(20*8)/HR!AK26</f>
        <v>15.494791666666666</v>
      </c>
      <c r="AJ55" s="110">
        <f>((HR!$B11*HR!AL12)+(HR!$B14*HR!AL15))/12/(20*8)/HR!AL26</f>
        <v>15.856481481481479</v>
      </c>
      <c r="AK55" s="115">
        <f>((HR!$B11*HR!AM12)+(HR!$B14*HR!AM15))/12/(20*8)/HR!AM26</f>
        <v>15.856481481481479</v>
      </c>
      <c r="AL55" s="110">
        <f>((HR!$B11*HR!AN12)+(HR!$B14*HR!AN15))/12/(20*8)/HR!AN26</f>
        <v>15.625</v>
      </c>
      <c r="AM55" s="110">
        <f>((HR!$B11*HR!AO12)+(HR!$B14*HR!AO15))/12/(20*8)/HR!AO26</f>
        <v>15.625</v>
      </c>
      <c r="AN55" s="110">
        <f>((HR!$B11*HR!AP12)+(HR!$B14*HR!AP15))/12/(20*8)/HR!AP26</f>
        <v>15.435606060606062</v>
      </c>
      <c r="AO55" s="110">
        <f>((HR!$B11*HR!AQ12)+(HR!$B14*HR!AQ15))/12/(20*8)/HR!AQ26</f>
        <v>15.435606060606062</v>
      </c>
      <c r="AP55" s="110">
        <f>((HR!$B11*HR!AR12)+(HR!$B14*HR!AR15))/12/(20*8)/HR!AR26</f>
        <v>15.711805555555557</v>
      </c>
      <c r="AQ55" s="110">
        <f>((HR!$B11*HR!AS12)+(HR!$B14*HR!AS15))/12/(20*8)/HR!AS26</f>
        <v>15.544871794871794</v>
      </c>
      <c r="AR55" s="110">
        <f>((HR!$B11*HR!AT12)+(HR!$B14*HR!AT15))/12/(20*8)/HR!AT26</f>
        <v>15.544871794871794</v>
      </c>
      <c r="AS55" s="110">
        <f>((HR!$B11*HR!AU12)+(HR!$B14*HR!AU15))/12/(20*8)/HR!AU26</f>
        <v>15.773809523809524</v>
      </c>
      <c r="AT55" s="110">
        <f>((HR!$B11*HR!AV12)+(HR!$B14*HR!AV15))/12/(20*8)/HR!AV26</f>
        <v>15.625</v>
      </c>
      <c r="AU55" s="110">
        <f>((HR!$B11*HR!AW12)+(HR!$B14*HR!AW15))/12/(20*8)/HR!AW26</f>
        <v>15.625</v>
      </c>
      <c r="AV55" s="110">
        <f>((HR!$B11*HR!AX12)+(HR!$B14*HR!AX15))/12/(20*8)/HR!AX26</f>
        <v>15.494791666666666</v>
      </c>
      <c r="AW55" s="115">
        <f>((HR!$B11*HR!AY12)+(HR!$B14*HR!AY15))/12/(20*8)/HR!AY26</f>
        <v>15.686274509803919</v>
      </c>
      <c r="AX55" s="110">
        <f>((HR!$B11*HR!AZ12)+(HR!$B14*HR!AZ15))/12/(20*8)/HR!AZ26</f>
        <v>15.567129629629632</v>
      </c>
      <c r="AY55" s="110">
        <f>((HR!$B11*HR!BA12)+(HR!$B14*HR!BA15))/12/(20*8)/HR!BA26</f>
        <v>15.734649122807019</v>
      </c>
      <c r="AZ55" s="110">
        <f>((HR!$B11*HR!BB12)+(HR!$B14*HR!BB15))/12/(20*8)/HR!BB26</f>
        <v>15.625</v>
      </c>
      <c r="BA55" s="110">
        <f>((HR!$B11*HR!BC12)+(HR!$B14*HR!BC15))/12/(20*8)/HR!BC26</f>
        <v>15.525793650793648</v>
      </c>
      <c r="BB55" s="110">
        <f>((HR!$B11*HR!BD12)+(HR!$B14*HR!BD15))/12/(20*8)/HR!BD26</f>
        <v>15.672348484848483</v>
      </c>
      <c r="BC55" s="110">
        <f>((HR!$B11*HR!BE12)+(HR!$B14*HR!BE15))/12/(20*8)/HR!BE26</f>
        <v>15.579710144927537</v>
      </c>
      <c r="BD55" s="110">
        <f>((HR!$B11*HR!BF12)+(HR!$B14*HR!BF15))/12/(20*8)/HR!BF26</f>
        <v>15.711805555555557</v>
      </c>
      <c r="BE55" s="110">
        <f>((HR!$B11*HR!BG12)+(HR!$B14*HR!BG15))/12/(20*8)/HR!BG26</f>
        <v>15.625</v>
      </c>
      <c r="BF55" s="110">
        <f>((HR!$B11*HR!BH12)+(HR!$B14*HR!BH15))/12/(20*8)/HR!BH26</f>
        <v>15.663580246913581</v>
      </c>
      <c r="BG55" s="110">
        <f>((HR!$B11*HR!BI12)+(HR!$B14*HR!BI15))/12/(20*8)/HR!BI26</f>
        <v>15.587797619047619</v>
      </c>
      <c r="BH55" s="110">
        <f>((HR!$B11*HR!BJ12)+(HR!$B14*HR!BJ15))/12/(20*8)/HR!BJ26</f>
        <v>15.696839080459769</v>
      </c>
      <c r="BI55" s="115">
        <f>((HR!$B11*HR!BK12)+(HR!$B14*HR!BK15))/12/(20*8)/HR!BK26</f>
        <v>15.557795698924732</v>
      </c>
    </row>
    <row r="56" spans="1:62" hidden="1">
      <c r="A56" s="340" t="s">
        <v>130</v>
      </c>
      <c r="B56" s="167">
        <v>0.22</v>
      </c>
      <c r="C56" s="167">
        <v>0.22</v>
      </c>
      <c r="D56" s="167">
        <v>0.22</v>
      </c>
      <c r="E56" s="167">
        <v>0.22</v>
      </c>
      <c r="F56" s="167">
        <v>0.22</v>
      </c>
      <c r="G56" s="167">
        <v>0.22</v>
      </c>
      <c r="H56" s="167">
        <v>0.22</v>
      </c>
      <c r="I56" s="167">
        <v>0.22</v>
      </c>
      <c r="J56" s="167">
        <v>0.22</v>
      </c>
      <c r="K56" s="167">
        <v>0.22</v>
      </c>
      <c r="L56" s="167">
        <v>0.22</v>
      </c>
      <c r="M56" s="168">
        <v>0.22</v>
      </c>
      <c r="N56" s="165">
        <v>0.22</v>
      </c>
      <c r="O56" s="165">
        <v>0.22</v>
      </c>
      <c r="P56" s="165">
        <v>0.22</v>
      </c>
      <c r="Q56" s="165">
        <v>0.22</v>
      </c>
      <c r="R56" s="165">
        <v>0.22</v>
      </c>
      <c r="S56" s="165">
        <v>0.22</v>
      </c>
      <c r="T56" s="165">
        <v>0.22</v>
      </c>
      <c r="U56" s="165">
        <v>0.22</v>
      </c>
      <c r="V56" s="165">
        <v>0.22</v>
      </c>
      <c r="W56" s="165">
        <v>0.22</v>
      </c>
      <c r="X56" s="165">
        <v>0.22</v>
      </c>
      <c r="Y56" s="168">
        <v>0.22</v>
      </c>
      <c r="Z56" s="165">
        <v>0.22</v>
      </c>
      <c r="AA56" s="165">
        <v>0.22</v>
      </c>
      <c r="AB56" s="165">
        <v>0.22</v>
      </c>
      <c r="AC56" s="165">
        <v>0.22</v>
      </c>
      <c r="AD56" s="165">
        <v>0.22</v>
      </c>
      <c r="AE56" s="165">
        <v>0.22</v>
      </c>
      <c r="AF56" s="165">
        <v>0.22</v>
      </c>
      <c r="AG56" s="165">
        <v>0.22</v>
      </c>
      <c r="AH56" s="165">
        <v>0.22</v>
      </c>
      <c r="AI56" s="165">
        <v>0.22</v>
      </c>
      <c r="AJ56" s="165">
        <v>0.22</v>
      </c>
      <c r="AK56" s="168">
        <v>0.22</v>
      </c>
      <c r="AL56" s="165">
        <v>0.22</v>
      </c>
      <c r="AM56" s="165">
        <v>0.22</v>
      </c>
      <c r="AN56" s="165">
        <v>0.22</v>
      </c>
      <c r="AO56" s="165">
        <v>0.22</v>
      </c>
      <c r="AP56" s="165">
        <v>0.22</v>
      </c>
      <c r="AQ56" s="165">
        <v>0.22</v>
      </c>
      <c r="AR56" s="165">
        <v>0.22</v>
      </c>
      <c r="AS56" s="165">
        <v>0.22</v>
      </c>
      <c r="AT56" s="165">
        <v>0.22</v>
      </c>
      <c r="AU56" s="165">
        <v>0.22</v>
      </c>
      <c r="AV56" s="165">
        <v>0.22</v>
      </c>
      <c r="AW56" s="168">
        <v>0.22</v>
      </c>
      <c r="AX56" s="165">
        <v>0.22</v>
      </c>
      <c r="AY56" s="165">
        <v>0.22</v>
      </c>
      <c r="AZ56" s="165">
        <v>0.22</v>
      </c>
      <c r="BA56" s="165">
        <v>0.22</v>
      </c>
      <c r="BB56" s="165">
        <v>0.22</v>
      </c>
      <c r="BC56" s="165">
        <v>0.22</v>
      </c>
      <c r="BD56" s="165">
        <v>0.22</v>
      </c>
      <c r="BE56" s="165">
        <v>0.22</v>
      </c>
      <c r="BF56" s="165">
        <v>0.22</v>
      </c>
      <c r="BG56" s="165">
        <v>0.22</v>
      </c>
      <c r="BH56" s="165">
        <v>0.22</v>
      </c>
      <c r="BI56" s="168">
        <v>0.22</v>
      </c>
    </row>
    <row r="57" spans="1:62" hidden="1">
      <c r="A57" s="340" t="s">
        <v>129</v>
      </c>
      <c r="B57" s="53">
        <f t="shared" ref="B57:AG57" si="74">B55*(1+B56)</f>
        <v>16.520833333333332</v>
      </c>
      <c r="C57" s="53">
        <f t="shared" si="74"/>
        <v>16.520833333333332</v>
      </c>
      <c r="D57" s="53">
        <f t="shared" si="74"/>
        <v>16.520833333333332</v>
      </c>
      <c r="E57" s="53">
        <f t="shared" si="74"/>
        <v>16.520833333333332</v>
      </c>
      <c r="F57" s="53">
        <f t="shared" si="74"/>
        <v>16.520833333333332</v>
      </c>
      <c r="G57" s="53">
        <f t="shared" si="74"/>
        <v>19.697916666666668</v>
      </c>
      <c r="H57" s="53">
        <f t="shared" si="74"/>
        <v>19.697916666666668</v>
      </c>
      <c r="I57" s="53">
        <f t="shared" si="74"/>
        <v>19.697916666666668</v>
      </c>
      <c r="J57" s="53">
        <f t="shared" si="74"/>
        <v>19.697916666666668</v>
      </c>
      <c r="K57" s="53">
        <f t="shared" si="74"/>
        <v>19.697916666666668</v>
      </c>
      <c r="L57" s="53">
        <f t="shared" si="74"/>
        <v>19.697916666666668</v>
      </c>
      <c r="M57" s="115">
        <f t="shared" si="74"/>
        <v>19.697916666666668</v>
      </c>
      <c r="N57" s="110">
        <f t="shared" si="74"/>
        <v>19.697916666666668</v>
      </c>
      <c r="O57" s="110">
        <f t="shared" si="74"/>
        <v>19.697916666666668</v>
      </c>
      <c r="P57" s="110">
        <f t="shared" si="74"/>
        <v>18.638888888888886</v>
      </c>
      <c r="Q57" s="110">
        <f t="shared" si="74"/>
        <v>18.638888888888886</v>
      </c>
      <c r="R57" s="110">
        <f t="shared" si="74"/>
        <v>18.638888888888886</v>
      </c>
      <c r="S57" s="110">
        <f t="shared" si="74"/>
        <v>18.638888888888886</v>
      </c>
      <c r="T57" s="110">
        <f t="shared" si="74"/>
        <v>18.638888888888886</v>
      </c>
      <c r="U57" s="110">
        <f t="shared" si="74"/>
        <v>18.638888888888886</v>
      </c>
      <c r="V57" s="110">
        <f t="shared" si="74"/>
        <v>19.697916666666668</v>
      </c>
      <c r="W57" s="110">
        <f t="shared" si="74"/>
        <v>19.697916666666668</v>
      </c>
      <c r="X57" s="110">
        <f t="shared" si="74"/>
        <v>19.697916666666668</v>
      </c>
      <c r="Y57" s="115">
        <f t="shared" si="74"/>
        <v>19.0625</v>
      </c>
      <c r="Z57" s="110">
        <f t="shared" si="74"/>
        <v>19.0625</v>
      </c>
      <c r="AA57" s="110">
        <f t="shared" si="74"/>
        <v>19.0625</v>
      </c>
      <c r="AB57" s="110">
        <f t="shared" si="74"/>
        <v>19.0625</v>
      </c>
      <c r="AC57" s="110">
        <f t="shared" si="74"/>
        <v>18.638888888888886</v>
      </c>
      <c r="AD57" s="110">
        <f t="shared" si="74"/>
        <v>18.638888888888886</v>
      </c>
      <c r="AE57" s="110">
        <f t="shared" si="74"/>
        <v>18.638888888888886</v>
      </c>
      <c r="AF57" s="110">
        <f t="shared" si="74"/>
        <v>19.244047619047617</v>
      </c>
      <c r="AG57" s="110">
        <f t="shared" si="74"/>
        <v>19.244047619047617</v>
      </c>
      <c r="AH57" s="110">
        <f t="shared" ref="AH57:BI57" si="75">AH55*(1+AH56)</f>
        <v>18.903645833333332</v>
      </c>
      <c r="AI57" s="110">
        <f t="shared" si="75"/>
        <v>18.903645833333332</v>
      </c>
      <c r="AJ57" s="110">
        <f t="shared" si="75"/>
        <v>19.344907407407405</v>
      </c>
      <c r="AK57" s="115">
        <f t="shared" si="75"/>
        <v>19.344907407407405</v>
      </c>
      <c r="AL57" s="110">
        <f t="shared" si="75"/>
        <v>19.0625</v>
      </c>
      <c r="AM57" s="110">
        <f t="shared" si="75"/>
        <v>19.0625</v>
      </c>
      <c r="AN57" s="110">
        <f t="shared" si="75"/>
        <v>18.831439393939394</v>
      </c>
      <c r="AO57" s="110">
        <f t="shared" si="75"/>
        <v>18.831439393939394</v>
      </c>
      <c r="AP57" s="110">
        <f t="shared" si="75"/>
        <v>19.168402777777779</v>
      </c>
      <c r="AQ57" s="110">
        <f t="shared" si="75"/>
        <v>18.964743589743588</v>
      </c>
      <c r="AR57" s="110">
        <f t="shared" si="75"/>
        <v>18.964743589743588</v>
      </c>
      <c r="AS57" s="110">
        <f t="shared" si="75"/>
        <v>19.244047619047617</v>
      </c>
      <c r="AT57" s="110">
        <f t="shared" si="75"/>
        <v>19.0625</v>
      </c>
      <c r="AU57" s="110">
        <f t="shared" si="75"/>
        <v>19.0625</v>
      </c>
      <c r="AV57" s="110">
        <f t="shared" si="75"/>
        <v>18.903645833333332</v>
      </c>
      <c r="AW57" s="115">
        <f t="shared" si="75"/>
        <v>19.13725490196078</v>
      </c>
      <c r="AX57" s="110">
        <f t="shared" si="75"/>
        <v>18.991898148148149</v>
      </c>
      <c r="AY57" s="110">
        <f t="shared" si="75"/>
        <v>19.196271929824562</v>
      </c>
      <c r="AZ57" s="110">
        <f t="shared" si="75"/>
        <v>19.0625</v>
      </c>
      <c r="BA57" s="110">
        <f t="shared" si="75"/>
        <v>18.94146825396825</v>
      </c>
      <c r="BB57" s="110">
        <f t="shared" si="75"/>
        <v>19.120265151515149</v>
      </c>
      <c r="BC57" s="110">
        <f t="shared" si="75"/>
        <v>19.007246376811594</v>
      </c>
      <c r="BD57" s="110">
        <f t="shared" si="75"/>
        <v>19.168402777777779</v>
      </c>
      <c r="BE57" s="110">
        <f t="shared" si="75"/>
        <v>19.0625</v>
      </c>
      <c r="BF57" s="110">
        <f t="shared" si="75"/>
        <v>19.10956790123457</v>
      </c>
      <c r="BG57" s="110">
        <f t="shared" si="75"/>
        <v>19.017113095238095</v>
      </c>
      <c r="BH57" s="110">
        <f t="shared" si="75"/>
        <v>19.150143678160919</v>
      </c>
      <c r="BI57" s="115">
        <f t="shared" si="75"/>
        <v>18.980510752688172</v>
      </c>
    </row>
    <row r="58" spans="1:62" hidden="1">
      <c r="A58" s="340" t="s">
        <v>179</v>
      </c>
      <c r="B58" s="52">
        <f t="shared" ref="B58:AG58" si="76">B57*B51</f>
        <v>722.51111111111106</v>
      </c>
      <c r="C58" s="52">
        <f t="shared" si="76"/>
        <v>746.59481481481475</v>
      </c>
      <c r="D58" s="52">
        <f t="shared" si="76"/>
        <v>770.67851851851844</v>
      </c>
      <c r="E58" s="52">
        <f t="shared" si="76"/>
        <v>818.84592592592594</v>
      </c>
      <c r="F58" s="52">
        <f t="shared" si="76"/>
        <v>824.60507246376801</v>
      </c>
      <c r="G58" s="52">
        <f t="shared" si="76"/>
        <v>1011.2739130434784</v>
      </c>
      <c r="H58" s="52">
        <f t="shared" si="76"/>
        <v>1025.3193840579711</v>
      </c>
      <c r="I58" s="52">
        <f t="shared" si="76"/>
        <v>1064.7152173913043</v>
      </c>
      <c r="J58" s="52">
        <f t="shared" si="76"/>
        <v>1045.0263157894738</v>
      </c>
      <c r="K58" s="52">
        <f t="shared" si="76"/>
        <v>1045.0263157894738</v>
      </c>
      <c r="L58" s="52">
        <f t="shared" si="76"/>
        <v>1045.0263157894738</v>
      </c>
      <c r="M58" s="112">
        <f t="shared" si="76"/>
        <v>0</v>
      </c>
      <c r="N58" s="107">
        <f t="shared" si="76"/>
        <v>1053.0589515126401</v>
      </c>
      <c r="O58" s="107">
        <f t="shared" si="76"/>
        <v>1053.0589515126401</v>
      </c>
      <c r="P58" s="107">
        <f t="shared" si="76"/>
        <v>996.4428788506699</v>
      </c>
      <c r="Q58" s="107">
        <f t="shared" si="76"/>
        <v>996.4428788506699</v>
      </c>
      <c r="R58" s="107">
        <f t="shared" si="76"/>
        <v>996.4428788506699</v>
      </c>
      <c r="S58" s="107">
        <f t="shared" si="76"/>
        <v>996.4428788506699</v>
      </c>
      <c r="T58" s="107">
        <f t="shared" si="76"/>
        <v>996.4428788506699</v>
      </c>
      <c r="U58" s="107">
        <f t="shared" si="76"/>
        <v>996.4428788506699</v>
      </c>
      <c r="V58" s="107">
        <f t="shared" si="76"/>
        <v>1053.0589515126401</v>
      </c>
      <c r="W58" s="107">
        <f t="shared" si="76"/>
        <v>1077.5486945710734</v>
      </c>
      <c r="X58" s="107">
        <f t="shared" si="76"/>
        <v>1077.5486945710734</v>
      </c>
      <c r="Y58" s="112">
        <f t="shared" si="76"/>
        <v>1042.7890592623291</v>
      </c>
      <c r="Z58" s="107">
        <f t="shared" si="76"/>
        <v>1041.8775303643724</v>
      </c>
      <c r="AA58" s="107">
        <f t="shared" si="76"/>
        <v>1041.8775303643724</v>
      </c>
      <c r="AB58" s="107">
        <f t="shared" si="76"/>
        <v>1041.8775303643724</v>
      </c>
      <c r="AC58" s="107">
        <f t="shared" si="76"/>
        <v>1018.7246963562751</v>
      </c>
      <c r="AD58" s="107">
        <f t="shared" si="76"/>
        <v>1018.7246963562751</v>
      </c>
      <c r="AE58" s="107">
        <f t="shared" si="76"/>
        <v>1018.7246963562751</v>
      </c>
      <c r="AF58" s="107">
        <f t="shared" si="76"/>
        <v>1051.8001735106998</v>
      </c>
      <c r="AG58" s="107">
        <f t="shared" si="76"/>
        <v>1051.8001735106998</v>
      </c>
      <c r="AH58" s="107">
        <f t="shared" ref="AH58:BI58" si="77">AH57*AH51</f>
        <v>1033.1952176113359</v>
      </c>
      <c r="AI58" s="107">
        <f t="shared" si="77"/>
        <v>1033.1952176113359</v>
      </c>
      <c r="AJ58" s="107">
        <f t="shared" si="77"/>
        <v>1057.312753036437</v>
      </c>
      <c r="AK58" s="112">
        <f t="shared" si="77"/>
        <v>1057.312753036437</v>
      </c>
      <c r="AL58" s="107">
        <f t="shared" si="77"/>
        <v>1041.8775303643724</v>
      </c>
      <c r="AM58" s="107">
        <f t="shared" si="77"/>
        <v>1041.8775303643724</v>
      </c>
      <c r="AN58" s="107">
        <f t="shared" si="77"/>
        <v>1029.2487118145013</v>
      </c>
      <c r="AO58" s="107">
        <f t="shared" si="77"/>
        <v>1029.2487118145013</v>
      </c>
      <c r="AP58" s="107">
        <f t="shared" si="77"/>
        <v>1047.6657388663969</v>
      </c>
      <c r="AQ58" s="107">
        <f t="shared" si="77"/>
        <v>1036.534568670196</v>
      </c>
      <c r="AR58" s="107">
        <f t="shared" si="77"/>
        <v>1036.534568670196</v>
      </c>
      <c r="AS58" s="107">
        <f t="shared" si="77"/>
        <v>1051.8001735106998</v>
      </c>
      <c r="AT58" s="107">
        <f t="shared" si="77"/>
        <v>1041.8775303643724</v>
      </c>
      <c r="AU58" s="107">
        <f t="shared" si="77"/>
        <v>1041.8775303643724</v>
      </c>
      <c r="AV58" s="107">
        <f t="shared" si="77"/>
        <v>1033.1952176113359</v>
      </c>
      <c r="AW58" s="112">
        <f t="shared" si="77"/>
        <v>1045.9633246010953</v>
      </c>
      <c r="AX58" s="107">
        <f t="shared" si="77"/>
        <v>1038.0187246963562</v>
      </c>
      <c r="AY58" s="107">
        <f t="shared" si="77"/>
        <v>1049.1889516300873</v>
      </c>
      <c r="AZ58" s="107">
        <f t="shared" si="77"/>
        <v>1041.8775303643724</v>
      </c>
      <c r="BA58" s="107">
        <f t="shared" si="77"/>
        <v>1035.2624349334874</v>
      </c>
      <c r="BB58" s="107">
        <f t="shared" si="77"/>
        <v>1045.0347350018401</v>
      </c>
      <c r="BC58" s="107">
        <f t="shared" si="77"/>
        <v>1038.857595493751</v>
      </c>
      <c r="BD58" s="107">
        <f t="shared" si="77"/>
        <v>1047.6657388663969</v>
      </c>
      <c r="BE58" s="107">
        <f t="shared" si="77"/>
        <v>1041.8775303643724</v>
      </c>
      <c r="BF58" s="107">
        <f t="shared" si="77"/>
        <v>1044.4500674763833</v>
      </c>
      <c r="BG58" s="107">
        <f t="shared" si="77"/>
        <v>1039.3968695777905</v>
      </c>
      <c r="BH58" s="107">
        <f t="shared" si="77"/>
        <v>1046.6677718832891</v>
      </c>
      <c r="BI58" s="112">
        <f t="shared" si="77"/>
        <v>1037.3963366853859</v>
      </c>
    </row>
    <row r="59" spans="1:62" s="57" customFormat="1" ht="9.75" customHeight="1"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6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6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6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6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6"/>
      <c r="BJ59" s="532"/>
    </row>
    <row r="60" spans="1:62" s="515" customFormat="1">
      <c r="A60" s="528" t="s">
        <v>128</v>
      </c>
      <c r="B60" s="567">
        <v>0.18</v>
      </c>
      <c r="C60" s="567">
        <v>0.18</v>
      </c>
      <c r="D60" s="567">
        <v>0.18</v>
      </c>
      <c r="E60" s="567">
        <v>0.18</v>
      </c>
      <c r="F60" s="567">
        <v>0.18</v>
      </c>
      <c r="G60" s="567">
        <v>0.18</v>
      </c>
      <c r="H60" s="567">
        <v>0.18</v>
      </c>
      <c r="I60" s="567">
        <v>0.16</v>
      </c>
      <c r="J60" s="567">
        <v>0.16</v>
      </c>
      <c r="K60" s="567">
        <v>0.16</v>
      </c>
      <c r="L60" s="567">
        <v>0.16</v>
      </c>
      <c r="M60" s="568">
        <v>0.16</v>
      </c>
      <c r="N60" s="569">
        <v>0.14000000000000001</v>
      </c>
      <c r="O60" s="567">
        <v>0.14000000000000001</v>
      </c>
      <c r="P60" s="567">
        <v>0.14000000000000001</v>
      </c>
      <c r="Q60" s="567">
        <v>0.14000000000000001</v>
      </c>
      <c r="R60" s="567">
        <v>0.14000000000000001</v>
      </c>
      <c r="S60" s="567">
        <v>0.14000000000000001</v>
      </c>
      <c r="T60" s="567">
        <v>0.14000000000000001</v>
      </c>
      <c r="U60" s="567">
        <v>0.14000000000000001</v>
      </c>
      <c r="V60" s="567">
        <v>0.14000000000000001</v>
      </c>
      <c r="W60" s="567">
        <v>0.12</v>
      </c>
      <c r="X60" s="567">
        <v>0.12</v>
      </c>
      <c r="Y60" s="568">
        <v>0.12</v>
      </c>
      <c r="Z60" s="567">
        <v>0.1</v>
      </c>
      <c r="AA60" s="567">
        <v>0.1</v>
      </c>
      <c r="AB60" s="567">
        <v>0.1</v>
      </c>
      <c r="AC60" s="567">
        <v>0.1</v>
      </c>
      <c r="AD60" s="567">
        <v>0.1</v>
      </c>
      <c r="AE60" s="567">
        <v>0.1</v>
      </c>
      <c r="AF60" s="567">
        <v>0.1</v>
      </c>
      <c r="AG60" s="567">
        <v>0.1</v>
      </c>
      <c r="AH60" s="567">
        <v>0.1</v>
      </c>
      <c r="AI60" s="567">
        <v>0.1</v>
      </c>
      <c r="AJ60" s="567">
        <v>0.1</v>
      </c>
      <c r="AK60" s="568">
        <v>0.1</v>
      </c>
      <c r="AL60" s="567">
        <v>0.1</v>
      </c>
      <c r="AM60" s="567">
        <v>0.1</v>
      </c>
      <c r="AN60" s="567">
        <v>0.1</v>
      </c>
      <c r="AO60" s="567">
        <v>0.1</v>
      </c>
      <c r="AP60" s="567">
        <v>0.1</v>
      </c>
      <c r="AQ60" s="567">
        <v>0.1</v>
      </c>
      <c r="AR60" s="567">
        <v>0.1</v>
      </c>
      <c r="AS60" s="567">
        <v>0.1</v>
      </c>
      <c r="AT60" s="567">
        <v>0.1</v>
      </c>
      <c r="AU60" s="567">
        <v>0.1</v>
      </c>
      <c r="AV60" s="567">
        <v>0.1</v>
      </c>
      <c r="AW60" s="568">
        <v>0.1</v>
      </c>
      <c r="AX60" s="567">
        <v>0.1</v>
      </c>
      <c r="AY60" s="567">
        <v>0.1</v>
      </c>
      <c r="AZ60" s="567">
        <v>0.1</v>
      </c>
      <c r="BA60" s="567">
        <v>0.1</v>
      </c>
      <c r="BB60" s="567">
        <v>0.1</v>
      </c>
      <c r="BC60" s="567">
        <v>0.1</v>
      </c>
      <c r="BD60" s="567">
        <v>0.1</v>
      </c>
      <c r="BE60" s="567">
        <v>0.1</v>
      </c>
      <c r="BF60" s="567">
        <v>0.1</v>
      </c>
      <c r="BG60" s="567">
        <v>0.1</v>
      </c>
      <c r="BH60" s="567">
        <v>0.1</v>
      </c>
      <c r="BI60" s="568">
        <v>0.1</v>
      </c>
      <c r="BJ60" s="1176"/>
    </row>
    <row r="61" spans="1:62" s="571" customFormat="1">
      <c r="A61" s="570" t="s">
        <v>253</v>
      </c>
      <c r="B61" s="224">
        <v>0.2</v>
      </c>
      <c r="C61" s="224">
        <v>0.2</v>
      </c>
      <c r="D61" s="224">
        <v>0.2</v>
      </c>
      <c r="E61" s="224">
        <v>0.2</v>
      </c>
      <c r="F61" s="224">
        <v>0.2</v>
      </c>
      <c r="G61" s="224">
        <v>0.2</v>
      </c>
      <c r="H61" s="224">
        <v>0.2</v>
      </c>
      <c r="I61" s="224">
        <v>0.2</v>
      </c>
      <c r="J61" s="224">
        <v>0.2</v>
      </c>
      <c r="K61" s="224">
        <v>0.2</v>
      </c>
      <c r="L61" s="224">
        <v>0.2</v>
      </c>
      <c r="M61" s="222">
        <v>0.2</v>
      </c>
      <c r="N61" s="223">
        <v>0.2</v>
      </c>
      <c r="O61" s="224">
        <v>0.2</v>
      </c>
      <c r="P61" s="224">
        <v>0.2</v>
      </c>
      <c r="Q61" s="224">
        <v>0.2</v>
      </c>
      <c r="R61" s="224">
        <v>0.2</v>
      </c>
      <c r="S61" s="224">
        <v>0.2</v>
      </c>
      <c r="T61" s="224">
        <v>0.2</v>
      </c>
      <c r="U61" s="224">
        <v>0.2</v>
      </c>
      <c r="V61" s="224">
        <v>0.2</v>
      </c>
      <c r="W61" s="224">
        <v>0.2</v>
      </c>
      <c r="X61" s="224">
        <v>0.2</v>
      </c>
      <c r="Y61" s="222">
        <v>0.2</v>
      </c>
      <c r="Z61" s="224">
        <v>0.2</v>
      </c>
      <c r="AA61" s="224">
        <v>0.2</v>
      </c>
      <c r="AB61" s="224">
        <v>0.2</v>
      </c>
      <c r="AC61" s="224">
        <v>0.2</v>
      </c>
      <c r="AD61" s="224">
        <v>0.2</v>
      </c>
      <c r="AE61" s="224">
        <v>0.2</v>
      </c>
      <c r="AF61" s="224">
        <v>0.2</v>
      </c>
      <c r="AG61" s="224">
        <v>0.2</v>
      </c>
      <c r="AH61" s="224">
        <v>0.2</v>
      </c>
      <c r="AI61" s="224">
        <v>0.2</v>
      </c>
      <c r="AJ61" s="224">
        <v>0.2</v>
      </c>
      <c r="AK61" s="222">
        <v>0.2</v>
      </c>
      <c r="AL61" s="224">
        <v>0.2</v>
      </c>
      <c r="AM61" s="224">
        <v>0.2</v>
      </c>
      <c r="AN61" s="224">
        <v>0.2</v>
      </c>
      <c r="AO61" s="224">
        <v>0.2</v>
      </c>
      <c r="AP61" s="224">
        <v>0.2</v>
      </c>
      <c r="AQ61" s="224">
        <v>0.2</v>
      </c>
      <c r="AR61" s="224">
        <v>0.2</v>
      </c>
      <c r="AS61" s="224">
        <v>0.2</v>
      </c>
      <c r="AT61" s="224">
        <v>0.2</v>
      </c>
      <c r="AU61" s="224">
        <v>0.2</v>
      </c>
      <c r="AV61" s="224">
        <v>0.2</v>
      </c>
      <c r="AW61" s="222">
        <v>0.2</v>
      </c>
      <c r="AX61" s="224">
        <v>0.2</v>
      </c>
      <c r="AY61" s="224">
        <v>0.2</v>
      </c>
      <c r="AZ61" s="224">
        <v>0.2</v>
      </c>
      <c r="BA61" s="224">
        <v>0.2</v>
      </c>
      <c r="BB61" s="224">
        <v>0.2</v>
      </c>
      <c r="BC61" s="224">
        <v>0.2</v>
      </c>
      <c r="BD61" s="224">
        <v>0.2</v>
      </c>
      <c r="BE61" s="224">
        <v>0.2</v>
      </c>
      <c r="BF61" s="224">
        <v>0.2</v>
      </c>
      <c r="BG61" s="224">
        <v>0.2</v>
      </c>
      <c r="BH61" s="224">
        <v>0.2</v>
      </c>
      <c r="BI61" s="222">
        <v>0.2</v>
      </c>
      <c r="BJ61" s="1181"/>
    </row>
    <row r="62" spans="1:62" s="395" customFormat="1">
      <c r="A62" s="516" t="s">
        <v>127</v>
      </c>
      <c r="B62" s="517">
        <f t="shared" ref="B62:AG62" si="78">B49*B60</f>
        <v>1080</v>
      </c>
      <c r="C62" s="517">
        <f t="shared" si="78"/>
        <v>1116</v>
      </c>
      <c r="D62" s="517">
        <f t="shared" si="78"/>
        <v>1152</v>
      </c>
      <c r="E62" s="517">
        <f t="shared" si="78"/>
        <v>1224</v>
      </c>
      <c r="F62" s="517">
        <f t="shared" si="78"/>
        <v>1260</v>
      </c>
      <c r="G62" s="517">
        <f t="shared" si="78"/>
        <v>1296</v>
      </c>
      <c r="H62" s="517">
        <f t="shared" si="78"/>
        <v>1314</v>
      </c>
      <c r="I62" s="517">
        <f t="shared" si="78"/>
        <v>1184</v>
      </c>
      <c r="J62" s="517">
        <f t="shared" si="78"/>
        <v>1200</v>
      </c>
      <c r="K62" s="517">
        <f t="shared" si="78"/>
        <v>1200</v>
      </c>
      <c r="L62" s="517">
        <f t="shared" si="78"/>
        <v>1200</v>
      </c>
      <c r="M62" s="518">
        <f t="shared" si="78"/>
        <v>1200</v>
      </c>
      <c r="N62" s="517">
        <f t="shared" si="78"/>
        <v>1050</v>
      </c>
      <c r="O62" s="517">
        <f t="shared" si="78"/>
        <v>1050</v>
      </c>
      <c r="P62" s="517">
        <f t="shared" si="78"/>
        <v>1050</v>
      </c>
      <c r="Q62" s="517">
        <f t="shared" si="78"/>
        <v>1050</v>
      </c>
      <c r="R62" s="517">
        <f t="shared" si="78"/>
        <v>1050</v>
      </c>
      <c r="S62" s="517">
        <f t="shared" si="78"/>
        <v>1050</v>
      </c>
      <c r="T62" s="517">
        <f t="shared" si="78"/>
        <v>1050</v>
      </c>
      <c r="U62" s="517">
        <f t="shared" si="78"/>
        <v>1050</v>
      </c>
      <c r="V62" s="517">
        <f t="shared" si="78"/>
        <v>1050</v>
      </c>
      <c r="W62" s="517">
        <f t="shared" si="78"/>
        <v>900</v>
      </c>
      <c r="X62" s="517">
        <f t="shared" si="78"/>
        <v>900</v>
      </c>
      <c r="Y62" s="518">
        <f t="shared" si="78"/>
        <v>900</v>
      </c>
      <c r="Z62" s="517">
        <f t="shared" si="78"/>
        <v>750</v>
      </c>
      <c r="AA62" s="517">
        <f t="shared" si="78"/>
        <v>750</v>
      </c>
      <c r="AB62" s="517">
        <f t="shared" si="78"/>
        <v>750</v>
      </c>
      <c r="AC62" s="517">
        <f t="shared" si="78"/>
        <v>750</v>
      </c>
      <c r="AD62" s="517">
        <f t="shared" si="78"/>
        <v>750</v>
      </c>
      <c r="AE62" s="517">
        <f t="shared" si="78"/>
        <v>750</v>
      </c>
      <c r="AF62" s="517">
        <f t="shared" si="78"/>
        <v>750</v>
      </c>
      <c r="AG62" s="517">
        <f t="shared" si="78"/>
        <v>750</v>
      </c>
      <c r="AH62" s="517">
        <f t="shared" ref="AH62:BI62" si="79">AH49*AH60</f>
        <v>750</v>
      </c>
      <c r="AI62" s="517">
        <f t="shared" si="79"/>
        <v>750</v>
      </c>
      <c r="AJ62" s="517">
        <f t="shared" si="79"/>
        <v>750</v>
      </c>
      <c r="AK62" s="518">
        <f t="shared" si="79"/>
        <v>750</v>
      </c>
      <c r="AL62" s="517">
        <f t="shared" si="79"/>
        <v>750</v>
      </c>
      <c r="AM62" s="517">
        <f t="shared" si="79"/>
        <v>750</v>
      </c>
      <c r="AN62" s="517">
        <f t="shared" si="79"/>
        <v>750</v>
      </c>
      <c r="AO62" s="517">
        <f t="shared" si="79"/>
        <v>750</v>
      </c>
      <c r="AP62" s="517">
        <f t="shared" si="79"/>
        <v>750</v>
      </c>
      <c r="AQ62" s="517">
        <f t="shared" si="79"/>
        <v>750</v>
      </c>
      <c r="AR62" s="517">
        <f t="shared" si="79"/>
        <v>750</v>
      </c>
      <c r="AS62" s="517">
        <f t="shared" si="79"/>
        <v>750</v>
      </c>
      <c r="AT62" s="517">
        <f t="shared" si="79"/>
        <v>750</v>
      </c>
      <c r="AU62" s="517">
        <f t="shared" si="79"/>
        <v>750</v>
      </c>
      <c r="AV62" s="517">
        <f t="shared" si="79"/>
        <v>750</v>
      </c>
      <c r="AW62" s="518">
        <f t="shared" si="79"/>
        <v>750</v>
      </c>
      <c r="AX62" s="517">
        <f t="shared" si="79"/>
        <v>750</v>
      </c>
      <c r="AY62" s="517">
        <f t="shared" si="79"/>
        <v>750</v>
      </c>
      <c r="AZ62" s="517">
        <f t="shared" si="79"/>
        <v>750</v>
      </c>
      <c r="BA62" s="517">
        <f t="shared" si="79"/>
        <v>750</v>
      </c>
      <c r="BB62" s="517">
        <f t="shared" si="79"/>
        <v>750</v>
      </c>
      <c r="BC62" s="517">
        <f t="shared" si="79"/>
        <v>750</v>
      </c>
      <c r="BD62" s="517">
        <f t="shared" si="79"/>
        <v>750</v>
      </c>
      <c r="BE62" s="517">
        <f t="shared" si="79"/>
        <v>750</v>
      </c>
      <c r="BF62" s="517">
        <f t="shared" si="79"/>
        <v>750</v>
      </c>
      <c r="BG62" s="517">
        <f t="shared" si="79"/>
        <v>750</v>
      </c>
      <c r="BH62" s="517">
        <f t="shared" si="79"/>
        <v>750</v>
      </c>
      <c r="BI62" s="518">
        <f t="shared" si="79"/>
        <v>750</v>
      </c>
    </row>
    <row r="63" spans="1:62" s="57" customFormat="1" ht="9.75" customHeight="1"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6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6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6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6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6"/>
      <c r="BJ63" s="532"/>
    </row>
    <row r="64" spans="1:62" s="515" customFormat="1">
      <c r="A64" s="528" t="s">
        <v>126</v>
      </c>
      <c r="B64" s="567">
        <v>0.25</v>
      </c>
      <c r="C64" s="567">
        <v>0.23</v>
      </c>
      <c r="D64" s="567">
        <v>0.23</v>
      </c>
      <c r="E64" s="567">
        <v>0.23</v>
      </c>
      <c r="F64" s="567">
        <v>0.23</v>
      </c>
      <c r="G64" s="567">
        <v>0.23</v>
      </c>
      <c r="H64" s="567">
        <v>0.23</v>
      </c>
      <c r="I64" s="567">
        <v>0.23</v>
      </c>
      <c r="J64" s="567">
        <v>0.23</v>
      </c>
      <c r="K64" s="567">
        <v>0.23</v>
      </c>
      <c r="L64" s="567">
        <v>0.23</v>
      </c>
      <c r="M64" s="568">
        <v>0.23</v>
      </c>
      <c r="N64" s="569">
        <v>0.23</v>
      </c>
      <c r="O64" s="567">
        <v>0.22</v>
      </c>
      <c r="P64" s="567">
        <v>0.22</v>
      </c>
      <c r="Q64" s="567">
        <v>0.22</v>
      </c>
      <c r="R64" s="567">
        <v>0.22</v>
      </c>
      <c r="S64" s="567">
        <v>0.22</v>
      </c>
      <c r="T64" s="567">
        <v>0.22</v>
      </c>
      <c r="U64" s="567">
        <v>0.22</v>
      </c>
      <c r="V64" s="567">
        <v>0.21</v>
      </c>
      <c r="W64" s="567">
        <v>0.21</v>
      </c>
      <c r="X64" s="567">
        <v>0.21</v>
      </c>
      <c r="Y64" s="568">
        <v>0.21</v>
      </c>
      <c r="Z64" s="567">
        <v>0.2</v>
      </c>
      <c r="AA64" s="567">
        <v>0.2</v>
      </c>
      <c r="AB64" s="567">
        <v>0.2</v>
      </c>
      <c r="AC64" s="567">
        <v>0.2</v>
      </c>
      <c r="AD64" s="567">
        <v>0.2</v>
      </c>
      <c r="AE64" s="567">
        <v>0.2</v>
      </c>
      <c r="AF64" s="567">
        <v>0.2</v>
      </c>
      <c r="AG64" s="567">
        <v>0.2</v>
      </c>
      <c r="AH64" s="567">
        <v>0.2</v>
      </c>
      <c r="AI64" s="567">
        <v>0.2</v>
      </c>
      <c r="AJ64" s="567">
        <v>0.2</v>
      </c>
      <c r="AK64" s="568">
        <v>0.2</v>
      </c>
      <c r="AL64" s="567">
        <v>0.2</v>
      </c>
      <c r="AM64" s="567">
        <v>0.2</v>
      </c>
      <c r="AN64" s="567">
        <v>0.2</v>
      </c>
      <c r="AO64" s="567">
        <v>0.2</v>
      </c>
      <c r="AP64" s="567">
        <v>0.2</v>
      </c>
      <c r="AQ64" s="567">
        <v>0.2</v>
      </c>
      <c r="AR64" s="567">
        <v>0.2</v>
      </c>
      <c r="AS64" s="567">
        <v>0.2</v>
      </c>
      <c r="AT64" s="567">
        <v>0.2</v>
      </c>
      <c r="AU64" s="567">
        <v>0.2</v>
      </c>
      <c r="AV64" s="567">
        <v>0.2</v>
      </c>
      <c r="AW64" s="568">
        <v>0.2</v>
      </c>
      <c r="AX64" s="567">
        <v>0.2</v>
      </c>
      <c r="AY64" s="567">
        <v>0.2</v>
      </c>
      <c r="AZ64" s="567">
        <v>0.2</v>
      </c>
      <c r="BA64" s="567">
        <v>0.2</v>
      </c>
      <c r="BB64" s="567">
        <v>0.2</v>
      </c>
      <c r="BC64" s="567">
        <v>0.2</v>
      </c>
      <c r="BD64" s="567">
        <v>0.2</v>
      </c>
      <c r="BE64" s="567">
        <v>0.2</v>
      </c>
      <c r="BF64" s="567">
        <v>0.2</v>
      </c>
      <c r="BG64" s="567">
        <v>0.2</v>
      </c>
      <c r="BH64" s="567">
        <v>0.2</v>
      </c>
      <c r="BI64" s="568">
        <v>0.2</v>
      </c>
      <c r="BJ64" s="1176"/>
    </row>
    <row r="65" spans="1:61" s="395" customFormat="1">
      <c r="A65" s="516" t="s">
        <v>125</v>
      </c>
      <c r="B65" s="517">
        <f t="shared" ref="B65:AG65" si="80">B64*B49</f>
        <v>1500</v>
      </c>
      <c r="C65" s="517">
        <f t="shared" si="80"/>
        <v>1426</v>
      </c>
      <c r="D65" s="517">
        <f t="shared" si="80"/>
        <v>1472</v>
      </c>
      <c r="E65" s="517">
        <f t="shared" si="80"/>
        <v>1564</v>
      </c>
      <c r="F65" s="517">
        <f t="shared" si="80"/>
        <v>1610</v>
      </c>
      <c r="G65" s="517">
        <f t="shared" si="80"/>
        <v>1656</v>
      </c>
      <c r="H65" s="517">
        <f t="shared" si="80"/>
        <v>1679</v>
      </c>
      <c r="I65" s="517">
        <f t="shared" si="80"/>
        <v>1702</v>
      </c>
      <c r="J65" s="517">
        <f t="shared" si="80"/>
        <v>1725</v>
      </c>
      <c r="K65" s="517">
        <f t="shared" si="80"/>
        <v>1725</v>
      </c>
      <c r="L65" s="517">
        <f t="shared" si="80"/>
        <v>1725</v>
      </c>
      <c r="M65" s="518">
        <f t="shared" si="80"/>
        <v>1725</v>
      </c>
      <c r="N65" s="517">
        <f t="shared" si="80"/>
        <v>1725</v>
      </c>
      <c r="O65" s="517">
        <f t="shared" si="80"/>
        <v>1650</v>
      </c>
      <c r="P65" s="517">
        <f t="shared" si="80"/>
        <v>1650</v>
      </c>
      <c r="Q65" s="517">
        <f t="shared" si="80"/>
        <v>1650</v>
      </c>
      <c r="R65" s="517">
        <f t="shared" si="80"/>
        <v>1650</v>
      </c>
      <c r="S65" s="517">
        <f t="shared" si="80"/>
        <v>1650</v>
      </c>
      <c r="T65" s="517">
        <f t="shared" si="80"/>
        <v>1650</v>
      </c>
      <c r="U65" s="517">
        <f t="shared" si="80"/>
        <v>1650</v>
      </c>
      <c r="V65" s="517">
        <f t="shared" si="80"/>
        <v>1575</v>
      </c>
      <c r="W65" s="517">
        <f t="shared" si="80"/>
        <v>1575</v>
      </c>
      <c r="X65" s="517">
        <f t="shared" si="80"/>
        <v>1575</v>
      </c>
      <c r="Y65" s="518">
        <f t="shared" si="80"/>
        <v>1575</v>
      </c>
      <c r="Z65" s="517">
        <f t="shared" si="80"/>
        <v>1500</v>
      </c>
      <c r="AA65" s="517">
        <f t="shared" si="80"/>
        <v>1500</v>
      </c>
      <c r="AB65" s="517">
        <f t="shared" si="80"/>
        <v>1500</v>
      </c>
      <c r="AC65" s="517">
        <f t="shared" si="80"/>
        <v>1500</v>
      </c>
      <c r="AD65" s="517">
        <f t="shared" si="80"/>
        <v>1500</v>
      </c>
      <c r="AE65" s="517">
        <f t="shared" si="80"/>
        <v>1500</v>
      </c>
      <c r="AF65" s="517">
        <f t="shared" si="80"/>
        <v>1500</v>
      </c>
      <c r="AG65" s="517">
        <f t="shared" si="80"/>
        <v>1500</v>
      </c>
      <c r="AH65" s="517">
        <f t="shared" ref="AH65:BI65" si="81">AH64*AH49</f>
        <v>1500</v>
      </c>
      <c r="AI65" s="517">
        <f t="shared" si="81"/>
        <v>1500</v>
      </c>
      <c r="AJ65" s="517">
        <f t="shared" si="81"/>
        <v>1500</v>
      </c>
      <c r="AK65" s="518">
        <f t="shared" si="81"/>
        <v>1500</v>
      </c>
      <c r="AL65" s="517">
        <f t="shared" si="81"/>
        <v>1500</v>
      </c>
      <c r="AM65" s="517">
        <f t="shared" si="81"/>
        <v>1500</v>
      </c>
      <c r="AN65" s="517">
        <f t="shared" si="81"/>
        <v>1500</v>
      </c>
      <c r="AO65" s="517">
        <f t="shared" si="81"/>
        <v>1500</v>
      </c>
      <c r="AP65" s="517">
        <f t="shared" si="81"/>
        <v>1500</v>
      </c>
      <c r="AQ65" s="517">
        <f t="shared" si="81"/>
        <v>1500</v>
      </c>
      <c r="AR65" s="517">
        <f t="shared" si="81"/>
        <v>1500</v>
      </c>
      <c r="AS65" s="517">
        <f t="shared" si="81"/>
        <v>1500</v>
      </c>
      <c r="AT65" s="517">
        <f t="shared" si="81"/>
        <v>1500</v>
      </c>
      <c r="AU65" s="517">
        <f t="shared" si="81"/>
        <v>1500</v>
      </c>
      <c r="AV65" s="517">
        <f t="shared" si="81"/>
        <v>1500</v>
      </c>
      <c r="AW65" s="518">
        <f t="shared" si="81"/>
        <v>1500</v>
      </c>
      <c r="AX65" s="517">
        <f t="shared" si="81"/>
        <v>1500</v>
      </c>
      <c r="AY65" s="517">
        <f t="shared" si="81"/>
        <v>1500</v>
      </c>
      <c r="AZ65" s="517">
        <f t="shared" si="81"/>
        <v>1500</v>
      </c>
      <c r="BA65" s="517">
        <f t="shared" si="81"/>
        <v>1500</v>
      </c>
      <c r="BB65" s="517">
        <f t="shared" si="81"/>
        <v>1500</v>
      </c>
      <c r="BC65" s="517">
        <f t="shared" si="81"/>
        <v>1500</v>
      </c>
      <c r="BD65" s="517">
        <f t="shared" si="81"/>
        <v>1500</v>
      </c>
      <c r="BE65" s="517">
        <f t="shared" si="81"/>
        <v>1500</v>
      </c>
      <c r="BF65" s="517">
        <f t="shared" si="81"/>
        <v>1500</v>
      </c>
      <c r="BG65" s="517">
        <f t="shared" si="81"/>
        <v>1500</v>
      </c>
      <c r="BH65" s="517">
        <f t="shared" si="81"/>
        <v>1500</v>
      </c>
      <c r="BI65" s="518">
        <f t="shared" si="81"/>
        <v>1500</v>
      </c>
    </row>
    <row r="67" spans="1:61" ht="15.75">
      <c r="A67" s="572" t="s">
        <v>283</v>
      </c>
    </row>
    <row r="68" spans="1:61" s="576" customFormat="1">
      <c r="A68" s="573" t="s">
        <v>359</v>
      </c>
      <c r="B68" s="574">
        <f>B24</f>
        <v>8</v>
      </c>
      <c r="C68" s="574">
        <f t="shared" ref="C68:BI68" si="82">C24</f>
        <v>8.3824000000000005</v>
      </c>
      <c r="D68" s="574">
        <f t="shared" si="82"/>
        <v>8.790016102400001</v>
      </c>
      <c r="E68" s="574">
        <f t="shared" si="82"/>
        <v>9.2244218586677267</v>
      </c>
      <c r="F68" s="574">
        <f t="shared" si="82"/>
        <v>9.6872643857899394</v>
      </c>
      <c r="G68" s="574">
        <f t="shared" si="82"/>
        <v>10.180266404063699</v>
      </c>
      <c r="H68" s="574">
        <f t="shared" si="82"/>
        <v>10.705228286703797</v>
      </c>
      <c r="I68" s="574">
        <f t="shared" si="82"/>
        <v>11.264030122404236</v>
      </c>
      <c r="J68" s="574">
        <f t="shared" si="82"/>
        <v>11.858633792363815</v>
      </c>
      <c r="K68" s="574">
        <f t="shared" si="82"/>
        <v>12.491085063681208</v>
      </c>
      <c r="L68" s="574">
        <f t="shared" si="82"/>
        <v>13.163515701442698</v>
      </c>
      <c r="M68" s="575">
        <f t="shared" si="82"/>
        <v>13.878145602265221</v>
      </c>
      <c r="N68" s="574">
        <f t="shared" si="82"/>
        <v>14.640802427106802</v>
      </c>
      <c r="O68" s="574">
        <f t="shared" si="82"/>
        <v>15.454179973028484</v>
      </c>
      <c r="P68" s="574">
        <f t="shared" si="82"/>
        <v>16.321067007803048</v>
      </c>
      <c r="Q68" s="574">
        <f t="shared" si="82"/>
        <v>17.244348126107901</v>
      </c>
      <c r="R68" s="574">
        <f t="shared" si="82"/>
        <v>18.227004594103096</v>
      </c>
      <c r="S68" s="574">
        <f t="shared" si="82"/>
        <v>19.272115194972702</v>
      </c>
      <c r="T68" s="574">
        <f t="shared" si="82"/>
        <v>20.382857089151276</v>
      </c>
      <c r="U68" s="574">
        <f t="shared" si="82"/>
        <v>21.56250670407784</v>
      </c>
      <c r="V68" s="574">
        <f t="shared" si="82"/>
        <v>22.814440669410335</v>
      </c>
      <c r="W68" s="574">
        <f t="shared" si="82"/>
        <v>24.142136814686012</v>
      </c>
      <c r="X68" s="574">
        <f t="shared" si="82"/>
        <v>25.549175247421399</v>
      </c>
      <c r="Y68" s="575">
        <f t="shared" si="82"/>
        <v>27.039239530601542</v>
      </c>
      <c r="Z68" s="574">
        <f t="shared" si="82"/>
        <v>28.620747034243404</v>
      </c>
      <c r="AA68" s="574">
        <f t="shared" si="82"/>
        <v>30.297832899152603</v>
      </c>
      <c r="AB68" s="574">
        <f t="shared" si="82"/>
        <v>32.074721942842451</v>
      </c>
      <c r="AC68" s="574">
        <f t="shared" si="82"/>
        <v>33.955728473829772</v>
      </c>
      <c r="AD68" s="574">
        <f t="shared" si="82"/>
        <v>35.945256397317038</v>
      </c>
      <c r="AE68" s="574">
        <f t="shared" si="82"/>
        <v>38.047799652671507</v>
      </c>
      <c r="AF68" s="574">
        <f t="shared" si="82"/>
        <v>40.267943023083284</v>
      </c>
      <c r="AG68" s="574">
        <f t="shared" si="82"/>
        <v>42.61036335749322</v>
      </c>
      <c r="AH68" s="574">
        <f t="shared" si="82"/>
        <v>45.079831244328588</v>
      </c>
      <c r="AI68" s="574">
        <f t="shared" si="82"/>
        <v>47.68121317577463</v>
      </c>
      <c r="AJ68" s="574">
        <f t="shared" si="82"/>
        <v>50.419474240248832</v>
      </c>
      <c r="AK68" s="575">
        <f t="shared" si="82"/>
        <v>53.299681379443584</v>
      </c>
      <c r="AL68" s="574">
        <f t="shared" si="82"/>
        <v>56.327007244772894</v>
      </c>
      <c r="AM68" s="574">
        <f t="shared" si="82"/>
        <v>59.506734686316534</v>
      </c>
      <c r="AN68" s="574">
        <f t="shared" si="82"/>
        <v>62.844261905417305</v>
      </c>
      <c r="AO68" s="574">
        <f t="shared" si="82"/>
        <v>66.345108299975465</v>
      </c>
      <c r="AP68" s="574">
        <f t="shared" si="82"/>
        <v>70.014921029220602</v>
      </c>
      <c r="AQ68" s="574">
        <f t="shared" si="82"/>
        <v>73.859482322350189</v>
      </c>
      <c r="AR68" s="574">
        <f t="shared" si="82"/>
        <v>77.884717552932145</v>
      </c>
      <c r="AS68" s="574">
        <f t="shared" si="82"/>
        <v>82.096704098404587</v>
      </c>
      <c r="AT68" s="574">
        <f t="shared" si="82"/>
        <v>86.50168100139652</v>
      </c>
      <c r="AU68" s="574">
        <f t="shared" si="82"/>
        <v>91.106059446971614</v>
      </c>
      <c r="AV68" s="574">
        <f t="shared" si="82"/>
        <v>95.916434067290723</v>
      </c>
      <c r="AW68" s="575">
        <f t="shared" si="82"/>
        <v>100.93959508263039</v>
      </c>
      <c r="AX68" s="574">
        <f t="shared" si="82"/>
        <v>106.18254128521424</v>
      </c>
      <c r="AY68" s="574">
        <f t="shared" si="82"/>
        <v>111.652493869941</v>
      </c>
      <c r="AZ68" s="574">
        <f t="shared" si="82"/>
        <v>117.35691111385803</v>
      </c>
      <c r="BA68" s="574">
        <f t="shared" si="82"/>
        <v>123.30350390415934</v>
      </c>
      <c r="BB68" s="574">
        <f t="shared" si="82"/>
        <v>129.50025211260953</v>
      </c>
      <c r="BC68" s="574">
        <f t="shared" si="82"/>
        <v>135.95542181263551</v>
      </c>
      <c r="BD68" s="574">
        <f t="shared" si="82"/>
        <v>142.6775833339081</v>
      </c>
      <c r="BE68" s="574">
        <f t="shared" si="82"/>
        <v>149.67563014807735</v>
      </c>
      <c r="BF68" s="574">
        <f t="shared" si="82"/>
        <v>156.95879857844696</v>
      </c>
      <c r="BG68" s="574">
        <f t="shared" si="82"/>
        <v>164.53668832579072</v>
      </c>
      <c r="BH68" s="574">
        <f t="shared" si="82"/>
        <v>172.4192838022386</v>
      </c>
      <c r="BI68" s="575">
        <f t="shared" si="82"/>
        <v>180.61697626520458</v>
      </c>
    </row>
    <row r="69" spans="1:61" s="339" customFormat="1">
      <c r="A69" s="577" t="s">
        <v>226</v>
      </c>
      <c r="B69" s="342">
        <f>B24+B11</f>
        <v>20</v>
      </c>
      <c r="C69" s="342">
        <f t="shared" ref="C69:BI69" si="83">C24+C11</f>
        <v>20.8</v>
      </c>
      <c r="D69" s="342">
        <f t="shared" si="83"/>
        <v>21.632000000000001</v>
      </c>
      <c r="E69" s="342">
        <f t="shared" si="83"/>
        <v>22.497280000000003</v>
      </c>
      <c r="F69" s="342">
        <f t="shared" si="83"/>
        <v>23.397171200000006</v>
      </c>
      <c r="G69" s="342">
        <f t="shared" si="83"/>
        <v>24.333058048000009</v>
      </c>
      <c r="H69" s="342">
        <f t="shared" si="83"/>
        <v>25.30638036992001</v>
      </c>
      <c r="I69" s="342">
        <f t="shared" si="83"/>
        <v>26.318635584716812</v>
      </c>
      <c r="J69" s="342">
        <f t="shared" si="83"/>
        <v>27.371381008105487</v>
      </c>
      <c r="K69" s="342">
        <f t="shared" si="83"/>
        <v>28.466236248429709</v>
      </c>
      <c r="L69" s="342">
        <f t="shared" si="83"/>
        <v>29.6048856983669</v>
      </c>
      <c r="M69" s="407">
        <f t="shared" si="83"/>
        <v>30.789081126301578</v>
      </c>
      <c r="N69" s="342">
        <f t="shared" si="83"/>
        <v>32.02064437135364</v>
      </c>
      <c r="O69" s="342">
        <f t="shared" si="83"/>
        <v>33.301470146207784</v>
      </c>
      <c r="P69" s="342">
        <f t="shared" si="83"/>
        <v>34.633528952056096</v>
      </c>
      <c r="Q69" s="342">
        <f t="shared" si="83"/>
        <v>36.018870110138344</v>
      </c>
      <c r="R69" s="342">
        <f t="shared" si="83"/>
        <v>37.45962491454388</v>
      </c>
      <c r="S69" s="342">
        <f t="shared" si="83"/>
        <v>38.958009911125636</v>
      </c>
      <c r="T69" s="342">
        <f t="shared" si="83"/>
        <v>40.516330307570662</v>
      </c>
      <c r="U69" s="342">
        <f t="shared" si="83"/>
        <v>42.136983519873489</v>
      </c>
      <c r="V69" s="342">
        <f t="shared" si="83"/>
        <v>43.822462860668423</v>
      </c>
      <c r="W69" s="342">
        <f t="shared" si="83"/>
        <v>45.57536137509517</v>
      </c>
      <c r="X69" s="342">
        <f t="shared" si="83"/>
        <v>47.398375830098978</v>
      </c>
      <c r="Y69" s="407">
        <f t="shared" si="83"/>
        <v>49.29431086330294</v>
      </c>
      <c r="Z69" s="342">
        <f t="shared" si="83"/>
        <v>51.26608329783506</v>
      </c>
      <c r="AA69" s="342">
        <f t="shared" si="83"/>
        <v>53.316726629748466</v>
      </c>
      <c r="AB69" s="342">
        <f t="shared" si="83"/>
        <v>55.44939569493841</v>
      </c>
      <c r="AC69" s="342">
        <f t="shared" si="83"/>
        <v>57.667371522735948</v>
      </c>
      <c r="AD69" s="342">
        <f t="shared" si="83"/>
        <v>59.974066383645386</v>
      </c>
      <c r="AE69" s="342">
        <f t="shared" si="83"/>
        <v>62.373029038991206</v>
      </c>
      <c r="AF69" s="342">
        <f t="shared" si="83"/>
        <v>64.867950200550851</v>
      </c>
      <c r="AG69" s="342">
        <f t="shared" si="83"/>
        <v>67.462668208572893</v>
      </c>
      <c r="AH69" s="342">
        <f t="shared" si="83"/>
        <v>70.161174936915813</v>
      </c>
      <c r="AI69" s="342">
        <f t="shared" si="83"/>
        <v>72.967621934392454</v>
      </c>
      <c r="AJ69" s="342">
        <f t="shared" si="83"/>
        <v>75.886326811768157</v>
      </c>
      <c r="AK69" s="407">
        <f t="shared" si="83"/>
        <v>78.921779884238887</v>
      </c>
      <c r="AL69" s="342">
        <f t="shared" si="83"/>
        <v>82.078651079608449</v>
      </c>
      <c r="AM69" s="342">
        <f t="shared" si="83"/>
        <v>85.361797122792794</v>
      </c>
      <c r="AN69" s="342">
        <f t="shared" si="83"/>
        <v>88.776269007704514</v>
      </c>
      <c r="AO69" s="342">
        <f t="shared" si="83"/>
        <v>92.3273197680127</v>
      </c>
      <c r="AP69" s="342">
        <f t="shared" si="83"/>
        <v>96.020412558733199</v>
      </c>
      <c r="AQ69" s="342">
        <f t="shared" si="83"/>
        <v>99.86122906108254</v>
      </c>
      <c r="AR69" s="342">
        <f t="shared" si="83"/>
        <v>103.85567822352584</v>
      </c>
      <c r="AS69" s="342">
        <f t="shared" si="83"/>
        <v>108.00990535246689</v>
      </c>
      <c r="AT69" s="342">
        <f t="shared" si="83"/>
        <v>112.33030156656557</v>
      </c>
      <c r="AU69" s="342">
        <f t="shared" si="83"/>
        <v>116.82351362922816</v>
      </c>
      <c r="AV69" s="342">
        <f t="shared" si="83"/>
        <v>121.4964541743973</v>
      </c>
      <c r="AW69" s="407">
        <f t="shared" si="83"/>
        <v>126.3563123413732</v>
      </c>
      <c r="AX69" s="342">
        <f t="shared" si="83"/>
        <v>131.41056483502814</v>
      </c>
      <c r="AY69" s="342">
        <f t="shared" si="83"/>
        <v>136.66698742842928</v>
      </c>
      <c r="AZ69" s="342">
        <f t="shared" si="83"/>
        <v>142.13366692556644</v>
      </c>
      <c r="BA69" s="342">
        <f t="shared" si="83"/>
        <v>147.81901360258911</v>
      </c>
      <c r="BB69" s="342">
        <f t="shared" si="83"/>
        <v>153.73177414669269</v>
      </c>
      <c r="BC69" s="342">
        <f t="shared" si="83"/>
        <v>159.8810451125604</v>
      </c>
      <c r="BD69" s="342">
        <f t="shared" si="83"/>
        <v>166.27628691706283</v>
      </c>
      <c r="BE69" s="342">
        <f t="shared" si="83"/>
        <v>172.92733839374537</v>
      </c>
      <c r="BF69" s="342">
        <f t="shared" si="83"/>
        <v>179.84443192949519</v>
      </c>
      <c r="BG69" s="342">
        <f t="shared" si="83"/>
        <v>187.03820920667494</v>
      </c>
      <c r="BH69" s="342">
        <f t="shared" si="83"/>
        <v>194.51973757494193</v>
      </c>
      <c r="BI69" s="407">
        <f t="shared" si="83"/>
        <v>202.30052707793965</v>
      </c>
    </row>
    <row r="70" spans="1:61" s="578" customFormat="1">
      <c r="A70" s="577" t="s">
        <v>258</v>
      </c>
      <c r="B70" s="472">
        <f>B26+B13</f>
        <v>7.8466960352422905</v>
      </c>
      <c r="C70" s="472">
        <f t="shared" ref="C70:BI70" si="84">C26+C13</f>
        <v>8.1805560257268723</v>
      </c>
      <c r="D70" s="472">
        <f t="shared" si="84"/>
        <v>8.556158139083367</v>
      </c>
      <c r="E70" s="472">
        <f t="shared" si="84"/>
        <v>8.9523024684242678</v>
      </c>
      <c r="F70" s="472">
        <f t="shared" si="84"/>
        <v>9.3702787716763911</v>
      </c>
      <c r="G70" s="472">
        <f t="shared" si="84"/>
        <v>9.811453812672589</v>
      </c>
      <c r="H70" s="472">
        <f t="shared" si="84"/>
        <v>10.277273093546537</v>
      </c>
      <c r="I70" s="472">
        <f t="shared" si="84"/>
        <v>10.769262132442826</v>
      </c>
      <c r="J70" s="472">
        <f t="shared" si="84"/>
        <v>11.289027268145146</v>
      </c>
      <c r="K70" s="472">
        <f t="shared" si="84"/>
        <v>11.838255995812663</v>
      </c>
      <c r="L70" s="472">
        <f t="shared" si="84"/>
        <v>12.418716863200714</v>
      </c>
      <c r="M70" s="473">
        <f t="shared" si="84"/>
        <v>13.032258982971491</v>
      </c>
      <c r="N70" s="472">
        <f t="shared" si="84"/>
        <v>13.681748513642187</v>
      </c>
      <c r="O70" s="472">
        <f t="shared" si="84"/>
        <v>14.367753613373562</v>
      </c>
      <c r="P70" s="472">
        <f t="shared" si="84"/>
        <v>15.094450719778326</v>
      </c>
      <c r="Q70" s="472">
        <f t="shared" si="84"/>
        <v>15.864274704794562</v>
      </c>
      <c r="R70" s="472">
        <f t="shared" si="84"/>
        <v>16.679756380011042</v>
      </c>
      <c r="S70" s="472">
        <f t="shared" si="84"/>
        <v>17.543519083999907</v>
      </c>
      <c r="T70" s="472">
        <f t="shared" si="84"/>
        <v>18.458274953232511</v>
      </c>
      <c r="U70" s="472">
        <f t="shared" si="84"/>
        <v>19.426821075192013</v>
      </c>
      <c r="V70" s="472">
        <f t="shared" si="84"/>
        <v>20.452035738521069</v>
      </c>
      <c r="W70" s="472">
        <f t="shared" si="84"/>
        <v>21.536874999893016</v>
      </c>
      <c r="X70" s="472">
        <f t="shared" si="84"/>
        <v>22.68436978011453</v>
      </c>
      <c r="Y70" s="473">
        <f t="shared" si="84"/>
        <v>23.897623683136111</v>
      </c>
      <c r="Z70" s="472">
        <f t="shared" si="84"/>
        <v>25.181305860088621</v>
      </c>
      <c r="AA70" s="472">
        <f t="shared" si="84"/>
        <v>26.509539923847804</v>
      </c>
      <c r="AB70" s="472">
        <f t="shared" si="84"/>
        <v>27.911267150389076</v>
      </c>
      <c r="AC70" s="472">
        <f t="shared" si="84"/>
        <v>29.389855755030599</v>
      </c>
      <c r="AD70" s="472">
        <f t="shared" si="84"/>
        <v>30.948754132327405</v>
      </c>
      <c r="AE70" s="472">
        <f t="shared" si="84"/>
        <v>32.591491812026852</v>
      </c>
      <c r="AF70" s="472">
        <f t="shared" si="84"/>
        <v>34.321681088998503</v>
      </c>
      <c r="AG70" s="472">
        <f t="shared" si="84"/>
        <v>36.143019351142293</v>
      </c>
      <c r="AH70" s="472">
        <f t="shared" si="84"/>
        <v>38.059292115999952</v>
      </c>
      <c r="AI70" s="472">
        <f t="shared" si="84"/>
        <v>40.074376775040108</v>
      </c>
      <c r="AJ70" s="472">
        <f t="shared" si="84"/>
        <v>42.192247034738458</v>
      </c>
      <c r="AK70" s="473">
        <f t="shared" si="84"/>
        <v>44.416978035864261</v>
      </c>
      <c r="AL70" s="472">
        <f t="shared" si="84"/>
        <v>46.752752126886328</v>
      </c>
      <c r="AM70" s="472">
        <f t="shared" si="84"/>
        <v>49.082921316266599</v>
      </c>
      <c r="AN70" s="472">
        <f t="shared" si="84"/>
        <v>51.522543979321924</v>
      </c>
      <c r="AO70" s="472">
        <f t="shared" si="84"/>
        <v>54.075800070640085</v>
      </c>
      <c r="AP70" s="472">
        <f t="shared" si="84"/>
        <v>56.746994933802739</v>
      </c>
      <c r="AQ70" s="472">
        <f t="shared" si="84"/>
        <v>59.54056513100376</v>
      </c>
      <c r="AR70" s="472">
        <f t="shared" si="84"/>
        <v>62.461084744125536</v>
      </c>
      <c r="AS70" s="472">
        <f t="shared" si="84"/>
        <v>65.513272160718657</v>
      </c>
      <c r="AT70" s="472">
        <f t="shared" si="84"/>
        <v>68.701997357177731</v>
      </c>
      <c r="AU70" s="472">
        <f t="shared" si="84"/>
        <v>72.032289690276642</v>
      </c>
      <c r="AV70" s="472">
        <f t="shared" si="84"/>
        <v>75.509346207129425</v>
      </c>
      <c r="AW70" s="473">
        <f t="shared" si="84"/>
        <v>79.138540482595928</v>
      </c>
      <c r="AX70" s="472">
        <f t="shared" si="84"/>
        <v>82.925431992167518</v>
      </c>
      <c r="AY70" s="472">
        <f t="shared" si="84"/>
        <v>86.935804010940174</v>
      </c>
      <c r="AZ70" s="472">
        <f t="shared" si="84"/>
        <v>91.123783284069106</v>
      </c>
      <c r="BA70" s="472">
        <f t="shared" si="84"/>
        <v>95.496160724226385</v>
      </c>
      <c r="BB70" s="472">
        <f t="shared" si="84"/>
        <v>100.05998218264438</v>
      </c>
      <c r="BC70" s="472">
        <f t="shared" si="84"/>
        <v>104.82256133405527</v>
      </c>
      <c r="BD70" s="472">
        <f t="shared" si="84"/>
        <v>109.79149321021407</v>
      </c>
      <c r="BE70" s="472">
        <f t="shared" si="84"/>
        <v>114.97466839244403</v>
      </c>
      <c r="BF70" s="472">
        <f t="shared" si="84"/>
        <v>120.38028787332333</v>
      </c>
      <c r="BG70" s="472">
        <f t="shared" si="84"/>
        <v>126.01687859744271</v>
      </c>
      <c r="BH70" s="472">
        <f t="shared" si="84"/>
        <v>131.89330969112427</v>
      </c>
      <c r="BI70" s="473">
        <f t="shared" si="84"/>
        <v>138.01880939110256</v>
      </c>
    </row>
    <row r="71" spans="1:61" s="339" customFormat="1">
      <c r="A71" s="433" t="s">
        <v>285</v>
      </c>
      <c r="B71" s="579">
        <f>B15+B28</f>
        <v>3.2741145374449339</v>
      </c>
      <c r="C71" s="342">
        <f t="shared" ref="C71:BI71" si="85">C15+C28</f>
        <v>3.4211429613668018</v>
      </c>
      <c r="D71" s="342">
        <f t="shared" si="85"/>
        <v>3.6089747928733105</v>
      </c>
      <c r="E71" s="342">
        <f t="shared" si="85"/>
        <v>3.80943356172375</v>
      </c>
      <c r="F71" s="342">
        <f t="shared" si="85"/>
        <v>4.023495407635</v>
      </c>
      <c r="G71" s="342">
        <f t="shared" si="85"/>
        <v>4.2522035025469851</v>
      </c>
      <c r="H71" s="342">
        <f t="shared" si="85"/>
        <v>4.4966691121698661</v>
      </c>
      <c r="I71" s="342">
        <f t="shared" si="85"/>
        <v>4.7580720961942786</v>
      </c>
      <c r="J71" s="342">
        <f t="shared" si="85"/>
        <v>5.0376608331454982</v>
      </c>
      <c r="K71" s="342">
        <f t="shared" si="85"/>
        <v>5.3367515834608863</v>
      </c>
      <c r="L71" s="342">
        <f t="shared" si="85"/>
        <v>5.6567273345837759</v>
      </c>
      <c r="M71" s="407">
        <f t="shared" si="85"/>
        <v>5.9990362027609887</v>
      </c>
      <c r="N71" s="342">
        <f t="shared" si="85"/>
        <v>6.3656710756275423</v>
      </c>
      <c r="O71" s="342">
        <f t="shared" si="85"/>
        <v>6.7527905497767229</v>
      </c>
      <c r="P71" s="342">
        <f t="shared" si="85"/>
        <v>7.1679946156961591</v>
      </c>
      <c r="Q71" s="342">
        <f t="shared" si="85"/>
        <v>7.6132687220703144</v>
      </c>
      <c r="R71" s="342">
        <f t="shared" si="85"/>
        <v>8.0906802436821312</v>
      </c>
      <c r="S71" s="342">
        <f t="shared" si="85"/>
        <v>8.6023733713231554</v>
      </c>
      <c r="T71" s="342">
        <f t="shared" si="85"/>
        <v>9.1505635635964193</v>
      </c>
      <c r="U71" s="342">
        <f t="shared" si="85"/>
        <v>9.7375318038296879</v>
      </c>
      <c r="V71" s="342">
        <f t="shared" si="85"/>
        <v>10.365618926205418</v>
      </c>
      <c r="W71" s="342">
        <f t="shared" si="85"/>
        <v>11.037220281947453</v>
      </c>
      <c r="X71" s="342">
        <f t="shared" si="85"/>
        <v>11.754781008099396</v>
      </c>
      <c r="Y71" s="407">
        <f t="shared" si="85"/>
        <v>12.520792138493604</v>
      </c>
      <c r="Z71" s="342">
        <f t="shared" si="85"/>
        <v>13.338724403473293</v>
      </c>
      <c r="AA71" s="342">
        <f t="shared" si="85"/>
        <v>14.173899457244383</v>
      </c>
      <c r="AB71" s="342">
        <f t="shared" si="85"/>
        <v>15.06160093928195</v>
      </c>
      <c r="AC71" s="342">
        <f t="shared" si="85"/>
        <v>16.004396182835173</v>
      </c>
      <c r="AD71" s="342">
        <f t="shared" si="85"/>
        <v>17.004903510314108</v>
      </c>
      <c r="AE71" s="342">
        <f t="shared" si="85"/>
        <v>18.065792108500531</v>
      </c>
      <c r="AF71" s="342">
        <f t="shared" si="85"/>
        <v>19.189782637475492</v>
      </c>
      <c r="AG71" s="342">
        <f t="shared" si="85"/>
        <v>20.379648596658086</v>
      </c>
      <c r="AH71" s="342">
        <f t="shared" si="85"/>
        <v>21.638218454438508</v>
      </c>
      <c r="AI71" s="342">
        <f t="shared" si="85"/>
        <v>22.968378532837651</v>
      </c>
      <c r="AJ71" s="342">
        <f t="shared" si="85"/>
        <v>24.373076625940293</v>
      </c>
      <c r="AK71" s="407">
        <f t="shared" si="85"/>
        <v>25.855326320842856</v>
      </c>
      <c r="AL71" s="342">
        <f t="shared" si="85"/>
        <v>27.418211982649215</v>
      </c>
      <c r="AM71" s="342">
        <f t="shared" si="85"/>
        <v>28.912823637439345</v>
      </c>
      <c r="AN71" s="342">
        <f t="shared" si="85"/>
        <v>30.481264211401022</v>
      </c>
      <c r="AO71" s="342">
        <f t="shared" si="85"/>
        <v>32.126375520474461</v>
      </c>
      <c r="AP71" s="342">
        <f t="shared" si="85"/>
        <v>33.851080131654975</v>
      </c>
      <c r="AQ71" s="342">
        <f t="shared" si="85"/>
        <v>35.658385333026132</v>
      </c>
      <c r="AR71" s="342">
        <f t="shared" si="85"/>
        <v>37.551387467022387</v>
      </c>
      <c r="AS71" s="342">
        <f t="shared" si="85"/>
        <v>39.533276635822467</v>
      </c>
      <c r="AT71" s="342">
        <f t="shared" si="85"/>
        <v>41.60734178665394</v>
      </c>
      <c r="AU71" s="342">
        <f t="shared" si="85"/>
        <v>43.776976183702011</v>
      </c>
      <c r="AV71" s="342">
        <f t="shared" si="85"/>
        <v>46.045683272271312</v>
      </c>
      <c r="AW71" s="407">
        <f t="shared" si="85"/>
        <v>48.41708293986165</v>
      </c>
      <c r="AX71" s="342">
        <f t="shared" si="85"/>
        <v>50.89491817790028</v>
      </c>
      <c r="AY71" s="342">
        <f t="shared" si="85"/>
        <v>53.556983193725586</v>
      </c>
      <c r="AZ71" s="342">
        <f t="shared" si="85"/>
        <v>56.343717835443009</v>
      </c>
      <c r="BA71" s="342">
        <f t="shared" si="85"/>
        <v>59.260074497857936</v>
      </c>
      <c r="BB71" s="342">
        <f t="shared" si="85"/>
        <v>62.311194953542106</v>
      </c>
      <c r="BC71" s="342">
        <f t="shared" si="85"/>
        <v>65.502420125122512</v>
      </c>
      <c r="BD71" s="342">
        <f t="shared" si="85"/>
        <v>68.839300373543765</v>
      </c>
      <c r="BE71" s="342">
        <f t="shared" si="85"/>
        <v>72.327606311310603</v>
      </c>
      <c r="BF71" s="342">
        <f t="shared" si="85"/>
        <v>75.973340149399419</v>
      </c>
      <c r="BG71" s="342">
        <f t="shared" si="85"/>
        <v>79.782747586318379</v>
      </c>
      <c r="BH71" s="342">
        <f t="shared" si="85"/>
        <v>83.762330247704412</v>
      </c>
      <c r="BI71" s="407">
        <f t="shared" si="85"/>
        <v>87.918858684880291</v>
      </c>
    </row>
    <row r="72" spans="1:61" s="339" customFormat="1">
      <c r="A72" s="433" t="s">
        <v>19</v>
      </c>
      <c r="B72" s="580">
        <f>B37</f>
        <v>20728.933920704847</v>
      </c>
      <c r="C72" s="580">
        <f t="shared" ref="C72:BI72" si="86">C37</f>
        <v>22334.796424579898</v>
      </c>
      <c r="D72" s="580">
        <f t="shared" si="86"/>
        <v>24261.379157843236</v>
      </c>
      <c r="E72" s="580">
        <f t="shared" si="86"/>
        <v>27109.041527058151</v>
      </c>
      <c r="F72" s="580">
        <f t="shared" si="86"/>
        <v>29411.012063918617</v>
      </c>
      <c r="G72" s="580">
        <f t="shared" si="86"/>
        <v>31904.731979940196</v>
      </c>
      <c r="H72" s="580">
        <f t="shared" si="86"/>
        <v>34157.516935543477</v>
      </c>
      <c r="I72" s="580">
        <f t="shared" si="86"/>
        <v>36585.144030160183</v>
      </c>
      <c r="J72" s="580">
        <f t="shared" si="86"/>
        <v>39202.024549786183</v>
      </c>
      <c r="K72" s="580">
        <f t="shared" si="86"/>
        <v>41489.907780370268</v>
      </c>
      <c r="L72" s="580">
        <f t="shared" si="86"/>
        <v>43934.936399734994</v>
      </c>
      <c r="M72" s="581">
        <f t="shared" si="86"/>
        <v>46547.932291314006</v>
      </c>
      <c r="N72" s="580">
        <f t="shared" si="86"/>
        <v>48812.622611071754</v>
      </c>
      <c r="O72" s="580">
        <f t="shared" si="86"/>
        <v>51746.745047763237</v>
      </c>
      <c r="P72" s="580">
        <f t="shared" si="86"/>
        <v>54891.491572423707</v>
      </c>
      <c r="Q72" s="580">
        <f t="shared" si="86"/>
        <v>58261.704056497998</v>
      </c>
      <c r="R72" s="580">
        <f t="shared" si="86"/>
        <v>61872.837706819933</v>
      </c>
      <c r="S72" s="580">
        <f t="shared" si="86"/>
        <v>65740.922877654608</v>
      </c>
      <c r="T72" s="580">
        <f t="shared" si="86"/>
        <v>69882.52360507095</v>
      </c>
      <c r="U72" s="580">
        <f t="shared" si="86"/>
        <v>74314.694687467563</v>
      </c>
      <c r="V72" s="580">
        <f t="shared" si="86"/>
        <v>79054.939292696072</v>
      </c>
      <c r="W72" s="580">
        <f t="shared" si="86"/>
        <v>84121.169122674793</v>
      </c>
      <c r="X72" s="580">
        <f t="shared" si="86"/>
        <v>89531.669104034416</v>
      </c>
      <c r="Y72" s="581">
        <f t="shared" si="86"/>
        <v>95305.068401244935</v>
      </c>
      <c r="Z72" s="580">
        <f t="shared" si="86"/>
        <v>101467.05911812153</v>
      </c>
      <c r="AA72" s="580">
        <f t="shared" si="86"/>
        <v>107757.45533319093</v>
      </c>
      <c r="AB72" s="580">
        <f t="shared" si="86"/>
        <v>114440.84237520174</v>
      </c>
      <c r="AC72" s="580">
        <f t="shared" si="86"/>
        <v>121536.40957263115</v>
      </c>
      <c r="AD72" s="580">
        <f t="shared" si="86"/>
        <v>129063.73094559579</v>
      </c>
      <c r="AE72" s="580">
        <f t="shared" si="86"/>
        <v>137042.76458890198</v>
      </c>
      <c r="AF72" s="580">
        <f t="shared" si="86"/>
        <v>145493.85755130055</v>
      </c>
      <c r="AG72" s="580">
        <f t="shared" si="86"/>
        <v>154437.75638435522</v>
      </c>
      <c r="AH72" s="580">
        <f t="shared" si="86"/>
        <v>163895.6234075159</v>
      </c>
      <c r="AI72" s="580">
        <f t="shared" si="86"/>
        <v>173889.05862314338</v>
      </c>
      <c r="AJ72" s="580">
        <f t="shared" si="86"/>
        <v>184440.12712015139</v>
      </c>
      <c r="AK72" s="581">
        <f t="shared" si="86"/>
        <v>195571.39172995961</v>
      </c>
      <c r="AL72" s="580">
        <f t="shared" si="86"/>
        <v>207305.95064449144</v>
      </c>
      <c r="AM72" s="580">
        <f t="shared" si="86"/>
        <v>218526.82830504962</v>
      </c>
      <c r="AN72" s="580">
        <f t="shared" si="86"/>
        <v>230299.88241457404</v>
      </c>
      <c r="AO72" s="580">
        <f t="shared" si="86"/>
        <v>242646.40643380623</v>
      </c>
      <c r="AP72" s="580">
        <f t="shared" si="86"/>
        <v>255588.30467884589</v>
      </c>
      <c r="AQ72" s="580">
        <f t="shared" si="86"/>
        <v>269148.12221054058</v>
      </c>
      <c r="AR72" s="580">
        <f t="shared" si="86"/>
        <v>283349.07742205792</v>
      </c>
      <c r="AS72" s="580">
        <f t="shared" si="86"/>
        <v>298215.09739075514</v>
      </c>
      <c r="AT72" s="580">
        <f t="shared" si="86"/>
        <v>313770.85605224856</v>
      </c>
      <c r="AU72" s="580">
        <f t="shared" si="86"/>
        <v>330041.81524662836</v>
      </c>
      <c r="AV72" s="580">
        <f t="shared" si="86"/>
        <v>347054.26867913263</v>
      </c>
      <c r="AW72" s="581">
        <f t="shared" si="86"/>
        <v>364835.38883039018</v>
      </c>
      <c r="AX72" s="580">
        <f t="shared" si="86"/>
        <v>383413.276844654</v>
      </c>
      <c r="AY72" s="580">
        <f t="shared" si="86"/>
        <v>403371.48329652392</v>
      </c>
      <c r="AZ72" s="580">
        <f t="shared" si="86"/>
        <v>424263.29435980099</v>
      </c>
      <c r="BA72" s="580">
        <f t="shared" si="86"/>
        <v>446125.89776019694</v>
      </c>
      <c r="BB72" s="580">
        <f t="shared" si="86"/>
        <v>468997.90641248098</v>
      </c>
      <c r="BC72" s="580">
        <f t="shared" si="86"/>
        <v>492919.43151605618</v>
      </c>
      <c r="BD72" s="580">
        <f t="shared" si="86"/>
        <v>517932.15949957783</v>
      </c>
      <c r="BE72" s="580">
        <f t="shared" si="86"/>
        <v>544079.43288376636</v>
      </c>
      <c r="BF72" s="580">
        <f t="shared" si="86"/>
        <v>571406.3351293155</v>
      </c>
      <c r="BG72" s="580">
        <f t="shared" si="86"/>
        <v>599959.77953534888</v>
      </c>
      <c r="BH72" s="580">
        <f t="shared" si="86"/>
        <v>629788.60225328954</v>
      </c>
      <c r="BI72" s="581">
        <f t="shared" si="86"/>
        <v>660943.65948135941</v>
      </c>
    </row>
    <row r="73" spans="1:61" s="585" customFormat="1">
      <c r="A73" s="582" t="s">
        <v>45</v>
      </c>
      <c r="B73" s="583">
        <f>B40</f>
        <v>-33184.964170807638</v>
      </c>
      <c r="C73" s="583">
        <f t="shared" ref="C73:BI73" si="87">C40</f>
        <v>-14837.14568100147</v>
      </c>
      <c r="D73" s="583">
        <f t="shared" si="87"/>
        <v>-14268.717003781454</v>
      </c>
      <c r="E73" s="583">
        <f t="shared" si="87"/>
        <v>-13405.013342705901</v>
      </c>
      <c r="F73" s="583">
        <f t="shared" si="87"/>
        <v>-12685.072540306182</v>
      </c>
      <c r="G73" s="583">
        <f t="shared" si="87"/>
        <v>-17604.404805924125</v>
      </c>
      <c r="H73" s="583">
        <f t="shared" si="87"/>
        <v>-15156.124616524507</v>
      </c>
      <c r="I73" s="583">
        <f t="shared" si="87"/>
        <v>-13971.31609512752</v>
      </c>
      <c r="J73" s="583">
        <f t="shared" si="87"/>
        <v>-13027.555718246989</v>
      </c>
      <c r="K73" s="583">
        <f t="shared" si="87"/>
        <v>-12167.444211420123</v>
      </c>
      <c r="L73" s="583">
        <f t="shared" si="87"/>
        <v>-11228.257793696379</v>
      </c>
      <c r="M73" s="584">
        <f t="shared" si="87"/>
        <v>-10203.756141625032</v>
      </c>
      <c r="N73" s="583">
        <f t="shared" si="87"/>
        <v>-8928.9645055486872</v>
      </c>
      <c r="O73" s="583">
        <f t="shared" si="87"/>
        <v>-6565.2951604608934</v>
      </c>
      <c r="P73" s="583">
        <f t="shared" si="87"/>
        <v>-7951.6323699894165</v>
      </c>
      <c r="Q73" s="583">
        <f t="shared" si="87"/>
        <v>-6483.5792380389103</v>
      </c>
      <c r="R73" s="583">
        <f t="shared" si="87"/>
        <v>-5307.1722049655655</v>
      </c>
      <c r="S73" s="583">
        <f t="shared" si="87"/>
        <v>-3966.3475887754175</v>
      </c>
      <c r="T73" s="583">
        <f t="shared" si="87"/>
        <v>-2466.8649492429358</v>
      </c>
      <c r="U73" s="583">
        <f t="shared" si="87"/>
        <v>-826.64406907309967</v>
      </c>
      <c r="V73" s="583">
        <f t="shared" si="87"/>
        <v>-10770.241509529737</v>
      </c>
      <c r="W73" s="583">
        <f t="shared" si="87"/>
        <v>-19174.962642260827</v>
      </c>
      <c r="X73" s="583">
        <f t="shared" si="87"/>
        <v>-16925.443971653156</v>
      </c>
      <c r="Y73" s="584">
        <f t="shared" si="87"/>
        <v>-25696.207513260568</v>
      </c>
      <c r="Z73" s="583">
        <f t="shared" si="87"/>
        <v>-30466.524333613874</v>
      </c>
      <c r="AA73" s="583">
        <f t="shared" si="87"/>
        <v>-30644.209260269774</v>
      </c>
      <c r="AB73" s="583">
        <f t="shared" si="87"/>
        <v>-25743.81021126837</v>
      </c>
      <c r="AC73" s="583">
        <f t="shared" si="87"/>
        <v>-25374.965354328699</v>
      </c>
      <c r="AD73" s="583">
        <f t="shared" si="87"/>
        <v>-21685.632709168298</v>
      </c>
      <c r="AE73" s="583">
        <f t="shared" si="87"/>
        <v>-17735.699053003482</v>
      </c>
      <c r="AF73" s="583">
        <f t="shared" si="87"/>
        <v>-25824.517795504849</v>
      </c>
      <c r="AG73" s="583">
        <f t="shared" si="87"/>
        <v>-13812.381476188923</v>
      </c>
      <c r="AH73" s="583">
        <f t="shared" si="87"/>
        <v>-15733.807969274916</v>
      </c>
      <c r="AI73" s="583">
        <f t="shared" si="87"/>
        <v>-12981.108202038886</v>
      </c>
      <c r="AJ73" s="583">
        <f t="shared" si="87"/>
        <v>-27659.485752690453</v>
      </c>
      <c r="AK73" s="584">
        <f t="shared" si="87"/>
        <v>-14368.892474155029</v>
      </c>
      <c r="AL73" s="583">
        <f t="shared" si="87"/>
        <v>-16222.784178653252</v>
      </c>
      <c r="AM73" s="583">
        <f t="shared" si="87"/>
        <v>-10757.412118790759</v>
      </c>
      <c r="AN73" s="583">
        <f t="shared" si="87"/>
        <v>-7276.3573668028694</v>
      </c>
      <c r="AO73" s="583">
        <f t="shared" si="87"/>
        <v>-728.33143403028953</v>
      </c>
      <c r="AP73" s="583">
        <f t="shared" si="87"/>
        <v>-6343.9301669844717</v>
      </c>
      <c r="AQ73" s="583">
        <f t="shared" si="87"/>
        <v>2806.545093130655</v>
      </c>
      <c r="AR73" s="583">
        <f t="shared" si="87"/>
        <v>10443.101931745798</v>
      </c>
      <c r="AS73" s="583">
        <f t="shared" si="87"/>
        <v>4256.0741498096177</v>
      </c>
      <c r="AT73" s="583">
        <f t="shared" si="87"/>
        <v>-243.85907681621029</v>
      </c>
      <c r="AU73" s="583">
        <f t="shared" si="87"/>
        <v>8404.3480662194488</v>
      </c>
      <c r="AV73" s="583">
        <f t="shared" si="87"/>
        <v>10505.464546137853</v>
      </c>
      <c r="AW73" s="584">
        <f t="shared" si="87"/>
        <v>5996.34105228525</v>
      </c>
      <c r="AX73" s="583">
        <f t="shared" si="87"/>
        <v>31887.180861373214</v>
      </c>
      <c r="AY73" s="583">
        <f t="shared" si="87"/>
        <v>30001.697847926363</v>
      </c>
      <c r="AZ73" s="583">
        <f t="shared" si="87"/>
        <v>46776.772437808642</v>
      </c>
      <c r="BA73" s="583">
        <f t="shared" si="87"/>
        <v>56453.023504686862</v>
      </c>
      <c r="BB73" s="583">
        <f t="shared" si="87"/>
        <v>34612.048960618442</v>
      </c>
      <c r="BC73" s="583">
        <f t="shared" si="87"/>
        <v>50152.012728689035</v>
      </c>
      <c r="BD73" s="583">
        <f t="shared" si="87"/>
        <v>53675.159443150013</v>
      </c>
      <c r="BE73" s="583">
        <f t="shared" si="87"/>
        <v>65097.243003978132</v>
      </c>
      <c r="BF73" s="583">
        <f t="shared" si="87"/>
        <v>64026.27428619354</v>
      </c>
      <c r="BG73" s="583">
        <f t="shared" si="87"/>
        <v>86851.848491002631</v>
      </c>
      <c r="BH73" s="583">
        <f t="shared" si="87"/>
        <v>91885.359055585635</v>
      </c>
      <c r="BI73" s="584">
        <f t="shared" si="87"/>
        <v>103791.23160800259</v>
      </c>
    </row>
  </sheetData>
  <mergeCells count="5">
    <mergeCell ref="B1:M1"/>
    <mergeCell ref="N1:Y1"/>
    <mergeCell ref="Z1:AK1"/>
    <mergeCell ref="AL1:AW1"/>
    <mergeCell ref="AX1:BI1"/>
  </mergeCells>
  <pageMargins left="0.7" right="0.7" top="0.75" bottom="0.75" header="0.3" footer="0.3"/>
  <pageSetup orientation="portrait" verticalDpi="36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-0.499984740745262"/>
  </sheetPr>
  <dimension ref="A1:BZ47"/>
  <sheetViews>
    <sheetView showGridLines="0" workbookViewId="0">
      <pane xSplit="3" ySplit="9" topLeftCell="D10" activePane="bottomRight" state="frozen"/>
      <selection activeCell="BI26" sqref="BI26"/>
      <selection pane="topRight" activeCell="BI26" sqref="BI26"/>
      <selection pane="bottomLeft" activeCell="BI26" sqref="BI26"/>
      <selection pane="bottomRight" activeCell="E37" sqref="E37:BK37"/>
    </sheetView>
  </sheetViews>
  <sheetFormatPr defaultColWidth="9.140625" defaultRowHeight="15" outlineLevelRow="1"/>
  <cols>
    <col min="1" max="1" width="27.42578125" style="19" customWidth="1"/>
    <col min="2" max="2" width="10.42578125" style="72" customWidth="1"/>
    <col min="3" max="3" width="10.85546875" style="72" customWidth="1"/>
    <col min="4" max="15" width="9.42578125" style="19" customWidth="1"/>
    <col min="16" max="16" width="9.42578125" style="128" customWidth="1"/>
    <col min="17" max="26" width="9.42578125" style="122" customWidth="1"/>
    <col min="27" max="27" width="9.42578125" style="123" customWidth="1"/>
    <col min="28" max="38" width="9.42578125" style="122" customWidth="1"/>
    <col min="39" max="39" width="9.42578125" style="123" customWidth="1"/>
    <col min="40" max="40" width="9.42578125" style="128" customWidth="1"/>
    <col min="41" max="50" width="9.42578125" style="122" customWidth="1"/>
    <col min="51" max="51" width="9.42578125" style="123" customWidth="1"/>
    <col min="52" max="52" width="9.42578125" style="128" customWidth="1"/>
    <col min="53" max="62" width="9.42578125" style="122" customWidth="1"/>
    <col min="63" max="63" width="9.42578125" style="123" customWidth="1"/>
    <col min="64" max="65" width="9.140625" style="19"/>
    <col min="66" max="78" width="9.42578125" style="19" hidden="1" customWidth="1"/>
    <col min="79" max="16384" width="9.140625" style="19"/>
  </cols>
  <sheetData>
    <row r="1" spans="1:78" ht="15.75">
      <c r="D1" s="1329" t="s">
        <v>189</v>
      </c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6" t="s">
        <v>190</v>
      </c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8"/>
      <c r="AB1" s="1326" t="s">
        <v>191</v>
      </c>
      <c r="AC1" s="1327"/>
      <c r="AD1" s="1327"/>
      <c r="AE1" s="1327"/>
      <c r="AF1" s="1327"/>
      <c r="AG1" s="1327"/>
      <c r="AH1" s="1327"/>
      <c r="AI1" s="1327"/>
      <c r="AJ1" s="1327"/>
      <c r="AK1" s="1327"/>
      <c r="AL1" s="1327"/>
      <c r="AM1" s="1328"/>
      <c r="AN1" s="1326" t="s">
        <v>192</v>
      </c>
      <c r="AO1" s="1327"/>
      <c r="AP1" s="1327"/>
      <c r="AQ1" s="1327"/>
      <c r="AR1" s="1327"/>
      <c r="AS1" s="1327"/>
      <c r="AT1" s="1327"/>
      <c r="AU1" s="1327"/>
      <c r="AV1" s="1327"/>
      <c r="AW1" s="1327"/>
      <c r="AX1" s="1327"/>
      <c r="AY1" s="1328"/>
      <c r="AZ1" s="1326" t="s">
        <v>193</v>
      </c>
      <c r="BA1" s="1327"/>
      <c r="BB1" s="1327"/>
      <c r="BC1" s="1327"/>
      <c r="BD1" s="1327"/>
      <c r="BE1" s="1327"/>
      <c r="BF1" s="1327"/>
      <c r="BG1" s="1327"/>
      <c r="BH1" s="1327"/>
      <c r="BI1" s="1327"/>
      <c r="BJ1" s="1327"/>
      <c r="BK1" s="1328"/>
    </row>
    <row r="2" spans="1:78" s="59" customFormat="1" ht="14.25" hidden="1" customHeight="1" outlineLevel="1">
      <c r="A2" s="56"/>
      <c r="B2" s="73" t="s">
        <v>164</v>
      </c>
      <c r="C2" s="66"/>
      <c r="D2" s="65">
        <f t="shared" ref="D2:AI2" si="0">D26</f>
        <v>1</v>
      </c>
      <c r="E2" s="65">
        <f t="shared" si="0"/>
        <v>1</v>
      </c>
      <c r="F2" s="65">
        <f t="shared" si="0"/>
        <v>1</v>
      </c>
      <c r="G2" s="65">
        <f t="shared" si="0"/>
        <v>1</v>
      </c>
      <c r="H2" s="65">
        <f t="shared" si="0"/>
        <v>1</v>
      </c>
      <c r="I2" s="65">
        <f t="shared" si="0"/>
        <v>2</v>
      </c>
      <c r="J2" s="65">
        <f t="shared" si="0"/>
        <v>2</v>
      </c>
      <c r="K2" s="65">
        <f t="shared" si="0"/>
        <v>2</v>
      </c>
      <c r="L2" s="65">
        <f t="shared" si="0"/>
        <v>2</v>
      </c>
      <c r="M2" s="65">
        <f t="shared" si="0"/>
        <v>2</v>
      </c>
      <c r="N2" s="65">
        <f t="shared" si="0"/>
        <v>2</v>
      </c>
      <c r="O2" s="65">
        <f t="shared" si="0"/>
        <v>2</v>
      </c>
      <c r="P2" s="124">
        <f t="shared" si="0"/>
        <v>2</v>
      </c>
      <c r="Q2" s="116">
        <f t="shared" si="0"/>
        <v>2</v>
      </c>
      <c r="R2" s="116">
        <f t="shared" si="0"/>
        <v>3</v>
      </c>
      <c r="S2" s="116">
        <f t="shared" si="0"/>
        <v>3</v>
      </c>
      <c r="T2" s="116">
        <f t="shared" si="0"/>
        <v>3</v>
      </c>
      <c r="U2" s="116">
        <f t="shared" si="0"/>
        <v>3</v>
      </c>
      <c r="V2" s="116">
        <f t="shared" si="0"/>
        <v>3</v>
      </c>
      <c r="W2" s="116">
        <f t="shared" si="0"/>
        <v>3</v>
      </c>
      <c r="X2" s="116">
        <f t="shared" si="0"/>
        <v>4</v>
      </c>
      <c r="Y2" s="116">
        <f t="shared" si="0"/>
        <v>4</v>
      </c>
      <c r="Z2" s="116">
        <f t="shared" si="0"/>
        <v>4</v>
      </c>
      <c r="AA2" s="117">
        <f t="shared" si="0"/>
        <v>5</v>
      </c>
      <c r="AB2" s="116">
        <f t="shared" si="0"/>
        <v>5</v>
      </c>
      <c r="AC2" s="116">
        <f t="shared" si="0"/>
        <v>5</v>
      </c>
      <c r="AD2" s="116">
        <f t="shared" si="0"/>
        <v>5</v>
      </c>
      <c r="AE2" s="116">
        <f t="shared" si="0"/>
        <v>6</v>
      </c>
      <c r="AF2" s="116">
        <f t="shared" si="0"/>
        <v>6</v>
      </c>
      <c r="AG2" s="116">
        <f t="shared" si="0"/>
        <v>6</v>
      </c>
      <c r="AH2" s="116">
        <f t="shared" si="0"/>
        <v>7</v>
      </c>
      <c r="AI2" s="116">
        <f t="shared" si="0"/>
        <v>7</v>
      </c>
      <c r="AJ2" s="116">
        <f t="shared" ref="AJ2:BK2" si="1">AJ26</f>
        <v>8</v>
      </c>
      <c r="AK2" s="116">
        <f t="shared" si="1"/>
        <v>8</v>
      </c>
      <c r="AL2" s="116">
        <f t="shared" si="1"/>
        <v>9</v>
      </c>
      <c r="AM2" s="117">
        <f t="shared" si="1"/>
        <v>9</v>
      </c>
      <c r="AN2" s="124">
        <f t="shared" si="1"/>
        <v>10</v>
      </c>
      <c r="AO2" s="116">
        <f t="shared" si="1"/>
        <v>10</v>
      </c>
      <c r="AP2" s="116">
        <f t="shared" si="1"/>
        <v>11</v>
      </c>
      <c r="AQ2" s="116">
        <f t="shared" si="1"/>
        <v>11</v>
      </c>
      <c r="AR2" s="116">
        <f t="shared" si="1"/>
        <v>12</v>
      </c>
      <c r="AS2" s="116">
        <f t="shared" si="1"/>
        <v>13</v>
      </c>
      <c r="AT2" s="116">
        <f t="shared" si="1"/>
        <v>13</v>
      </c>
      <c r="AU2" s="116">
        <f t="shared" si="1"/>
        <v>14</v>
      </c>
      <c r="AV2" s="116">
        <f t="shared" si="1"/>
        <v>15</v>
      </c>
      <c r="AW2" s="116">
        <f t="shared" si="1"/>
        <v>15</v>
      </c>
      <c r="AX2" s="116">
        <f t="shared" si="1"/>
        <v>16</v>
      </c>
      <c r="AY2" s="117">
        <f t="shared" si="1"/>
        <v>17</v>
      </c>
      <c r="AZ2" s="124">
        <f t="shared" si="1"/>
        <v>18</v>
      </c>
      <c r="BA2" s="116">
        <f t="shared" si="1"/>
        <v>19</v>
      </c>
      <c r="BB2" s="116">
        <f t="shared" si="1"/>
        <v>20</v>
      </c>
      <c r="BC2" s="116">
        <f t="shared" si="1"/>
        <v>21</v>
      </c>
      <c r="BD2" s="116">
        <f t="shared" si="1"/>
        <v>22</v>
      </c>
      <c r="BE2" s="116">
        <f t="shared" si="1"/>
        <v>23</v>
      </c>
      <c r="BF2" s="116">
        <f t="shared" si="1"/>
        <v>24</v>
      </c>
      <c r="BG2" s="116">
        <f t="shared" si="1"/>
        <v>25</v>
      </c>
      <c r="BH2" s="116">
        <f t="shared" si="1"/>
        <v>27</v>
      </c>
      <c r="BI2" s="116">
        <f t="shared" si="1"/>
        <v>28</v>
      </c>
      <c r="BJ2" s="116">
        <f t="shared" si="1"/>
        <v>29</v>
      </c>
      <c r="BK2" s="117">
        <f t="shared" si="1"/>
        <v>31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s="59" customFormat="1" ht="14.25" hidden="1" customHeight="1" outlineLevel="1">
      <c r="A3" s="56"/>
      <c r="B3" s="73" t="s">
        <v>163</v>
      </c>
      <c r="C3" s="66"/>
      <c r="D3" s="65">
        <f>D19+D22+D25</f>
        <v>0</v>
      </c>
      <c r="E3" s="65">
        <f t="shared" ref="E3:O3" si="2">E19+E22+E25</f>
        <v>0</v>
      </c>
      <c r="F3" s="65">
        <f t="shared" si="2"/>
        <v>0</v>
      </c>
      <c r="G3" s="65">
        <f t="shared" si="2"/>
        <v>0</v>
      </c>
      <c r="H3" s="65">
        <f t="shared" si="2"/>
        <v>0</v>
      </c>
      <c r="I3" s="65">
        <f t="shared" si="2"/>
        <v>0</v>
      </c>
      <c r="J3" s="65">
        <f t="shared" si="2"/>
        <v>0</v>
      </c>
      <c r="K3" s="65">
        <f t="shared" si="2"/>
        <v>0</v>
      </c>
      <c r="L3" s="65">
        <f t="shared" si="2"/>
        <v>0</v>
      </c>
      <c r="M3" s="65">
        <f t="shared" si="2"/>
        <v>0</v>
      </c>
      <c r="N3" s="65">
        <f t="shared" si="2"/>
        <v>0</v>
      </c>
      <c r="O3" s="65">
        <f t="shared" si="2"/>
        <v>0</v>
      </c>
      <c r="P3" s="124">
        <f>P19+P22+P25</f>
        <v>0</v>
      </c>
      <c r="Q3" s="116">
        <f t="shared" ref="Q3:AA3" si="3">Q19+Q22+Q25</f>
        <v>0</v>
      </c>
      <c r="R3" s="116">
        <f t="shared" si="3"/>
        <v>0</v>
      </c>
      <c r="S3" s="116">
        <f t="shared" si="3"/>
        <v>0</v>
      </c>
      <c r="T3" s="116">
        <f t="shared" si="3"/>
        <v>0</v>
      </c>
      <c r="U3" s="116">
        <f t="shared" si="3"/>
        <v>0</v>
      </c>
      <c r="V3" s="116">
        <f t="shared" si="3"/>
        <v>0</v>
      </c>
      <c r="W3" s="116">
        <f t="shared" si="3"/>
        <v>0</v>
      </c>
      <c r="X3" s="116">
        <f t="shared" si="3"/>
        <v>0</v>
      </c>
      <c r="Y3" s="116">
        <f t="shared" si="3"/>
        <v>0</v>
      </c>
      <c r="Z3" s="116">
        <f t="shared" si="3"/>
        <v>0</v>
      </c>
      <c r="AA3" s="117">
        <f t="shared" si="3"/>
        <v>1</v>
      </c>
      <c r="AB3" s="116">
        <f>AB19+AB22+AB25</f>
        <v>1</v>
      </c>
      <c r="AC3" s="116">
        <f t="shared" ref="AC3:AM3" si="4">AC19+AC22+AC25</f>
        <v>1</v>
      </c>
      <c r="AD3" s="116">
        <f t="shared" si="4"/>
        <v>1</v>
      </c>
      <c r="AE3" s="116">
        <f t="shared" si="4"/>
        <v>1</v>
      </c>
      <c r="AF3" s="116">
        <f t="shared" si="4"/>
        <v>1</v>
      </c>
      <c r="AG3" s="116">
        <f t="shared" si="4"/>
        <v>1</v>
      </c>
      <c r="AH3" s="116">
        <f t="shared" si="4"/>
        <v>1</v>
      </c>
      <c r="AI3" s="116">
        <f t="shared" si="4"/>
        <v>1</v>
      </c>
      <c r="AJ3" s="116">
        <f t="shared" si="4"/>
        <v>1</v>
      </c>
      <c r="AK3" s="116">
        <f t="shared" si="4"/>
        <v>1</v>
      </c>
      <c r="AL3" s="116">
        <f t="shared" si="4"/>
        <v>1.5</v>
      </c>
      <c r="AM3" s="117">
        <f t="shared" si="4"/>
        <v>1.5</v>
      </c>
      <c r="AN3" s="124">
        <f>AN19+AN22+AN25</f>
        <v>2.5</v>
      </c>
      <c r="AO3" s="116">
        <f t="shared" ref="AO3:AY3" si="5">AO19+AO22+AO25</f>
        <v>2.5</v>
      </c>
      <c r="AP3" s="116">
        <f t="shared" si="5"/>
        <v>2.5</v>
      </c>
      <c r="AQ3" s="116">
        <f t="shared" si="5"/>
        <v>2.5</v>
      </c>
      <c r="AR3" s="116">
        <f t="shared" si="5"/>
        <v>2.5</v>
      </c>
      <c r="AS3" s="116">
        <f t="shared" si="5"/>
        <v>2.5</v>
      </c>
      <c r="AT3" s="116">
        <f t="shared" si="5"/>
        <v>2.5</v>
      </c>
      <c r="AU3" s="116">
        <f t="shared" si="5"/>
        <v>2.5</v>
      </c>
      <c r="AV3" s="116">
        <f t="shared" si="5"/>
        <v>3.5</v>
      </c>
      <c r="AW3" s="116">
        <f t="shared" si="5"/>
        <v>3.5</v>
      </c>
      <c r="AX3" s="116">
        <f t="shared" si="5"/>
        <v>4</v>
      </c>
      <c r="AY3" s="117">
        <f t="shared" si="5"/>
        <v>4</v>
      </c>
      <c r="AZ3" s="124">
        <f>AZ19+AZ22+AZ25</f>
        <v>4</v>
      </c>
      <c r="BA3" s="116">
        <f t="shared" ref="BA3:BK3" si="6">BA19+BA22+BA25</f>
        <v>4</v>
      </c>
      <c r="BB3" s="116">
        <f t="shared" si="6"/>
        <v>4</v>
      </c>
      <c r="BC3" s="116">
        <f t="shared" si="6"/>
        <v>4</v>
      </c>
      <c r="BD3" s="116">
        <f t="shared" si="6"/>
        <v>4</v>
      </c>
      <c r="BE3" s="116">
        <f t="shared" si="6"/>
        <v>4</v>
      </c>
      <c r="BF3" s="116">
        <f t="shared" si="6"/>
        <v>4</v>
      </c>
      <c r="BG3" s="116">
        <f t="shared" si="6"/>
        <v>5</v>
      </c>
      <c r="BH3" s="116">
        <f t="shared" si="6"/>
        <v>5</v>
      </c>
      <c r="BI3" s="116">
        <f t="shared" si="6"/>
        <v>5</v>
      </c>
      <c r="BJ3" s="116">
        <f t="shared" si="6"/>
        <v>5</v>
      </c>
      <c r="BK3" s="117">
        <f t="shared" si="6"/>
        <v>6</v>
      </c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s="59" customFormat="1" ht="14.25" hidden="1" customHeight="1" outlineLevel="1">
      <c r="A4" s="56"/>
      <c r="B4" s="73" t="s">
        <v>165</v>
      </c>
      <c r="C4" s="66"/>
      <c r="D4" s="65">
        <f t="shared" ref="D4:O4" si="7">COUNT(D35:D41)</f>
        <v>7</v>
      </c>
      <c r="E4" s="65">
        <f t="shared" si="7"/>
        <v>7</v>
      </c>
      <c r="F4" s="65">
        <f t="shared" si="7"/>
        <v>7</v>
      </c>
      <c r="G4" s="65">
        <f t="shared" si="7"/>
        <v>7</v>
      </c>
      <c r="H4" s="65">
        <f t="shared" si="7"/>
        <v>7</v>
      </c>
      <c r="I4" s="65">
        <f t="shared" si="7"/>
        <v>7</v>
      </c>
      <c r="J4" s="65">
        <f t="shared" si="7"/>
        <v>7</v>
      </c>
      <c r="K4" s="65">
        <f t="shared" si="7"/>
        <v>7</v>
      </c>
      <c r="L4" s="65">
        <f t="shared" si="7"/>
        <v>7</v>
      </c>
      <c r="M4" s="65">
        <f t="shared" si="7"/>
        <v>7</v>
      </c>
      <c r="N4" s="65">
        <f t="shared" si="7"/>
        <v>7</v>
      </c>
      <c r="O4" s="65">
        <f t="shared" si="7"/>
        <v>7</v>
      </c>
      <c r="P4" s="124">
        <f t="shared" ref="P4:BK4" si="8">COUNT(P35:P41)</f>
        <v>7</v>
      </c>
      <c r="Q4" s="116">
        <f t="shared" si="8"/>
        <v>7</v>
      </c>
      <c r="R4" s="116">
        <f t="shared" si="8"/>
        <v>7</v>
      </c>
      <c r="S4" s="116">
        <f t="shared" si="8"/>
        <v>7</v>
      </c>
      <c r="T4" s="116">
        <f t="shared" si="8"/>
        <v>7</v>
      </c>
      <c r="U4" s="116">
        <f t="shared" si="8"/>
        <v>7</v>
      </c>
      <c r="V4" s="116">
        <f t="shared" si="8"/>
        <v>7</v>
      </c>
      <c r="W4" s="116">
        <f t="shared" si="8"/>
        <v>7</v>
      </c>
      <c r="X4" s="116">
        <f t="shared" si="8"/>
        <v>7</v>
      </c>
      <c r="Y4" s="116">
        <f t="shared" si="8"/>
        <v>7</v>
      </c>
      <c r="Z4" s="116">
        <f t="shared" si="8"/>
        <v>7</v>
      </c>
      <c r="AA4" s="117">
        <f t="shared" si="8"/>
        <v>7</v>
      </c>
      <c r="AB4" s="116">
        <f t="shared" si="8"/>
        <v>7</v>
      </c>
      <c r="AC4" s="116">
        <f t="shared" si="8"/>
        <v>7</v>
      </c>
      <c r="AD4" s="116">
        <f t="shared" si="8"/>
        <v>7</v>
      </c>
      <c r="AE4" s="116">
        <f t="shared" si="8"/>
        <v>7</v>
      </c>
      <c r="AF4" s="116">
        <f t="shared" si="8"/>
        <v>7</v>
      </c>
      <c r="AG4" s="116">
        <f t="shared" si="8"/>
        <v>7</v>
      </c>
      <c r="AH4" s="116">
        <f t="shared" si="8"/>
        <v>7</v>
      </c>
      <c r="AI4" s="116">
        <f t="shared" si="8"/>
        <v>7</v>
      </c>
      <c r="AJ4" s="116">
        <f t="shared" si="8"/>
        <v>7</v>
      </c>
      <c r="AK4" s="116">
        <f t="shared" si="8"/>
        <v>7</v>
      </c>
      <c r="AL4" s="116">
        <f t="shared" si="8"/>
        <v>7</v>
      </c>
      <c r="AM4" s="117">
        <f t="shared" si="8"/>
        <v>7</v>
      </c>
      <c r="AN4" s="124">
        <f t="shared" si="8"/>
        <v>7</v>
      </c>
      <c r="AO4" s="116">
        <f t="shared" si="8"/>
        <v>7</v>
      </c>
      <c r="AP4" s="116">
        <f t="shared" si="8"/>
        <v>7</v>
      </c>
      <c r="AQ4" s="116">
        <f t="shared" si="8"/>
        <v>7</v>
      </c>
      <c r="AR4" s="116">
        <f t="shared" si="8"/>
        <v>7</v>
      </c>
      <c r="AS4" s="116">
        <f t="shared" si="8"/>
        <v>7</v>
      </c>
      <c r="AT4" s="116">
        <f t="shared" si="8"/>
        <v>7</v>
      </c>
      <c r="AU4" s="116">
        <f t="shared" si="8"/>
        <v>7</v>
      </c>
      <c r="AV4" s="116">
        <f t="shared" si="8"/>
        <v>7</v>
      </c>
      <c r="AW4" s="116">
        <f t="shared" si="8"/>
        <v>7</v>
      </c>
      <c r="AX4" s="116">
        <f t="shared" si="8"/>
        <v>7</v>
      </c>
      <c r="AY4" s="117">
        <f t="shared" si="8"/>
        <v>7</v>
      </c>
      <c r="AZ4" s="124">
        <f t="shared" si="8"/>
        <v>7</v>
      </c>
      <c r="BA4" s="116">
        <f t="shared" si="8"/>
        <v>7</v>
      </c>
      <c r="BB4" s="116">
        <f t="shared" si="8"/>
        <v>7</v>
      </c>
      <c r="BC4" s="116">
        <f t="shared" si="8"/>
        <v>7</v>
      </c>
      <c r="BD4" s="116">
        <f t="shared" si="8"/>
        <v>7</v>
      </c>
      <c r="BE4" s="116">
        <f t="shared" si="8"/>
        <v>7</v>
      </c>
      <c r="BF4" s="116">
        <f t="shared" si="8"/>
        <v>7</v>
      </c>
      <c r="BG4" s="116">
        <f t="shared" si="8"/>
        <v>7</v>
      </c>
      <c r="BH4" s="116">
        <f t="shared" si="8"/>
        <v>7</v>
      </c>
      <c r="BI4" s="116">
        <f t="shared" si="8"/>
        <v>7</v>
      </c>
      <c r="BJ4" s="116">
        <f t="shared" si="8"/>
        <v>7</v>
      </c>
      <c r="BK4" s="117">
        <f t="shared" si="8"/>
        <v>7</v>
      </c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s="59" customFormat="1" ht="14.25" hidden="1" customHeight="1" outlineLevel="1">
      <c r="A5" s="56"/>
      <c r="B5" s="73" t="s">
        <v>166</v>
      </c>
      <c r="C5" s="66"/>
      <c r="D5" s="65">
        <f>D31</f>
        <v>1</v>
      </c>
      <c r="E5" s="65">
        <f t="shared" ref="E5:O5" si="9">E31</f>
        <v>1</v>
      </c>
      <c r="F5" s="65">
        <f t="shared" si="9"/>
        <v>1</v>
      </c>
      <c r="G5" s="65">
        <f t="shared" si="9"/>
        <v>1</v>
      </c>
      <c r="H5" s="65">
        <f t="shared" si="9"/>
        <v>1</v>
      </c>
      <c r="I5" s="65">
        <f t="shared" si="9"/>
        <v>1</v>
      </c>
      <c r="J5" s="65">
        <f t="shared" si="9"/>
        <v>1</v>
      </c>
      <c r="K5" s="65">
        <f t="shared" si="9"/>
        <v>1</v>
      </c>
      <c r="L5" s="65">
        <f t="shared" si="9"/>
        <v>1</v>
      </c>
      <c r="M5" s="65">
        <f t="shared" si="9"/>
        <v>1</v>
      </c>
      <c r="N5" s="65">
        <f t="shared" si="9"/>
        <v>1</v>
      </c>
      <c r="O5" s="65">
        <f t="shared" si="9"/>
        <v>1</v>
      </c>
      <c r="P5" s="124">
        <f>P31</f>
        <v>1</v>
      </c>
      <c r="Q5" s="116">
        <f t="shared" ref="Q5:AA5" si="10">Q31</f>
        <v>1</v>
      </c>
      <c r="R5" s="116">
        <f t="shared" si="10"/>
        <v>1</v>
      </c>
      <c r="S5" s="116">
        <f t="shared" si="10"/>
        <v>1</v>
      </c>
      <c r="T5" s="116">
        <f t="shared" si="10"/>
        <v>1.0424847737506902</v>
      </c>
      <c r="U5" s="116">
        <f t="shared" si="10"/>
        <v>1.0964699427499942</v>
      </c>
      <c r="V5" s="116">
        <f t="shared" si="10"/>
        <v>1.1536421845770319</v>
      </c>
      <c r="W5" s="116">
        <f t="shared" si="10"/>
        <v>1.2141763171995008</v>
      </c>
      <c r="X5" s="116">
        <f t="shared" si="10"/>
        <v>1.2782522336575668</v>
      </c>
      <c r="Y5" s="116">
        <f t="shared" si="10"/>
        <v>1.3460546874933135</v>
      </c>
      <c r="Z5" s="116">
        <f t="shared" si="10"/>
        <v>1.4177731112571581</v>
      </c>
      <c r="AA5" s="117">
        <f t="shared" si="10"/>
        <v>1.4936014801960069</v>
      </c>
      <c r="AB5" s="116">
        <f>AB31</f>
        <v>1.259065293004431</v>
      </c>
      <c r="AC5" s="116">
        <f t="shared" ref="AC5:AM5" si="11">AC31</f>
        <v>1.3254769961923902</v>
      </c>
      <c r="AD5" s="116">
        <f t="shared" si="11"/>
        <v>1.3955633575194537</v>
      </c>
      <c r="AE5" s="116">
        <f t="shared" si="11"/>
        <v>1.46949278775153</v>
      </c>
      <c r="AF5" s="116">
        <f t="shared" si="11"/>
        <v>1.5474377066163703</v>
      </c>
      <c r="AG5" s="116">
        <f t="shared" si="11"/>
        <v>1.6295745906013426</v>
      </c>
      <c r="AH5" s="116">
        <f t="shared" si="11"/>
        <v>1.7160840544499252</v>
      </c>
      <c r="AI5" s="116">
        <f t="shared" si="11"/>
        <v>1.8071509675571147</v>
      </c>
      <c r="AJ5" s="116">
        <f t="shared" si="11"/>
        <v>1.9029646057999976</v>
      </c>
      <c r="AK5" s="116">
        <f t="shared" si="11"/>
        <v>2.0037188387520053</v>
      </c>
      <c r="AL5" s="116">
        <f t="shared" si="11"/>
        <v>2.109612351736923</v>
      </c>
      <c r="AM5" s="117">
        <f t="shared" si="11"/>
        <v>2.2208489017932131</v>
      </c>
      <c r="AN5" s="124">
        <f>AN31</f>
        <v>2.3376376063443165</v>
      </c>
      <c r="AO5" s="116">
        <f t="shared" ref="AO5:AY5" si="12">AO31</f>
        <v>2.4541460658133301</v>
      </c>
      <c r="AP5" s="116">
        <f t="shared" si="12"/>
        <v>2.5761271989660961</v>
      </c>
      <c r="AQ5" s="116">
        <f t="shared" si="12"/>
        <v>2.7037900035320042</v>
      </c>
      <c r="AR5" s="116">
        <f t="shared" si="12"/>
        <v>2.837349746690137</v>
      </c>
      <c r="AS5" s="116">
        <f t="shared" si="12"/>
        <v>2.977028256550188</v>
      </c>
      <c r="AT5" s="116">
        <f t="shared" si="12"/>
        <v>3.1230542372062766</v>
      </c>
      <c r="AU5" s="116">
        <f t="shared" si="12"/>
        <v>3.2756636080359329</v>
      </c>
      <c r="AV5" s="116">
        <f t="shared" si="12"/>
        <v>3.4350998678588867</v>
      </c>
      <c r="AW5" s="116">
        <f t="shared" si="12"/>
        <v>3.6016144845138323</v>
      </c>
      <c r="AX5" s="116">
        <f t="shared" si="12"/>
        <v>3.7754673103564711</v>
      </c>
      <c r="AY5" s="117">
        <f t="shared" si="12"/>
        <v>3.9569270241297962</v>
      </c>
      <c r="AZ5" s="124">
        <f>AZ31</f>
        <v>4.1462715996083759</v>
      </c>
      <c r="BA5" s="116">
        <f t="shared" ref="BA5:BK5" si="13">BA31</f>
        <v>4.3467902005470087</v>
      </c>
      <c r="BB5" s="116">
        <f t="shared" si="13"/>
        <v>4.5561891642034551</v>
      </c>
      <c r="BC5" s="116">
        <f t="shared" si="13"/>
        <v>4.7748080362113194</v>
      </c>
      <c r="BD5" s="116">
        <f t="shared" si="13"/>
        <v>5.0029991091322188</v>
      </c>
      <c r="BE5" s="116">
        <f t="shared" si="13"/>
        <v>5.2411280667027631</v>
      </c>
      <c r="BF5" s="116">
        <f t="shared" si="13"/>
        <v>5.4895746605107032</v>
      </c>
      <c r="BG5" s="116">
        <f t="shared" si="13"/>
        <v>5.7487334196222015</v>
      </c>
      <c r="BH5" s="116">
        <f t="shared" si="13"/>
        <v>6.0190143936661666</v>
      </c>
      <c r="BI5" s="116">
        <f t="shared" si="13"/>
        <v>6.3008439298721353</v>
      </c>
      <c r="BJ5" s="116">
        <f t="shared" si="13"/>
        <v>6.5946654845562138</v>
      </c>
      <c r="BK5" s="117">
        <f t="shared" si="13"/>
        <v>6.9009404695551284</v>
      </c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</row>
    <row r="6" spans="1:78" s="59" customFormat="1" ht="14.25" hidden="1" customHeight="1" outlineLevel="1">
      <c r="A6" s="56"/>
      <c r="B6" s="73" t="s">
        <v>13</v>
      </c>
      <c r="C6" s="66"/>
      <c r="D6" s="65">
        <f>SUM(D2:D5)</f>
        <v>9</v>
      </c>
      <c r="E6" s="65">
        <f t="shared" ref="E6:O6" si="14">SUM(E2:E5)</f>
        <v>9</v>
      </c>
      <c r="F6" s="65">
        <f t="shared" si="14"/>
        <v>9</v>
      </c>
      <c r="G6" s="65">
        <f t="shared" si="14"/>
        <v>9</v>
      </c>
      <c r="H6" s="65">
        <f t="shared" si="14"/>
        <v>9</v>
      </c>
      <c r="I6" s="65">
        <f t="shared" si="14"/>
        <v>10</v>
      </c>
      <c r="J6" s="65">
        <f t="shared" si="14"/>
        <v>10</v>
      </c>
      <c r="K6" s="65">
        <f t="shared" si="14"/>
        <v>10</v>
      </c>
      <c r="L6" s="65">
        <f t="shared" si="14"/>
        <v>10</v>
      </c>
      <c r="M6" s="65">
        <f t="shared" si="14"/>
        <v>10</v>
      </c>
      <c r="N6" s="65">
        <f t="shared" si="14"/>
        <v>10</v>
      </c>
      <c r="O6" s="65">
        <f t="shared" si="14"/>
        <v>10</v>
      </c>
      <c r="P6" s="124">
        <f>SUM(P2:P5)</f>
        <v>10</v>
      </c>
      <c r="Q6" s="116">
        <f t="shared" ref="Q6" si="15">SUM(Q2:Q5)</f>
        <v>10</v>
      </c>
      <c r="R6" s="116">
        <f t="shared" ref="R6" si="16">SUM(R2:R5)</f>
        <v>11</v>
      </c>
      <c r="S6" s="116">
        <f t="shared" ref="S6" si="17">SUM(S2:S5)</f>
        <v>11</v>
      </c>
      <c r="T6" s="116">
        <f t="shared" ref="T6" si="18">SUM(T2:T5)</f>
        <v>11.04248477375069</v>
      </c>
      <c r="U6" s="116">
        <f t="shared" ref="U6" si="19">SUM(U2:U5)</f>
        <v>11.096469942749994</v>
      </c>
      <c r="V6" s="116">
        <f t="shared" ref="V6" si="20">SUM(V2:V5)</f>
        <v>11.153642184577032</v>
      </c>
      <c r="W6" s="116">
        <f t="shared" ref="W6" si="21">SUM(W2:W5)</f>
        <v>11.214176317199501</v>
      </c>
      <c r="X6" s="116">
        <f t="shared" ref="X6" si="22">SUM(X2:X5)</f>
        <v>12.278252233657566</v>
      </c>
      <c r="Y6" s="116">
        <f t="shared" ref="Y6" si="23">SUM(Y2:Y5)</f>
        <v>12.346054687493314</v>
      </c>
      <c r="Z6" s="116">
        <f t="shared" ref="Z6" si="24">SUM(Z2:Z5)</f>
        <v>12.417773111257159</v>
      </c>
      <c r="AA6" s="117">
        <f t="shared" ref="AA6" si="25">SUM(AA2:AA5)</f>
        <v>14.493601480196007</v>
      </c>
      <c r="AB6" s="116">
        <f>SUM(AB2:AB5)</f>
        <v>14.259065293004431</v>
      </c>
      <c r="AC6" s="116">
        <f t="shared" ref="AC6" si="26">SUM(AC2:AC5)</f>
        <v>14.325476996192391</v>
      </c>
      <c r="AD6" s="116">
        <f t="shared" ref="AD6" si="27">SUM(AD2:AD5)</f>
        <v>14.395563357519453</v>
      </c>
      <c r="AE6" s="116">
        <f t="shared" ref="AE6" si="28">SUM(AE2:AE5)</f>
        <v>15.46949278775153</v>
      </c>
      <c r="AF6" s="116">
        <f t="shared" ref="AF6" si="29">SUM(AF2:AF5)</f>
        <v>15.547437706616371</v>
      </c>
      <c r="AG6" s="116">
        <f t="shared" ref="AG6" si="30">SUM(AG2:AG5)</f>
        <v>15.629574590601342</v>
      </c>
      <c r="AH6" s="116">
        <f t="shared" ref="AH6" si="31">SUM(AH2:AH5)</f>
        <v>16.716084054449926</v>
      </c>
      <c r="AI6" s="116">
        <f t="shared" ref="AI6" si="32">SUM(AI2:AI5)</f>
        <v>16.807150967557114</v>
      </c>
      <c r="AJ6" s="116">
        <f t="shared" ref="AJ6" si="33">SUM(AJ2:AJ5)</f>
        <v>17.902964605799998</v>
      </c>
      <c r="AK6" s="116">
        <f t="shared" ref="AK6" si="34">SUM(AK2:AK5)</f>
        <v>18.003718838752004</v>
      </c>
      <c r="AL6" s="116">
        <f t="shared" ref="AL6" si="35">SUM(AL2:AL5)</f>
        <v>19.609612351736924</v>
      </c>
      <c r="AM6" s="117">
        <f t="shared" ref="AM6" si="36">SUM(AM2:AM5)</f>
        <v>19.720848901793214</v>
      </c>
      <c r="AN6" s="124">
        <f>SUM(AN2:AN5)</f>
        <v>21.837637606344316</v>
      </c>
      <c r="AO6" s="116">
        <f t="shared" ref="AO6" si="37">SUM(AO2:AO5)</f>
        <v>21.95414606581333</v>
      </c>
      <c r="AP6" s="116">
        <f t="shared" ref="AP6" si="38">SUM(AP2:AP5)</f>
        <v>23.076127198966095</v>
      </c>
      <c r="AQ6" s="116">
        <f t="shared" ref="AQ6" si="39">SUM(AQ2:AQ5)</f>
        <v>23.203790003532003</v>
      </c>
      <c r="AR6" s="116">
        <f t="shared" ref="AR6" si="40">SUM(AR2:AR5)</f>
        <v>24.337349746690137</v>
      </c>
      <c r="AS6" s="116">
        <f t="shared" ref="AS6" si="41">SUM(AS2:AS5)</f>
        <v>25.477028256550188</v>
      </c>
      <c r="AT6" s="116">
        <f t="shared" ref="AT6" si="42">SUM(AT2:AT5)</f>
        <v>25.623054237206276</v>
      </c>
      <c r="AU6" s="116">
        <f t="shared" ref="AU6" si="43">SUM(AU2:AU5)</f>
        <v>26.775663608035934</v>
      </c>
      <c r="AV6" s="116">
        <f t="shared" ref="AV6" si="44">SUM(AV2:AV5)</f>
        <v>28.935099867858888</v>
      </c>
      <c r="AW6" s="116">
        <f t="shared" ref="AW6" si="45">SUM(AW2:AW5)</f>
        <v>29.101614484513831</v>
      </c>
      <c r="AX6" s="116">
        <f t="shared" ref="AX6" si="46">SUM(AX2:AX5)</f>
        <v>30.775467310356472</v>
      </c>
      <c r="AY6" s="117">
        <f t="shared" ref="AY6" si="47">SUM(AY2:AY5)</f>
        <v>31.956927024129797</v>
      </c>
      <c r="AZ6" s="124">
        <f>SUM(AZ2:AZ5)</f>
        <v>33.146271599608376</v>
      </c>
      <c r="BA6" s="116">
        <f t="shared" ref="BA6" si="48">SUM(BA2:BA5)</f>
        <v>34.346790200547005</v>
      </c>
      <c r="BB6" s="116">
        <f t="shared" ref="BB6" si="49">SUM(BB2:BB5)</f>
        <v>35.556189164203452</v>
      </c>
      <c r="BC6" s="116">
        <f t="shared" ref="BC6" si="50">SUM(BC2:BC5)</f>
        <v>36.774808036211319</v>
      </c>
      <c r="BD6" s="116">
        <f t="shared" ref="BD6" si="51">SUM(BD2:BD5)</f>
        <v>38.002999109132219</v>
      </c>
      <c r="BE6" s="116">
        <f t="shared" ref="BE6" si="52">SUM(BE2:BE5)</f>
        <v>39.241128066702764</v>
      </c>
      <c r="BF6" s="116">
        <f t="shared" ref="BF6" si="53">SUM(BF2:BF5)</f>
        <v>40.489574660510705</v>
      </c>
      <c r="BG6" s="116">
        <f t="shared" ref="BG6" si="54">SUM(BG2:BG5)</f>
        <v>42.748733419622198</v>
      </c>
      <c r="BH6" s="116">
        <f t="shared" ref="BH6" si="55">SUM(BH2:BH5)</f>
        <v>45.019014393666168</v>
      </c>
      <c r="BI6" s="116">
        <f t="shared" ref="BI6" si="56">SUM(BI2:BI5)</f>
        <v>46.300843929872137</v>
      </c>
      <c r="BJ6" s="116">
        <f t="shared" ref="BJ6" si="57">SUM(BJ2:BJ5)</f>
        <v>47.594665484556216</v>
      </c>
      <c r="BK6" s="117">
        <f t="shared" ref="BK6" si="58">SUM(BK2:BK5)</f>
        <v>50.900940469555131</v>
      </c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</row>
    <row r="7" spans="1:78" s="59" customFormat="1" ht="14.25" customHeight="1" collapsed="1">
      <c r="A7" s="56"/>
      <c r="B7" s="67"/>
      <c r="C7" s="6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125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9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9"/>
      <c r="AN7" s="125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9"/>
      <c r="AZ7" s="125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9"/>
      <c r="BN7" s="57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8" s="64" customFormat="1" ht="15.75">
      <c r="A8" s="63" t="s">
        <v>48</v>
      </c>
      <c r="B8" s="1191" t="s">
        <v>119</v>
      </c>
      <c r="C8" s="430" t="s">
        <v>49</v>
      </c>
      <c r="D8" s="74" t="s">
        <v>1</v>
      </c>
      <c r="E8" s="74" t="s">
        <v>2</v>
      </c>
      <c r="F8" s="74" t="s">
        <v>3</v>
      </c>
      <c r="G8" s="74" t="s">
        <v>4</v>
      </c>
      <c r="H8" s="74" t="s">
        <v>5</v>
      </c>
      <c r="I8" s="74" t="s">
        <v>6</v>
      </c>
      <c r="J8" s="74" t="s">
        <v>7</v>
      </c>
      <c r="K8" s="74" t="s">
        <v>8</v>
      </c>
      <c r="L8" s="74" t="s">
        <v>50</v>
      </c>
      <c r="M8" s="74" t="s">
        <v>10</v>
      </c>
      <c r="N8" s="74" t="s">
        <v>11</v>
      </c>
      <c r="O8" s="74" t="s">
        <v>12</v>
      </c>
      <c r="P8" s="126" t="s">
        <v>1</v>
      </c>
      <c r="Q8" s="74" t="s">
        <v>2</v>
      </c>
      <c r="R8" s="74" t="s">
        <v>3</v>
      </c>
      <c r="S8" s="74" t="s">
        <v>4</v>
      </c>
      <c r="T8" s="74" t="s">
        <v>5</v>
      </c>
      <c r="U8" s="74" t="s">
        <v>6</v>
      </c>
      <c r="V8" s="74" t="s">
        <v>7</v>
      </c>
      <c r="W8" s="74" t="s">
        <v>8</v>
      </c>
      <c r="X8" s="74" t="s">
        <v>50</v>
      </c>
      <c r="Y8" s="74" t="s">
        <v>10</v>
      </c>
      <c r="Z8" s="74" t="s">
        <v>11</v>
      </c>
      <c r="AA8" s="120" t="s">
        <v>12</v>
      </c>
      <c r="AB8" s="74" t="s">
        <v>1</v>
      </c>
      <c r="AC8" s="74" t="s">
        <v>2</v>
      </c>
      <c r="AD8" s="74" t="s">
        <v>3</v>
      </c>
      <c r="AE8" s="74" t="s">
        <v>4</v>
      </c>
      <c r="AF8" s="74" t="s">
        <v>5</v>
      </c>
      <c r="AG8" s="74" t="s">
        <v>6</v>
      </c>
      <c r="AH8" s="74" t="s">
        <v>7</v>
      </c>
      <c r="AI8" s="74" t="s">
        <v>8</v>
      </c>
      <c r="AJ8" s="74" t="s">
        <v>50</v>
      </c>
      <c r="AK8" s="74" t="s">
        <v>10</v>
      </c>
      <c r="AL8" s="74" t="s">
        <v>11</v>
      </c>
      <c r="AM8" s="120" t="s">
        <v>12</v>
      </c>
      <c r="AN8" s="126" t="s">
        <v>1</v>
      </c>
      <c r="AO8" s="74" t="s">
        <v>2</v>
      </c>
      <c r="AP8" s="74" t="s">
        <v>3</v>
      </c>
      <c r="AQ8" s="74" t="s">
        <v>4</v>
      </c>
      <c r="AR8" s="74" t="s">
        <v>5</v>
      </c>
      <c r="AS8" s="74" t="s">
        <v>6</v>
      </c>
      <c r="AT8" s="74" t="s">
        <v>7</v>
      </c>
      <c r="AU8" s="74" t="s">
        <v>8</v>
      </c>
      <c r="AV8" s="74" t="s">
        <v>50</v>
      </c>
      <c r="AW8" s="74" t="s">
        <v>10</v>
      </c>
      <c r="AX8" s="74" t="s">
        <v>11</v>
      </c>
      <c r="AY8" s="120" t="s">
        <v>12</v>
      </c>
      <c r="AZ8" s="126" t="s">
        <v>1</v>
      </c>
      <c r="BA8" s="74" t="s">
        <v>2</v>
      </c>
      <c r="BB8" s="74" t="s">
        <v>3</v>
      </c>
      <c r="BC8" s="74" t="s">
        <v>4</v>
      </c>
      <c r="BD8" s="74" t="s">
        <v>5</v>
      </c>
      <c r="BE8" s="74" t="s">
        <v>6</v>
      </c>
      <c r="BF8" s="74" t="s">
        <v>7</v>
      </c>
      <c r="BG8" s="74" t="s">
        <v>8</v>
      </c>
      <c r="BH8" s="74" t="s">
        <v>50</v>
      </c>
      <c r="BI8" s="74" t="s">
        <v>10</v>
      </c>
      <c r="BJ8" s="74" t="s">
        <v>11</v>
      </c>
      <c r="BK8" s="120" t="s">
        <v>12</v>
      </c>
      <c r="BN8" s="74"/>
      <c r="BO8" s="74" t="s">
        <v>1</v>
      </c>
      <c r="BP8" s="74" t="s">
        <v>2</v>
      </c>
      <c r="BQ8" s="74" t="s">
        <v>3</v>
      </c>
      <c r="BR8" s="74" t="s">
        <v>4</v>
      </c>
      <c r="BS8" s="74" t="s">
        <v>5</v>
      </c>
      <c r="BT8" s="74" t="s">
        <v>6</v>
      </c>
      <c r="BU8" s="74" t="s">
        <v>7</v>
      </c>
      <c r="BV8" s="74" t="s">
        <v>8</v>
      </c>
      <c r="BW8" s="74" t="s">
        <v>50</v>
      </c>
      <c r="BX8" s="74" t="s">
        <v>10</v>
      </c>
      <c r="BY8" s="74" t="s">
        <v>11</v>
      </c>
      <c r="BZ8" s="74" t="s">
        <v>12</v>
      </c>
    </row>
    <row r="9" spans="1:78" hidden="1">
      <c r="A9" s="20" t="s">
        <v>51</v>
      </c>
      <c r="B9" s="69">
        <v>63800</v>
      </c>
      <c r="C9" s="69">
        <f>B9*0.26</f>
        <v>16588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127"/>
      <c r="Q9" s="70"/>
      <c r="R9" s="70"/>
      <c r="S9" s="70"/>
      <c r="T9" s="70"/>
      <c r="U9" s="70"/>
      <c r="V9" s="70"/>
      <c r="W9" s="70"/>
      <c r="X9" s="70"/>
      <c r="Y9" s="70"/>
      <c r="Z9" s="70"/>
      <c r="AA9" s="121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121"/>
      <c r="AN9" s="127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121"/>
      <c r="AZ9" s="127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121"/>
      <c r="BN9" s="69"/>
      <c r="BO9" s="71">
        <f t="shared" ref="BO9:BZ9" si="59">D9*0.26</f>
        <v>0</v>
      </c>
      <c r="BP9" s="71">
        <f t="shared" si="59"/>
        <v>0</v>
      </c>
      <c r="BQ9" s="71">
        <f t="shared" si="59"/>
        <v>0</v>
      </c>
      <c r="BR9" s="71">
        <f t="shared" si="59"/>
        <v>0</v>
      </c>
      <c r="BS9" s="71">
        <f t="shared" si="59"/>
        <v>0</v>
      </c>
      <c r="BT9" s="71">
        <f t="shared" si="59"/>
        <v>0</v>
      </c>
      <c r="BU9" s="71">
        <f t="shared" si="59"/>
        <v>0</v>
      </c>
      <c r="BV9" s="71">
        <f t="shared" si="59"/>
        <v>0</v>
      </c>
      <c r="BW9" s="71">
        <f t="shared" si="59"/>
        <v>0</v>
      </c>
      <c r="BX9" s="71">
        <f t="shared" si="59"/>
        <v>0</v>
      </c>
      <c r="BY9" s="71">
        <f t="shared" si="59"/>
        <v>0</v>
      </c>
      <c r="BZ9" s="71">
        <f t="shared" si="59"/>
        <v>0</v>
      </c>
    </row>
    <row r="10" spans="1:78" s="187" customFormat="1">
      <c r="A10" s="916"/>
      <c r="B10" s="900"/>
      <c r="C10" s="900"/>
      <c r="BN10" s="900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</row>
    <row r="11" spans="1:78" s="706" customFormat="1" ht="19.5" customHeight="1">
      <c r="A11" s="928" t="s">
        <v>251</v>
      </c>
      <c r="B11" s="929">
        <v>26000</v>
      </c>
      <c r="C11" s="929">
        <f>B11*0.26</f>
        <v>6760</v>
      </c>
      <c r="D11" s="929">
        <f>D12*(($C$11+$B$11)/12)</f>
        <v>2730</v>
      </c>
      <c r="E11" s="929">
        <f t="shared" ref="E11:O11" si="60">E12*(($C$11+$B$11)/12)</f>
        <v>2730</v>
      </c>
      <c r="F11" s="929">
        <f t="shared" si="60"/>
        <v>2730</v>
      </c>
      <c r="G11" s="929">
        <f t="shared" si="60"/>
        <v>2730</v>
      </c>
      <c r="H11" s="929">
        <f t="shared" si="60"/>
        <v>2730</v>
      </c>
      <c r="I11" s="929">
        <f t="shared" si="60"/>
        <v>2730</v>
      </c>
      <c r="J11" s="929">
        <f t="shared" si="60"/>
        <v>2730</v>
      </c>
      <c r="K11" s="929">
        <f t="shared" si="60"/>
        <v>2730</v>
      </c>
      <c r="L11" s="929">
        <f t="shared" si="60"/>
        <v>2730</v>
      </c>
      <c r="M11" s="929">
        <f t="shared" si="60"/>
        <v>2730</v>
      </c>
      <c r="N11" s="929">
        <f t="shared" si="60"/>
        <v>2730</v>
      </c>
      <c r="O11" s="929">
        <f t="shared" si="60"/>
        <v>2730</v>
      </c>
      <c r="P11" s="930">
        <f>P12*(($C$11+$B$11)/12)</f>
        <v>2730</v>
      </c>
      <c r="Q11" s="929">
        <f t="shared" ref="Q11" si="61">Q12*(($C$11+$B$11)/12)</f>
        <v>2730</v>
      </c>
      <c r="R11" s="929">
        <f t="shared" ref="R11" si="62">R12*(($C$11+$B$11)/12)</f>
        <v>5460</v>
      </c>
      <c r="S11" s="929">
        <f t="shared" ref="S11" si="63">S12*(($C$11+$B$11)/12)</f>
        <v>5460</v>
      </c>
      <c r="T11" s="929">
        <f t="shared" ref="T11" si="64">T12*(($C$11+$B$11)/12)</f>
        <v>5460</v>
      </c>
      <c r="U11" s="929">
        <f t="shared" ref="U11" si="65">U12*(($C$11+$B$11)/12)</f>
        <v>5460</v>
      </c>
      <c r="V11" s="929">
        <f t="shared" ref="V11" si="66">V12*(($C$11+$B$11)/12)</f>
        <v>5460</v>
      </c>
      <c r="W11" s="929">
        <f t="shared" ref="W11" si="67">W12*(($C$11+$B$11)/12)</f>
        <v>5460</v>
      </c>
      <c r="X11" s="929">
        <f t="shared" ref="X11" si="68">X12*(($C$11+$B$11)/12)</f>
        <v>5460</v>
      </c>
      <c r="Y11" s="929">
        <f t="shared" ref="Y11" si="69">Y12*(($C$11+$B$11)/12)</f>
        <v>5460</v>
      </c>
      <c r="Z11" s="929">
        <f t="shared" ref="Z11" si="70">Z12*(($C$11+$B$11)/12)</f>
        <v>5460</v>
      </c>
      <c r="AA11" s="931">
        <f t="shared" ref="AA11" si="71">AA12*(($C$11+$B$11)/12)</f>
        <v>8190</v>
      </c>
      <c r="AB11" s="929">
        <f>AB12*(($C$11+$B$11)/12)</f>
        <v>8190</v>
      </c>
      <c r="AC11" s="929">
        <f t="shared" ref="AC11" si="72">AC12*(($C$11+$B$11)/12)</f>
        <v>8190</v>
      </c>
      <c r="AD11" s="929">
        <f t="shared" ref="AD11" si="73">AD12*(($C$11+$B$11)/12)</f>
        <v>8190</v>
      </c>
      <c r="AE11" s="929">
        <f t="shared" ref="AE11" si="74">AE12*(($C$11+$B$11)/12)</f>
        <v>10920</v>
      </c>
      <c r="AF11" s="929">
        <f t="shared" ref="AF11" si="75">AF12*(($C$11+$B$11)/12)</f>
        <v>10920</v>
      </c>
      <c r="AG11" s="929">
        <f t="shared" ref="AG11" si="76">AG12*(($C$11+$B$11)/12)</f>
        <v>10920</v>
      </c>
      <c r="AH11" s="929">
        <f t="shared" ref="AH11" si="77">AH12*(($C$11+$B$11)/12)</f>
        <v>10920</v>
      </c>
      <c r="AI11" s="929">
        <f t="shared" ref="AI11" si="78">AI12*(($C$11+$B$11)/12)</f>
        <v>10920</v>
      </c>
      <c r="AJ11" s="929">
        <f t="shared" ref="AJ11" si="79">AJ12*(($C$11+$B$11)/12)</f>
        <v>13650</v>
      </c>
      <c r="AK11" s="929">
        <f t="shared" ref="AK11" si="80">AK12*(($C$11+$B$11)/12)</f>
        <v>13650</v>
      </c>
      <c r="AL11" s="929">
        <f t="shared" ref="AL11" si="81">AL12*(($C$11+$B$11)/12)</f>
        <v>13650</v>
      </c>
      <c r="AM11" s="931">
        <f t="shared" ref="AM11" si="82">AM12*(($C$11+$B$11)/12)</f>
        <v>13650</v>
      </c>
      <c r="AN11" s="930">
        <f>AN12*(($C$11+$B$11)/12)</f>
        <v>16380</v>
      </c>
      <c r="AO11" s="929">
        <f t="shared" ref="AO11" si="83">AO12*(($C$11+$B$11)/12)</f>
        <v>16380</v>
      </c>
      <c r="AP11" s="929">
        <f t="shared" ref="AP11" si="84">AP12*(($C$11+$B$11)/12)</f>
        <v>19110</v>
      </c>
      <c r="AQ11" s="929">
        <f t="shared" ref="AQ11" si="85">AQ12*(($C$11+$B$11)/12)</f>
        <v>19110</v>
      </c>
      <c r="AR11" s="929">
        <f t="shared" ref="AR11" si="86">AR12*(($C$11+$B$11)/12)</f>
        <v>19110</v>
      </c>
      <c r="AS11" s="929">
        <f t="shared" ref="AS11" si="87">AS12*(($C$11+$B$11)/12)</f>
        <v>21840</v>
      </c>
      <c r="AT11" s="929">
        <f t="shared" ref="AT11" si="88">AT12*(($C$11+$B$11)/12)</f>
        <v>21840</v>
      </c>
      <c r="AU11" s="929">
        <f t="shared" ref="AU11" si="89">AU12*(($C$11+$B$11)/12)</f>
        <v>21840</v>
      </c>
      <c r="AV11" s="929">
        <f t="shared" ref="AV11" si="90">AV12*(($C$11+$B$11)/12)</f>
        <v>24570</v>
      </c>
      <c r="AW11" s="929">
        <f t="shared" ref="AW11" si="91">AW12*(($C$11+$B$11)/12)</f>
        <v>24570</v>
      </c>
      <c r="AX11" s="929">
        <f t="shared" ref="AX11" si="92">AX12*(($C$11+$B$11)/12)</f>
        <v>27300</v>
      </c>
      <c r="AY11" s="931">
        <f t="shared" ref="AY11" si="93">AY12*(($C$11+$B$11)/12)</f>
        <v>27300</v>
      </c>
      <c r="AZ11" s="930">
        <f>AZ12*(($C$11+$B$11)/12)</f>
        <v>30030</v>
      </c>
      <c r="BA11" s="929">
        <f t="shared" ref="BA11" si="94">BA12*(($C$11+$B$11)/12)</f>
        <v>30030</v>
      </c>
      <c r="BB11" s="929">
        <f t="shared" ref="BB11" si="95">BB12*(($C$11+$B$11)/12)</f>
        <v>32760</v>
      </c>
      <c r="BC11" s="929">
        <f t="shared" ref="BC11" si="96">BC12*(($C$11+$B$11)/12)</f>
        <v>35490</v>
      </c>
      <c r="BD11" s="929">
        <f t="shared" ref="BD11" si="97">BD12*(($C$11+$B$11)/12)</f>
        <v>35490</v>
      </c>
      <c r="BE11" s="929">
        <f t="shared" ref="BE11" si="98">BE12*(($C$11+$B$11)/12)</f>
        <v>38220</v>
      </c>
      <c r="BF11" s="929">
        <f t="shared" ref="BF11" si="99">BF12*(($C$11+$B$11)/12)</f>
        <v>38220</v>
      </c>
      <c r="BG11" s="929">
        <f t="shared" ref="BG11" si="100">BG12*(($C$11+$B$11)/12)</f>
        <v>40950</v>
      </c>
      <c r="BH11" s="929">
        <f t="shared" ref="BH11" si="101">BH12*(($C$11+$B$11)/12)</f>
        <v>43680</v>
      </c>
      <c r="BI11" s="929">
        <f t="shared" ref="BI11" si="102">BI12*(($C$11+$B$11)/12)</f>
        <v>46410</v>
      </c>
      <c r="BJ11" s="929">
        <f t="shared" ref="BJ11" si="103">BJ12*(($C$11+$B$11)/12)</f>
        <v>46410</v>
      </c>
      <c r="BK11" s="931">
        <f t="shared" ref="BK11" si="104">BK12*(($C$11+$B$11)/12)</f>
        <v>51870</v>
      </c>
      <c r="BN11" s="929"/>
      <c r="BO11" s="705"/>
      <c r="BP11" s="705"/>
      <c r="BQ11" s="705"/>
      <c r="BR11" s="705"/>
      <c r="BS11" s="705"/>
      <c r="BT11" s="705"/>
      <c r="BU11" s="705"/>
      <c r="BV11" s="705"/>
      <c r="BW11" s="705"/>
      <c r="BX11" s="705"/>
      <c r="BY11" s="705"/>
      <c r="BZ11" s="705"/>
    </row>
    <row r="12" spans="1:78" s="716" customFormat="1">
      <c r="A12" s="932" t="s">
        <v>123</v>
      </c>
      <c r="B12" s="933"/>
      <c r="C12" s="933"/>
      <c r="D12" s="934">
        <f t="shared" ref="D12:AI12" si="105">ROUND(D26*(3/5),0)</f>
        <v>1</v>
      </c>
      <c r="E12" s="934">
        <f t="shared" si="105"/>
        <v>1</v>
      </c>
      <c r="F12" s="934">
        <f t="shared" si="105"/>
        <v>1</v>
      </c>
      <c r="G12" s="934">
        <f t="shared" si="105"/>
        <v>1</v>
      </c>
      <c r="H12" s="934">
        <f t="shared" si="105"/>
        <v>1</v>
      </c>
      <c r="I12" s="934">
        <f t="shared" si="105"/>
        <v>1</v>
      </c>
      <c r="J12" s="934">
        <f t="shared" si="105"/>
        <v>1</v>
      </c>
      <c r="K12" s="934">
        <f t="shared" si="105"/>
        <v>1</v>
      </c>
      <c r="L12" s="934">
        <f t="shared" si="105"/>
        <v>1</v>
      </c>
      <c r="M12" s="934">
        <f t="shared" si="105"/>
        <v>1</v>
      </c>
      <c r="N12" s="934">
        <f t="shared" si="105"/>
        <v>1</v>
      </c>
      <c r="O12" s="934">
        <f t="shared" si="105"/>
        <v>1</v>
      </c>
      <c r="P12" s="935">
        <f t="shared" si="105"/>
        <v>1</v>
      </c>
      <c r="Q12" s="934">
        <f t="shared" si="105"/>
        <v>1</v>
      </c>
      <c r="R12" s="934">
        <f t="shared" si="105"/>
        <v>2</v>
      </c>
      <c r="S12" s="934">
        <f t="shared" si="105"/>
        <v>2</v>
      </c>
      <c r="T12" s="934">
        <f t="shared" si="105"/>
        <v>2</v>
      </c>
      <c r="U12" s="934">
        <f t="shared" si="105"/>
        <v>2</v>
      </c>
      <c r="V12" s="934">
        <f t="shared" si="105"/>
        <v>2</v>
      </c>
      <c r="W12" s="934">
        <f t="shared" si="105"/>
        <v>2</v>
      </c>
      <c r="X12" s="934">
        <f t="shared" si="105"/>
        <v>2</v>
      </c>
      <c r="Y12" s="934">
        <f t="shared" si="105"/>
        <v>2</v>
      </c>
      <c r="Z12" s="934">
        <f t="shared" si="105"/>
        <v>2</v>
      </c>
      <c r="AA12" s="936">
        <f t="shared" si="105"/>
        <v>3</v>
      </c>
      <c r="AB12" s="934">
        <f t="shared" si="105"/>
        <v>3</v>
      </c>
      <c r="AC12" s="934">
        <f t="shared" si="105"/>
        <v>3</v>
      </c>
      <c r="AD12" s="934">
        <f t="shared" si="105"/>
        <v>3</v>
      </c>
      <c r="AE12" s="934">
        <f t="shared" si="105"/>
        <v>4</v>
      </c>
      <c r="AF12" s="934">
        <f t="shared" si="105"/>
        <v>4</v>
      </c>
      <c r="AG12" s="934">
        <f t="shared" si="105"/>
        <v>4</v>
      </c>
      <c r="AH12" s="934">
        <f t="shared" si="105"/>
        <v>4</v>
      </c>
      <c r="AI12" s="934">
        <f t="shared" si="105"/>
        <v>4</v>
      </c>
      <c r="AJ12" s="934">
        <f t="shared" ref="AJ12:BK12" si="106">ROUND(AJ26*(3/5),0)</f>
        <v>5</v>
      </c>
      <c r="AK12" s="934">
        <f t="shared" si="106"/>
        <v>5</v>
      </c>
      <c r="AL12" s="934">
        <f t="shared" si="106"/>
        <v>5</v>
      </c>
      <c r="AM12" s="936">
        <f t="shared" si="106"/>
        <v>5</v>
      </c>
      <c r="AN12" s="935">
        <f t="shared" si="106"/>
        <v>6</v>
      </c>
      <c r="AO12" s="934">
        <f t="shared" si="106"/>
        <v>6</v>
      </c>
      <c r="AP12" s="934">
        <f t="shared" si="106"/>
        <v>7</v>
      </c>
      <c r="AQ12" s="934">
        <f t="shared" si="106"/>
        <v>7</v>
      </c>
      <c r="AR12" s="934">
        <f t="shared" si="106"/>
        <v>7</v>
      </c>
      <c r="AS12" s="934">
        <f t="shared" si="106"/>
        <v>8</v>
      </c>
      <c r="AT12" s="934">
        <f t="shared" si="106"/>
        <v>8</v>
      </c>
      <c r="AU12" s="934">
        <f t="shared" si="106"/>
        <v>8</v>
      </c>
      <c r="AV12" s="934">
        <f t="shared" si="106"/>
        <v>9</v>
      </c>
      <c r="AW12" s="934">
        <f t="shared" si="106"/>
        <v>9</v>
      </c>
      <c r="AX12" s="934">
        <f t="shared" si="106"/>
        <v>10</v>
      </c>
      <c r="AY12" s="936">
        <f t="shared" si="106"/>
        <v>10</v>
      </c>
      <c r="AZ12" s="935">
        <f t="shared" si="106"/>
        <v>11</v>
      </c>
      <c r="BA12" s="934">
        <f t="shared" si="106"/>
        <v>11</v>
      </c>
      <c r="BB12" s="934">
        <f t="shared" si="106"/>
        <v>12</v>
      </c>
      <c r="BC12" s="934">
        <f t="shared" si="106"/>
        <v>13</v>
      </c>
      <c r="BD12" s="934">
        <f t="shared" si="106"/>
        <v>13</v>
      </c>
      <c r="BE12" s="934">
        <f t="shared" si="106"/>
        <v>14</v>
      </c>
      <c r="BF12" s="934">
        <f t="shared" si="106"/>
        <v>14</v>
      </c>
      <c r="BG12" s="934">
        <f t="shared" si="106"/>
        <v>15</v>
      </c>
      <c r="BH12" s="934">
        <f t="shared" si="106"/>
        <v>16</v>
      </c>
      <c r="BI12" s="934">
        <f t="shared" si="106"/>
        <v>17</v>
      </c>
      <c r="BJ12" s="934">
        <f t="shared" si="106"/>
        <v>17</v>
      </c>
      <c r="BK12" s="936">
        <f t="shared" si="106"/>
        <v>19</v>
      </c>
      <c r="BN12" s="933"/>
      <c r="BO12" s="715"/>
      <c r="BP12" s="715"/>
      <c r="BQ12" s="715"/>
      <c r="BR12" s="715"/>
      <c r="BS12" s="715"/>
      <c r="BT12" s="715"/>
      <c r="BU12" s="715"/>
      <c r="BV12" s="715"/>
      <c r="BW12" s="715"/>
      <c r="BX12" s="715"/>
      <c r="BY12" s="715"/>
      <c r="BZ12" s="715"/>
    </row>
    <row r="13" spans="1:78" s="529" customFormat="1" ht="9" customHeight="1">
      <c r="A13" s="937"/>
      <c r="B13" s="912"/>
      <c r="C13" s="91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1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3"/>
      <c r="AB13" s="902"/>
      <c r="AC13" s="902"/>
      <c r="AD13" s="902"/>
      <c r="AE13" s="902"/>
      <c r="AF13" s="902"/>
      <c r="AG13" s="902"/>
      <c r="AH13" s="902"/>
      <c r="AI13" s="902"/>
      <c r="AJ13" s="902"/>
      <c r="AK13" s="902"/>
      <c r="AL13" s="902"/>
      <c r="AM13" s="903"/>
      <c r="AN13" s="901"/>
      <c r="AO13" s="902"/>
      <c r="AP13" s="902"/>
      <c r="AQ13" s="902"/>
      <c r="AR13" s="902"/>
      <c r="AS13" s="902"/>
      <c r="AT13" s="902"/>
      <c r="AU13" s="902"/>
      <c r="AV13" s="902"/>
      <c r="AW13" s="902"/>
      <c r="AX13" s="902"/>
      <c r="AY13" s="903"/>
      <c r="AZ13" s="901"/>
      <c r="BA13" s="902"/>
      <c r="BB13" s="902"/>
      <c r="BC13" s="902"/>
      <c r="BD13" s="902"/>
      <c r="BE13" s="902"/>
      <c r="BF13" s="902"/>
      <c r="BG13" s="902"/>
      <c r="BH13" s="902"/>
      <c r="BI13" s="902"/>
      <c r="BJ13" s="902"/>
      <c r="BK13" s="903"/>
      <c r="BN13" s="912"/>
      <c r="BO13" s="898"/>
      <c r="BP13" s="898"/>
      <c r="BQ13" s="898"/>
      <c r="BR13" s="898"/>
      <c r="BS13" s="898"/>
      <c r="BT13" s="898"/>
      <c r="BU13" s="898"/>
      <c r="BV13" s="898"/>
      <c r="BW13" s="898"/>
      <c r="BX13" s="898"/>
      <c r="BY13" s="898"/>
      <c r="BZ13" s="898"/>
    </row>
    <row r="14" spans="1:78" s="706" customFormat="1" ht="26.25" customHeight="1">
      <c r="A14" s="928" t="s">
        <v>252</v>
      </c>
      <c r="B14" s="929">
        <v>36000</v>
      </c>
      <c r="C14" s="929">
        <f>B14*0.26</f>
        <v>9360</v>
      </c>
      <c r="D14" s="929">
        <f>(($B$14+$C$14)/12)*D15</f>
        <v>0</v>
      </c>
      <c r="E14" s="929">
        <f t="shared" ref="E14:O14" si="107">(($B$14+$C$14)/12)*E15</f>
        <v>0</v>
      </c>
      <c r="F14" s="929">
        <f t="shared" si="107"/>
        <v>0</v>
      </c>
      <c r="G14" s="929">
        <f t="shared" si="107"/>
        <v>0</v>
      </c>
      <c r="H14" s="929">
        <f t="shared" si="107"/>
        <v>0</v>
      </c>
      <c r="I14" s="929">
        <f t="shared" si="107"/>
        <v>3780</v>
      </c>
      <c r="J14" s="929">
        <f t="shared" si="107"/>
        <v>3780</v>
      </c>
      <c r="K14" s="929">
        <f t="shared" si="107"/>
        <v>3780</v>
      </c>
      <c r="L14" s="929">
        <f t="shared" si="107"/>
        <v>3780</v>
      </c>
      <c r="M14" s="929">
        <f t="shared" si="107"/>
        <v>3780</v>
      </c>
      <c r="N14" s="929">
        <f t="shared" si="107"/>
        <v>3780</v>
      </c>
      <c r="O14" s="929">
        <f t="shared" si="107"/>
        <v>3780</v>
      </c>
      <c r="P14" s="930">
        <f>(($B$14+$C$14)/12)*P15</f>
        <v>3780</v>
      </c>
      <c r="Q14" s="929">
        <f t="shared" ref="Q14" si="108">(($B$14+$C$14)/12)*Q15</f>
        <v>3780</v>
      </c>
      <c r="R14" s="929">
        <f t="shared" ref="R14" si="109">(($B$14+$C$14)/12)*R15</f>
        <v>3780</v>
      </c>
      <c r="S14" s="929">
        <f t="shared" ref="S14" si="110">(($B$14+$C$14)/12)*S15</f>
        <v>3780</v>
      </c>
      <c r="T14" s="929">
        <f t="shared" ref="T14" si="111">(($B$14+$C$14)/12)*T15</f>
        <v>3780</v>
      </c>
      <c r="U14" s="929">
        <f t="shared" ref="U14" si="112">(($B$14+$C$14)/12)*U15</f>
        <v>3780</v>
      </c>
      <c r="V14" s="929">
        <f t="shared" ref="V14" si="113">(($B$14+$C$14)/12)*V15</f>
        <v>3780</v>
      </c>
      <c r="W14" s="929">
        <f t="shared" ref="W14" si="114">(($B$14+$C$14)/12)*W15</f>
        <v>3780</v>
      </c>
      <c r="X14" s="929">
        <f t="shared" ref="X14" si="115">(($B$14+$C$14)/12)*X15</f>
        <v>7560</v>
      </c>
      <c r="Y14" s="929">
        <f t="shared" ref="Y14" si="116">(($B$14+$C$14)/12)*Y15</f>
        <v>7560</v>
      </c>
      <c r="Z14" s="929">
        <f t="shared" ref="Z14" si="117">(($B$14+$C$14)/12)*Z15</f>
        <v>7560</v>
      </c>
      <c r="AA14" s="931">
        <f t="shared" ref="AA14" si="118">(($B$14+$C$14)/12)*AA15</f>
        <v>7560</v>
      </c>
      <c r="AB14" s="929">
        <f>(($B$14+$C$14)/12)*AB15</f>
        <v>7560</v>
      </c>
      <c r="AC14" s="929">
        <f t="shared" ref="AC14" si="119">(($B$14+$C$14)/12)*AC15</f>
        <v>7560</v>
      </c>
      <c r="AD14" s="929">
        <f t="shared" ref="AD14" si="120">(($B$14+$C$14)/12)*AD15</f>
        <v>7560</v>
      </c>
      <c r="AE14" s="929">
        <f t="shared" ref="AE14" si="121">(($B$14+$C$14)/12)*AE15</f>
        <v>7560</v>
      </c>
      <c r="AF14" s="929">
        <f t="shared" ref="AF14" si="122">(($B$14+$C$14)/12)*AF15</f>
        <v>7560</v>
      </c>
      <c r="AG14" s="929">
        <f t="shared" ref="AG14" si="123">(($B$14+$C$14)/12)*AG15</f>
        <v>7560</v>
      </c>
      <c r="AH14" s="929">
        <f t="shared" ref="AH14" si="124">(($B$14+$C$14)/12)*AH15</f>
        <v>11340</v>
      </c>
      <c r="AI14" s="929">
        <f t="shared" ref="AI14" si="125">(($B$14+$C$14)/12)*AI15</f>
        <v>11340</v>
      </c>
      <c r="AJ14" s="929">
        <f t="shared" ref="AJ14" si="126">(($B$14+$C$14)/12)*AJ15</f>
        <v>11340</v>
      </c>
      <c r="AK14" s="929">
        <f t="shared" ref="AK14" si="127">(($B$14+$C$14)/12)*AK15</f>
        <v>11340</v>
      </c>
      <c r="AL14" s="929">
        <f t="shared" ref="AL14" si="128">(($B$14+$C$14)/12)*AL15</f>
        <v>15120</v>
      </c>
      <c r="AM14" s="931">
        <f t="shared" ref="AM14" si="129">(($B$14+$C$14)/12)*AM15</f>
        <v>15120</v>
      </c>
      <c r="AN14" s="930">
        <f>(($B$14+$C$14)/12)*AN15</f>
        <v>15120</v>
      </c>
      <c r="AO14" s="929">
        <f t="shared" ref="AO14" si="130">(($B$14+$C$14)/12)*AO15</f>
        <v>15120</v>
      </c>
      <c r="AP14" s="929">
        <f t="shared" ref="AP14" si="131">(($B$14+$C$14)/12)*AP15</f>
        <v>15120</v>
      </c>
      <c r="AQ14" s="929">
        <f t="shared" ref="AQ14" si="132">(($B$14+$C$14)/12)*AQ15</f>
        <v>15120</v>
      </c>
      <c r="AR14" s="929">
        <f t="shared" ref="AR14" si="133">(($B$14+$C$14)/12)*AR15</f>
        <v>18900</v>
      </c>
      <c r="AS14" s="929">
        <f t="shared" ref="AS14" si="134">(($B$14+$C$14)/12)*AS15</f>
        <v>18900</v>
      </c>
      <c r="AT14" s="929">
        <f t="shared" ref="AT14" si="135">(($B$14+$C$14)/12)*AT15</f>
        <v>18900</v>
      </c>
      <c r="AU14" s="929">
        <f t="shared" ref="AU14" si="136">(($B$14+$C$14)/12)*AU15</f>
        <v>22680</v>
      </c>
      <c r="AV14" s="929">
        <f t="shared" ref="AV14" si="137">(($B$14+$C$14)/12)*AV15</f>
        <v>22680</v>
      </c>
      <c r="AW14" s="929">
        <f t="shared" ref="AW14" si="138">(($B$14+$C$14)/12)*AW15</f>
        <v>22680</v>
      </c>
      <c r="AX14" s="929">
        <f t="shared" ref="AX14" si="139">(($B$14+$C$14)/12)*AX15</f>
        <v>22680</v>
      </c>
      <c r="AY14" s="931">
        <f t="shared" ref="AY14" si="140">(($B$14+$C$14)/12)*AY15</f>
        <v>26460</v>
      </c>
      <c r="AZ14" s="930">
        <f>(($B$14+$C$14)/12)*AZ15</f>
        <v>26460</v>
      </c>
      <c r="BA14" s="929">
        <f t="shared" ref="BA14" si="141">(($B$14+$C$14)/12)*BA15</f>
        <v>30240</v>
      </c>
      <c r="BB14" s="929">
        <f t="shared" ref="BB14" si="142">(($B$14+$C$14)/12)*BB15</f>
        <v>30240</v>
      </c>
      <c r="BC14" s="929">
        <f t="shared" ref="BC14" si="143">(($B$14+$C$14)/12)*BC15</f>
        <v>30240</v>
      </c>
      <c r="BD14" s="929">
        <f t="shared" ref="BD14" si="144">(($B$14+$C$14)/12)*BD15</f>
        <v>34020</v>
      </c>
      <c r="BE14" s="929">
        <f t="shared" ref="BE14" si="145">(($B$14+$C$14)/12)*BE15</f>
        <v>34020</v>
      </c>
      <c r="BF14" s="929">
        <f t="shared" ref="BF14" si="146">(($B$14+$C$14)/12)*BF15</f>
        <v>37800</v>
      </c>
      <c r="BG14" s="929">
        <f t="shared" ref="BG14" si="147">(($B$14+$C$14)/12)*BG15</f>
        <v>37800</v>
      </c>
      <c r="BH14" s="929">
        <f t="shared" ref="BH14" si="148">(($B$14+$C$14)/12)*BH15</f>
        <v>41580</v>
      </c>
      <c r="BI14" s="929">
        <f t="shared" ref="BI14" si="149">(($B$14+$C$14)/12)*BI15</f>
        <v>41580</v>
      </c>
      <c r="BJ14" s="929">
        <f t="shared" ref="BJ14" si="150">(($B$14+$C$14)/12)*BJ15</f>
        <v>45360</v>
      </c>
      <c r="BK14" s="931">
        <f t="shared" ref="BK14" si="151">(($B$14+$C$14)/12)*BK15</f>
        <v>45360</v>
      </c>
      <c r="BN14" s="929"/>
      <c r="BO14" s="705"/>
      <c r="BP14" s="705"/>
      <c r="BQ14" s="705"/>
      <c r="BR14" s="705"/>
      <c r="BS14" s="705"/>
      <c r="BT14" s="705"/>
      <c r="BU14" s="705"/>
      <c r="BV14" s="705"/>
      <c r="BW14" s="705"/>
      <c r="BX14" s="705"/>
      <c r="BY14" s="705"/>
      <c r="BZ14" s="705"/>
    </row>
    <row r="15" spans="1:78" s="716" customFormat="1" ht="13.5" customHeight="1">
      <c r="A15" s="932" t="s">
        <v>123</v>
      </c>
      <c r="B15" s="933"/>
      <c r="C15" s="933"/>
      <c r="D15" s="934">
        <f t="shared" ref="D15:AI15" si="152">ROUND(D26*(2/5),0)</f>
        <v>0</v>
      </c>
      <c r="E15" s="934">
        <f t="shared" si="152"/>
        <v>0</v>
      </c>
      <c r="F15" s="934">
        <f t="shared" si="152"/>
        <v>0</v>
      </c>
      <c r="G15" s="934">
        <f t="shared" si="152"/>
        <v>0</v>
      </c>
      <c r="H15" s="934">
        <f t="shared" si="152"/>
        <v>0</v>
      </c>
      <c r="I15" s="934">
        <f t="shared" si="152"/>
        <v>1</v>
      </c>
      <c r="J15" s="934">
        <f t="shared" si="152"/>
        <v>1</v>
      </c>
      <c r="K15" s="934">
        <f t="shared" si="152"/>
        <v>1</v>
      </c>
      <c r="L15" s="934">
        <f t="shared" si="152"/>
        <v>1</v>
      </c>
      <c r="M15" s="934">
        <f t="shared" si="152"/>
        <v>1</v>
      </c>
      <c r="N15" s="934">
        <f t="shared" si="152"/>
        <v>1</v>
      </c>
      <c r="O15" s="934">
        <f t="shared" si="152"/>
        <v>1</v>
      </c>
      <c r="P15" s="935">
        <f t="shared" si="152"/>
        <v>1</v>
      </c>
      <c r="Q15" s="934">
        <f t="shared" si="152"/>
        <v>1</v>
      </c>
      <c r="R15" s="934">
        <f t="shared" si="152"/>
        <v>1</v>
      </c>
      <c r="S15" s="934">
        <f t="shared" si="152"/>
        <v>1</v>
      </c>
      <c r="T15" s="934">
        <f t="shared" si="152"/>
        <v>1</v>
      </c>
      <c r="U15" s="934">
        <f t="shared" si="152"/>
        <v>1</v>
      </c>
      <c r="V15" s="934">
        <f t="shared" si="152"/>
        <v>1</v>
      </c>
      <c r="W15" s="934">
        <f t="shared" si="152"/>
        <v>1</v>
      </c>
      <c r="X15" s="934">
        <f t="shared" si="152"/>
        <v>2</v>
      </c>
      <c r="Y15" s="934">
        <f t="shared" si="152"/>
        <v>2</v>
      </c>
      <c r="Z15" s="934">
        <f t="shared" si="152"/>
        <v>2</v>
      </c>
      <c r="AA15" s="936">
        <f t="shared" si="152"/>
        <v>2</v>
      </c>
      <c r="AB15" s="934">
        <f t="shared" si="152"/>
        <v>2</v>
      </c>
      <c r="AC15" s="934">
        <f t="shared" si="152"/>
        <v>2</v>
      </c>
      <c r="AD15" s="934">
        <f t="shared" si="152"/>
        <v>2</v>
      </c>
      <c r="AE15" s="934">
        <f t="shared" si="152"/>
        <v>2</v>
      </c>
      <c r="AF15" s="934">
        <f t="shared" si="152"/>
        <v>2</v>
      </c>
      <c r="AG15" s="934">
        <f t="shared" si="152"/>
        <v>2</v>
      </c>
      <c r="AH15" s="934">
        <f t="shared" si="152"/>
        <v>3</v>
      </c>
      <c r="AI15" s="934">
        <f t="shared" si="152"/>
        <v>3</v>
      </c>
      <c r="AJ15" s="934">
        <f t="shared" ref="AJ15:BK15" si="153">ROUND(AJ26*(2/5),0)</f>
        <v>3</v>
      </c>
      <c r="AK15" s="934">
        <f t="shared" si="153"/>
        <v>3</v>
      </c>
      <c r="AL15" s="934">
        <f t="shared" si="153"/>
        <v>4</v>
      </c>
      <c r="AM15" s="936">
        <f t="shared" si="153"/>
        <v>4</v>
      </c>
      <c r="AN15" s="935">
        <f t="shared" si="153"/>
        <v>4</v>
      </c>
      <c r="AO15" s="934">
        <f t="shared" si="153"/>
        <v>4</v>
      </c>
      <c r="AP15" s="934">
        <f t="shared" si="153"/>
        <v>4</v>
      </c>
      <c r="AQ15" s="934">
        <f t="shared" si="153"/>
        <v>4</v>
      </c>
      <c r="AR15" s="934">
        <f t="shared" si="153"/>
        <v>5</v>
      </c>
      <c r="AS15" s="934">
        <f t="shared" si="153"/>
        <v>5</v>
      </c>
      <c r="AT15" s="934">
        <f t="shared" si="153"/>
        <v>5</v>
      </c>
      <c r="AU15" s="934">
        <f t="shared" si="153"/>
        <v>6</v>
      </c>
      <c r="AV15" s="934">
        <f t="shared" si="153"/>
        <v>6</v>
      </c>
      <c r="AW15" s="934">
        <f t="shared" si="153"/>
        <v>6</v>
      </c>
      <c r="AX15" s="934">
        <f t="shared" si="153"/>
        <v>6</v>
      </c>
      <c r="AY15" s="936">
        <f t="shared" si="153"/>
        <v>7</v>
      </c>
      <c r="AZ15" s="935">
        <f t="shared" si="153"/>
        <v>7</v>
      </c>
      <c r="BA15" s="934">
        <f t="shared" si="153"/>
        <v>8</v>
      </c>
      <c r="BB15" s="934">
        <f t="shared" si="153"/>
        <v>8</v>
      </c>
      <c r="BC15" s="934">
        <f t="shared" si="153"/>
        <v>8</v>
      </c>
      <c r="BD15" s="934">
        <f t="shared" si="153"/>
        <v>9</v>
      </c>
      <c r="BE15" s="934">
        <f t="shared" si="153"/>
        <v>9</v>
      </c>
      <c r="BF15" s="934">
        <f t="shared" si="153"/>
        <v>10</v>
      </c>
      <c r="BG15" s="934">
        <f t="shared" si="153"/>
        <v>10</v>
      </c>
      <c r="BH15" s="934">
        <f t="shared" si="153"/>
        <v>11</v>
      </c>
      <c r="BI15" s="934">
        <f t="shared" si="153"/>
        <v>11</v>
      </c>
      <c r="BJ15" s="934">
        <f t="shared" si="153"/>
        <v>12</v>
      </c>
      <c r="BK15" s="936">
        <f t="shared" si="153"/>
        <v>12</v>
      </c>
      <c r="BN15" s="933"/>
      <c r="BO15" s="715"/>
      <c r="BP15" s="715"/>
      <c r="BQ15" s="715"/>
      <c r="BR15" s="715"/>
      <c r="BS15" s="715"/>
      <c r="BT15" s="715"/>
      <c r="BU15" s="715"/>
      <c r="BV15" s="715"/>
      <c r="BW15" s="715"/>
      <c r="BX15" s="715"/>
      <c r="BY15" s="715"/>
      <c r="BZ15" s="715"/>
    </row>
    <row r="16" spans="1:78" s="905" customFormat="1" ht="16.5" customHeight="1">
      <c r="B16" s="906"/>
      <c r="C16" s="938" t="s">
        <v>371</v>
      </c>
      <c r="D16" s="906">
        <f t="shared" ref="D16:O16" si="154">D11+D14</f>
        <v>2730</v>
      </c>
      <c r="E16" s="906">
        <f t="shared" si="154"/>
        <v>2730</v>
      </c>
      <c r="F16" s="906">
        <f t="shared" si="154"/>
        <v>2730</v>
      </c>
      <c r="G16" s="906">
        <f t="shared" si="154"/>
        <v>2730</v>
      </c>
      <c r="H16" s="906">
        <f t="shared" si="154"/>
        <v>2730</v>
      </c>
      <c r="I16" s="906">
        <f t="shared" si="154"/>
        <v>6510</v>
      </c>
      <c r="J16" s="906">
        <f t="shared" si="154"/>
        <v>6510</v>
      </c>
      <c r="K16" s="906">
        <f t="shared" si="154"/>
        <v>6510</v>
      </c>
      <c r="L16" s="906">
        <f t="shared" si="154"/>
        <v>6510</v>
      </c>
      <c r="M16" s="906">
        <f t="shared" si="154"/>
        <v>6510</v>
      </c>
      <c r="N16" s="906">
        <f t="shared" si="154"/>
        <v>6510</v>
      </c>
      <c r="O16" s="906">
        <f t="shared" si="154"/>
        <v>6510</v>
      </c>
      <c r="P16" s="908">
        <f t="shared" ref="P16:BK16" si="155">P11+P14</f>
        <v>6510</v>
      </c>
      <c r="Q16" s="909">
        <f t="shared" si="155"/>
        <v>6510</v>
      </c>
      <c r="R16" s="909">
        <f t="shared" si="155"/>
        <v>9240</v>
      </c>
      <c r="S16" s="909">
        <f t="shared" si="155"/>
        <v>9240</v>
      </c>
      <c r="T16" s="909">
        <f t="shared" si="155"/>
        <v>9240</v>
      </c>
      <c r="U16" s="909">
        <f t="shared" si="155"/>
        <v>9240</v>
      </c>
      <c r="V16" s="909">
        <f t="shared" si="155"/>
        <v>9240</v>
      </c>
      <c r="W16" s="909">
        <f t="shared" si="155"/>
        <v>9240</v>
      </c>
      <c r="X16" s="909">
        <f t="shared" si="155"/>
        <v>13020</v>
      </c>
      <c r="Y16" s="909">
        <f t="shared" si="155"/>
        <v>13020</v>
      </c>
      <c r="Z16" s="909">
        <f t="shared" si="155"/>
        <v>13020</v>
      </c>
      <c r="AA16" s="910">
        <f t="shared" si="155"/>
        <v>15750</v>
      </c>
      <c r="AB16" s="909">
        <f t="shared" si="155"/>
        <v>15750</v>
      </c>
      <c r="AC16" s="909">
        <f t="shared" si="155"/>
        <v>15750</v>
      </c>
      <c r="AD16" s="909">
        <f t="shared" si="155"/>
        <v>15750</v>
      </c>
      <c r="AE16" s="909">
        <f t="shared" si="155"/>
        <v>18480</v>
      </c>
      <c r="AF16" s="909">
        <f t="shared" si="155"/>
        <v>18480</v>
      </c>
      <c r="AG16" s="909">
        <f t="shared" si="155"/>
        <v>18480</v>
      </c>
      <c r="AH16" s="909">
        <f t="shared" si="155"/>
        <v>22260</v>
      </c>
      <c r="AI16" s="909">
        <f t="shared" si="155"/>
        <v>22260</v>
      </c>
      <c r="AJ16" s="909">
        <f t="shared" si="155"/>
        <v>24990</v>
      </c>
      <c r="AK16" s="909">
        <f t="shared" si="155"/>
        <v>24990</v>
      </c>
      <c r="AL16" s="909">
        <f t="shared" si="155"/>
        <v>28770</v>
      </c>
      <c r="AM16" s="910">
        <f t="shared" si="155"/>
        <v>28770</v>
      </c>
      <c r="AN16" s="908">
        <f t="shared" si="155"/>
        <v>31500</v>
      </c>
      <c r="AO16" s="909">
        <f t="shared" si="155"/>
        <v>31500</v>
      </c>
      <c r="AP16" s="909">
        <f t="shared" si="155"/>
        <v>34230</v>
      </c>
      <c r="AQ16" s="909">
        <f t="shared" si="155"/>
        <v>34230</v>
      </c>
      <c r="AR16" s="909">
        <f t="shared" si="155"/>
        <v>38010</v>
      </c>
      <c r="AS16" s="909">
        <f t="shared" si="155"/>
        <v>40740</v>
      </c>
      <c r="AT16" s="909">
        <f t="shared" si="155"/>
        <v>40740</v>
      </c>
      <c r="AU16" s="909">
        <f t="shared" si="155"/>
        <v>44520</v>
      </c>
      <c r="AV16" s="909">
        <f t="shared" si="155"/>
        <v>47250</v>
      </c>
      <c r="AW16" s="909">
        <f t="shared" si="155"/>
        <v>47250</v>
      </c>
      <c r="AX16" s="909">
        <f t="shared" si="155"/>
        <v>49980</v>
      </c>
      <c r="AY16" s="909">
        <f t="shared" si="155"/>
        <v>53760</v>
      </c>
      <c r="AZ16" s="908">
        <f t="shared" si="155"/>
        <v>56490</v>
      </c>
      <c r="BA16" s="909">
        <f t="shared" si="155"/>
        <v>60270</v>
      </c>
      <c r="BB16" s="909">
        <f t="shared" si="155"/>
        <v>63000</v>
      </c>
      <c r="BC16" s="909">
        <f t="shared" si="155"/>
        <v>65730</v>
      </c>
      <c r="BD16" s="909">
        <f t="shared" si="155"/>
        <v>69510</v>
      </c>
      <c r="BE16" s="909">
        <f t="shared" si="155"/>
        <v>72240</v>
      </c>
      <c r="BF16" s="909">
        <f t="shared" si="155"/>
        <v>76020</v>
      </c>
      <c r="BG16" s="909">
        <f t="shared" si="155"/>
        <v>78750</v>
      </c>
      <c r="BH16" s="909">
        <f t="shared" si="155"/>
        <v>85260</v>
      </c>
      <c r="BI16" s="909">
        <f t="shared" si="155"/>
        <v>87990</v>
      </c>
      <c r="BJ16" s="909">
        <f t="shared" si="155"/>
        <v>91770</v>
      </c>
      <c r="BK16" s="910">
        <f t="shared" si="155"/>
        <v>97230</v>
      </c>
      <c r="BN16" s="906"/>
      <c r="BO16" s="906">
        <f t="shared" ref="BO16:BZ16" si="156">SUM(BO9:BO15)</f>
        <v>0</v>
      </c>
      <c r="BP16" s="906">
        <f t="shared" si="156"/>
        <v>0</v>
      </c>
      <c r="BQ16" s="906">
        <f t="shared" si="156"/>
        <v>0</v>
      </c>
      <c r="BR16" s="906">
        <f t="shared" si="156"/>
        <v>0</v>
      </c>
      <c r="BS16" s="906">
        <f t="shared" si="156"/>
        <v>0</v>
      </c>
      <c r="BT16" s="906">
        <f t="shared" si="156"/>
        <v>0</v>
      </c>
      <c r="BU16" s="906">
        <f t="shared" si="156"/>
        <v>0</v>
      </c>
      <c r="BV16" s="906">
        <f t="shared" si="156"/>
        <v>0</v>
      </c>
      <c r="BW16" s="906">
        <f t="shared" si="156"/>
        <v>0</v>
      </c>
      <c r="BX16" s="906">
        <f t="shared" si="156"/>
        <v>0</v>
      </c>
      <c r="BY16" s="906">
        <f t="shared" si="156"/>
        <v>0</v>
      </c>
      <c r="BZ16" s="906">
        <f t="shared" si="156"/>
        <v>0</v>
      </c>
    </row>
    <row r="17" spans="1:78" s="59" customFormat="1">
      <c r="B17" s="904"/>
      <c r="C17" s="904">
        <f>B17+(B17*0.3)</f>
        <v>0</v>
      </c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11"/>
      <c r="Q17" s="912"/>
      <c r="R17" s="912"/>
      <c r="S17" s="912"/>
      <c r="T17" s="912"/>
      <c r="U17" s="912"/>
      <c r="V17" s="912"/>
      <c r="W17" s="912"/>
      <c r="X17" s="912"/>
      <c r="Y17" s="912"/>
      <c r="Z17" s="912"/>
      <c r="AA17" s="913"/>
      <c r="AB17" s="912"/>
      <c r="AC17" s="912"/>
      <c r="AD17" s="912"/>
      <c r="AE17" s="912"/>
      <c r="AF17" s="912"/>
      <c r="AG17" s="912"/>
      <c r="AH17" s="912"/>
      <c r="AI17" s="912"/>
      <c r="AJ17" s="912"/>
      <c r="AK17" s="912"/>
      <c r="AL17" s="912"/>
      <c r="AM17" s="913"/>
      <c r="AN17" s="911"/>
      <c r="AO17" s="912"/>
      <c r="AP17" s="912"/>
      <c r="AQ17" s="912"/>
      <c r="AR17" s="912"/>
      <c r="AS17" s="912"/>
      <c r="AT17" s="912"/>
      <c r="AU17" s="912"/>
      <c r="AV17" s="912"/>
      <c r="AW17" s="912"/>
      <c r="AX17" s="912"/>
      <c r="AY17" s="913"/>
      <c r="AZ17" s="911"/>
      <c r="BA17" s="912"/>
      <c r="BB17" s="912"/>
      <c r="BC17" s="912"/>
      <c r="BD17" s="912"/>
      <c r="BE17" s="912"/>
      <c r="BF17" s="912"/>
      <c r="BG17" s="912"/>
      <c r="BH17" s="912"/>
      <c r="BI17" s="912"/>
      <c r="BJ17" s="912"/>
      <c r="BK17" s="913"/>
      <c r="BN17" s="904"/>
      <c r="BO17" s="904"/>
      <c r="BP17" s="904"/>
      <c r="BQ17" s="904"/>
      <c r="BR17" s="904"/>
      <c r="BS17" s="904"/>
      <c r="BT17" s="904"/>
      <c r="BU17" s="904"/>
      <c r="BV17" s="904"/>
      <c r="BW17" s="904"/>
      <c r="BX17" s="904"/>
      <c r="BY17" s="904"/>
      <c r="BZ17" s="904"/>
    </row>
    <row r="18" spans="1:78" s="706" customFormat="1">
      <c r="A18" s="928" t="s">
        <v>52</v>
      </c>
      <c r="B18" s="929">
        <v>40000</v>
      </c>
      <c r="C18" s="929">
        <f>B18*0.26</f>
        <v>10400</v>
      </c>
      <c r="D18" s="929">
        <f>(($B18+$C18)/12)*D19</f>
        <v>0</v>
      </c>
      <c r="E18" s="929">
        <f t="shared" ref="E18:O18" si="157">(($B18+$C18)/12)*E19</f>
        <v>0</v>
      </c>
      <c r="F18" s="929">
        <f t="shared" si="157"/>
        <v>0</v>
      </c>
      <c r="G18" s="929">
        <f t="shared" si="157"/>
        <v>0</v>
      </c>
      <c r="H18" s="929">
        <f t="shared" si="157"/>
        <v>0</v>
      </c>
      <c r="I18" s="929">
        <f t="shared" si="157"/>
        <v>0</v>
      </c>
      <c r="J18" s="929">
        <f t="shared" si="157"/>
        <v>0</v>
      </c>
      <c r="K18" s="929">
        <f t="shared" si="157"/>
        <v>0</v>
      </c>
      <c r="L18" s="929">
        <f t="shared" si="157"/>
        <v>0</v>
      </c>
      <c r="M18" s="929">
        <f t="shared" si="157"/>
        <v>0</v>
      </c>
      <c r="N18" s="929">
        <f t="shared" si="157"/>
        <v>0</v>
      </c>
      <c r="O18" s="929">
        <f t="shared" si="157"/>
        <v>0</v>
      </c>
      <c r="P18" s="930">
        <f>(($B18+$C18)/12)*P19</f>
        <v>0</v>
      </c>
      <c r="Q18" s="929">
        <f t="shared" ref="Q18" si="158">(($B18+$C18)/12)*Q19</f>
        <v>0</v>
      </c>
      <c r="R18" s="929">
        <f t="shared" ref="R18" si="159">(($B18+$C18)/12)*R19</f>
        <v>0</v>
      </c>
      <c r="S18" s="929">
        <f t="shared" ref="S18" si="160">(($B18+$C18)/12)*S19</f>
        <v>0</v>
      </c>
      <c r="T18" s="929">
        <f t="shared" ref="T18" si="161">(($B18+$C18)/12)*T19</f>
        <v>0</v>
      </c>
      <c r="U18" s="929">
        <f t="shared" ref="U18" si="162">(($B18+$C18)/12)*U19</f>
        <v>0</v>
      </c>
      <c r="V18" s="929">
        <f t="shared" ref="V18" si="163">(($B18+$C18)/12)*V19</f>
        <v>0</v>
      </c>
      <c r="W18" s="929">
        <f t="shared" ref="W18" si="164">(($B18+$C18)/12)*W19</f>
        <v>0</v>
      </c>
      <c r="X18" s="929">
        <f t="shared" ref="X18" si="165">(($B18+$C18)/12)*X19</f>
        <v>0</v>
      </c>
      <c r="Y18" s="929">
        <f t="shared" ref="Y18" si="166">(($B18+$C18)/12)*Y19</f>
        <v>0</v>
      </c>
      <c r="Z18" s="929">
        <f t="shared" ref="Z18" si="167">(($B18+$C18)/12)*Z19</f>
        <v>0</v>
      </c>
      <c r="AA18" s="931">
        <f t="shared" ref="AA18" si="168">(($B18+$C18)/12)*AA19</f>
        <v>4200</v>
      </c>
      <c r="AB18" s="929">
        <f>(($B18+$C18)/12)*AB19</f>
        <v>4200</v>
      </c>
      <c r="AC18" s="929">
        <f t="shared" ref="AC18" si="169">(($B18+$C18)/12)*AC19</f>
        <v>4200</v>
      </c>
      <c r="AD18" s="929">
        <f t="shared" ref="AD18" si="170">(($B18+$C18)/12)*AD19</f>
        <v>4200</v>
      </c>
      <c r="AE18" s="929">
        <f t="shared" ref="AE18" si="171">(($B18+$C18)/12)*AE19</f>
        <v>4200</v>
      </c>
      <c r="AF18" s="929">
        <f t="shared" ref="AF18" si="172">(($B18+$C18)/12)*AF19</f>
        <v>4200</v>
      </c>
      <c r="AG18" s="929">
        <f t="shared" ref="AG18" si="173">(($B18+$C18)/12)*AG19</f>
        <v>4200</v>
      </c>
      <c r="AH18" s="929">
        <f t="shared" ref="AH18" si="174">(($B18+$C18)/12)*AH19</f>
        <v>4200</v>
      </c>
      <c r="AI18" s="929">
        <f t="shared" ref="AI18" si="175">(($B18+$C18)/12)*AI19</f>
        <v>4200</v>
      </c>
      <c r="AJ18" s="929">
        <f t="shared" ref="AJ18" si="176">(($B18+$C18)/12)*AJ19</f>
        <v>4200</v>
      </c>
      <c r="AK18" s="929">
        <f t="shared" ref="AK18" si="177">(($B18+$C18)/12)*AK19</f>
        <v>4200</v>
      </c>
      <c r="AL18" s="929">
        <f t="shared" ref="AL18" si="178">(($B18+$C18)/12)*AL19</f>
        <v>4200</v>
      </c>
      <c r="AM18" s="931">
        <f t="shared" ref="AM18" si="179">(($B18+$C18)/12)*AM19</f>
        <v>4200</v>
      </c>
      <c r="AN18" s="930">
        <f>(($B18+$C18)/12)*AN19</f>
        <v>4200</v>
      </c>
      <c r="AO18" s="929">
        <f t="shared" ref="AO18" si="180">(($B18+$C18)/12)*AO19</f>
        <v>4200</v>
      </c>
      <c r="AP18" s="929">
        <f t="shared" ref="AP18" si="181">(($B18+$C18)/12)*AP19</f>
        <v>4200</v>
      </c>
      <c r="AQ18" s="929">
        <f t="shared" ref="AQ18" si="182">(($B18+$C18)/12)*AQ19</f>
        <v>4200</v>
      </c>
      <c r="AR18" s="929">
        <f t="shared" ref="AR18" si="183">(($B18+$C18)/12)*AR19</f>
        <v>4200</v>
      </c>
      <c r="AS18" s="929">
        <f t="shared" ref="AS18" si="184">(($B18+$C18)/12)*AS19</f>
        <v>4200</v>
      </c>
      <c r="AT18" s="929">
        <f t="shared" ref="AT18" si="185">(($B18+$C18)/12)*AT19</f>
        <v>4200</v>
      </c>
      <c r="AU18" s="929">
        <f t="shared" ref="AU18" si="186">(($B18+$C18)/12)*AU19</f>
        <v>4200</v>
      </c>
      <c r="AV18" s="929">
        <f t="shared" ref="AV18" si="187">(($B18+$C18)/12)*AV19</f>
        <v>8400</v>
      </c>
      <c r="AW18" s="929">
        <f t="shared" ref="AW18" si="188">(($B18+$C18)/12)*AW19</f>
        <v>8400</v>
      </c>
      <c r="AX18" s="929">
        <f t="shared" ref="AX18" si="189">(($B18+$C18)/12)*AX19</f>
        <v>8400</v>
      </c>
      <c r="AY18" s="931">
        <f t="shared" ref="AY18" si="190">(($B18+$C18)/12)*AY19</f>
        <v>8400</v>
      </c>
      <c r="AZ18" s="930">
        <f>(($B18+$C18)/12)*AZ19</f>
        <v>8400</v>
      </c>
      <c r="BA18" s="929">
        <f t="shared" ref="BA18" si="191">(($B18+$C18)/12)*BA19</f>
        <v>8400</v>
      </c>
      <c r="BB18" s="929">
        <f t="shared" ref="BB18" si="192">(($B18+$C18)/12)*BB19</f>
        <v>8400</v>
      </c>
      <c r="BC18" s="929">
        <f t="shared" ref="BC18" si="193">(($B18+$C18)/12)*BC19</f>
        <v>8400</v>
      </c>
      <c r="BD18" s="929">
        <f t="shared" ref="BD18" si="194">(($B18+$C18)/12)*BD19</f>
        <v>8400</v>
      </c>
      <c r="BE18" s="929">
        <f t="shared" ref="BE18" si="195">(($B18+$C18)/12)*BE19</f>
        <v>8400</v>
      </c>
      <c r="BF18" s="929">
        <f t="shared" ref="BF18" si="196">(($B18+$C18)/12)*BF19</f>
        <v>8400</v>
      </c>
      <c r="BG18" s="929">
        <f t="shared" ref="BG18" si="197">(($B18+$C18)/12)*BG19</f>
        <v>12600</v>
      </c>
      <c r="BH18" s="929">
        <f t="shared" ref="BH18" si="198">(($B18+$C18)/12)*BH19</f>
        <v>12600</v>
      </c>
      <c r="BI18" s="929">
        <f t="shared" ref="BI18" si="199">(($B18+$C18)/12)*BI19</f>
        <v>12600</v>
      </c>
      <c r="BJ18" s="929">
        <f t="shared" ref="BJ18" si="200">(($B18+$C18)/12)*BJ19</f>
        <v>12600</v>
      </c>
      <c r="BK18" s="931">
        <f t="shared" ref="BK18" si="201">(($B18+$C18)/12)*BK19</f>
        <v>12600</v>
      </c>
      <c r="BN18" s="929"/>
      <c r="BO18" s="705">
        <f t="shared" ref="BO18:BZ18" si="202">D18*0.26</f>
        <v>0</v>
      </c>
      <c r="BP18" s="705">
        <f t="shared" si="202"/>
        <v>0</v>
      </c>
      <c r="BQ18" s="705">
        <f t="shared" si="202"/>
        <v>0</v>
      </c>
      <c r="BR18" s="705">
        <f t="shared" si="202"/>
        <v>0</v>
      </c>
      <c r="BS18" s="705">
        <f t="shared" si="202"/>
        <v>0</v>
      </c>
      <c r="BT18" s="705">
        <f t="shared" si="202"/>
        <v>0</v>
      </c>
      <c r="BU18" s="705">
        <f t="shared" si="202"/>
        <v>0</v>
      </c>
      <c r="BV18" s="705">
        <f t="shared" si="202"/>
        <v>0</v>
      </c>
      <c r="BW18" s="705">
        <f t="shared" si="202"/>
        <v>0</v>
      </c>
      <c r="BX18" s="705">
        <f t="shared" si="202"/>
        <v>0</v>
      </c>
      <c r="BY18" s="705">
        <f t="shared" si="202"/>
        <v>0</v>
      </c>
      <c r="BZ18" s="705">
        <f t="shared" si="202"/>
        <v>0</v>
      </c>
    </row>
    <row r="19" spans="1:78" s="716" customFormat="1">
      <c r="A19" s="932" t="s">
        <v>123</v>
      </c>
      <c r="B19" s="933"/>
      <c r="C19" s="933"/>
      <c r="D19" s="934">
        <f t="shared" ref="D19:AI19" si="203">ROUND(((D26/2.5)/4),0)</f>
        <v>0</v>
      </c>
      <c r="E19" s="934">
        <f t="shared" si="203"/>
        <v>0</v>
      </c>
      <c r="F19" s="934">
        <f t="shared" si="203"/>
        <v>0</v>
      </c>
      <c r="G19" s="934">
        <f t="shared" si="203"/>
        <v>0</v>
      </c>
      <c r="H19" s="934">
        <f t="shared" si="203"/>
        <v>0</v>
      </c>
      <c r="I19" s="934">
        <f t="shared" si="203"/>
        <v>0</v>
      </c>
      <c r="J19" s="934">
        <f t="shared" si="203"/>
        <v>0</v>
      </c>
      <c r="K19" s="934">
        <f t="shared" si="203"/>
        <v>0</v>
      </c>
      <c r="L19" s="934">
        <f t="shared" si="203"/>
        <v>0</v>
      </c>
      <c r="M19" s="934">
        <f t="shared" si="203"/>
        <v>0</v>
      </c>
      <c r="N19" s="934">
        <f t="shared" si="203"/>
        <v>0</v>
      </c>
      <c r="O19" s="934">
        <f t="shared" si="203"/>
        <v>0</v>
      </c>
      <c r="P19" s="935">
        <f t="shared" si="203"/>
        <v>0</v>
      </c>
      <c r="Q19" s="934">
        <f t="shared" si="203"/>
        <v>0</v>
      </c>
      <c r="R19" s="934">
        <f t="shared" si="203"/>
        <v>0</v>
      </c>
      <c r="S19" s="934">
        <f t="shared" si="203"/>
        <v>0</v>
      </c>
      <c r="T19" s="934">
        <f t="shared" si="203"/>
        <v>0</v>
      </c>
      <c r="U19" s="934">
        <f t="shared" si="203"/>
        <v>0</v>
      </c>
      <c r="V19" s="934">
        <f t="shared" si="203"/>
        <v>0</v>
      </c>
      <c r="W19" s="934">
        <f t="shared" si="203"/>
        <v>0</v>
      </c>
      <c r="X19" s="934">
        <f t="shared" si="203"/>
        <v>0</v>
      </c>
      <c r="Y19" s="934">
        <f t="shared" si="203"/>
        <v>0</v>
      </c>
      <c r="Z19" s="934">
        <f t="shared" si="203"/>
        <v>0</v>
      </c>
      <c r="AA19" s="936">
        <f t="shared" si="203"/>
        <v>1</v>
      </c>
      <c r="AB19" s="934">
        <f t="shared" si="203"/>
        <v>1</v>
      </c>
      <c r="AC19" s="934">
        <f t="shared" si="203"/>
        <v>1</v>
      </c>
      <c r="AD19" s="934">
        <f t="shared" si="203"/>
        <v>1</v>
      </c>
      <c r="AE19" s="934">
        <f t="shared" si="203"/>
        <v>1</v>
      </c>
      <c r="AF19" s="934">
        <f t="shared" si="203"/>
        <v>1</v>
      </c>
      <c r="AG19" s="934">
        <f t="shared" si="203"/>
        <v>1</v>
      </c>
      <c r="AH19" s="934">
        <f t="shared" si="203"/>
        <v>1</v>
      </c>
      <c r="AI19" s="934">
        <f t="shared" si="203"/>
        <v>1</v>
      </c>
      <c r="AJ19" s="934">
        <f t="shared" ref="AJ19:BK19" si="204">ROUND(((AJ26/2.5)/4),0)</f>
        <v>1</v>
      </c>
      <c r="AK19" s="934">
        <f t="shared" si="204"/>
        <v>1</v>
      </c>
      <c r="AL19" s="934">
        <f t="shared" si="204"/>
        <v>1</v>
      </c>
      <c r="AM19" s="936">
        <f t="shared" si="204"/>
        <v>1</v>
      </c>
      <c r="AN19" s="935">
        <f t="shared" si="204"/>
        <v>1</v>
      </c>
      <c r="AO19" s="934">
        <f t="shared" si="204"/>
        <v>1</v>
      </c>
      <c r="AP19" s="934">
        <f t="shared" si="204"/>
        <v>1</v>
      </c>
      <c r="AQ19" s="934">
        <f t="shared" si="204"/>
        <v>1</v>
      </c>
      <c r="AR19" s="934">
        <f t="shared" si="204"/>
        <v>1</v>
      </c>
      <c r="AS19" s="934">
        <f t="shared" si="204"/>
        <v>1</v>
      </c>
      <c r="AT19" s="934">
        <f t="shared" si="204"/>
        <v>1</v>
      </c>
      <c r="AU19" s="934">
        <f t="shared" si="204"/>
        <v>1</v>
      </c>
      <c r="AV19" s="934">
        <f t="shared" si="204"/>
        <v>2</v>
      </c>
      <c r="AW19" s="934">
        <f t="shared" si="204"/>
        <v>2</v>
      </c>
      <c r="AX19" s="934">
        <f t="shared" si="204"/>
        <v>2</v>
      </c>
      <c r="AY19" s="936">
        <f t="shared" si="204"/>
        <v>2</v>
      </c>
      <c r="AZ19" s="935">
        <f t="shared" si="204"/>
        <v>2</v>
      </c>
      <c r="BA19" s="934">
        <f t="shared" si="204"/>
        <v>2</v>
      </c>
      <c r="BB19" s="934">
        <f t="shared" si="204"/>
        <v>2</v>
      </c>
      <c r="BC19" s="934">
        <f t="shared" si="204"/>
        <v>2</v>
      </c>
      <c r="BD19" s="934">
        <f t="shared" si="204"/>
        <v>2</v>
      </c>
      <c r="BE19" s="934">
        <f t="shared" si="204"/>
        <v>2</v>
      </c>
      <c r="BF19" s="934">
        <f t="shared" si="204"/>
        <v>2</v>
      </c>
      <c r="BG19" s="934">
        <f t="shared" si="204"/>
        <v>3</v>
      </c>
      <c r="BH19" s="934">
        <f t="shared" si="204"/>
        <v>3</v>
      </c>
      <c r="BI19" s="934">
        <f t="shared" si="204"/>
        <v>3</v>
      </c>
      <c r="BJ19" s="934">
        <f t="shared" si="204"/>
        <v>3</v>
      </c>
      <c r="BK19" s="936">
        <f t="shared" si="204"/>
        <v>3</v>
      </c>
      <c r="BN19" s="933"/>
      <c r="BO19" s="715"/>
      <c r="BP19" s="715"/>
      <c r="BQ19" s="715"/>
      <c r="BR19" s="715"/>
      <c r="BS19" s="715"/>
      <c r="BT19" s="715"/>
      <c r="BU19" s="715"/>
      <c r="BV19" s="715"/>
      <c r="BW19" s="715"/>
      <c r="BX19" s="715"/>
      <c r="BY19" s="715"/>
      <c r="BZ19" s="715"/>
    </row>
    <row r="20" spans="1:78" s="59" customFormat="1" ht="9.75" customHeight="1">
      <c r="A20" s="914"/>
      <c r="B20" s="912"/>
      <c r="C20" s="904"/>
      <c r="D20" s="904"/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904"/>
      <c r="P20" s="911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3"/>
      <c r="AB20" s="912"/>
      <c r="AC20" s="912"/>
      <c r="AD20" s="912"/>
      <c r="AE20" s="912"/>
      <c r="AF20" s="912"/>
      <c r="AG20" s="912"/>
      <c r="AH20" s="912"/>
      <c r="AI20" s="912"/>
      <c r="AJ20" s="912"/>
      <c r="AK20" s="912"/>
      <c r="AL20" s="912"/>
      <c r="AM20" s="913"/>
      <c r="AN20" s="911"/>
      <c r="AO20" s="912"/>
      <c r="AP20" s="912"/>
      <c r="AQ20" s="912"/>
      <c r="AR20" s="912"/>
      <c r="AS20" s="912"/>
      <c r="AT20" s="912"/>
      <c r="AU20" s="912"/>
      <c r="AV20" s="912"/>
      <c r="AW20" s="912"/>
      <c r="AX20" s="912"/>
      <c r="AY20" s="913"/>
      <c r="AZ20" s="911"/>
      <c r="BA20" s="912"/>
      <c r="BB20" s="912"/>
      <c r="BC20" s="912"/>
      <c r="BD20" s="912"/>
      <c r="BE20" s="912"/>
      <c r="BF20" s="912"/>
      <c r="BG20" s="912"/>
      <c r="BH20" s="912"/>
      <c r="BI20" s="912"/>
      <c r="BJ20" s="912"/>
      <c r="BK20" s="913"/>
      <c r="BN20" s="904"/>
      <c r="BO20" s="733"/>
      <c r="BP20" s="733"/>
      <c r="BQ20" s="733"/>
      <c r="BR20" s="733"/>
      <c r="BS20" s="733"/>
      <c r="BT20" s="733"/>
      <c r="BU20" s="733"/>
      <c r="BV20" s="733"/>
      <c r="BW20" s="733"/>
      <c r="BX20" s="733"/>
      <c r="BY20" s="733"/>
      <c r="BZ20" s="733"/>
    </row>
    <row r="21" spans="1:78" s="706" customFormat="1">
      <c r="A21" s="928" t="s">
        <v>168</v>
      </c>
      <c r="B21" s="705">
        <v>38000</v>
      </c>
      <c r="C21" s="929">
        <f>B21*0.26</f>
        <v>9880</v>
      </c>
      <c r="D21" s="929">
        <f>(($B21+$C21)/12)*D22</f>
        <v>0</v>
      </c>
      <c r="E21" s="929">
        <f t="shared" ref="E21:O21" si="205">(($B21+$C21)/12)*E22</f>
        <v>0</v>
      </c>
      <c r="F21" s="929">
        <f t="shared" si="205"/>
        <v>0</v>
      </c>
      <c r="G21" s="929">
        <f t="shared" si="205"/>
        <v>0</v>
      </c>
      <c r="H21" s="929">
        <f t="shared" si="205"/>
        <v>0</v>
      </c>
      <c r="I21" s="929">
        <f t="shared" si="205"/>
        <v>0</v>
      </c>
      <c r="J21" s="929">
        <f t="shared" si="205"/>
        <v>0</v>
      </c>
      <c r="K21" s="929">
        <f t="shared" si="205"/>
        <v>0</v>
      </c>
      <c r="L21" s="929">
        <f t="shared" si="205"/>
        <v>0</v>
      </c>
      <c r="M21" s="929">
        <f t="shared" si="205"/>
        <v>0</v>
      </c>
      <c r="N21" s="929">
        <f t="shared" si="205"/>
        <v>0</v>
      </c>
      <c r="O21" s="929">
        <f t="shared" si="205"/>
        <v>0</v>
      </c>
      <c r="P21" s="930">
        <f>(($B21+$C21)/12)*P22</f>
        <v>0</v>
      </c>
      <c r="Q21" s="929">
        <f t="shared" ref="Q21" si="206">(($B21+$C21)/12)*Q22</f>
        <v>0</v>
      </c>
      <c r="R21" s="929">
        <f t="shared" ref="R21" si="207">(($B21+$C21)/12)*R22</f>
        <v>0</v>
      </c>
      <c r="S21" s="929">
        <f t="shared" ref="S21" si="208">(($B21+$C21)/12)*S22</f>
        <v>0</v>
      </c>
      <c r="T21" s="929">
        <f t="shared" ref="T21" si="209">(($B21+$C21)/12)*T22</f>
        <v>0</v>
      </c>
      <c r="U21" s="929">
        <f t="shared" ref="U21" si="210">(($B21+$C21)/12)*U22</f>
        <v>0</v>
      </c>
      <c r="V21" s="929">
        <f t="shared" ref="V21" si="211">(($B21+$C21)/12)*V22</f>
        <v>0</v>
      </c>
      <c r="W21" s="929">
        <f t="shared" ref="W21" si="212">(($B21+$C21)/12)*W22</f>
        <v>0</v>
      </c>
      <c r="X21" s="929">
        <f t="shared" ref="X21" si="213">(($B21+$C21)/12)*X22</f>
        <v>0</v>
      </c>
      <c r="Y21" s="929">
        <f t="shared" ref="Y21" si="214">(($B21+$C21)/12)*Y22</f>
        <v>0</v>
      </c>
      <c r="Z21" s="929">
        <f t="shared" ref="Z21" si="215">(($B21+$C21)/12)*Z22</f>
        <v>0</v>
      </c>
      <c r="AA21" s="931">
        <f t="shared" ref="AA21" si="216">(($B21+$C21)/12)*AA22</f>
        <v>0</v>
      </c>
      <c r="AB21" s="929">
        <f>(($B21+$C21)/12)*AB22</f>
        <v>0</v>
      </c>
      <c r="AC21" s="929">
        <f t="shared" ref="AC21" si="217">(($B21+$C21)/12)*AC22</f>
        <v>0</v>
      </c>
      <c r="AD21" s="929">
        <f t="shared" ref="AD21" si="218">(($B21+$C21)/12)*AD22</f>
        <v>0</v>
      </c>
      <c r="AE21" s="929">
        <f t="shared" ref="AE21" si="219">(($B21+$C21)/12)*AE22</f>
        <v>0</v>
      </c>
      <c r="AF21" s="929">
        <f t="shared" ref="AF21" si="220">(($B21+$C21)/12)*AF22</f>
        <v>0</v>
      </c>
      <c r="AG21" s="929">
        <f t="shared" ref="AG21" si="221">(($B21+$C21)/12)*AG22</f>
        <v>0</v>
      </c>
      <c r="AH21" s="929">
        <f t="shared" ref="AH21" si="222">(($B21+$C21)/12)*AH22</f>
        <v>0</v>
      </c>
      <c r="AI21" s="929">
        <f t="shared" ref="AI21" si="223">(($B21+$C21)/12)*AI22</f>
        <v>0</v>
      </c>
      <c r="AJ21" s="929">
        <f t="shared" ref="AJ21" si="224">(($B21+$C21)/12)*AJ22</f>
        <v>0</v>
      </c>
      <c r="AK21" s="929">
        <f t="shared" ref="AK21" si="225">(($B21+$C21)/12)*AK22</f>
        <v>0</v>
      </c>
      <c r="AL21" s="929">
        <f t="shared" ref="AL21" si="226">(($B21+$C21)/12)*AL22</f>
        <v>0</v>
      </c>
      <c r="AM21" s="931">
        <f t="shared" ref="AM21" si="227">(($B21+$C21)/12)*AM22</f>
        <v>0</v>
      </c>
      <c r="AN21" s="930">
        <f>(($B21+$C21)/12)*AN22</f>
        <v>3990</v>
      </c>
      <c r="AO21" s="929">
        <f t="shared" ref="AO21" si="228">(($B21+$C21)/12)*AO22</f>
        <v>3990</v>
      </c>
      <c r="AP21" s="929">
        <f t="shared" ref="AP21" si="229">(($B21+$C21)/12)*AP22</f>
        <v>3990</v>
      </c>
      <c r="AQ21" s="929">
        <f t="shared" ref="AQ21" si="230">(($B21+$C21)/12)*AQ22</f>
        <v>3990</v>
      </c>
      <c r="AR21" s="929">
        <f t="shared" ref="AR21" si="231">(($B21+$C21)/12)*AR22</f>
        <v>3990</v>
      </c>
      <c r="AS21" s="929">
        <f t="shared" ref="AS21" si="232">(($B21+$C21)/12)*AS22</f>
        <v>3990</v>
      </c>
      <c r="AT21" s="929">
        <f t="shared" ref="AT21" si="233">(($B21+$C21)/12)*AT22</f>
        <v>3990</v>
      </c>
      <c r="AU21" s="929">
        <f t="shared" ref="AU21" si="234">(($B21+$C21)/12)*AU22</f>
        <v>3990</v>
      </c>
      <c r="AV21" s="929">
        <f t="shared" ref="AV21" si="235">(($B21+$C21)/12)*AV22</f>
        <v>3990</v>
      </c>
      <c r="AW21" s="929">
        <f t="shared" ref="AW21" si="236">(($B21+$C21)/12)*AW22</f>
        <v>3990</v>
      </c>
      <c r="AX21" s="929">
        <f t="shared" ref="AX21" si="237">(($B21+$C21)/12)*AX22</f>
        <v>3990</v>
      </c>
      <c r="AY21" s="931">
        <f t="shared" ref="AY21" si="238">(($B21+$C21)/12)*AY22</f>
        <v>3990</v>
      </c>
      <c r="AZ21" s="930">
        <f>(($B21+$C21)/12)*AZ22</f>
        <v>3990</v>
      </c>
      <c r="BA21" s="929">
        <f t="shared" ref="BA21" si="239">(($B21+$C21)/12)*BA22</f>
        <v>3990</v>
      </c>
      <c r="BB21" s="929">
        <f t="shared" ref="BB21" si="240">(($B21+$C21)/12)*BB22</f>
        <v>3990</v>
      </c>
      <c r="BC21" s="929">
        <f t="shared" ref="BC21" si="241">(($B21+$C21)/12)*BC22</f>
        <v>3990</v>
      </c>
      <c r="BD21" s="929">
        <f t="shared" ref="BD21" si="242">(($B21+$C21)/12)*BD22</f>
        <v>3990</v>
      </c>
      <c r="BE21" s="929">
        <f t="shared" ref="BE21" si="243">(($B21+$C21)/12)*BE22</f>
        <v>3990</v>
      </c>
      <c r="BF21" s="929">
        <f t="shared" ref="BF21" si="244">(($B21+$C21)/12)*BF22</f>
        <v>3990</v>
      </c>
      <c r="BG21" s="929">
        <f t="shared" ref="BG21" si="245">(($B21+$C21)/12)*BG22</f>
        <v>3990</v>
      </c>
      <c r="BH21" s="929">
        <f t="shared" ref="BH21" si="246">(($B21+$C21)/12)*BH22</f>
        <v>3990</v>
      </c>
      <c r="BI21" s="929">
        <f t="shared" ref="BI21" si="247">(($B21+$C21)/12)*BI22</f>
        <v>3990</v>
      </c>
      <c r="BJ21" s="929">
        <f t="shared" ref="BJ21" si="248">(($B21+$C21)/12)*BJ22</f>
        <v>3990</v>
      </c>
      <c r="BK21" s="931">
        <f t="shared" ref="BK21" si="249">(($B21+$C21)/12)*BK22</f>
        <v>7980</v>
      </c>
      <c r="BN21" s="929"/>
      <c r="BO21" s="705">
        <f t="shared" ref="BO21:BZ22" si="250">D21*0.26</f>
        <v>0</v>
      </c>
      <c r="BP21" s="705">
        <f t="shared" si="250"/>
        <v>0</v>
      </c>
      <c r="BQ21" s="705">
        <f t="shared" si="250"/>
        <v>0</v>
      </c>
      <c r="BR21" s="705">
        <f t="shared" si="250"/>
        <v>0</v>
      </c>
      <c r="BS21" s="705">
        <f t="shared" si="250"/>
        <v>0</v>
      </c>
      <c r="BT21" s="705">
        <f t="shared" si="250"/>
        <v>0</v>
      </c>
      <c r="BU21" s="705">
        <f t="shared" si="250"/>
        <v>0</v>
      </c>
      <c r="BV21" s="705">
        <f t="shared" si="250"/>
        <v>0</v>
      </c>
      <c r="BW21" s="705">
        <f t="shared" si="250"/>
        <v>0</v>
      </c>
      <c r="BX21" s="705">
        <f t="shared" si="250"/>
        <v>0</v>
      </c>
      <c r="BY21" s="705">
        <f t="shared" si="250"/>
        <v>0</v>
      </c>
      <c r="BZ21" s="705">
        <f t="shared" si="250"/>
        <v>0</v>
      </c>
    </row>
    <row r="22" spans="1:78" s="716" customFormat="1">
      <c r="A22" s="932" t="s">
        <v>123</v>
      </c>
      <c r="B22" s="933"/>
      <c r="C22" s="933"/>
      <c r="D22" s="934">
        <f t="shared" ref="D22:AI22" si="251">ROUND(D26/20,0)</f>
        <v>0</v>
      </c>
      <c r="E22" s="934">
        <f t="shared" si="251"/>
        <v>0</v>
      </c>
      <c r="F22" s="934">
        <f t="shared" si="251"/>
        <v>0</v>
      </c>
      <c r="G22" s="934">
        <f t="shared" si="251"/>
        <v>0</v>
      </c>
      <c r="H22" s="934">
        <f t="shared" si="251"/>
        <v>0</v>
      </c>
      <c r="I22" s="934">
        <f t="shared" si="251"/>
        <v>0</v>
      </c>
      <c r="J22" s="934">
        <f t="shared" si="251"/>
        <v>0</v>
      </c>
      <c r="K22" s="934">
        <f t="shared" si="251"/>
        <v>0</v>
      </c>
      <c r="L22" s="934">
        <f t="shared" si="251"/>
        <v>0</v>
      </c>
      <c r="M22" s="934">
        <f t="shared" si="251"/>
        <v>0</v>
      </c>
      <c r="N22" s="934">
        <f t="shared" si="251"/>
        <v>0</v>
      </c>
      <c r="O22" s="934">
        <f t="shared" si="251"/>
        <v>0</v>
      </c>
      <c r="P22" s="935">
        <f t="shared" si="251"/>
        <v>0</v>
      </c>
      <c r="Q22" s="934">
        <f t="shared" si="251"/>
        <v>0</v>
      </c>
      <c r="R22" s="934">
        <f t="shared" si="251"/>
        <v>0</v>
      </c>
      <c r="S22" s="934">
        <f t="shared" si="251"/>
        <v>0</v>
      </c>
      <c r="T22" s="934">
        <f t="shared" si="251"/>
        <v>0</v>
      </c>
      <c r="U22" s="934">
        <f t="shared" si="251"/>
        <v>0</v>
      </c>
      <c r="V22" s="934">
        <f t="shared" si="251"/>
        <v>0</v>
      </c>
      <c r="W22" s="934">
        <f t="shared" si="251"/>
        <v>0</v>
      </c>
      <c r="X22" s="934">
        <f t="shared" si="251"/>
        <v>0</v>
      </c>
      <c r="Y22" s="934">
        <f t="shared" si="251"/>
        <v>0</v>
      </c>
      <c r="Z22" s="934">
        <f t="shared" si="251"/>
        <v>0</v>
      </c>
      <c r="AA22" s="936">
        <f t="shared" si="251"/>
        <v>0</v>
      </c>
      <c r="AB22" s="934">
        <f t="shared" si="251"/>
        <v>0</v>
      </c>
      <c r="AC22" s="934">
        <f t="shared" si="251"/>
        <v>0</v>
      </c>
      <c r="AD22" s="934">
        <f t="shared" si="251"/>
        <v>0</v>
      </c>
      <c r="AE22" s="934">
        <f t="shared" si="251"/>
        <v>0</v>
      </c>
      <c r="AF22" s="934">
        <f t="shared" si="251"/>
        <v>0</v>
      </c>
      <c r="AG22" s="934">
        <f t="shared" si="251"/>
        <v>0</v>
      </c>
      <c r="AH22" s="934">
        <f t="shared" si="251"/>
        <v>0</v>
      </c>
      <c r="AI22" s="934">
        <f t="shared" si="251"/>
        <v>0</v>
      </c>
      <c r="AJ22" s="934">
        <f t="shared" ref="AJ22:BK22" si="252">ROUND(AJ26/20,0)</f>
        <v>0</v>
      </c>
      <c r="AK22" s="934">
        <f t="shared" si="252"/>
        <v>0</v>
      </c>
      <c r="AL22" s="934">
        <f t="shared" si="252"/>
        <v>0</v>
      </c>
      <c r="AM22" s="936">
        <f t="shared" si="252"/>
        <v>0</v>
      </c>
      <c r="AN22" s="935">
        <f t="shared" si="252"/>
        <v>1</v>
      </c>
      <c r="AO22" s="934">
        <f t="shared" si="252"/>
        <v>1</v>
      </c>
      <c r="AP22" s="934">
        <f t="shared" si="252"/>
        <v>1</v>
      </c>
      <c r="AQ22" s="934">
        <f t="shared" si="252"/>
        <v>1</v>
      </c>
      <c r="AR22" s="934">
        <f t="shared" si="252"/>
        <v>1</v>
      </c>
      <c r="AS22" s="934">
        <f t="shared" si="252"/>
        <v>1</v>
      </c>
      <c r="AT22" s="934">
        <f t="shared" si="252"/>
        <v>1</v>
      </c>
      <c r="AU22" s="934">
        <f t="shared" si="252"/>
        <v>1</v>
      </c>
      <c r="AV22" s="934">
        <f t="shared" si="252"/>
        <v>1</v>
      </c>
      <c r="AW22" s="934">
        <f t="shared" si="252"/>
        <v>1</v>
      </c>
      <c r="AX22" s="934">
        <f t="shared" si="252"/>
        <v>1</v>
      </c>
      <c r="AY22" s="936">
        <f t="shared" si="252"/>
        <v>1</v>
      </c>
      <c r="AZ22" s="935">
        <f t="shared" si="252"/>
        <v>1</v>
      </c>
      <c r="BA22" s="934">
        <f t="shared" si="252"/>
        <v>1</v>
      </c>
      <c r="BB22" s="934">
        <f t="shared" si="252"/>
        <v>1</v>
      </c>
      <c r="BC22" s="934">
        <f t="shared" si="252"/>
        <v>1</v>
      </c>
      <c r="BD22" s="934">
        <f t="shared" si="252"/>
        <v>1</v>
      </c>
      <c r="BE22" s="934">
        <f t="shared" si="252"/>
        <v>1</v>
      </c>
      <c r="BF22" s="934">
        <f t="shared" si="252"/>
        <v>1</v>
      </c>
      <c r="BG22" s="934">
        <f t="shared" si="252"/>
        <v>1</v>
      </c>
      <c r="BH22" s="934">
        <f t="shared" si="252"/>
        <v>1</v>
      </c>
      <c r="BI22" s="934">
        <f t="shared" si="252"/>
        <v>1</v>
      </c>
      <c r="BJ22" s="934">
        <f t="shared" si="252"/>
        <v>1</v>
      </c>
      <c r="BK22" s="936">
        <f t="shared" si="252"/>
        <v>2</v>
      </c>
      <c r="BN22" s="933"/>
      <c r="BO22" s="715">
        <f t="shared" si="250"/>
        <v>0</v>
      </c>
      <c r="BP22" s="715">
        <f t="shared" si="250"/>
        <v>0</v>
      </c>
      <c r="BQ22" s="715">
        <f t="shared" si="250"/>
        <v>0</v>
      </c>
      <c r="BR22" s="715">
        <f t="shared" si="250"/>
        <v>0</v>
      </c>
      <c r="BS22" s="715">
        <f t="shared" si="250"/>
        <v>0</v>
      </c>
      <c r="BT22" s="715">
        <f t="shared" si="250"/>
        <v>0</v>
      </c>
      <c r="BU22" s="715">
        <f t="shared" si="250"/>
        <v>0</v>
      </c>
      <c r="BV22" s="715">
        <f t="shared" si="250"/>
        <v>0</v>
      </c>
      <c r="BW22" s="715">
        <f t="shared" si="250"/>
        <v>0</v>
      </c>
      <c r="BX22" s="715">
        <f t="shared" si="250"/>
        <v>0</v>
      </c>
      <c r="BY22" s="715">
        <f t="shared" si="250"/>
        <v>0</v>
      </c>
      <c r="BZ22" s="715">
        <f t="shared" si="250"/>
        <v>0</v>
      </c>
    </row>
    <row r="23" spans="1:78" s="59" customFormat="1" ht="12" customHeight="1">
      <c r="A23" s="914"/>
      <c r="B23" s="904"/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904"/>
      <c r="P23" s="911"/>
      <c r="Q23" s="912"/>
      <c r="R23" s="912"/>
      <c r="S23" s="912"/>
      <c r="T23" s="912"/>
      <c r="U23" s="912"/>
      <c r="V23" s="912"/>
      <c r="W23" s="912"/>
      <c r="X23" s="912"/>
      <c r="Y23" s="912"/>
      <c r="Z23" s="912"/>
      <c r="AA23" s="913"/>
      <c r="AB23" s="912"/>
      <c r="AC23" s="912"/>
      <c r="AD23" s="912"/>
      <c r="AE23" s="912"/>
      <c r="AF23" s="912"/>
      <c r="AG23" s="912"/>
      <c r="AH23" s="912"/>
      <c r="AI23" s="912"/>
      <c r="AJ23" s="912"/>
      <c r="AK23" s="912"/>
      <c r="AL23" s="912"/>
      <c r="AM23" s="913"/>
      <c r="AN23" s="911"/>
      <c r="AO23" s="912"/>
      <c r="AP23" s="912"/>
      <c r="AQ23" s="912"/>
      <c r="AR23" s="912"/>
      <c r="AS23" s="912"/>
      <c r="AT23" s="912"/>
      <c r="AU23" s="912"/>
      <c r="AV23" s="912"/>
      <c r="AW23" s="912"/>
      <c r="AX23" s="912"/>
      <c r="AY23" s="913"/>
      <c r="AZ23" s="911"/>
      <c r="BA23" s="912"/>
      <c r="BB23" s="912"/>
      <c r="BC23" s="912"/>
      <c r="BD23" s="912"/>
      <c r="BE23" s="912"/>
      <c r="BF23" s="912"/>
      <c r="BG23" s="912"/>
      <c r="BH23" s="912"/>
      <c r="BI23" s="912"/>
      <c r="BJ23" s="912"/>
      <c r="BK23" s="913"/>
      <c r="BN23" s="904"/>
      <c r="BO23" s="733"/>
      <c r="BP23" s="733"/>
      <c r="BQ23" s="733"/>
      <c r="BR23" s="733"/>
      <c r="BS23" s="733"/>
      <c r="BT23" s="733"/>
      <c r="BU23" s="733"/>
      <c r="BV23" s="733"/>
      <c r="BW23" s="733"/>
      <c r="BX23" s="733"/>
      <c r="BY23" s="733"/>
      <c r="BZ23" s="733"/>
    </row>
    <row r="24" spans="1:78" s="706" customFormat="1">
      <c r="A24" s="928" t="s">
        <v>169</v>
      </c>
      <c r="B24" s="929">
        <v>42000</v>
      </c>
      <c r="C24" s="929">
        <f>0.26*B24</f>
        <v>10920</v>
      </c>
      <c r="D24" s="929">
        <f>($B24+$C24)/12*D25</f>
        <v>0</v>
      </c>
      <c r="E24" s="929">
        <f t="shared" ref="E24:O24" si="253">($B24+$C24)/12*E25</f>
        <v>0</v>
      </c>
      <c r="F24" s="929">
        <f t="shared" si="253"/>
        <v>0</v>
      </c>
      <c r="G24" s="929">
        <f t="shared" si="253"/>
        <v>0</v>
      </c>
      <c r="H24" s="929">
        <f t="shared" si="253"/>
        <v>0</v>
      </c>
      <c r="I24" s="929">
        <f t="shared" si="253"/>
        <v>0</v>
      </c>
      <c r="J24" s="929">
        <f t="shared" si="253"/>
        <v>0</v>
      </c>
      <c r="K24" s="929">
        <f t="shared" si="253"/>
        <v>0</v>
      </c>
      <c r="L24" s="929">
        <f t="shared" si="253"/>
        <v>0</v>
      </c>
      <c r="M24" s="929">
        <f t="shared" si="253"/>
        <v>0</v>
      </c>
      <c r="N24" s="929">
        <f t="shared" si="253"/>
        <v>0</v>
      </c>
      <c r="O24" s="929">
        <f t="shared" si="253"/>
        <v>0</v>
      </c>
      <c r="P24" s="930">
        <f>($B24+$C24)/12*P25</f>
        <v>0</v>
      </c>
      <c r="Q24" s="929">
        <f t="shared" ref="Q24" si="254">($B24+$C24)/12*Q25</f>
        <v>0</v>
      </c>
      <c r="R24" s="929">
        <f t="shared" ref="R24" si="255">($B24+$C24)/12*R25</f>
        <v>0</v>
      </c>
      <c r="S24" s="929">
        <f t="shared" ref="S24" si="256">($B24+$C24)/12*S25</f>
        <v>0</v>
      </c>
      <c r="T24" s="929">
        <f t="shared" ref="T24" si="257">($B24+$C24)/12*T25</f>
        <v>0</v>
      </c>
      <c r="U24" s="929">
        <f t="shared" ref="U24" si="258">($B24+$C24)/12*U25</f>
        <v>0</v>
      </c>
      <c r="V24" s="929">
        <f t="shared" ref="V24" si="259">($B24+$C24)/12*V25</f>
        <v>0</v>
      </c>
      <c r="W24" s="929">
        <f t="shared" ref="W24" si="260">($B24+$C24)/12*W25</f>
        <v>0</v>
      </c>
      <c r="X24" s="929">
        <f t="shared" ref="X24" si="261">($B24+$C24)/12*X25</f>
        <v>0</v>
      </c>
      <c r="Y24" s="929">
        <f t="shared" ref="Y24" si="262">($B24+$C24)/12*Y25</f>
        <v>0</v>
      </c>
      <c r="Z24" s="929">
        <f t="shared" ref="Z24" si="263">($B24+$C24)/12*Z25</f>
        <v>0</v>
      </c>
      <c r="AA24" s="931">
        <f t="shared" ref="AA24" si="264">($B24+$C24)/12*AA25</f>
        <v>0</v>
      </c>
      <c r="AB24" s="929">
        <f>($B24+$C24)/12*AB25</f>
        <v>0</v>
      </c>
      <c r="AC24" s="929">
        <f t="shared" ref="AC24" si="265">($B24+$C24)/12*AC25</f>
        <v>0</v>
      </c>
      <c r="AD24" s="929">
        <f t="shared" ref="AD24" si="266">($B24+$C24)/12*AD25</f>
        <v>0</v>
      </c>
      <c r="AE24" s="929">
        <f t="shared" ref="AE24" si="267">($B24+$C24)/12*AE25</f>
        <v>0</v>
      </c>
      <c r="AF24" s="929">
        <f t="shared" ref="AF24" si="268">($B24+$C24)/12*AF25</f>
        <v>0</v>
      </c>
      <c r="AG24" s="929">
        <f t="shared" ref="AG24" si="269">($B24+$C24)/12*AG25</f>
        <v>0</v>
      </c>
      <c r="AH24" s="929">
        <f t="shared" ref="AH24" si="270">($B24+$C24)/12*AH25</f>
        <v>0</v>
      </c>
      <c r="AI24" s="929">
        <f t="shared" ref="AI24" si="271">($B24+$C24)/12*AI25</f>
        <v>0</v>
      </c>
      <c r="AJ24" s="929">
        <f t="shared" ref="AJ24" si="272">($B24+$C24)/12*AJ25</f>
        <v>0</v>
      </c>
      <c r="AK24" s="929">
        <f t="shared" ref="AK24" si="273">($B24+$C24)/12*AK25</f>
        <v>0</v>
      </c>
      <c r="AL24" s="929">
        <f t="shared" ref="AL24" si="274">($B24+$C24)/12*AL25</f>
        <v>2205</v>
      </c>
      <c r="AM24" s="931">
        <f t="shared" ref="AM24" si="275">($B24+$C24)/12*AM25</f>
        <v>2205</v>
      </c>
      <c r="AN24" s="930">
        <f>($B24+$C24)/12*AN25</f>
        <v>2205</v>
      </c>
      <c r="AO24" s="929">
        <f t="shared" ref="AO24" si="276">($B24+$C24)/12*AO25</f>
        <v>2205</v>
      </c>
      <c r="AP24" s="929">
        <f t="shared" ref="AP24" si="277">($B24+$C24)/12*AP25</f>
        <v>2205</v>
      </c>
      <c r="AQ24" s="929">
        <f t="shared" ref="AQ24" si="278">($B24+$C24)/12*AQ25</f>
        <v>2205</v>
      </c>
      <c r="AR24" s="929">
        <f t="shared" ref="AR24" si="279">($B24+$C24)/12*AR25</f>
        <v>2205</v>
      </c>
      <c r="AS24" s="929">
        <f t="shared" ref="AS24" si="280">($B24+$C24)/12*AS25</f>
        <v>2205</v>
      </c>
      <c r="AT24" s="929">
        <f t="shared" ref="AT24" si="281">($B24+$C24)/12*AT25</f>
        <v>2205</v>
      </c>
      <c r="AU24" s="929">
        <f t="shared" ref="AU24" si="282">($B24+$C24)/12*AU25</f>
        <v>2205</v>
      </c>
      <c r="AV24" s="929">
        <f t="shared" ref="AV24" si="283">($B24+$C24)/12*AV25</f>
        <v>2205</v>
      </c>
      <c r="AW24" s="929">
        <f t="shared" ref="AW24" si="284">($B24+$C24)/12*AW25</f>
        <v>2205</v>
      </c>
      <c r="AX24" s="929">
        <f t="shared" ref="AX24" si="285">($B24+$C24)/12*AX25</f>
        <v>4410</v>
      </c>
      <c r="AY24" s="931">
        <f t="shared" ref="AY24" si="286">($B24+$C24)/12*AY25</f>
        <v>4410</v>
      </c>
      <c r="AZ24" s="930">
        <f>($B24+$C24)/12*AZ25</f>
        <v>4410</v>
      </c>
      <c r="BA24" s="929">
        <f t="shared" ref="BA24" si="287">($B24+$C24)/12*BA25</f>
        <v>4410</v>
      </c>
      <c r="BB24" s="929">
        <f t="shared" ref="BB24" si="288">($B24+$C24)/12*BB25</f>
        <v>4410</v>
      </c>
      <c r="BC24" s="929">
        <f t="shared" ref="BC24" si="289">($B24+$C24)/12*BC25</f>
        <v>4410</v>
      </c>
      <c r="BD24" s="929">
        <f t="shared" ref="BD24" si="290">($B24+$C24)/12*BD25</f>
        <v>4410</v>
      </c>
      <c r="BE24" s="929">
        <f t="shared" ref="BE24" si="291">($B24+$C24)/12*BE25</f>
        <v>4410</v>
      </c>
      <c r="BF24" s="929">
        <f t="shared" ref="BF24" si="292">($B24+$C24)/12*BF25</f>
        <v>4410</v>
      </c>
      <c r="BG24" s="929">
        <f t="shared" ref="BG24" si="293">($B24+$C24)/12*BG25</f>
        <v>4410</v>
      </c>
      <c r="BH24" s="929">
        <f t="shared" ref="BH24" si="294">($B24+$C24)/12*BH25</f>
        <v>4410</v>
      </c>
      <c r="BI24" s="929">
        <f t="shared" ref="BI24" si="295">($B24+$C24)/12*BI25</f>
        <v>4410</v>
      </c>
      <c r="BJ24" s="929">
        <f t="shared" ref="BJ24" si="296">($B24+$C24)/12*BJ25</f>
        <v>4410</v>
      </c>
      <c r="BK24" s="931">
        <f t="shared" ref="BK24" si="297">($B24+$C24)/12*BK25</f>
        <v>4410</v>
      </c>
      <c r="BN24" s="929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</row>
    <row r="25" spans="1:78" s="716" customFormat="1">
      <c r="A25" s="932" t="s">
        <v>123</v>
      </c>
      <c r="B25" s="933"/>
      <c r="C25" s="933"/>
      <c r="D25" s="939">
        <f t="shared" ref="D25:AI25" si="298">IF(D26&gt;15,1,IF(D26&gt;8,0.5,0))</f>
        <v>0</v>
      </c>
      <c r="E25" s="939">
        <f t="shared" si="298"/>
        <v>0</v>
      </c>
      <c r="F25" s="939">
        <f t="shared" si="298"/>
        <v>0</v>
      </c>
      <c r="G25" s="939">
        <f t="shared" si="298"/>
        <v>0</v>
      </c>
      <c r="H25" s="939">
        <f t="shared" si="298"/>
        <v>0</v>
      </c>
      <c r="I25" s="939">
        <f t="shared" si="298"/>
        <v>0</v>
      </c>
      <c r="J25" s="939">
        <f t="shared" si="298"/>
        <v>0</v>
      </c>
      <c r="K25" s="939">
        <f t="shared" si="298"/>
        <v>0</v>
      </c>
      <c r="L25" s="939">
        <f t="shared" si="298"/>
        <v>0</v>
      </c>
      <c r="M25" s="939">
        <f t="shared" si="298"/>
        <v>0</v>
      </c>
      <c r="N25" s="939">
        <f t="shared" si="298"/>
        <v>0</v>
      </c>
      <c r="O25" s="939">
        <f t="shared" si="298"/>
        <v>0</v>
      </c>
      <c r="P25" s="940">
        <f t="shared" si="298"/>
        <v>0</v>
      </c>
      <c r="Q25" s="939">
        <f t="shared" si="298"/>
        <v>0</v>
      </c>
      <c r="R25" s="939">
        <f t="shared" si="298"/>
        <v>0</v>
      </c>
      <c r="S25" s="939">
        <f t="shared" si="298"/>
        <v>0</v>
      </c>
      <c r="T25" s="939">
        <f t="shared" si="298"/>
        <v>0</v>
      </c>
      <c r="U25" s="939">
        <f t="shared" si="298"/>
        <v>0</v>
      </c>
      <c r="V25" s="939">
        <f t="shared" si="298"/>
        <v>0</v>
      </c>
      <c r="W25" s="939">
        <f t="shared" si="298"/>
        <v>0</v>
      </c>
      <c r="X25" s="939">
        <f t="shared" si="298"/>
        <v>0</v>
      </c>
      <c r="Y25" s="939">
        <f t="shared" si="298"/>
        <v>0</v>
      </c>
      <c r="Z25" s="939">
        <f t="shared" si="298"/>
        <v>0</v>
      </c>
      <c r="AA25" s="941">
        <f t="shared" si="298"/>
        <v>0</v>
      </c>
      <c r="AB25" s="939">
        <f t="shared" si="298"/>
        <v>0</v>
      </c>
      <c r="AC25" s="939">
        <f t="shared" si="298"/>
        <v>0</v>
      </c>
      <c r="AD25" s="939">
        <f t="shared" si="298"/>
        <v>0</v>
      </c>
      <c r="AE25" s="939">
        <f t="shared" si="298"/>
        <v>0</v>
      </c>
      <c r="AF25" s="939">
        <f t="shared" si="298"/>
        <v>0</v>
      </c>
      <c r="AG25" s="939">
        <f t="shared" si="298"/>
        <v>0</v>
      </c>
      <c r="AH25" s="939">
        <f t="shared" si="298"/>
        <v>0</v>
      </c>
      <c r="AI25" s="939">
        <f t="shared" si="298"/>
        <v>0</v>
      </c>
      <c r="AJ25" s="939">
        <f t="shared" ref="AJ25:BK25" si="299">IF(AJ26&gt;15,1,IF(AJ26&gt;8,0.5,0))</f>
        <v>0</v>
      </c>
      <c r="AK25" s="939">
        <f t="shared" si="299"/>
        <v>0</v>
      </c>
      <c r="AL25" s="939">
        <f t="shared" si="299"/>
        <v>0.5</v>
      </c>
      <c r="AM25" s="941">
        <f t="shared" si="299"/>
        <v>0.5</v>
      </c>
      <c r="AN25" s="940">
        <f t="shared" si="299"/>
        <v>0.5</v>
      </c>
      <c r="AO25" s="939">
        <f t="shared" si="299"/>
        <v>0.5</v>
      </c>
      <c r="AP25" s="939">
        <f t="shared" si="299"/>
        <v>0.5</v>
      </c>
      <c r="AQ25" s="939">
        <f t="shared" si="299"/>
        <v>0.5</v>
      </c>
      <c r="AR25" s="939">
        <f t="shared" si="299"/>
        <v>0.5</v>
      </c>
      <c r="AS25" s="939">
        <f t="shared" si="299"/>
        <v>0.5</v>
      </c>
      <c r="AT25" s="939">
        <f t="shared" si="299"/>
        <v>0.5</v>
      </c>
      <c r="AU25" s="939">
        <f t="shared" si="299"/>
        <v>0.5</v>
      </c>
      <c r="AV25" s="939">
        <f t="shared" si="299"/>
        <v>0.5</v>
      </c>
      <c r="AW25" s="939">
        <f t="shared" si="299"/>
        <v>0.5</v>
      </c>
      <c r="AX25" s="939">
        <f t="shared" si="299"/>
        <v>1</v>
      </c>
      <c r="AY25" s="941">
        <f t="shared" si="299"/>
        <v>1</v>
      </c>
      <c r="AZ25" s="940">
        <f t="shared" si="299"/>
        <v>1</v>
      </c>
      <c r="BA25" s="939">
        <f t="shared" si="299"/>
        <v>1</v>
      </c>
      <c r="BB25" s="939">
        <f t="shared" si="299"/>
        <v>1</v>
      </c>
      <c r="BC25" s="939">
        <f t="shared" si="299"/>
        <v>1</v>
      </c>
      <c r="BD25" s="939">
        <f t="shared" si="299"/>
        <v>1</v>
      </c>
      <c r="BE25" s="939">
        <f t="shared" si="299"/>
        <v>1</v>
      </c>
      <c r="BF25" s="939">
        <f t="shared" si="299"/>
        <v>1</v>
      </c>
      <c r="BG25" s="939">
        <f t="shared" si="299"/>
        <v>1</v>
      </c>
      <c r="BH25" s="939">
        <f t="shared" si="299"/>
        <v>1</v>
      </c>
      <c r="BI25" s="939">
        <f t="shared" si="299"/>
        <v>1</v>
      </c>
      <c r="BJ25" s="939">
        <f t="shared" si="299"/>
        <v>1</v>
      </c>
      <c r="BK25" s="941">
        <f t="shared" si="299"/>
        <v>1</v>
      </c>
      <c r="BN25" s="939">
        <f t="shared" ref="BN25:BZ25" si="300">IF(BN10&gt;15,1,IF(BN10&gt;8,0.5,0))</f>
        <v>0</v>
      </c>
      <c r="BO25" s="710">
        <f t="shared" si="300"/>
        <v>0</v>
      </c>
      <c r="BP25" s="710">
        <f t="shared" si="300"/>
        <v>0</v>
      </c>
      <c r="BQ25" s="710">
        <f t="shared" si="300"/>
        <v>0</v>
      </c>
      <c r="BR25" s="710">
        <f t="shared" si="300"/>
        <v>0</v>
      </c>
      <c r="BS25" s="710">
        <f t="shared" si="300"/>
        <v>0</v>
      </c>
      <c r="BT25" s="710">
        <f t="shared" si="300"/>
        <v>0</v>
      </c>
      <c r="BU25" s="710">
        <f t="shared" si="300"/>
        <v>0</v>
      </c>
      <c r="BV25" s="710">
        <f t="shared" si="300"/>
        <v>0</v>
      </c>
      <c r="BW25" s="710">
        <f t="shared" si="300"/>
        <v>0</v>
      </c>
      <c r="BX25" s="710">
        <f t="shared" si="300"/>
        <v>0</v>
      </c>
      <c r="BY25" s="710">
        <f t="shared" si="300"/>
        <v>0</v>
      </c>
      <c r="BZ25" s="710">
        <f t="shared" si="300"/>
        <v>0</v>
      </c>
    </row>
    <row r="26" spans="1:78" s="496" customFormat="1" ht="19.5" customHeight="1">
      <c r="A26" s="918"/>
      <c r="B26" s="919"/>
      <c r="C26" s="942" t="s">
        <v>372</v>
      </c>
      <c r="D26" s="920">
        <f>'Contractor Model'!B53</f>
        <v>1</v>
      </c>
      <c r="E26" s="920">
        <f>'Contractor Model'!C53</f>
        <v>1</v>
      </c>
      <c r="F26" s="920">
        <f>'Contractor Model'!D53</f>
        <v>1</v>
      </c>
      <c r="G26" s="920">
        <f>'Contractor Model'!E53</f>
        <v>1</v>
      </c>
      <c r="H26" s="920">
        <f>'Contractor Model'!F53</f>
        <v>1</v>
      </c>
      <c r="I26" s="920">
        <f>'Contractor Model'!G53</f>
        <v>2</v>
      </c>
      <c r="J26" s="920">
        <f>'Contractor Model'!H53</f>
        <v>2</v>
      </c>
      <c r="K26" s="920">
        <f>'Contractor Model'!I53</f>
        <v>2</v>
      </c>
      <c r="L26" s="920">
        <f>'Contractor Model'!J53</f>
        <v>2</v>
      </c>
      <c r="M26" s="920">
        <f>'Contractor Model'!K53</f>
        <v>2</v>
      </c>
      <c r="N26" s="920">
        <f>'Contractor Model'!L53</f>
        <v>2</v>
      </c>
      <c r="O26" s="920">
        <f>'Contractor Model'!M53</f>
        <v>2</v>
      </c>
      <c r="P26" s="921">
        <f>'Contractor Model'!N53</f>
        <v>2</v>
      </c>
      <c r="Q26" s="922">
        <f>'Contractor Model'!O53</f>
        <v>2</v>
      </c>
      <c r="R26" s="922">
        <f>'Contractor Model'!P53</f>
        <v>3</v>
      </c>
      <c r="S26" s="922">
        <f>'Contractor Model'!Q53</f>
        <v>3</v>
      </c>
      <c r="T26" s="922">
        <f>'Contractor Model'!R53</f>
        <v>3</v>
      </c>
      <c r="U26" s="922">
        <f>'Contractor Model'!S53</f>
        <v>3</v>
      </c>
      <c r="V26" s="922">
        <f>'Contractor Model'!T53</f>
        <v>3</v>
      </c>
      <c r="W26" s="922">
        <f>'Contractor Model'!U53</f>
        <v>3</v>
      </c>
      <c r="X26" s="922">
        <f>'Contractor Model'!V53</f>
        <v>4</v>
      </c>
      <c r="Y26" s="922">
        <f>'Contractor Model'!W53</f>
        <v>4</v>
      </c>
      <c r="Z26" s="922">
        <f>'Contractor Model'!X53</f>
        <v>4</v>
      </c>
      <c r="AA26" s="923">
        <f>'Contractor Model'!Y53</f>
        <v>5</v>
      </c>
      <c r="AB26" s="922">
        <f>'Contractor Model'!Z53</f>
        <v>5</v>
      </c>
      <c r="AC26" s="922">
        <f>'Contractor Model'!AA53</f>
        <v>5</v>
      </c>
      <c r="AD26" s="922">
        <f>'Contractor Model'!AB53</f>
        <v>5</v>
      </c>
      <c r="AE26" s="922">
        <f>'Contractor Model'!AC53</f>
        <v>6</v>
      </c>
      <c r="AF26" s="922">
        <f>'Contractor Model'!AD53</f>
        <v>6</v>
      </c>
      <c r="AG26" s="922">
        <f>'Contractor Model'!AE53</f>
        <v>6</v>
      </c>
      <c r="AH26" s="922">
        <f>'Contractor Model'!AF53</f>
        <v>7</v>
      </c>
      <c r="AI26" s="922">
        <f>'Contractor Model'!AG53</f>
        <v>7</v>
      </c>
      <c r="AJ26" s="922">
        <f>'Contractor Model'!AH53</f>
        <v>8</v>
      </c>
      <c r="AK26" s="922">
        <f>'Contractor Model'!AI53</f>
        <v>8</v>
      </c>
      <c r="AL26" s="922">
        <f>'Contractor Model'!AJ53</f>
        <v>9</v>
      </c>
      <c r="AM26" s="923">
        <f>'Contractor Model'!AK53</f>
        <v>9</v>
      </c>
      <c r="AN26" s="921">
        <f>'Contractor Model'!AL53</f>
        <v>10</v>
      </c>
      <c r="AO26" s="922">
        <f>'Contractor Model'!AM53</f>
        <v>10</v>
      </c>
      <c r="AP26" s="922">
        <f>'Contractor Model'!AN53</f>
        <v>11</v>
      </c>
      <c r="AQ26" s="922">
        <f>'Contractor Model'!AO53</f>
        <v>11</v>
      </c>
      <c r="AR26" s="922">
        <f>'Contractor Model'!AP53</f>
        <v>12</v>
      </c>
      <c r="AS26" s="922">
        <f>'Contractor Model'!AQ53</f>
        <v>13</v>
      </c>
      <c r="AT26" s="922">
        <f>'Contractor Model'!AR53</f>
        <v>13</v>
      </c>
      <c r="AU26" s="922">
        <f>'Contractor Model'!AS53</f>
        <v>14</v>
      </c>
      <c r="AV26" s="922">
        <f>'Contractor Model'!AT53</f>
        <v>15</v>
      </c>
      <c r="AW26" s="922">
        <f>'Contractor Model'!AU53</f>
        <v>15</v>
      </c>
      <c r="AX26" s="922">
        <f>'Contractor Model'!AV53</f>
        <v>16</v>
      </c>
      <c r="AY26" s="923">
        <f>'Contractor Model'!AW53</f>
        <v>17</v>
      </c>
      <c r="AZ26" s="921">
        <f>'Contractor Model'!AX53</f>
        <v>18</v>
      </c>
      <c r="BA26" s="922">
        <f>'Contractor Model'!AY53</f>
        <v>19</v>
      </c>
      <c r="BB26" s="922">
        <f>'Contractor Model'!AZ53</f>
        <v>20</v>
      </c>
      <c r="BC26" s="922">
        <f>'Contractor Model'!BA53</f>
        <v>21</v>
      </c>
      <c r="BD26" s="922">
        <f>'Contractor Model'!BB53</f>
        <v>22</v>
      </c>
      <c r="BE26" s="922">
        <f>'Contractor Model'!BC53</f>
        <v>23</v>
      </c>
      <c r="BF26" s="922">
        <f>'Contractor Model'!BD53</f>
        <v>24</v>
      </c>
      <c r="BG26" s="922">
        <f>'Contractor Model'!BE53</f>
        <v>25</v>
      </c>
      <c r="BH26" s="922">
        <f>'Contractor Model'!BF53</f>
        <v>27</v>
      </c>
      <c r="BI26" s="922">
        <f>'Contractor Model'!BG53</f>
        <v>28</v>
      </c>
      <c r="BJ26" s="922">
        <f>'Contractor Model'!BH53</f>
        <v>29</v>
      </c>
      <c r="BK26" s="923">
        <f>'Contractor Model'!BI53</f>
        <v>31</v>
      </c>
      <c r="BN26" s="919"/>
      <c r="BO26" s="924"/>
      <c r="BP26" s="924"/>
      <c r="BQ26" s="924"/>
      <c r="BR26" s="924"/>
      <c r="BS26" s="924"/>
      <c r="BT26" s="924"/>
      <c r="BU26" s="924"/>
      <c r="BV26" s="924"/>
      <c r="BW26" s="924"/>
      <c r="BX26" s="924"/>
      <c r="BY26" s="924"/>
      <c r="BZ26" s="924"/>
    </row>
    <row r="27" spans="1:78" s="59" customFormat="1" ht="19.5" customHeight="1">
      <c r="A27" s="917"/>
      <c r="B27" s="904"/>
      <c r="C27" s="904"/>
      <c r="D27" s="904"/>
      <c r="E27" s="904"/>
      <c r="F27" s="904"/>
      <c r="G27" s="904"/>
      <c r="H27" s="904"/>
      <c r="I27" s="904"/>
      <c r="J27" s="904"/>
      <c r="K27" s="904"/>
      <c r="L27" s="904"/>
      <c r="M27" s="904"/>
      <c r="N27" s="904"/>
      <c r="O27" s="904"/>
      <c r="P27" s="911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3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3"/>
      <c r="AN27" s="911"/>
      <c r="AO27" s="912"/>
      <c r="AP27" s="912"/>
      <c r="AQ27" s="912"/>
      <c r="AR27" s="912"/>
      <c r="AS27" s="912"/>
      <c r="AT27" s="912"/>
      <c r="AU27" s="912"/>
      <c r="AV27" s="912"/>
      <c r="AW27" s="912"/>
      <c r="AX27" s="912"/>
      <c r="AY27" s="913"/>
      <c r="AZ27" s="911"/>
      <c r="BA27" s="912"/>
      <c r="BB27" s="912"/>
      <c r="BC27" s="912"/>
      <c r="BD27" s="912"/>
      <c r="BE27" s="912"/>
      <c r="BF27" s="912"/>
      <c r="BG27" s="912"/>
      <c r="BH27" s="912"/>
      <c r="BI27" s="912"/>
      <c r="BJ27" s="912"/>
      <c r="BK27" s="913"/>
      <c r="BN27" s="904"/>
      <c r="BO27" s="733"/>
      <c r="BP27" s="733"/>
      <c r="BQ27" s="733"/>
      <c r="BR27" s="733"/>
      <c r="BS27" s="733"/>
      <c r="BT27" s="733"/>
      <c r="BU27" s="733"/>
      <c r="BV27" s="733"/>
      <c r="BW27" s="733"/>
      <c r="BX27" s="733"/>
      <c r="BY27" s="733"/>
      <c r="BZ27" s="733"/>
    </row>
    <row r="28" spans="1:78" s="203" customFormat="1" ht="16.5" customHeight="1">
      <c r="B28" s="943"/>
      <c r="C28" s="947" t="s">
        <v>373</v>
      </c>
      <c r="D28" s="943">
        <f>D18+D21+D24</f>
        <v>0</v>
      </c>
      <c r="E28" s="943">
        <f t="shared" ref="E28:O28" si="301">E18+E21+E24</f>
        <v>0</v>
      </c>
      <c r="F28" s="943">
        <f t="shared" si="301"/>
        <v>0</v>
      </c>
      <c r="G28" s="943">
        <f t="shared" si="301"/>
        <v>0</v>
      </c>
      <c r="H28" s="943">
        <f t="shared" si="301"/>
        <v>0</v>
      </c>
      <c r="I28" s="943">
        <f t="shared" si="301"/>
        <v>0</v>
      </c>
      <c r="J28" s="943">
        <f t="shared" si="301"/>
        <v>0</v>
      </c>
      <c r="K28" s="943">
        <f t="shared" si="301"/>
        <v>0</v>
      </c>
      <c r="L28" s="943">
        <f t="shared" si="301"/>
        <v>0</v>
      </c>
      <c r="M28" s="943">
        <f t="shared" si="301"/>
        <v>0</v>
      </c>
      <c r="N28" s="943">
        <f t="shared" si="301"/>
        <v>0</v>
      </c>
      <c r="O28" s="943">
        <f t="shared" si="301"/>
        <v>0</v>
      </c>
      <c r="P28" s="944">
        <f>P18+P21+P24</f>
        <v>0</v>
      </c>
      <c r="Q28" s="945">
        <f t="shared" ref="Q28:AA28" si="302">Q18+Q21+Q24</f>
        <v>0</v>
      </c>
      <c r="R28" s="945">
        <f t="shared" si="302"/>
        <v>0</v>
      </c>
      <c r="S28" s="945">
        <f t="shared" si="302"/>
        <v>0</v>
      </c>
      <c r="T28" s="945">
        <f t="shared" si="302"/>
        <v>0</v>
      </c>
      <c r="U28" s="945">
        <f t="shared" si="302"/>
        <v>0</v>
      </c>
      <c r="V28" s="945">
        <f t="shared" si="302"/>
        <v>0</v>
      </c>
      <c r="W28" s="945">
        <f t="shared" si="302"/>
        <v>0</v>
      </c>
      <c r="X28" s="945">
        <f t="shared" si="302"/>
        <v>0</v>
      </c>
      <c r="Y28" s="945">
        <f t="shared" si="302"/>
        <v>0</v>
      </c>
      <c r="Z28" s="945">
        <f t="shared" si="302"/>
        <v>0</v>
      </c>
      <c r="AA28" s="946">
        <f t="shared" si="302"/>
        <v>4200</v>
      </c>
      <c r="AB28" s="945">
        <f>AB18+AB21+AB24</f>
        <v>4200</v>
      </c>
      <c r="AC28" s="945">
        <f t="shared" ref="AC28:AM28" si="303">AC18+AC21+AC24</f>
        <v>4200</v>
      </c>
      <c r="AD28" s="945">
        <f t="shared" si="303"/>
        <v>4200</v>
      </c>
      <c r="AE28" s="945">
        <f t="shared" si="303"/>
        <v>4200</v>
      </c>
      <c r="AF28" s="945">
        <f t="shared" si="303"/>
        <v>4200</v>
      </c>
      <c r="AG28" s="945">
        <f t="shared" si="303"/>
        <v>4200</v>
      </c>
      <c r="AH28" s="945">
        <f t="shared" si="303"/>
        <v>4200</v>
      </c>
      <c r="AI28" s="945">
        <f t="shared" si="303"/>
        <v>4200</v>
      </c>
      <c r="AJ28" s="945">
        <f t="shared" si="303"/>
        <v>4200</v>
      </c>
      <c r="AK28" s="945">
        <f t="shared" si="303"/>
        <v>4200</v>
      </c>
      <c r="AL28" s="945">
        <f t="shared" si="303"/>
        <v>6405</v>
      </c>
      <c r="AM28" s="946">
        <f t="shared" si="303"/>
        <v>6405</v>
      </c>
      <c r="AN28" s="944">
        <f>AN18+AN21+AN24</f>
        <v>10395</v>
      </c>
      <c r="AO28" s="945">
        <f t="shared" ref="AO28:AY28" si="304">AO18+AO21+AO24</f>
        <v>10395</v>
      </c>
      <c r="AP28" s="945">
        <f t="shared" si="304"/>
        <v>10395</v>
      </c>
      <c r="AQ28" s="945">
        <f t="shared" si="304"/>
        <v>10395</v>
      </c>
      <c r="AR28" s="945">
        <f t="shared" si="304"/>
        <v>10395</v>
      </c>
      <c r="AS28" s="945">
        <f t="shared" si="304"/>
        <v>10395</v>
      </c>
      <c r="AT28" s="945">
        <f t="shared" si="304"/>
        <v>10395</v>
      </c>
      <c r="AU28" s="945">
        <f t="shared" si="304"/>
        <v>10395</v>
      </c>
      <c r="AV28" s="945">
        <f t="shared" si="304"/>
        <v>14595</v>
      </c>
      <c r="AW28" s="945">
        <f t="shared" si="304"/>
        <v>14595</v>
      </c>
      <c r="AX28" s="945">
        <f t="shared" si="304"/>
        <v>16800</v>
      </c>
      <c r="AY28" s="946">
        <f t="shared" si="304"/>
        <v>16800</v>
      </c>
      <c r="AZ28" s="944">
        <f>AZ18+AZ21+AZ24</f>
        <v>16800</v>
      </c>
      <c r="BA28" s="945">
        <f t="shared" ref="BA28:BK28" si="305">BA18+BA21+BA24</f>
        <v>16800</v>
      </c>
      <c r="BB28" s="945">
        <f t="shared" si="305"/>
        <v>16800</v>
      </c>
      <c r="BC28" s="945">
        <f t="shared" si="305"/>
        <v>16800</v>
      </c>
      <c r="BD28" s="945">
        <f t="shared" si="305"/>
        <v>16800</v>
      </c>
      <c r="BE28" s="945">
        <f t="shared" si="305"/>
        <v>16800</v>
      </c>
      <c r="BF28" s="945">
        <f t="shared" si="305"/>
        <v>16800</v>
      </c>
      <c r="BG28" s="945">
        <f t="shared" si="305"/>
        <v>21000</v>
      </c>
      <c r="BH28" s="945">
        <f t="shared" si="305"/>
        <v>21000</v>
      </c>
      <c r="BI28" s="945">
        <f t="shared" si="305"/>
        <v>21000</v>
      </c>
      <c r="BJ28" s="945">
        <f t="shared" si="305"/>
        <v>21000</v>
      </c>
      <c r="BK28" s="946">
        <f t="shared" si="305"/>
        <v>24990</v>
      </c>
      <c r="BL28" s="187">
        <f>6/BK26</f>
        <v>0.19354838709677419</v>
      </c>
      <c r="BN28" s="943"/>
      <c r="BO28" s="943">
        <f t="shared" ref="BO28:BZ28" si="306">SUM(BO18:BO26)</f>
        <v>0</v>
      </c>
      <c r="BP28" s="943">
        <f t="shared" si="306"/>
        <v>0</v>
      </c>
      <c r="BQ28" s="943">
        <f t="shared" si="306"/>
        <v>0</v>
      </c>
      <c r="BR28" s="943">
        <f t="shared" si="306"/>
        <v>0</v>
      </c>
      <c r="BS28" s="943">
        <f t="shared" si="306"/>
        <v>0</v>
      </c>
      <c r="BT28" s="943">
        <f t="shared" si="306"/>
        <v>0</v>
      </c>
      <c r="BU28" s="943">
        <f t="shared" si="306"/>
        <v>0</v>
      </c>
      <c r="BV28" s="943">
        <f t="shared" si="306"/>
        <v>0</v>
      </c>
      <c r="BW28" s="943">
        <f t="shared" si="306"/>
        <v>0</v>
      </c>
      <c r="BX28" s="943">
        <f t="shared" si="306"/>
        <v>0</v>
      </c>
      <c r="BY28" s="943">
        <f t="shared" si="306"/>
        <v>0</v>
      </c>
      <c r="BZ28" s="943">
        <f t="shared" si="306"/>
        <v>0</v>
      </c>
    </row>
    <row r="29" spans="1:78" s="59" customFormat="1">
      <c r="A29" s="91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11"/>
      <c r="Q29" s="912"/>
      <c r="R29" s="912"/>
      <c r="S29" s="912"/>
      <c r="T29" s="912"/>
      <c r="U29" s="912"/>
      <c r="V29" s="912"/>
      <c r="W29" s="912"/>
      <c r="X29" s="912"/>
      <c r="Y29" s="912"/>
      <c r="Z29" s="912"/>
      <c r="AA29" s="913"/>
      <c r="AB29" s="912"/>
      <c r="AC29" s="912"/>
      <c r="AD29" s="912"/>
      <c r="AE29" s="912"/>
      <c r="AF29" s="912"/>
      <c r="AG29" s="912"/>
      <c r="AH29" s="912"/>
      <c r="AI29" s="912"/>
      <c r="AJ29" s="912"/>
      <c r="AK29" s="912"/>
      <c r="AL29" s="912"/>
      <c r="AM29" s="913"/>
      <c r="AN29" s="911"/>
      <c r="AO29" s="912"/>
      <c r="AP29" s="912"/>
      <c r="AQ29" s="912"/>
      <c r="AR29" s="912"/>
      <c r="AS29" s="912"/>
      <c r="AT29" s="912"/>
      <c r="AU29" s="912"/>
      <c r="AV29" s="912"/>
      <c r="AW29" s="912"/>
      <c r="AX29" s="912"/>
      <c r="AY29" s="913"/>
      <c r="AZ29" s="911"/>
      <c r="BA29" s="912"/>
      <c r="BB29" s="912"/>
      <c r="BC29" s="912"/>
      <c r="BD29" s="912"/>
      <c r="BE29" s="912"/>
      <c r="BF29" s="912"/>
      <c r="BG29" s="912"/>
      <c r="BH29" s="912"/>
      <c r="BI29" s="912"/>
      <c r="BJ29" s="912"/>
      <c r="BK29" s="913"/>
      <c r="BN29" s="904"/>
      <c r="BO29" s="733"/>
      <c r="BP29" s="733"/>
      <c r="BQ29" s="733"/>
      <c r="BR29" s="733"/>
      <c r="BS29" s="733"/>
      <c r="BT29" s="733"/>
      <c r="BU29" s="733"/>
      <c r="BV29" s="733"/>
      <c r="BW29" s="733"/>
      <c r="BX29" s="733"/>
      <c r="BY29" s="733"/>
      <c r="BZ29" s="733"/>
    </row>
    <row r="30" spans="1:78" s="706" customFormat="1">
      <c r="A30" s="766" t="s">
        <v>124</v>
      </c>
      <c r="B30" s="705">
        <v>28000</v>
      </c>
      <c r="C30" s="929">
        <f>B30*0.26</f>
        <v>7280</v>
      </c>
      <c r="D30" s="929">
        <f>IF(D31=0,0,(($B30+$C30)/12)*D31+Expenses!I53)</f>
        <v>3310.0440528634363</v>
      </c>
      <c r="E30" s="929">
        <f>IF(E31=0,0,(($B30+$C30)/12)*E31+Expenses!J53)</f>
        <v>3340.6565638766519</v>
      </c>
      <c r="F30" s="929">
        <f>IF(F31=0,0,(($B30+$C30)/12)*F31+Expenses!K53)</f>
        <v>3381.2255363366608</v>
      </c>
      <c r="G30" s="929">
        <f>IF(G31=0,0,(($B30+$C30)/12)*G31+Expenses!L53)</f>
        <v>3440.7975699567278</v>
      </c>
      <c r="H30" s="929">
        <f>IF(H31=0,0,(($B30+$C30)/12)*H31+Expenses!M53)</f>
        <v>3491.4070068592937</v>
      </c>
      <c r="I30" s="929">
        <f>IF(I31=0,0,(($B30+$C30)/12)*I31+Expenses!N53)</f>
        <v>3547.3626151945009</v>
      </c>
      <c r="J30" s="929">
        <f>IF(J31=0,0,(($B30+$C30)/12)*J31+Expenses!O53)</f>
        <v>3600.1895874640222</v>
      </c>
      <c r="K30" s="929">
        <f>IF(K31=0,0,(($B30+$C30)/12)*K31+Expenses!P53)</f>
        <v>3658.2274247882024</v>
      </c>
      <c r="L30" s="929">
        <f>IF(L31=0,0,(($B30+$C30)/12)*L31+Expenses!Q53)</f>
        <v>3721.9743327109672</v>
      </c>
      <c r="M30" s="929">
        <f>IF(M31=0,0,(($B30+$C30)/12)*M31+Expenses!R53)</f>
        <v>3780.7555092522498</v>
      </c>
      <c r="N30" s="929">
        <f>IF(N31=0,0,(($B30+$C30)/12)*N31+Expenses!S53)</f>
        <v>3844.6504642717491</v>
      </c>
      <c r="O30" s="929">
        <f>IF(O31=0,0,(($B30+$C30)/12)*O31+Expenses!T53)</f>
        <v>3914.0511196734719</v>
      </c>
      <c r="P30" s="948">
        <f>IF(P31=0,0,(($B30+$C30)/12)*P31+Expenses!U53)</f>
        <v>3989.6192603384216</v>
      </c>
      <c r="Q30" s="929">
        <f>IF(Q31=0,0,(($B30+$C30)/12)*Q31+Expenses!V53)</f>
        <v>4070.3734540233327</v>
      </c>
      <c r="R30" s="929">
        <f>IF(R31=0,0,(($B30+$C30)/12)*R31+Expenses!W53)</f>
        <v>4158.3370641991714</v>
      </c>
      <c r="S30" s="929">
        <f>IF(S31=0,0,(($B30+$C30)/12)*S31+Expenses!X53)</f>
        <v>4254.0610223201238</v>
      </c>
      <c r="T30" s="929">
        <f>IF(T31=0,0,(($B30+$C30)/12)*T31+Expenses!Y53)</f>
        <v>4483.0243334917632</v>
      </c>
      <c r="U30" s="929">
        <f>IF(U31=0,0,(($B30+$C30)/12)*U31+Expenses!Z53)</f>
        <v>4754.7281332679067</v>
      </c>
      <c r="V30" s="929">
        <f>IF(V31=0,0,(($B30+$C30)/12)*V31+Expenses!AA53)</f>
        <v>5045.3463770695134</v>
      </c>
      <c r="W30" s="929">
        <f>IF(W31=0,0,(($B30+$C30)/12)*W31+Expenses!AB53)</f>
        <v>5356.0264865691133</v>
      </c>
      <c r="X30" s="929">
        <f>IF(X31=0,0,(($B30+$C30)/12)*X31+Expenses!AC53)</f>
        <v>5687.9475672481958</v>
      </c>
      <c r="Y30" s="929">
        <f>IF(Y31=0,0,(($B30+$C30)/12)*Y31+Expenses!AD53)</f>
        <v>6042.3182894885231</v>
      </c>
      <c r="Z30" s="929">
        <f>IF(Z31=0,0,(($B30+$C30)/12)*Z31+Expenses!AE53)</f>
        <v>6420.3750183939737</v>
      </c>
      <c r="AA30" s="931">
        <f>IF(AA31=0,0,(($B30+$C30)/12)*AA31+Expenses!AF53)</f>
        <v>6823.3802910987615</v>
      </c>
      <c r="AB30" s="929">
        <f>IF(AB31=0,0,(($B30+$C30)/12)*AB31+Expenses!AG53)</f>
        <v>6327.9080514007064</v>
      </c>
      <c r="AC30" s="929">
        <f>IF(AC31=0,0,(($B30+$C30)/12)*AC31+Expenses!AH53)</f>
        <v>6722.1662424844071</v>
      </c>
      <c r="AD30" s="929">
        <f>IF(AD31=0,0,(($B30+$C30)/12)*AD31+Expenses!AI53)</f>
        <v>7141.4859434940681</v>
      </c>
      <c r="AE30" s="929">
        <f>IF(AE31=0,0,(($B30+$C30)/12)*AE31+Expenses!AJ53)</f>
        <v>7587.0884247279882</v>
      </c>
      <c r="AF30" s="929">
        <f>IF(AF31=0,0,(($B30+$C30)/12)*AF31+Expenses!AK53)</f>
        <v>8060.219694901145</v>
      </c>
      <c r="AG30" s="929">
        <f>IF(AG31=0,0,(($B30+$C30)/12)*AG31+Expenses!AL53)</f>
        <v>8562.1503820882372</v>
      </c>
      <c r="AH30" s="929">
        <f>IF(AH31=0,0,(($B30+$C30)/12)*AH31+Expenses!AM53)</f>
        <v>9094.1759045507333</v>
      </c>
      <c r="AI30" s="929">
        <f>IF(AI31=0,0,(($B30+$C30)/12)*AI31+Expenses!AN53)</f>
        <v>9657.6169425120061</v>
      </c>
      <c r="AJ30" s="929">
        <f>IF(AJ31=0,0,(($B30+$C30)/12)*AJ31+Expenses!AO53)</f>
        <v>10253.820215588537</v>
      </c>
      <c r="AK30" s="929">
        <f>IF(AK31=0,0,(($B30+$C30)/12)*AK31+Expenses!AP53)</f>
        <v>10884.15956493034</v>
      </c>
      <c r="AL30" s="929">
        <f>IF(AL31=0,0,(($B30+$C30)/12)*AL31+Expenses!AQ53)</f>
        <v>11550.03733435848</v>
      </c>
      <c r="AM30" s="931">
        <f>IF(AM31=0,0,(($B30+$C30)/12)*AM31+Expenses!AR53)</f>
        <v>12252.886041027821</v>
      </c>
      <c r="AN30" s="930">
        <f>IF(AN31=0,0,(($B30+$C30)/12)*AN31+Expenses!AS53)</f>
        <v>12994.170323431044</v>
      </c>
      <c r="AO30" s="929">
        <f>IF(AO31=0,0,(($B30+$C30)/12)*AO31+Expenses!AT53)</f>
        <v>13717.691827719977</v>
      </c>
      <c r="AP30" s="929">
        <f>IF(AP31=0,0,(($B30+$C30)/12)*AP31+Expenses!AU53)</f>
        <v>14477.701312637302</v>
      </c>
      <c r="AQ30" s="929">
        <f>IF(AQ31=0,0,(($B30+$C30)/12)*AQ31+Expenses!AV53)</f>
        <v>15275.591577814524</v>
      </c>
      <c r="AR30" s="929">
        <f>IF(AR31=0,0,(($B30+$C30)/12)*AR31+Expenses!AW53)</f>
        <v>16112.792094507364</v>
      </c>
      <c r="AS30" s="929">
        <f>IF(AS31=0,0,(($B30+$C30)/12)*AS31+Expenses!AX53)</f>
        <v>16990.770750330797</v>
      </c>
      <c r="AT30" s="929">
        <f>IF(AT31=0,0,(($B30+$C30)/12)*AT31+Expenses!AY53)</f>
        <v>17911.035773305895</v>
      </c>
      <c r="AU30" s="929">
        <f>IF(AU31=0,0,(($B30+$C30)/12)*AU31+Expenses!AZ53)</f>
        <v>18875.137840563384</v>
      </c>
      <c r="AV30" s="929">
        <f>IF(AV31=0,0,(($B30+$C30)/12)*AV31+Expenses!BA53)</f>
        <v>19884.67237648138</v>
      </c>
      <c r="AW30" s="929">
        <f>IF(AW31=0,0,(($B30+$C30)/12)*AW31+Expenses!BB53)</f>
        <v>20941.282044470114</v>
      </c>
      <c r="AX30" s="929">
        <f>IF(AX31=0,0,(($B30+$C30)/12)*AX31+Expenses!BC53)</f>
        <v>22046.659436060261</v>
      </c>
      <c r="AY30" s="931">
        <f>IF(AY31=0,0,(($B30+$C30)/12)*AY31+Expenses!BD53)</f>
        <v>23202.549960410695</v>
      </c>
      <c r="AZ30" s="930">
        <f>IF(AZ31=0,0,(($B30+$C30)/12)*AZ31+Expenses!BE53)</f>
        <v>24410.754936832174</v>
      </c>
      <c r="BA30" s="929">
        <f>IF(BA31=0,0,(($B30+$C30)/12)*BA31+Expenses!BF53)</f>
        <v>25701.363280760168</v>
      </c>
      <c r="BB30" s="929">
        <f>IF(BB31=0,0,(($B30+$C30)/12)*BB31+Expenses!BG53)</f>
        <v>27051.991136841796</v>
      </c>
      <c r="BC30" s="929">
        <f>IF(BC31=0,0,(($B30+$C30)/12)*BC31+Expenses!BH53)</f>
        <v>28464.927108863405</v>
      </c>
      <c r="BD30" s="929">
        <f>IF(BD31=0,0,(($B30+$C30)/12)*BD31+Expenses!BI53)</f>
        <v>29942.543315299026</v>
      </c>
      <c r="BE30" s="929">
        <f>IF(BE31=0,0,(($B30+$C30)/12)*BE31+Expenses!BJ53)</f>
        <v>31487.299911853497</v>
      </c>
      <c r="BF30" s="929">
        <f>IF(BF31=0,0,(($B30+$C30)/12)*BF31+Expenses!BK53)</f>
        <v>33101.74986355591</v>
      </c>
      <c r="BG30" s="929">
        <f>IF(BG31=0,0,(($B30+$C30)/12)*BG31+Expenses!BL53)</f>
        <v>34788.543969749335</v>
      </c>
      <c r="BH30" s="929">
        <f>IF(BH31=0,0,(($B30+$C30)/12)*BH31+Expenses!BM53)</f>
        <v>36550.436145060085</v>
      </c>
      <c r="BI30" s="929">
        <f>IF(BI31=0,0,(($B30+$C30)/12)*BI31+Expenses!BN53)</f>
        <v>38390.288959220663</v>
      </c>
      <c r="BJ30" s="929">
        <f>IF(BJ31=0,0,(($B30+$C30)/12)*BJ31+Expenses!BO53)</f>
        <v>40311.07943847157</v>
      </c>
      <c r="BK30" s="931">
        <f>IF(BK31=0,0,(($B30+$C30)/12)*BK31+Expenses!BP53)</f>
        <v>42315.905131181833</v>
      </c>
      <c r="BN30" s="929">
        <f>IF(BN31=0,0,(($B30+$C30)/12)*BN31+Expenses!U53)</f>
        <v>3989.6192603384216</v>
      </c>
      <c r="BO30" s="705">
        <f>IF(BO31=0,0,(($B30+$C30)/12)*BO31+Expenses!V53)</f>
        <v>4070.3734540233327</v>
      </c>
      <c r="BP30" s="705">
        <f>IF(BP31=0,0,(($B30+$C30)/12)*BP31+Expenses!W53)</f>
        <v>4158.3370641991714</v>
      </c>
      <c r="BQ30" s="705">
        <f>IF(BQ31=0,0,(($B30+$C30)/12)*BQ31+Expenses!X53)</f>
        <v>4254.0610223201238</v>
      </c>
      <c r="BR30" s="705">
        <f>IF(BR31=0,0,(($B30+$C30)/12)*BR31+Expenses!Y53)</f>
        <v>4483.0243334917632</v>
      </c>
      <c r="BS30" s="705">
        <f>IF(BS31=0,0,(($B30+$C30)/12)*BS31+Expenses!Z53)</f>
        <v>4754.7281332679067</v>
      </c>
      <c r="BT30" s="705">
        <f>IF(BT31=0,0,(($B30+$C30)/12)*BT31+Expenses!AA53)</f>
        <v>5045.3463770695134</v>
      </c>
      <c r="BU30" s="705">
        <f>IF(BU31=0,0,(($B30+$C30)/12)*BU31+Expenses!AB53)</f>
        <v>5356.0264865691133</v>
      </c>
      <c r="BV30" s="705">
        <f>IF(BV31=0,0,(($B30+$C30)/12)*BV31+Expenses!AC53)</f>
        <v>5687.9475672481958</v>
      </c>
      <c r="BW30" s="705">
        <f>IF(BW31=0,0,(($B30+$C30)/12)*BW31+Expenses!AD53)</f>
        <v>6042.3182894885231</v>
      </c>
      <c r="BX30" s="705">
        <f>IF(BX31=0,0,(($B30+$C30)/12)*BX31+Expenses!AE53)</f>
        <v>6420.3750183939737</v>
      </c>
      <c r="BY30" s="705">
        <f>IF(BY31=0,0,(($B30+$C30)/12)*BY31+Expenses!AF53)</f>
        <v>6823.3802910987615</v>
      </c>
      <c r="BZ30" s="705">
        <f>IF(BZ31=0,0,(($B30+$C30)/12)*BZ31+Expenses!AG53)</f>
        <v>7253.3210417589635</v>
      </c>
    </row>
    <row r="31" spans="1:78" s="716" customFormat="1">
      <c r="A31" s="949" t="s">
        <v>123</v>
      </c>
      <c r="B31" s="715"/>
      <c r="C31" s="933"/>
      <c r="D31" s="950">
        <f>IF(('Contractor Model'!B13+'Contractor Model'!B26)/16&lt;1,1,('Contractor Model'!B13+'Contractor Model'!B26)/20)</f>
        <v>1</v>
      </c>
      <c r="E31" s="950">
        <f>IF(('Contractor Model'!C13+'Contractor Model'!C26)/16&lt;1,1,('Contractor Model'!C13+'Contractor Model'!C26)/20)</f>
        <v>1</v>
      </c>
      <c r="F31" s="950">
        <f>IF(('Contractor Model'!D13+'Contractor Model'!D26)/16&lt;1,1,('Contractor Model'!D13+'Contractor Model'!D26)/20)</f>
        <v>1</v>
      </c>
      <c r="G31" s="950">
        <f>IF(('Contractor Model'!E13+'Contractor Model'!E26)/16&lt;1,1,('Contractor Model'!E13+'Contractor Model'!E26)/20)</f>
        <v>1</v>
      </c>
      <c r="H31" s="950">
        <f>IF(('Contractor Model'!F13+'Contractor Model'!F26)/16&lt;1,1,('Contractor Model'!F13+'Contractor Model'!F26)/20)</f>
        <v>1</v>
      </c>
      <c r="I31" s="950">
        <f>IF(('Contractor Model'!G13+'Contractor Model'!G26)/16&lt;1,1,('Contractor Model'!G13+'Contractor Model'!G26)/20)</f>
        <v>1</v>
      </c>
      <c r="J31" s="950">
        <f>IF(('Contractor Model'!H13+'Contractor Model'!H26)/16&lt;1,1,('Contractor Model'!H13+'Contractor Model'!H26)/20)</f>
        <v>1</v>
      </c>
      <c r="K31" s="950">
        <f>IF(('Contractor Model'!I13+'Contractor Model'!I26)/16&lt;1,1,('Contractor Model'!I13+'Contractor Model'!I26)/20)</f>
        <v>1</v>
      </c>
      <c r="L31" s="950">
        <f>IF(('Contractor Model'!J13+'Contractor Model'!J26)/16&lt;1,1,('Contractor Model'!J13+'Contractor Model'!J26)/20)</f>
        <v>1</v>
      </c>
      <c r="M31" s="950">
        <f>IF(('Contractor Model'!K13+'Contractor Model'!K26)/16&lt;1,1,('Contractor Model'!K13+'Contractor Model'!K26)/20)</f>
        <v>1</v>
      </c>
      <c r="N31" s="950">
        <f>IF(('Contractor Model'!L13+'Contractor Model'!L26)/16&lt;1,1,('Contractor Model'!L13+'Contractor Model'!L26)/20)</f>
        <v>1</v>
      </c>
      <c r="O31" s="951">
        <f>IF(('Contractor Model'!M13+'Contractor Model'!M26)/16&lt;1,1,('Contractor Model'!M13+'Contractor Model'!M26)/20)</f>
        <v>1</v>
      </c>
      <c r="P31" s="950">
        <f>IF(('Contractor Model'!N13+'Contractor Model'!N26)/20&lt;1,1,('Contractor Model'!N13+'Contractor Model'!N26)/20)</f>
        <v>1</v>
      </c>
      <c r="Q31" s="950">
        <f>IF(('Contractor Model'!O13+'Contractor Model'!O26)/16&lt;1,1,('Contractor Model'!O13+'Contractor Model'!O26)/16)</f>
        <v>1</v>
      </c>
      <c r="R31" s="950">
        <f>IF(('Contractor Model'!P13+'Contractor Model'!P26)/16&lt;1,1,('Contractor Model'!P13+'Contractor Model'!P26)/16)</f>
        <v>1</v>
      </c>
      <c r="S31" s="950">
        <f>IF(('Contractor Model'!Q13+'Contractor Model'!Q26)/16&lt;1,1,('Contractor Model'!Q13+'Contractor Model'!Q26)/16)</f>
        <v>1</v>
      </c>
      <c r="T31" s="950">
        <f>IF(('Contractor Model'!R13+'Contractor Model'!R26)/16&lt;1,1,('Contractor Model'!R13+'Contractor Model'!R26)/16)</f>
        <v>1.0424847737506902</v>
      </c>
      <c r="U31" s="950">
        <f>IF(('Contractor Model'!S13+'Contractor Model'!S26)/16&lt;1,1,('Contractor Model'!S13+'Contractor Model'!S26)/16)</f>
        <v>1.0964699427499942</v>
      </c>
      <c r="V31" s="950">
        <f>IF(('Contractor Model'!T13+'Contractor Model'!T26)/16&lt;1,1,('Contractor Model'!T13+'Contractor Model'!T26)/16)</f>
        <v>1.1536421845770319</v>
      </c>
      <c r="W31" s="950">
        <f>IF(('Contractor Model'!U13+'Contractor Model'!U26)/16&lt;1,1,('Contractor Model'!U13+'Contractor Model'!U26)/16)</f>
        <v>1.2141763171995008</v>
      </c>
      <c r="X31" s="950">
        <f>IF(('Contractor Model'!V13+'Contractor Model'!V26)/16&lt;1,1,('Contractor Model'!V13+'Contractor Model'!V26)/16)</f>
        <v>1.2782522336575668</v>
      </c>
      <c r="Y31" s="950">
        <f>IF(('Contractor Model'!W13+'Contractor Model'!W26)/16&lt;1,1,('Contractor Model'!W13+'Contractor Model'!W26)/16)</f>
        <v>1.3460546874933135</v>
      </c>
      <c r="Z31" s="950">
        <f>IF(('Contractor Model'!X13+'Contractor Model'!X26)/16&lt;1,1,('Contractor Model'!X13+'Contractor Model'!X26)/16)</f>
        <v>1.4177731112571581</v>
      </c>
      <c r="AA31" s="951">
        <f>IF(('Contractor Model'!Y13+'Contractor Model'!Y26)/16&lt;1,1,('Contractor Model'!Y13+'Contractor Model'!Y26)/16)</f>
        <v>1.4936014801960069</v>
      </c>
      <c r="AB31" s="950">
        <f>IF(('Contractor Model'!Z13+'Contractor Model'!Z26)/20&lt;1,1,('Contractor Model'!Z13+'Contractor Model'!Z26)/20)</f>
        <v>1.259065293004431</v>
      </c>
      <c r="AC31" s="950">
        <f>IF(('Contractor Model'!AA13+'Contractor Model'!AA26)/20&lt;1,1,('Contractor Model'!AA13+'Contractor Model'!AA26)/20)</f>
        <v>1.3254769961923902</v>
      </c>
      <c r="AD31" s="950">
        <f>IF(('Contractor Model'!AB13+'Contractor Model'!AB26)/20&lt;1,1,('Contractor Model'!AB13+'Contractor Model'!AB26)/20)</f>
        <v>1.3955633575194537</v>
      </c>
      <c r="AE31" s="950">
        <f>IF(('Contractor Model'!AC13+'Contractor Model'!AC26)/20&lt;1,1,('Contractor Model'!AC13+'Contractor Model'!AC26)/20)</f>
        <v>1.46949278775153</v>
      </c>
      <c r="AF31" s="950">
        <f>IF(('Contractor Model'!AD13+'Contractor Model'!AD26)/20&lt;1,1,('Contractor Model'!AD13+'Contractor Model'!AD26)/20)</f>
        <v>1.5474377066163703</v>
      </c>
      <c r="AG31" s="950">
        <f>IF(('Contractor Model'!AE13+'Contractor Model'!AE26)/20&lt;1,1,('Contractor Model'!AE13+'Contractor Model'!AE26)/20)</f>
        <v>1.6295745906013426</v>
      </c>
      <c r="AH31" s="950">
        <f>IF(('Contractor Model'!AF13+'Contractor Model'!AF26)/20&lt;1,1,('Contractor Model'!AF13+'Contractor Model'!AF26)/20)</f>
        <v>1.7160840544499252</v>
      </c>
      <c r="AI31" s="950">
        <f>IF(('Contractor Model'!AG13+'Contractor Model'!AG26)/20&lt;1,1,('Contractor Model'!AG13+'Contractor Model'!AG26)/20)</f>
        <v>1.8071509675571147</v>
      </c>
      <c r="AJ31" s="950">
        <f>IF(('Contractor Model'!AH13+'Contractor Model'!AH26)/20&lt;1,1,('Contractor Model'!AH13+'Contractor Model'!AH26)/20)</f>
        <v>1.9029646057999976</v>
      </c>
      <c r="AK31" s="950">
        <f>IF(('Contractor Model'!AI13+'Contractor Model'!AI26)/20&lt;1,1,('Contractor Model'!AI13+'Contractor Model'!AI26)/20)</f>
        <v>2.0037188387520053</v>
      </c>
      <c r="AL31" s="950">
        <f>IF(('Contractor Model'!AJ13+'Contractor Model'!AJ26)/20&lt;1,1,('Contractor Model'!AJ13+'Contractor Model'!AJ26)/20)</f>
        <v>2.109612351736923</v>
      </c>
      <c r="AM31" s="951">
        <f>IF(('Contractor Model'!AK13+'Contractor Model'!AK26)/20&lt;1,1,('Contractor Model'!AK13+'Contractor Model'!AK26)/20)</f>
        <v>2.2208489017932131</v>
      </c>
      <c r="AN31" s="952">
        <f>IF(('Contractor Model'!AL13+'Contractor Model'!AL26)/20&lt;1,1,('Contractor Model'!AL13+'Contractor Model'!AL26)/20)</f>
        <v>2.3376376063443165</v>
      </c>
      <c r="AO31" s="950">
        <f>IF(('Contractor Model'!AM13+'Contractor Model'!AM26)/20&lt;1,1,('Contractor Model'!AM13+'Contractor Model'!AM26)/20)</f>
        <v>2.4541460658133301</v>
      </c>
      <c r="AP31" s="950">
        <f>IF(('Contractor Model'!AN13+'Contractor Model'!AN26)/20&lt;1,1,('Contractor Model'!AN13+'Contractor Model'!AN26)/20)</f>
        <v>2.5761271989660961</v>
      </c>
      <c r="AQ31" s="950">
        <f>IF(('Contractor Model'!AO13+'Contractor Model'!AO26)/20&lt;1,1,('Contractor Model'!AO13+'Contractor Model'!AO26)/20)</f>
        <v>2.7037900035320042</v>
      </c>
      <c r="AR31" s="950">
        <f>IF(('Contractor Model'!AP13+'Contractor Model'!AP26)/20&lt;1,1,('Contractor Model'!AP13+'Contractor Model'!AP26)/20)</f>
        <v>2.837349746690137</v>
      </c>
      <c r="AS31" s="950">
        <f>IF(('Contractor Model'!AQ13+'Contractor Model'!AQ26)/20&lt;1,1,('Contractor Model'!AQ13+'Contractor Model'!AQ26)/20)</f>
        <v>2.977028256550188</v>
      </c>
      <c r="AT31" s="950">
        <f>IF(('Contractor Model'!AR13+'Contractor Model'!AR26)/20&lt;1,1,('Contractor Model'!AR13+'Contractor Model'!AR26)/20)</f>
        <v>3.1230542372062766</v>
      </c>
      <c r="AU31" s="950">
        <f>IF(('Contractor Model'!AS13+'Contractor Model'!AS26)/20&lt;1,1,('Contractor Model'!AS13+'Contractor Model'!AS26)/20)</f>
        <v>3.2756636080359329</v>
      </c>
      <c r="AV31" s="950">
        <f>IF(('Contractor Model'!AT13+'Contractor Model'!AT26)/20&lt;1,1,('Contractor Model'!AT13+'Contractor Model'!AT26)/20)</f>
        <v>3.4350998678588867</v>
      </c>
      <c r="AW31" s="950">
        <f>IF(('Contractor Model'!AU13+'Contractor Model'!AU26)/20&lt;1,1,('Contractor Model'!AU13+'Contractor Model'!AU26)/20)</f>
        <v>3.6016144845138323</v>
      </c>
      <c r="AX31" s="950">
        <f>IF(('Contractor Model'!AV13+'Contractor Model'!AV26)/20&lt;1,1,('Contractor Model'!AV13+'Contractor Model'!AV26)/20)</f>
        <v>3.7754673103564711</v>
      </c>
      <c r="AY31" s="951">
        <f>IF(('Contractor Model'!AW13+'Contractor Model'!AW26)/20&lt;1,1,('Contractor Model'!AW13+'Contractor Model'!AW26)/20)</f>
        <v>3.9569270241297962</v>
      </c>
      <c r="AZ31" s="952">
        <f>IF(('Contractor Model'!AX13+'Contractor Model'!AX26)/20&lt;1,1,('Contractor Model'!AX13+'Contractor Model'!AX26)/20)</f>
        <v>4.1462715996083759</v>
      </c>
      <c r="BA31" s="950">
        <f>IF(('Contractor Model'!AY13+'Contractor Model'!AY26)/20&lt;1,1,('Contractor Model'!AY13+'Contractor Model'!AY26)/20)</f>
        <v>4.3467902005470087</v>
      </c>
      <c r="BB31" s="950">
        <f>IF(('Contractor Model'!AZ13+'Contractor Model'!AZ26)/20&lt;1,1,('Contractor Model'!AZ13+'Contractor Model'!AZ26)/20)</f>
        <v>4.5561891642034551</v>
      </c>
      <c r="BC31" s="950">
        <f>IF(('Contractor Model'!BA13+'Contractor Model'!BA26)/20&lt;1,1,('Contractor Model'!BA13+'Contractor Model'!BA26)/20)</f>
        <v>4.7748080362113194</v>
      </c>
      <c r="BD31" s="950">
        <f>IF(('Contractor Model'!BB13+'Contractor Model'!BB26)/20&lt;1,1,('Contractor Model'!BB13+'Contractor Model'!BB26)/20)</f>
        <v>5.0029991091322188</v>
      </c>
      <c r="BE31" s="950">
        <f>IF(('Contractor Model'!BC13+'Contractor Model'!BC26)/20&lt;1,1,('Contractor Model'!BC13+'Contractor Model'!BC26)/20)</f>
        <v>5.2411280667027631</v>
      </c>
      <c r="BF31" s="950">
        <f>IF(('Contractor Model'!BD13+'Contractor Model'!BD26)/20&lt;1,1,('Contractor Model'!BD13+'Contractor Model'!BD26)/20)</f>
        <v>5.4895746605107032</v>
      </c>
      <c r="BG31" s="950">
        <f>IF(('Contractor Model'!BE13+'Contractor Model'!BE26)/20&lt;1,1,('Contractor Model'!BE13+'Contractor Model'!BE26)/20)</f>
        <v>5.7487334196222015</v>
      </c>
      <c r="BH31" s="950">
        <f>IF(('Contractor Model'!BF13+'Contractor Model'!BF26)/20&lt;1,1,('Contractor Model'!BF13+'Contractor Model'!BF26)/20)</f>
        <v>6.0190143936661666</v>
      </c>
      <c r="BI31" s="950">
        <f>IF(('Contractor Model'!BG13+'Contractor Model'!BG26)/20&lt;1,1,('Contractor Model'!BG13+'Contractor Model'!BG26)/20)</f>
        <v>6.3008439298721353</v>
      </c>
      <c r="BJ31" s="950">
        <f>IF(('Contractor Model'!BH13+'Contractor Model'!BH26)/20&lt;1,1,('Contractor Model'!BH13+'Contractor Model'!BH26)/20)</f>
        <v>6.5946654845562138</v>
      </c>
      <c r="BK31" s="951">
        <f>IF(('Contractor Model'!BI13+'Contractor Model'!BI26)/20&lt;1,1,('Contractor Model'!BI13+'Contractor Model'!BI26)/20)</f>
        <v>6.9009404695551284</v>
      </c>
      <c r="BN31" s="950">
        <f>IF(('Contractor Model'!N13+'Contractor Model'!N26)/16&lt;1,1,('Contractor Model'!N13+'Contractor Model'!N26)/16)</f>
        <v>1</v>
      </c>
      <c r="BO31" s="950">
        <f>IF(('Contractor Model'!O13+'Contractor Model'!O26)/16&lt;1,1,('Contractor Model'!O13+'Contractor Model'!O26)/16)</f>
        <v>1</v>
      </c>
      <c r="BP31" s="950">
        <f>IF(('Contractor Model'!P13+'Contractor Model'!P26)/16&lt;1,1,('Contractor Model'!P13+'Contractor Model'!P26)/16)</f>
        <v>1</v>
      </c>
      <c r="BQ31" s="950">
        <f>IF(('Contractor Model'!Q13+'Contractor Model'!Q26)/16&lt;1,1,('Contractor Model'!Q13+'Contractor Model'!Q26)/16)</f>
        <v>1</v>
      </c>
      <c r="BR31" s="950">
        <f>IF(('Contractor Model'!R13+'Contractor Model'!R26)/16&lt;1,1,('Contractor Model'!R13+'Contractor Model'!R26)/16)</f>
        <v>1.0424847737506902</v>
      </c>
      <c r="BS31" s="950">
        <f>IF(('Contractor Model'!S13+'Contractor Model'!S26)/16&lt;1,1,('Contractor Model'!S13+'Contractor Model'!S26)/16)</f>
        <v>1.0964699427499942</v>
      </c>
      <c r="BT31" s="950">
        <f>IF(('Contractor Model'!T13+'Contractor Model'!T26)/16&lt;1,1,('Contractor Model'!T13+'Contractor Model'!T26)/16)</f>
        <v>1.1536421845770319</v>
      </c>
      <c r="BU31" s="950">
        <f>IF(('Contractor Model'!U13+'Contractor Model'!U26)/16&lt;1,1,('Contractor Model'!U13+'Contractor Model'!U26)/16)</f>
        <v>1.2141763171995008</v>
      </c>
      <c r="BV31" s="950">
        <f>IF(('Contractor Model'!V13+'Contractor Model'!V26)/16&lt;1,1,('Contractor Model'!V13+'Contractor Model'!V26)/16)</f>
        <v>1.2782522336575668</v>
      </c>
      <c r="BW31" s="950">
        <f>IF(('Contractor Model'!W13+'Contractor Model'!W26)/16&lt;1,1,('Contractor Model'!W13+'Contractor Model'!W26)/16)</f>
        <v>1.3460546874933135</v>
      </c>
      <c r="BX31" s="950">
        <f>IF(('Contractor Model'!X13+'Contractor Model'!X26)/16&lt;1,1,('Contractor Model'!X13+'Contractor Model'!X26)/16)</f>
        <v>1.4177731112571581</v>
      </c>
      <c r="BY31" s="950">
        <f>IF(('Contractor Model'!Y13+'Contractor Model'!Y26)/16&lt;1,1,('Contractor Model'!Y13+'Contractor Model'!Y26)/16)</f>
        <v>1.4936014801960069</v>
      </c>
      <c r="BZ31" s="950">
        <f>IF(('Contractor Model'!Z13+'Contractor Model'!Z26)/16&lt;1,1,('Contractor Model'!Z13+'Contractor Model'!Z26)/16)</f>
        <v>1.5738316162555388</v>
      </c>
    </row>
    <row r="32" spans="1:78" s="59" customFormat="1" ht="11.25" customHeight="1">
      <c r="B32" s="733"/>
      <c r="C32" s="904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1"/>
      <c r="Q32" s="902"/>
      <c r="R32" s="902"/>
      <c r="S32" s="902"/>
      <c r="T32" s="902"/>
      <c r="U32" s="902"/>
      <c r="V32" s="902"/>
      <c r="W32" s="902"/>
      <c r="X32" s="902"/>
      <c r="Y32" s="902"/>
      <c r="Z32" s="902"/>
      <c r="AA32" s="903"/>
      <c r="AB32" s="902"/>
      <c r="AC32" s="902"/>
      <c r="AD32" s="902"/>
      <c r="AE32" s="902"/>
      <c r="AF32" s="902"/>
      <c r="AG32" s="902"/>
      <c r="AH32" s="902"/>
      <c r="AI32" s="902"/>
      <c r="AJ32" s="902"/>
      <c r="AK32" s="902"/>
      <c r="AL32" s="902"/>
      <c r="AM32" s="903"/>
      <c r="AN32" s="901"/>
      <c r="AO32" s="902"/>
      <c r="AP32" s="902"/>
      <c r="AQ32" s="902"/>
      <c r="AR32" s="902"/>
      <c r="AS32" s="902"/>
      <c r="AT32" s="902"/>
      <c r="AU32" s="902"/>
      <c r="AV32" s="902"/>
      <c r="AW32" s="902"/>
      <c r="AX32" s="902"/>
      <c r="AY32" s="903"/>
      <c r="AZ32" s="901"/>
      <c r="BA32" s="902"/>
      <c r="BB32" s="902"/>
      <c r="BC32" s="902"/>
      <c r="BD32" s="902"/>
      <c r="BE32" s="902"/>
      <c r="BF32" s="902"/>
      <c r="BG32" s="902"/>
      <c r="BH32" s="902"/>
      <c r="BI32" s="902"/>
      <c r="BJ32" s="902"/>
      <c r="BK32" s="903"/>
      <c r="BN32" s="904"/>
      <c r="BO32" s="733"/>
      <c r="BP32" s="733"/>
      <c r="BQ32" s="733"/>
      <c r="BR32" s="733"/>
      <c r="BS32" s="733"/>
      <c r="BT32" s="733"/>
      <c r="BU32" s="733"/>
      <c r="BV32" s="733"/>
      <c r="BW32" s="733"/>
      <c r="BX32" s="733"/>
      <c r="BY32" s="733"/>
      <c r="BZ32" s="733"/>
    </row>
    <row r="33" spans="1:78" s="905" customFormat="1" ht="16.5" customHeight="1">
      <c r="A33" s="905" t="s">
        <v>178</v>
      </c>
      <c r="B33" s="906"/>
      <c r="C33" s="907" t="s">
        <v>176</v>
      </c>
      <c r="D33" s="906">
        <f>D30</f>
        <v>3310.0440528634363</v>
      </c>
      <c r="E33" s="906">
        <f>E30</f>
        <v>3340.6565638766519</v>
      </c>
      <c r="F33" s="906">
        <f>F30</f>
        <v>3381.2255363366608</v>
      </c>
      <c r="G33" s="906">
        <f>G30</f>
        <v>3440.7975699567278</v>
      </c>
      <c r="H33" s="906">
        <f>H30</f>
        <v>3491.4070068592937</v>
      </c>
      <c r="I33" s="906">
        <f t="shared" ref="I33:O33" si="307">I30</f>
        <v>3547.3626151945009</v>
      </c>
      <c r="J33" s="906">
        <f t="shared" si="307"/>
        <v>3600.1895874640222</v>
      </c>
      <c r="K33" s="906">
        <f t="shared" si="307"/>
        <v>3658.2274247882024</v>
      </c>
      <c r="L33" s="906">
        <f t="shared" si="307"/>
        <v>3721.9743327109672</v>
      </c>
      <c r="M33" s="906">
        <f t="shared" si="307"/>
        <v>3780.7555092522498</v>
      </c>
      <c r="N33" s="906">
        <f t="shared" si="307"/>
        <v>3844.6504642717491</v>
      </c>
      <c r="O33" s="906">
        <f t="shared" si="307"/>
        <v>3914.0511196734719</v>
      </c>
      <c r="P33" s="908">
        <f>P30</f>
        <v>3989.6192603384216</v>
      </c>
      <c r="Q33" s="909">
        <f>Q30</f>
        <v>4070.3734540233327</v>
      </c>
      <c r="R33" s="909">
        <f>R30</f>
        <v>4158.3370641991714</v>
      </c>
      <c r="S33" s="909">
        <f>S30</f>
        <v>4254.0610223201238</v>
      </c>
      <c r="T33" s="909">
        <f>T30</f>
        <v>4483.0243334917632</v>
      </c>
      <c r="U33" s="909">
        <f t="shared" ref="U33:AA33" si="308">U30</f>
        <v>4754.7281332679067</v>
      </c>
      <c r="V33" s="909">
        <f t="shared" si="308"/>
        <v>5045.3463770695134</v>
      </c>
      <c r="W33" s="909">
        <f t="shared" si="308"/>
        <v>5356.0264865691133</v>
      </c>
      <c r="X33" s="909">
        <f t="shared" si="308"/>
        <v>5687.9475672481958</v>
      </c>
      <c r="Y33" s="909">
        <f t="shared" si="308"/>
        <v>6042.3182894885231</v>
      </c>
      <c r="Z33" s="909">
        <f t="shared" si="308"/>
        <v>6420.3750183939737</v>
      </c>
      <c r="AA33" s="910">
        <f t="shared" si="308"/>
        <v>6823.3802910987615</v>
      </c>
      <c r="AB33" s="909">
        <f>AB30</f>
        <v>6327.9080514007064</v>
      </c>
      <c r="AC33" s="909">
        <f>AC30</f>
        <v>6722.1662424844071</v>
      </c>
      <c r="AD33" s="909">
        <f>AD30</f>
        <v>7141.4859434940681</v>
      </c>
      <c r="AE33" s="909">
        <f>AE30</f>
        <v>7587.0884247279882</v>
      </c>
      <c r="AF33" s="909">
        <f>AF30</f>
        <v>8060.219694901145</v>
      </c>
      <c r="AG33" s="909">
        <f t="shared" ref="AG33:AM33" si="309">AG30</f>
        <v>8562.1503820882372</v>
      </c>
      <c r="AH33" s="909">
        <f t="shared" si="309"/>
        <v>9094.1759045507333</v>
      </c>
      <c r="AI33" s="909">
        <f t="shared" si="309"/>
        <v>9657.6169425120061</v>
      </c>
      <c r="AJ33" s="909">
        <f t="shared" si="309"/>
        <v>10253.820215588537</v>
      </c>
      <c r="AK33" s="909">
        <f t="shared" si="309"/>
        <v>10884.15956493034</v>
      </c>
      <c r="AL33" s="909">
        <f t="shared" si="309"/>
        <v>11550.03733435848</v>
      </c>
      <c r="AM33" s="910">
        <f t="shared" si="309"/>
        <v>12252.886041027821</v>
      </c>
      <c r="AN33" s="908">
        <f>AN30</f>
        <v>12994.170323431044</v>
      </c>
      <c r="AO33" s="909">
        <f>AO30</f>
        <v>13717.691827719977</v>
      </c>
      <c r="AP33" s="909">
        <f>AP30</f>
        <v>14477.701312637302</v>
      </c>
      <c r="AQ33" s="909">
        <f>AQ30</f>
        <v>15275.591577814524</v>
      </c>
      <c r="AR33" s="909">
        <f>AR30</f>
        <v>16112.792094507364</v>
      </c>
      <c r="AS33" s="909">
        <f t="shared" ref="AS33:AY33" si="310">AS30</f>
        <v>16990.770750330797</v>
      </c>
      <c r="AT33" s="909">
        <f t="shared" si="310"/>
        <v>17911.035773305895</v>
      </c>
      <c r="AU33" s="909">
        <f t="shared" si="310"/>
        <v>18875.137840563384</v>
      </c>
      <c r="AV33" s="909">
        <f t="shared" si="310"/>
        <v>19884.67237648138</v>
      </c>
      <c r="AW33" s="909">
        <f t="shared" si="310"/>
        <v>20941.282044470114</v>
      </c>
      <c r="AX33" s="909">
        <f t="shared" si="310"/>
        <v>22046.659436060261</v>
      </c>
      <c r="AY33" s="910">
        <f t="shared" si="310"/>
        <v>23202.549960410695</v>
      </c>
      <c r="AZ33" s="908">
        <f>AZ30</f>
        <v>24410.754936832174</v>
      </c>
      <c r="BA33" s="909">
        <f>BA30</f>
        <v>25701.363280760168</v>
      </c>
      <c r="BB33" s="909">
        <f>BB30</f>
        <v>27051.991136841796</v>
      </c>
      <c r="BC33" s="909">
        <f>BC30</f>
        <v>28464.927108863405</v>
      </c>
      <c r="BD33" s="909">
        <f>BD30</f>
        <v>29942.543315299026</v>
      </c>
      <c r="BE33" s="909">
        <f t="shared" ref="BE33:BK33" si="311">BE30</f>
        <v>31487.299911853497</v>
      </c>
      <c r="BF33" s="909">
        <f t="shared" si="311"/>
        <v>33101.74986355591</v>
      </c>
      <c r="BG33" s="909">
        <f t="shared" si="311"/>
        <v>34788.543969749335</v>
      </c>
      <c r="BH33" s="909">
        <f t="shared" si="311"/>
        <v>36550.436145060085</v>
      </c>
      <c r="BI33" s="909">
        <f t="shared" si="311"/>
        <v>38390.288959220663</v>
      </c>
      <c r="BJ33" s="909">
        <f t="shared" si="311"/>
        <v>40311.07943847157</v>
      </c>
      <c r="BK33" s="910">
        <f t="shared" si="311"/>
        <v>42315.905131181833</v>
      </c>
      <c r="BN33" s="906" t="e">
        <f>SUM(#REF!)</f>
        <v>#REF!</v>
      </c>
      <c r="BO33" s="906">
        <f>BO30</f>
        <v>4070.3734540233327</v>
      </c>
      <c r="BP33" s="906">
        <f t="shared" ref="BP33:BZ33" si="312">BP30</f>
        <v>4158.3370641991714</v>
      </c>
      <c r="BQ33" s="906">
        <f t="shared" si="312"/>
        <v>4254.0610223201238</v>
      </c>
      <c r="BR33" s="906">
        <f t="shared" si="312"/>
        <v>4483.0243334917632</v>
      </c>
      <c r="BS33" s="906">
        <f t="shared" si="312"/>
        <v>4754.7281332679067</v>
      </c>
      <c r="BT33" s="906">
        <f t="shared" si="312"/>
        <v>5045.3463770695134</v>
      </c>
      <c r="BU33" s="906">
        <f t="shared" si="312"/>
        <v>5356.0264865691133</v>
      </c>
      <c r="BV33" s="906">
        <f t="shared" si="312"/>
        <v>5687.9475672481958</v>
      </c>
      <c r="BW33" s="906">
        <f t="shared" si="312"/>
        <v>6042.3182894885231</v>
      </c>
      <c r="BX33" s="906">
        <f t="shared" si="312"/>
        <v>6420.3750183939737</v>
      </c>
      <c r="BY33" s="906">
        <f t="shared" si="312"/>
        <v>6823.3802910987615</v>
      </c>
      <c r="BZ33" s="906">
        <f t="shared" si="312"/>
        <v>7253.3210417589635</v>
      </c>
    </row>
    <row r="34" spans="1:78" s="59" customFormat="1">
      <c r="B34" s="733"/>
      <c r="C34" s="904"/>
      <c r="D34" s="904"/>
      <c r="E34" s="904"/>
      <c r="F34" s="904"/>
      <c r="G34" s="904"/>
      <c r="H34" s="904"/>
      <c r="I34" s="904"/>
      <c r="J34" s="904"/>
      <c r="K34" s="904"/>
      <c r="L34" s="904"/>
      <c r="M34" s="904"/>
      <c r="N34" s="904"/>
      <c r="O34" s="904"/>
      <c r="P34" s="911"/>
      <c r="Q34" s="912"/>
      <c r="R34" s="912"/>
      <c r="S34" s="912"/>
      <c r="T34" s="912"/>
      <c r="U34" s="912"/>
      <c r="V34" s="912"/>
      <c r="W34" s="912"/>
      <c r="X34" s="912"/>
      <c r="Y34" s="912"/>
      <c r="Z34" s="912"/>
      <c r="AA34" s="913"/>
      <c r="AB34" s="912"/>
      <c r="AC34" s="912"/>
      <c r="AD34" s="912"/>
      <c r="AE34" s="912"/>
      <c r="AF34" s="912"/>
      <c r="AG34" s="912"/>
      <c r="AH34" s="912"/>
      <c r="AI34" s="912"/>
      <c r="AJ34" s="912"/>
      <c r="AK34" s="912"/>
      <c r="AL34" s="912"/>
      <c r="AM34" s="913"/>
      <c r="AN34" s="911"/>
      <c r="AO34" s="912"/>
      <c r="AP34" s="912"/>
      <c r="AQ34" s="912"/>
      <c r="AR34" s="912"/>
      <c r="AS34" s="912"/>
      <c r="AT34" s="912"/>
      <c r="AU34" s="912"/>
      <c r="AV34" s="912"/>
      <c r="AW34" s="912"/>
      <c r="AX34" s="912"/>
      <c r="AY34" s="913"/>
      <c r="AZ34" s="911"/>
      <c r="BA34" s="912"/>
      <c r="BB34" s="912"/>
      <c r="BC34" s="912"/>
      <c r="BD34" s="912"/>
      <c r="BE34" s="912"/>
      <c r="BF34" s="912"/>
      <c r="BG34" s="912"/>
      <c r="BH34" s="912"/>
      <c r="BI34" s="912"/>
      <c r="BJ34" s="912"/>
      <c r="BK34" s="913"/>
      <c r="BN34" s="904"/>
      <c r="BO34" s="733">
        <f t="shared" ref="BO34:BZ34" si="313">D34*0.26</f>
        <v>0</v>
      </c>
      <c r="BP34" s="733">
        <f t="shared" si="313"/>
        <v>0</v>
      </c>
      <c r="BQ34" s="733">
        <f t="shared" si="313"/>
        <v>0</v>
      </c>
      <c r="BR34" s="733">
        <f t="shared" si="313"/>
        <v>0</v>
      </c>
      <c r="BS34" s="733">
        <f t="shared" si="313"/>
        <v>0</v>
      </c>
      <c r="BT34" s="733">
        <f t="shared" si="313"/>
        <v>0</v>
      </c>
      <c r="BU34" s="733">
        <f t="shared" si="313"/>
        <v>0</v>
      </c>
      <c r="BV34" s="733">
        <f t="shared" si="313"/>
        <v>0</v>
      </c>
      <c r="BW34" s="733">
        <f t="shared" si="313"/>
        <v>0</v>
      </c>
      <c r="BX34" s="733">
        <f t="shared" si="313"/>
        <v>0</v>
      </c>
      <c r="BY34" s="733">
        <f t="shared" si="313"/>
        <v>0</v>
      </c>
      <c r="BZ34" s="733">
        <f t="shared" si="313"/>
        <v>0</v>
      </c>
    </row>
    <row r="35" spans="1:78" s="706" customFormat="1">
      <c r="A35" s="928" t="s">
        <v>53</v>
      </c>
      <c r="B35" s="705">
        <v>48000</v>
      </c>
      <c r="C35" s="929">
        <f t="shared" ref="C35:C41" si="314">B35*0.26</f>
        <v>12480</v>
      </c>
      <c r="D35" s="929">
        <f>IF('Contractor Model'!B28&lt;10,0,IF('Contractor Model'!B28&lt;20,0.5*((HR!$B$35+HR!$C$35)/12),SUM(HR!$B35:$C35)/12))</f>
        <v>0</v>
      </c>
      <c r="E35" s="929">
        <f>IF('Contractor Model'!C28&lt;10,0,IF('Contractor Model'!C28&lt;20,0.5*((HR!$B$35+HR!$C$35)/12),SUM(HR!$B35:$C35)/12))</f>
        <v>0</v>
      </c>
      <c r="F35" s="929">
        <f>IF('Contractor Model'!D28&lt;10,0,IF('Contractor Model'!D28&lt;20,0.5*((HR!$B$35+HR!$C$35)/12),SUM(HR!$B35:$C35)/12))</f>
        <v>0</v>
      </c>
      <c r="G35" s="929">
        <f>IF('Contractor Model'!E28&lt;10,0,IF('Contractor Model'!E28&lt;20,0.5*((HR!$B$35+HR!$C$35)/12),SUM(HR!$B35:$C35)/12))</f>
        <v>0</v>
      </c>
      <c r="H35" s="929">
        <f>IF('Contractor Model'!F28&lt;10,0,IF('Contractor Model'!F28&lt;20,0.5*((HR!$B$35+HR!$C$35)/12),SUM(HR!$B35:$C35)/12))</f>
        <v>0</v>
      </c>
      <c r="I35" s="929">
        <f>IF('Contractor Model'!G28&lt;10,0,IF('Contractor Model'!G28&lt;20,0.5*((HR!$B$35+HR!$C$35)/12),SUM(HR!$B35:$C35)/12))</f>
        <v>0</v>
      </c>
      <c r="J35" s="929">
        <f>IF('Contractor Model'!H28&lt;10,0,IF('Contractor Model'!H28&lt;20,0.5*((HR!$B$35+HR!$C$35)/12),SUM(HR!$B35:$C35)/12))</f>
        <v>0</v>
      </c>
      <c r="K35" s="929">
        <f>IF('Contractor Model'!I28&lt;10,0,IF('Contractor Model'!I28&lt;20,0.5*((HR!$B$35+HR!$C$35)/12),SUM(HR!$B35:$C35)/12))</f>
        <v>0</v>
      </c>
      <c r="L35" s="929">
        <f>IF('Contractor Model'!J28&lt;10,0,IF('Contractor Model'!J28&lt;20,0.5*((HR!$B$35+HR!$C$35)/12),SUM(HR!$B35:$C35)/12))</f>
        <v>0</v>
      </c>
      <c r="M35" s="929">
        <f>IF('Contractor Model'!K28&lt;10,0,IF('Contractor Model'!K28&lt;20,0.5*((HR!$B$35+HR!$C$35)/12),SUM(HR!$B35:$C35)/12))</f>
        <v>0</v>
      </c>
      <c r="N35" s="929">
        <f>IF('Contractor Model'!L28&lt;10,0,IF('Contractor Model'!L28&lt;20,0.5*((HR!$B$35+HR!$C$35)/12),SUM(HR!$B35:$C35)/12))</f>
        <v>0</v>
      </c>
      <c r="O35" s="929">
        <f>IF('Contractor Model'!M28&lt;10,0,IF('Contractor Model'!M28&lt;20,0.5*((HR!$B$35+HR!$C$35)/12),SUM(HR!$B35:$C35)/12))</f>
        <v>0</v>
      </c>
      <c r="P35" s="930">
        <f>IF('Contractor Model'!N28&lt;10,0,IF('Contractor Model'!N28&lt;20,0.5*((HR!$B$35+HR!$C$35)/12),SUM(HR!$B35:$C35)/12))</f>
        <v>0</v>
      </c>
      <c r="Q35" s="929">
        <f>IF('Contractor Model'!O28&lt;10,0,IF('Contractor Model'!O28&lt;20,0.5*((HR!$B$35+HR!$C$35)/12),SUM(HR!$B35:$C35)/12))</f>
        <v>0</v>
      </c>
      <c r="R35" s="929">
        <f>IF('Contractor Model'!P28&lt;10,0,IF('Contractor Model'!P28&lt;20,0.5*((HR!$B$35+HR!$C$35)/12),SUM(HR!$B35:$C35)/12))</f>
        <v>0</v>
      </c>
      <c r="S35" s="929">
        <f>IF('Contractor Model'!Q28&lt;10,0,IF('Contractor Model'!Q28&lt;20,0.5*((HR!$B$35+HR!$C$35)/12),SUM(HR!$B35:$C35)/12))</f>
        <v>0</v>
      </c>
      <c r="T35" s="929">
        <f>IF('Contractor Model'!R28&lt;10,0,IF('Contractor Model'!R28&lt;20,0.5*((HR!$B$35+HR!$C$35)/12),SUM(HR!$B35:$C35)/12))</f>
        <v>0</v>
      </c>
      <c r="U35" s="929">
        <f>IF('Contractor Model'!S28&lt;10,0,IF('Contractor Model'!S28&lt;20,0.5*((HR!$B$35+HR!$C$35)/12),SUM(HR!$B35:$C35)/12))</f>
        <v>0</v>
      </c>
      <c r="V35" s="929">
        <f>IF('Contractor Model'!T28&lt;10,0,IF('Contractor Model'!T28&lt;20,0.5*((HR!$B$35+HR!$C$35)/12),SUM(HR!$B35:$C35)/12))</f>
        <v>0</v>
      </c>
      <c r="W35" s="929">
        <f>IF('Contractor Model'!U28&lt;10,0,IF('Contractor Model'!U28&lt;20,0.5*((HR!$B$35+HR!$C$35)/12),SUM(HR!$B35:$C35)/12))</f>
        <v>0</v>
      </c>
      <c r="X35" s="929">
        <f>IF('Contractor Model'!V28&lt;10,0,IF('Contractor Model'!V28&lt;20,0.5*((HR!$B$35+HR!$C$35)/12),SUM(HR!$B35:$C35)/12))</f>
        <v>0</v>
      </c>
      <c r="Y35" s="929">
        <f>IF('Contractor Model'!W28&lt;10,0,IF('Contractor Model'!W28&lt;20,0.5*((HR!$B$35+HR!$C$35)/12),SUM(HR!$B35:$C35)/12))</f>
        <v>0</v>
      </c>
      <c r="Z35" s="929">
        <f>IF('Contractor Model'!X28&lt;10,0,IF('Contractor Model'!X28&lt;20,0.5*((HR!$B$35+HR!$C$35)/12),SUM(HR!$B35:$C35)/12))</f>
        <v>0</v>
      </c>
      <c r="AA35" s="931">
        <f>IF('Contractor Model'!Y28&lt;10,0,IF('Contractor Model'!Y28&lt;20,0.5*((HR!$B$35+HR!$C$35)/12),SUM(HR!$B35:$C35)/12))</f>
        <v>0</v>
      </c>
      <c r="AB35" s="929">
        <f>IF('Contractor Model'!Z28&lt;10,0,IF('Contractor Model'!Z28&lt;20,0.5*((HR!$B$35+HR!$C$35)/12),SUM(HR!$B35:$C35)/12))</f>
        <v>2520</v>
      </c>
      <c r="AC35" s="929">
        <f>IF('Contractor Model'!AA28&lt;10,0,IF('Contractor Model'!AA28&lt;20,0.5*((HR!$B$35+HR!$C$35)/12),SUM(HR!$B35:$C35)/12))</f>
        <v>2520</v>
      </c>
      <c r="AD35" s="929">
        <f>IF('Contractor Model'!AB28&lt;10,0,IF('Contractor Model'!AB28&lt;20,0.5*((HR!$B$35+HR!$C$35)/12),SUM(HR!$B35:$C35)/12))</f>
        <v>2520</v>
      </c>
      <c r="AE35" s="929">
        <f>IF('Contractor Model'!AC28&lt;10,0,IF('Contractor Model'!AC28&lt;20,0.5*((HR!$B$35+HR!$C$35)/12),SUM(HR!$B35:$C35)/12))</f>
        <v>2520</v>
      </c>
      <c r="AF35" s="929">
        <f>IF('Contractor Model'!AD28&lt;10,0,IF('Contractor Model'!AD28&lt;20,0.5*((HR!$B$35+HR!$C$35)/12),SUM(HR!$B35:$C35)/12))</f>
        <v>2520</v>
      </c>
      <c r="AG35" s="929">
        <f>IF('Contractor Model'!AE28&lt;10,0,IF('Contractor Model'!AE28&lt;20,0.5*((HR!$B$35+HR!$C$35)/12),SUM(HR!$B35:$C35)/12))</f>
        <v>2520</v>
      </c>
      <c r="AH35" s="929">
        <f>IF('Contractor Model'!AF28&lt;10,0,IF('Contractor Model'!AF28&lt;20,0.5*((HR!$B$35+HR!$C$35)/12),SUM(HR!$B35:$C35)/12))</f>
        <v>2520</v>
      </c>
      <c r="AI35" s="929">
        <f>IF('Contractor Model'!AG28&lt;10,0,IF('Contractor Model'!AG28&lt;20,0.5*((HR!$B$35+HR!$C$35)/12),SUM(HR!$B35:$C35)/12))</f>
        <v>2520</v>
      </c>
      <c r="AJ35" s="929">
        <f>IF('Contractor Model'!AH28&lt;10,0,IF('Contractor Model'!AH28&lt;20,0.5*((HR!$B$35+HR!$C$35)/12),SUM(HR!$B35:$C35)/12))</f>
        <v>2520</v>
      </c>
      <c r="AK35" s="929">
        <f>IF('Contractor Model'!AI28&lt;10,0,IF('Contractor Model'!AI28&lt;20,0.5*((HR!$B$35+HR!$C$35)/12),SUM(HR!$B35:$C35)/12))</f>
        <v>2520</v>
      </c>
      <c r="AL35" s="929">
        <f>IF('Contractor Model'!AJ28&lt;10,0,IF('Contractor Model'!AJ28&lt;20,0.5*((HR!$B$35+HR!$C$35)/12),SUM(HR!$B35:$C35)/12))</f>
        <v>5040</v>
      </c>
      <c r="AM35" s="931">
        <f>IF('Contractor Model'!AK28&lt;10,0,IF('Contractor Model'!AK28&lt;20,0.5*((HR!$B$35+HR!$C$35)/12),SUM(HR!$B35:$C35)/12))</f>
        <v>5040</v>
      </c>
      <c r="AN35" s="930">
        <f>IF('Contractor Model'!AL28&lt;10,0,IF('Contractor Model'!AL28&lt;20,0.5*((HR!$B$35+HR!$C$35)/12),SUM(HR!$B35:$C35)/12))</f>
        <v>5040</v>
      </c>
      <c r="AO35" s="929">
        <f>IF('Contractor Model'!AM28&lt;10,0,IF('Contractor Model'!AM28&lt;20,0.5*((HR!$B$35+HR!$C$35)/12),SUM(HR!$B35:$C35)/12))</f>
        <v>5040</v>
      </c>
      <c r="AP35" s="929">
        <f>IF('Contractor Model'!AN28&lt;10,0,IF('Contractor Model'!AN28&lt;20,0.5*((HR!$B$35+HR!$C$35)/12),SUM(HR!$B35:$C35)/12))</f>
        <v>5040</v>
      </c>
      <c r="AQ35" s="929">
        <f>IF('Contractor Model'!AO28&lt;10,0,IF('Contractor Model'!AO28&lt;20,0.5*((HR!$B$35+HR!$C$35)/12),SUM(HR!$B35:$C35)/12))</f>
        <v>5040</v>
      </c>
      <c r="AR35" s="929">
        <f>IF('Contractor Model'!AP28&lt;10,0,IF('Contractor Model'!AP28&lt;20,0.5*((HR!$B$35+HR!$C$35)/12),SUM(HR!$B35:$C35)/12))</f>
        <v>5040</v>
      </c>
      <c r="AS35" s="929">
        <f>IF('Contractor Model'!AQ28&lt;10,0,IF('Contractor Model'!AQ28&lt;20,0.5*((HR!$B$35+HR!$C$35)/12),SUM(HR!$B35:$C35)/12))</f>
        <v>5040</v>
      </c>
      <c r="AT35" s="929">
        <f>IF('Contractor Model'!AR28&lt;10,0,IF('Contractor Model'!AR28&lt;20,0.5*((HR!$B$35+HR!$C$35)/12),SUM(HR!$B35:$C35)/12))</f>
        <v>5040</v>
      </c>
      <c r="AU35" s="929">
        <f>IF('Contractor Model'!AS28&lt;10,0,IF('Contractor Model'!AS28&lt;20,0.5*((HR!$B$35+HR!$C$35)/12),SUM(HR!$B35:$C35)/12))</f>
        <v>5040</v>
      </c>
      <c r="AV35" s="929">
        <f>IF('Contractor Model'!AT28&lt;10,0,IF('Contractor Model'!AT28&lt;20,0.5*((HR!$B$35+HR!$C$35)/12),SUM(HR!$B35:$C35)/12))</f>
        <v>5040</v>
      </c>
      <c r="AW35" s="929">
        <f>IF('Contractor Model'!AU28&lt;10,0,IF('Contractor Model'!AU28&lt;20,0.5*((HR!$B$35+HR!$C$35)/12),SUM(HR!$B35:$C35)/12))</f>
        <v>5040</v>
      </c>
      <c r="AX35" s="929">
        <f>IF('Contractor Model'!AV28&lt;10,0,IF('Contractor Model'!AV28&lt;20,0.5*((HR!$B$35+HR!$C$35)/12),SUM(HR!$B35:$C35)/12))</f>
        <v>5040</v>
      </c>
      <c r="AY35" s="931">
        <f>IF('Contractor Model'!AW28&lt;10,0,IF('Contractor Model'!AW28&lt;20,0.5*((HR!$B$35+HR!$C$35)/12),SUM(HR!$B35:$C35)/12))</f>
        <v>5040</v>
      </c>
      <c r="AZ35" s="930">
        <f>IF('Contractor Model'!AX28&lt;10,0,IF('Contractor Model'!AX28&lt;20,0.5*((HR!$B$35+HR!$C$35)/12),SUM(HR!$B35:$C35)/12))</f>
        <v>5040</v>
      </c>
      <c r="BA35" s="929">
        <f>IF('Contractor Model'!AY28&lt;10,0,IF('Contractor Model'!AY28&lt;20,0.5*((HR!$B$35+HR!$C$35)/12),SUM(HR!$B35:$C35)/12))</f>
        <v>5040</v>
      </c>
      <c r="BB35" s="929">
        <f>IF('Contractor Model'!AZ28&lt;10,0,IF('Contractor Model'!AZ28&lt;20,0.5*((HR!$B$35+HR!$C$35)/12),SUM(HR!$B35:$C35)/12))</f>
        <v>5040</v>
      </c>
      <c r="BC35" s="929">
        <f>IF('Contractor Model'!BA28&lt;10,0,IF('Contractor Model'!BA28&lt;20,0.5*((HR!$B$35+HR!$C$35)/12),SUM(HR!$B35:$C35)/12))</f>
        <v>5040</v>
      </c>
      <c r="BD35" s="929">
        <f>IF('Contractor Model'!BB28&lt;10,0,IF('Contractor Model'!BB28&lt;20,0.5*((HR!$B$35+HR!$C$35)/12),SUM(HR!$B35:$C35)/12))</f>
        <v>5040</v>
      </c>
      <c r="BE35" s="929">
        <f>IF('Contractor Model'!BC28&lt;10,0,IF('Contractor Model'!BC28&lt;20,0.5*((HR!$B$35+HR!$C$35)/12),SUM(HR!$B35:$C35)/12))</f>
        <v>5040</v>
      </c>
      <c r="BF35" s="929">
        <f>IF('Contractor Model'!BD28&lt;10,0,IF('Contractor Model'!BD28&lt;20,0.5*((HR!$B$35+HR!$C$35)/12),SUM(HR!$B35:$C35)/12))</f>
        <v>5040</v>
      </c>
      <c r="BG35" s="929">
        <f>IF('Contractor Model'!BE28&lt;10,0,IF('Contractor Model'!BE28&lt;20,0.5*((HR!$B$35+HR!$C$35)/12),SUM(HR!$B35:$C35)/12))</f>
        <v>5040</v>
      </c>
      <c r="BH35" s="929">
        <f>IF('Contractor Model'!BF28&lt;10,0,IF('Contractor Model'!BF28&lt;20,0.5*((HR!$B$35+HR!$C$35)/12),SUM(HR!$B35:$C35)/12))</f>
        <v>5040</v>
      </c>
      <c r="BI35" s="929">
        <f>IF('Contractor Model'!BG28&lt;10,0,IF('Contractor Model'!BG28&lt;20,0.5*((HR!$B$35+HR!$C$35)/12),SUM(HR!$B35:$C35)/12))</f>
        <v>5040</v>
      </c>
      <c r="BJ35" s="929">
        <f>IF('Contractor Model'!BH28&lt;10,0,IF('Contractor Model'!BH28&lt;20,0.5*((HR!$B$35+HR!$C$35)/12),SUM(HR!$B35:$C35)/12))</f>
        <v>5040</v>
      </c>
      <c r="BK35" s="931">
        <f>IF('Contractor Model'!BI28&lt;10,0,IF('Contractor Model'!BI28&lt;20,0.5*((HR!$B$35+HR!$C$35)/12),SUM(HR!$B35:$C35)/12))</f>
        <v>5040</v>
      </c>
      <c r="BN35" s="929">
        <f>IF('Contractor Model'!N28&lt;10,0,IF('Contractor Model'!N28&lt;20,0.5*((HR!$B$35+HR!$C$35)/12),SUM(HR!$B35:$C35)/12))</f>
        <v>0</v>
      </c>
      <c r="BO35" s="705">
        <f>IF('Contractor Model'!O28&lt;10,0,IF('Contractor Model'!O28&lt;20,0.5*((HR!$B$35+HR!$C$35)/12),SUM(HR!$B35:$C35)/12))</f>
        <v>0</v>
      </c>
      <c r="BP35" s="705">
        <f>IF('Contractor Model'!P28&lt;10,0,IF('Contractor Model'!P28&lt;20,0.5*((HR!$B$35+HR!$C$35)/12),SUM(HR!$B35:$C35)/12))</f>
        <v>0</v>
      </c>
      <c r="BQ35" s="705">
        <f>IF('Contractor Model'!Q28&lt;10,0,IF('Contractor Model'!Q28&lt;20,0.5*((HR!$B$35+HR!$C$35)/12),SUM(HR!$B35:$C35)/12))</f>
        <v>0</v>
      </c>
      <c r="BR35" s="705">
        <f>IF('Contractor Model'!R28&lt;10,0,IF('Contractor Model'!R28&lt;20,0.5*((HR!$B$35+HR!$C$35)/12),SUM(HR!$B35:$C35)/12))</f>
        <v>0</v>
      </c>
      <c r="BS35" s="705">
        <f>IF('Contractor Model'!S28&lt;10,0,IF('Contractor Model'!S28&lt;20,0.5*((HR!$B$35+HR!$C$35)/12),SUM(HR!$B35:$C35)/12))</f>
        <v>0</v>
      </c>
      <c r="BT35" s="705">
        <f>IF('Contractor Model'!T28&lt;10,0,IF('Contractor Model'!T28&lt;20,0.5*((HR!$B$35+HR!$C$35)/12),SUM(HR!$B35:$C35)/12))</f>
        <v>0</v>
      </c>
      <c r="BU35" s="705">
        <f>IF('Contractor Model'!U28&lt;10,0,IF('Contractor Model'!U28&lt;20,0.5*((HR!$B$35+HR!$C$35)/12),SUM(HR!$B35:$C35)/12))</f>
        <v>0</v>
      </c>
      <c r="BV35" s="705">
        <f>IF('Contractor Model'!V28&lt;10,0,IF('Contractor Model'!V28&lt;20,0.5*((HR!$B$35+HR!$C$35)/12),SUM(HR!$B35:$C35)/12))</f>
        <v>0</v>
      </c>
      <c r="BW35" s="705">
        <f>IF('Contractor Model'!W28&lt;10,0,IF('Contractor Model'!W28&lt;20,0.5*((HR!$B$35+HR!$C$35)/12),SUM(HR!$B35:$C35)/12))</f>
        <v>0</v>
      </c>
      <c r="BX35" s="705">
        <f>IF('Contractor Model'!X28&lt;10,0,IF('Contractor Model'!X28&lt;20,0.5*((HR!$B$35+HR!$C$35)/12),SUM(HR!$B35:$C35)/12))</f>
        <v>0</v>
      </c>
      <c r="BY35" s="705">
        <f>IF('Contractor Model'!Y28&lt;10,0,IF('Contractor Model'!Y28&lt;20,0.5*((HR!$B$35+HR!$C$35)/12),SUM(HR!$B35:$C35)/12))</f>
        <v>0</v>
      </c>
      <c r="BZ35" s="705">
        <f>IF('Contractor Model'!Z28&lt;10,0,IF('Contractor Model'!Z28&lt;20,0.5*((HR!$B$35+HR!$C$35)/12),SUM(HR!$B35:$C35)/12))</f>
        <v>2520</v>
      </c>
    </row>
    <row r="36" spans="1:78" s="693" customFormat="1">
      <c r="A36" s="953" t="s">
        <v>170</v>
      </c>
      <c r="B36" s="692">
        <v>90000</v>
      </c>
      <c r="C36" s="926">
        <f t="shared" si="314"/>
        <v>23400</v>
      </c>
      <c r="D36" s="926">
        <f>IF('Contractor Model'!B37&lt;(1000000/12),0,(HR!$B36+HR!$C36)/12)</f>
        <v>0</v>
      </c>
      <c r="E36" s="926">
        <f>IF('Contractor Model'!C37&lt;(1000000/12),0,(HR!$B36+HR!$C36)/12)</f>
        <v>0</v>
      </c>
      <c r="F36" s="926">
        <f>IF('Contractor Model'!D37&lt;(1000000/12),0,(HR!$B36+HR!$C36)/12)</f>
        <v>0</v>
      </c>
      <c r="G36" s="926">
        <f>IF('Contractor Model'!E37&lt;(1000000/12),0,(HR!$B36+HR!$C36)/12)</f>
        <v>0</v>
      </c>
      <c r="H36" s="926">
        <f>IF('Contractor Model'!F37&lt;(1000000/12),0,(HR!$B36+HR!$C36)/12)</f>
        <v>0</v>
      </c>
      <c r="I36" s="926">
        <f>IF('Contractor Model'!G37&lt;(1000000/12),0,(HR!$B36+HR!$C36)/12)</f>
        <v>0</v>
      </c>
      <c r="J36" s="926">
        <f>IF('Contractor Model'!H37&lt;(1000000/12),0,(HR!$B36+HR!$C36)/12)</f>
        <v>0</v>
      </c>
      <c r="K36" s="926">
        <f>IF('Contractor Model'!I37&lt;(1000000/12),0,(HR!$B36+HR!$C36)/12)</f>
        <v>0</v>
      </c>
      <c r="L36" s="926">
        <f>IF('Contractor Model'!J37&lt;(1000000/12),0,(HR!$B36+HR!$C36)/12)</f>
        <v>0</v>
      </c>
      <c r="M36" s="926">
        <f>IF('Contractor Model'!K37&lt;(1000000/12),0,(HR!$B36+HR!$C36)/12)</f>
        <v>0</v>
      </c>
      <c r="N36" s="926">
        <f>IF('Contractor Model'!L37&lt;(1000000/12),0,(HR!$B36+HR!$C36)/12)</f>
        <v>0</v>
      </c>
      <c r="O36" s="926">
        <f>IF('Contractor Model'!M37&lt;(1000000/12),0,(HR!$B36+HR!$C36)/12)</f>
        <v>0</v>
      </c>
      <c r="P36" s="925">
        <f>IF('Contractor Model'!N37&lt;(1000000/12),0,(HR!$B36+HR!$C36)/12)</f>
        <v>0</v>
      </c>
      <c r="Q36" s="926">
        <f>IF('Contractor Model'!O37&lt;(1000000/12),0,(HR!$B36+HR!$C36)/12)</f>
        <v>0</v>
      </c>
      <c r="R36" s="926">
        <f>IF('Contractor Model'!P37&lt;(1000000/12),0,(HR!$B36+HR!$C36)/12)</f>
        <v>0</v>
      </c>
      <c r="S36" s="926">
        <f>IF('Contractor Model'!Q37&lt;(1000000/12),0,(HR!$B36+HR!$C36)/12)</f>
        <v>0</v>
      </c>
      <c r="T36" s="926">
        <f>IF('Contractor Model'!R37&lt;(1000000/12),0,(HR!$B36+HR!$C36)/12)</f>
        <v>0</v>
      </c>
      <c r="U36" s="926">
        <f>IF('Contractor Model'!S37&lt;(1000000/12),0,(HR!$B36+HR!$C36)/12)</f>
        <v>0</v>
      </c>
      <c r="V36" s="926">
        <f>IF('Contractor Model'!T37&lt;(1000000/12),0,(HR!$B36+HR!$C36)/12)</f>
        <v>0</v>
      </c>
      <c r="W36" s="926">
        <f>IF('Contractor Model'!U37&lt;(1000000/12),0,(HR!$B36+HR!$C36)/12)</f>
        <v>0</v>
      </c>
      <c r="X36" s="926">
        <f>IF('Contractor Model'!V37&lt;(1000000/12),0,(HR!$B36+HR!$C36)/12)</f>
        <v>0</v>
      </c>
      <c r="Y36" s="926">
        <f>IF('Contractor Model'!W37&lt;(1000000/12),0,(HR!$B36+HR!$C36)/12)</f>
        <v>9450</v>
      </c>
      <c r="Z36" s="926">
        <f>IF('Contractor Model'!X37&lt;(1000000/12),0,(HR!$B36+HR!$C36)/12)</f>
        <v>9450</v>
      </c>
      <c r="AA36" s="927">
        <f>IF('Contractor Model'!Y37&lt;(1000000/12),0,(HR!$B36+HR!$C36)/12)</f>
        <v>9450</v>
      </c>
      <c r="AB36" s="926">
        <f>IF('Contractor Model'!Z37&lt;(1000000/12),0,(HR!$B36+HR!$C36)/12)</f>
        <v>9450</v>
      </c>
      <c r="AC36" s="926">
        <f>IF('Contractor Model'!AA37&lt;(1000000/12),0,(HR!$B36+HR!$C36)/12)</f>
        <v>9450</v>
      </c>
      <c r="AD36" s="926">
        <f>IF('Contractor Model'!AB37&lt;(1000000/12),0,(HR!$B36+HR!$C36)/12)</f>
        <v>9450</v>
      </c>
      <c r="AE36" s="926">
        <f>IF('Contractor Model'!AC37&lt;(1000000/12),0,(HR!$B36+HR!$C36)/12)</f>
        <v>9450</v>
      </c>
      <c r="AF36" s="926">
        <f>IF('Contractor Model'!AD37&lt;(1000000/12),0,(HR!$B36+HR!$C36)/12)</f>
        <v>9450</v>
      </c>
      <c r="AG36" s="926">
        <f>IF('Contractor Model'!AE37&lt;(1000000/12),0,(HR!$B36+HR!$C36)/12)</f>
        <v>9450</v>
      </c>
      <c r="AH36" s="926">
        <f>IF('Contractor Model'!AF37&lt;(1000000/12),0,(HR!$B36+HR!$C36)/12)</f>
        <v>9450</v>
      </c>
      <c r="AI36" s="926">
        <f>IF('Contractor Model'!AG37&lt;(1000000/12),0,(HR!$B36+HR!$C36)/12)</f>
        <v>9450</v>
      </c>
      <c r="AJ36" s="926">
        <f>IF('Contractor Model'!AH37&lt;(1000000/12),0,(HR!$B36+HR!$C36)/12)</f>
        <v>9450</v>
      </c>
      <c r="AK36" s="926">
        <f>IF('Contractor Model'!AI37&lt;(1000000/12),0,(HR!$B36+HR!$C36)/12)</f>
        <v>9450</v>
      </c>
      <c r="AL36" s="926">
        <f>IF('Contractor Model'!AJ37&lt;(1000000/12),0,(HR!$B36+HR!$C36)/12)</f>
        <v>9450</v>
      </c>
      <c r="AM36" s="927">
        <f>IF('Contractor Model'!AK37&lt;(1000000/12),0,(HR!$B36+HR!$C36)/12)</f>
        <v>9450</v>
      </c>
      <c r="AN36" s="925">
        <f>IF('Contractor Model'!AL37&lt;(1000000/12),0,(HR!$B36+HR!$C36)/12)</f>
        <v>9450</v>
      </c>
      <c r="AO36" s="926">
        <f>IF('Contractor Model'!AM37&lt;(1000000/12),0,(HR!$B36+HR!$C36)/12)</f>
        <v>9450</v>
      </c>
      <c r="AP36" s="926">
        <f>IF('Contractor Model'!AN37&lt;(1000000/12),0,(HR!$B36+HR!$C36)/12)</f>
        <v>9450</v>
      </c>
      <c r="AQ36" s="926">
        <f>IF('Contractor Model'!AO37&lt;(1000000/12),0,(HR!$B36+HR!$C36)/12)</f>
        <v>9450</v>
      </c>
      <c r="AR36" s="926">
        <f>IF('Contractor Model'!AP37&lt;(1000000/12),0,(HR!$B36+HR!$C36)/12)</f>
        <v>9450</v>
      </c>
      <c r="AS36" s="926">
        <f>IF('Contractor Model'!AQ37&lt;(1000000/12),0,(HR!$B36+HR!$C36)/12)</f>
        <v>9450</v>
      </c>
      <c r="AT36" s="926">
        <f>IF('Contractor Model'!AR37&lt;(1000000/12),0,(HR!$B36+HR!$C36)/12)</f>
        <v>9450</v>
      </c>
      <c r="AU36" s="926">
        <f>IF('Contractor Model'!AS37&lt;(1000000/12),0,(HR!$B36+HR!$C36)/12)</f>
        <v>9450</v>
      </c>
      <c r="AV36" s="926">
        <f>IF('Contractor Model'!AT37&lt;(1000000/12),0,(HR!$B36+HR!$C36)/12)</f>
        <v>9450</v>
      </c>
      <c r="AW36" s="926">
        <f>IF('Contractor Model'!AU37&lt;(1000000/12),0,(HR!$B36+HR!$C36)/12)</f>
        <v>9450</v>
      </c>
      <c r="AX36" s="926">
        <f>IF('Contractor Model'!AV37&lt;(1000000/12),0,(HR!$B36+HR!$C36)/12)</f>
        <v>9450</v>
      </c>
      <c r="AY36" s="927">
        <f>IF('Contractor Model'!AW37&lt;(1000000/12),0,(HR!$B36+HR!$C36)/12)</f>
        <v>9450</v>
      </c>
      <c r="AZ36" s="925">
        <f>IF('Contractor Model'!AX37&lt;(1000000/12),0,(HR!$B36+HR!$C36)/12)</f>
        <v>9450</v>
      </c>
      <c r="BA36" s="926">
        <f>IF('Contractor Model'!AY37&lt;(1000000/12),0,(HR!$B36+HR!$C36)/12)</f>
        <v>9450</v>
      </c>
      <c r="BB36" s="926">
        <f>IF('Contractor Model'!AZ37&lt;(1000000/12),0,(HR!$B36+HR!$C36)/12)</f>
        <v>9450</v>
      </c>
      <c r="BC36" s="926">
        <f>IF('Contractor Model'!BA37&lt;(1000000/12),0,(HR!$B36+HR!$C36)/12)</f>
        <v>9450</v>
      </c>
      <c r="BD36" s="926">
        <f>IF('Contractor Model'!BB37&lt;(1000000/12),0,(HR!$B36+HR!$C36)/12)</f>
        <v>9450</v>
      </c>
      <c r="BE36" s="926">
        <f>IF('Contractor Model'!BC37&lt;(1000000/12),0,(HR!$B36+HR!$C36)/12)</f>
        <v>9450</v>
      </c>
      <c r="BF36" s="926">
        <f>IF('Contractor Model'!BD37&lt;(1000000/12),0,(HR!$B36+HR!$C36)/12)</f>
        <v>9450</v>
      </c>
      <c r="BG36" s="926">
        <f>IF('Contractor Model'!BE37&lt;(1000000/12),0,(HR!$B36+HR!$C36)/12)</f>
        <v>9450</v>
      </c>
      <c r="BH36" s="926">
        <f>IF('Contractor Model'!BF37&lt;(1000000/12),0,(HR!$B36+HR!$C36)/12)</f>
        <v>9450</v>
      </c>
      <c r="BI36" s="926">
        <f>IF('Contractor Model'!BG37&lt;(1000000/12),0,(HR!$B36+HR!$C36)/12)</f>
        <v>9450</v>
      </c>
      <c r="BJ36" s="926">
        <f>IF('Contractor Model'!BH37&lt;(1000000/12),0,(HR!$B36+HR!$C36)/12)</f>
        <v>9450</v>
      </c>
      <c r="BK36" s="927">
        <f>IF('Contractor Model'!BI37&lt;(1000000/12),0,(HR!$B36+HR!$C36)/12)</f>
        <v>9450</v>
      </c>
      <c r="BN36" s="926">
        <f>IF('Contractor Model'!N37&lt;(1000000/12),0,(HR!$B36+HR!$C36)/12)</f>
        <v>0</v>
      </c>
      <c r="BO36" s="692">
        <f>IF('Contractor Model'!O37&lt;(1000000/12),0,(HR!$B36+HR!$C36)/12)</f>
        <v>0</v>
      </c>
      <c r="BP36" s="692">
        <f>IF('Contractor Model'!P37&lt;(1000000/12),0,(HR!$B36+HR!$C36)/12)</f>
        <v>0</v>
      </c>
      <c r="BQ36" s="692">
        <f>IF('Contractor Model'!Q37&lt;(1000000/12),0,(HR!$B36+HR!$C36)/12)</f>
        <v>0</v>
      </c>
      <c r="BR36" s="692">
        <f>IF('Contractor Model'!R37&lt;(1000000/12),0,(HR!$B36+HR!$C36)/12)</f>
        <v>0</v>
      </c>
      <c r="BS36" s="692">
        <f>IF('Contractor Model'!S37&lt;(1000000/12),0,(HR!$B36+HR!$C36)/12)</f>
        <v>0</v>
      </c>
      <c r="BT36" s="692">
        <f>IF('Contractor Model'!T37&lt;(1000000/12),0,(HR!$B36+HR!$C36)/12)</f>
        <v>0</v>
      </c>
      <c r="BU36" s="692">
        <f>IF('Contractor Model'!U37&lt;(1000000/12),0,(HR!$B36+HR!$C36)/12)</f>
        <v>0</v>
      </c>
      <c r="BV36" s="692">
        <f>IF('Contractor Model'!V37&lt;(1000000/12),0,(HR!$B36+HR!$C36)/12)</f>
        <v>0</v>
      </c>
      <c r="BW36" s="692">
        <f>IF('Contractor Model'!W37&lt;(1000000/12),0,(HR!$B36+HR!$C36)/12)</f>
        <v>9450</v>
      </c>
      <c r="BX36" s="692">
        <f>IF('Contractor Model'!X37&lt;(1000000/12),0,(HR!$B36+HR!$C36)/12)</f>
        <v>9450</v>
      </c>
      <c r="BY36" s="692">
        <f>IF('Contractor Model'!Y37&lt;(1000000/12),0,(HR!$B36+HR!$C36)/12)</f>
        <v>9450</v>
      </c>
      <c r="BZ36" s="692">
        <f>IF('Contractor Model'!Z37&lt;(1000000/12),0,(HR!$B36+HR!$C36)/12)</f>
        <v>9450</v>
      </c>
    </row>
    <row r="37" spans="1:78" s="693" customFormat="1">
      <c r="A37" s="1259" t="s">
        <v>403</v>
      </c>
      <c r="B37" s="692">
        <v>62000</v>
      </c>
      <c r="C37" s="926">
        <f t="shared" si="314"/>
        <v>16120</v>
      </c>
      <c r="D37" s="926">
        <f>IF(D31&gt;5,($B37+$C37)/12,0)</f>
        <v>0</v>
      </c>
      <c r="E37" s="926">
        <f t="shared" ref="E37:BK37" si="315">IF(E31&gt;5,($B37+$C37)/12,0)</f>
        <v>0</v>
      </c>
      <c r="F37" s="926">
        <f t="shared" si="315"/>
        <v>0</v>
      </c>
      <c r="G37" s="926">
        <f t="shared" si="315"/>
        <v>0</v>
      </c>
      <c r="H37" s="926">
        <f t="shared" si="315"/>
        <v>0</v>
      </c>
      <c r="I37" s="926">
        <f t="shared" si="315"/>
        <v>0</v>
      </c>
      <c r="J37" s="926">
        <f t="shared" si="315"/>
        <v>0</v>
      </c>
      <c r="K37" s="926">
        <f t="shared" si="315"/>
        <v>0</v>
      </c>
      <c r="L37" s="926">
        <f t="shared" si="315"/>
        <v>0</v>
      </c>
      <c r="M37" s="926">
        <f t="shared" si="315"/>
        <v>0</v>
      </c>
      <c r="N37" s="926">
        <f t="shared" si="315"/>
        <v>0</v>
      </c>
      <c r="O37" s="926">
        <f t="shared" si="315"/>
        <v>0</v>
      </c>
      <c r="P37" s="925">
        <f t="shared" si="315"/>
        <v>0</v>
      </c>
      <c r="Q37" s="926">
        <f t="shared" si="315"/>
        <v>0</v>
      </c>
      <c r="R37" s="926">
        <f t="shared" si="315"/>
        <v>0</v>
      </c>
      <c r="S37" s="926">
        <f t="shared" si="315"/>
        <v>0</v>
      </c>
      <c r="T37" s="926">
        <f t="shared" si="315"/>
        <v>0</v>
      </c>
      <c r="U37" s="926">
        <f t="shared" si="315"/>
        <v>0</v>
      </c>
      <c r="V37" s="926">
        <f t="shared" si="315"/>
        <v>0</v>
      </c>
      <c r="W37" s="926">
        <f t="shared" si="315"/>
        <v>0</v>
      </c>
      <c r="X37" s="926">
        <f t="shared" si="315"/>
        <v>0</v>
      </c>
      <c r="Y37" s="926">
        <f t="shared" si="315"/>
        <v>0</v>
      </c>
      <c r="Z37" s="926">
        <f t="shared" si="315"/>
        <v>0</v>
      </c>
      <c r="AA37" s="927">
        <f t="shared" si="315"/>
        <v>0</v>
      </c>
      <c r="AB37" s="926">
        <f t="shared" si="315"/>
        <v>0</v>
      </c>
      <c r="AC37" s="926">
        <f t="shared" si="315"/>
        <v>0</v>
      </c>
      <c r="AD37" s="926">
        <f t="shared" si="315"/>
        <v>0</v>
      </c>
      <c r="AE37" s="926">
        <f t="shared" si="315"/>
        <v>0</v>
      </c>
      <c r="AF37" s="926">
        <f t="shared" si="315"/>
        <v>0</v>
      </c>
      <c r="AG37" s="926">
        <f t="shared" si="315"/>
        <v>0</v>
      </c>
      <c r="AH37" s="926">
        <f t="shared" si="315"/>
        <v>0</v>
      </c>
      <c r="AI37" s="926">
        <f t="shared" si="315"/>
        <v>0</v>
      </c>
      <c r="AJ37" s="926">
        <f t="shared" si="315"/>
        <v>0</v>
      </c>
      <c r="AK37" s="926">
        <f t="shared" si="315"/>
        <v>0</v>
      </c>
      <c r="AL37" s="926">
        <f t="shared" si="315"/>
        <v>0</v>
      </c>
      <c r="AM37" s="927">
        <f t="shared" si="315"/>
        <v>0</v>
      </c>
      <c r="AN37" s="925">
        <f t="shared" si="315"/>
        <v>0</v>
      </c>
      <c r="AO37" s="926">
        <f t="shared" si="315"/>
        <v>0</v>
      </c>
      <c r="AP37" s="926">
        <f t="shared" si="315"/>
        <v>0</v>
      </c>
      <c r="AQ37" s="926">
        <f t="shared" si="315"/>
        <v>0</v>
      </c>
      <c r="AR37" s="926">
        <f t="shared" si="315"/>
        <v>0</v>
      </c>
      <c r="AS37" s="926">
        <f t="shared" si="315"/>
        <v>0</v>
      </c>
      <c r="AT37" s="926">
        <f t="shared" si="315"/>
        <v>0</v>
      </c>
      <c r="AU37" s="926">
        <f t="shared" si="315"/>
        <v>0</v>
      </c>
      <c r="AV37" s="926">
        <f t="shared" si="315"/>
        <v>0</v>
      </c>
      <c r="AW37" s="926">
        <f t="shared" si="315"/>
        <v>0</v>
      </c>
      <c r="AX37" s="926">
        <f t="shared" si="315"/>
        <v>0</v>
      </c>
      <c r="AY37" s="927">
        <f t="shared" si="315"/>
        <v>0</v>
      </c>
      <c r="AZ37" s="925">
        <f t="shared" si="315"/>
        <v>0</v>
      </c>
      <c r="BA37" s="926">
        <f t="shared" si="315"/>
        <v>0</v>
      </c>
      <c r="BB37" s="926">
        <f t="shared" si="315"/>
        <v>0</v>
      </c>
      <c r="BC37" s="926">
        <f t="shared" si="315"/>
        <v>0</v>
      </c>
      <c r="BD37" s="926">
        <f t="shared" si="315"/>
        <v>6510</v>
      </c>
      <c r="BE37" s="926">
        <f t="shared" si="315"/>
        <v>6510</v>
      </c>
      <c r="BF37" s="926">
        <f t="shared" si="315"/>
        <v>6510</v>
      </c>
      <c r="BG37" s="926">
        <f t="shared" si="315"/>
        <v>6510</v>
      </c>
      <c r="BH37" s="926">
        <f t="shared" si="315"/>
        <v>6510</v>
      </c>
      <c r="BI37" s="926">
        <f t="shared" si="315"/>
        <v>6510</v>
      </c>
      <c r="BJ37" s="926">
        <f t="shared" si="315"/>
        <v>6510</v>
      </c>
      <c r="BK37" s="927">
        <f t="shared" si="315"/>
        <v>6510</v>
      </c>
      <c r="BN37" s="926"/>
      <c r="BO37" s="692"/>
      <c r="BP37" s="692"/>
      <c r="BQ37" s="692"/>
      <c r="BR37" s="692"/>
      <c r="BS37" s="692"/>
      <c r="BT37" s="692"/>
      <c r="BU37" s="692"/>
      <c r="BV37" s="692"/>
      <c r="BW37" s="692"/>
      <c r="BX37" s="692"/>
      <c r="BY37" s="692"/>
      <c r="BZ37" s="692"/>
    </row>
    <row r="38" spans="1:78" s="693" customFormat="1">
      <c r="A38" s="953" t="s">
        <v>54</v>
      </c>
      <c r="B38" s="692">
        <v>32000</v>
      </c>
      <c r="C38" s="926">
        <f t="shared" si="314"/>
        <v>8320</v>
      </c>
      <c r="D38" s="926">
        <f>IF(D42=2,($B38+C38)/12,0)</f>
        <v>0</v>
      </c>
      <c r="E38" s="926">
        <f t="shared" ref="E38:BC38" si="316">IF(E42=2,($B38+D38)/12,0)</f>
        <v>0</v>
      </c>
      <c r="F38" s="926">
        <f t="shared" si="316"/>
        <v>0</v>
      </c>
      <c r="G38" s="926">
        <f t="shared" si="316"/>
        <v>0</v>
      </c>
      <c r="H38" s="926">
        <f t="shared" si="316"/>
        <v>0</v>
      </c>
      <c r="I38" s="926">
        <f t="shared" si="316"/>
        <v>0</v>
      </c>
      <c r="J38" s="926">
        <f t="shared" si="316"/>
        <v>0</v>
      </c>
      <c r="K38" s="926">
        <f t="shared" si="316"/>
        <v>0</v>
      </c>
      <c r="L38" s="926">
        <f t="shared" si="316"/>
        <v>0</v>
      </c>
      <c r="M38" s="926">
        <f t="shared" si="316"/>
        <v>0</v>
      </c>
      <c r="N38" s="926">
        <f t="shared" si="316"/>
        <v>0</v>
      </c>
      <c r="O38" s="926">
        <f t="shared" si="316"/>
        <v>0</v>
      </c>
      <c r="P38" s="925">
        <f>IF(P42=2,($B38+BZ38)/12,0)</f>
        <v>0</v>
      </c>
      <c r="Q38" s="926">
        <f t="shared" si="316"/>
        <v>0</v>
      </c>
      <c r="R38" s="926">
        <f t="shared" si="316"/>
        <v>0</v>
      </c>
      <c r="S38" s="926">
        <f t="shared" si="316"/>
        <v>0</v>
      </c>
      <c r="T38" s="926">
        <f t="shared" si="316"/>
        <v>0</v>
      </c>
      <c r="U38" s="926">
        <f t="shared" si="316"/>
        <v>0</v>
      </c>
      <c r="V38" s="926">
        <f t="shared" si="316"/>
        <v>0</v>
      </c>
      <c r="W38" s="926">
        <f t="shared" si="316"/>
        <v>0</v>
      </c>
      <c r="X38" s="926">
        <f t="shared" si="316"/>
        <v>0</v>
      </c>
      <c r="Y38" s="926">
        <f t="shared" si="316"/>
        <v>0</v>
      </c>
      <c r="Z38" s="926">
        <f t="shared" si="316"/>
        <v>0</v>
      </c>
      <c r="AA38" s="927">
        <f t="shared" si="316"/>
        <v>0</v>
      </c>
      <c r="AB38" s="926">
        <f t="shared" si="316"/>
        <v>0</v>
      </c>
      <c r="AC38" s="926">
        <f t="shared" si="316"/>
        <v>0</v>
      </c>
      <c r="AD38" s="926">
        <f t="shared" si="316"/>
        <v>0</v>
      </c>
      <c r="AE38" s="926">
        <f t="shared" si="316"/>
        <v>0</v>
      </c>
      <c r="AF38" s="926">
        <f t="shared" si="316"/>
        <v>0</v>
      </c>
      <c r="AG38" s="926">
        <f t="shared" si="316"/>
        <v>0</v>
      </c>
      <c r="AH38" s="926">
        <f t="shared" si="316"/>
        <v>0</v>
      </c>
      <c r="AI38" s="926">
        <f t="shared" si="316"/>
        <v>0</v>
      </c>
      <c r="AJ38" s="926">
        <f t="shared" si="316"/>
        <v>0</v>
      </c>
      <c r="AK38" s="926">
        <f t="shared" si="316"/>
        <v>0</v>
      </c>
      <c r="AL38" s="926">
        <f t="shared" si="316"/>
        <v>0</v>
      </c>
      <c r="AM38" s="927">
        <f t="shared" si="316"/>
        <v>0</v>
      </c>
      <c r="AN38" s="925">
        <f t="shared" si="316"/>
        <v>0</v>
      </c>
      <c r="AO38" s="926">
        <f t="shared" si="316"/>
        <v>0</v>
      </c>
      <c r="AP38" s="926">
        <f t="shared" si="316"/>
        <v>0</v>
      </c>
      <c r="AQ38" s="926">
        <f t="shared" si="316"/>
        <v>0</v>
      </c>
      <c r="AR38" s="926">
        <f t="shared" si="316"/>
        <v>0</v>
      </c>
      <c r="AS38" s="926">
        <f t="shared" si="316"/>
        <v>0</v>
      </c>
      <c r="AT38" s="926">
        <f t="shared" si="316"/>
        <v>0</v>
      </c>
      <c r="AU38" s="926">
        <f t="shared" si="316"/>
        <v>0</v>
      </c>
      <c r="AV38" s="926">
        <f t="shared" si="316"/>
        <v>0</v>
      </c>
      <c r="AW38" s="926">
        <f t="shared" si="316"/>
        <v>0</v>
      </c>
      <c r="AX38" s="926">
        <f t="shared" si="316"/>
        <v>0</v>
      </c>
      <c r="AY38" s="927">
        <f t="shared" si="316"/>
        <v>0</v>
      </c>
      <c r="AZ38" s="925">
        <f t="shared" si="316"/>
        <v>0</v>
      </c>
      <c r="BA38" s="926">
        <f t="shared" si="316"/>
        <v>0</v>
      </c>
      <c r="BB38" s="926">
        <f t="shared" si="316"/>
        <v>0</v>
      </c>
      <c r="BC38" s="926">
        <f t="shared" si="316"/>
        <v>0</v>
      </c>
      <c r="BD38" s="926">
        <f t="shared" ref="BD38:BK38" si="317">IF(BD42=2,($B38+BC38)/12,0)</f>
        <v>2666.6666666666665</v>
      </c>
      <c r="BE38" s="926">
        <f t="shared" si="317"/>
        <v>2888.8888888888887</v>
      </c>
      <c r="BF38" s="926">
        <f t="shared" si="317"/>
        <v>2907.4074074074074</v>
      </c>
      <c r="BG38" s="926">
        <f t="shared" si="317"/>
        <v>2908.9506172839506</v>
      </c>
      <c r="BH38" s="926">
        <f t="shared" si="317"/>
        <v>2909.079218106996</v>
      </c>
      <c r="BI38" s="926">
        <f t="shared" si="317"/>
        <v>2909.0899348422499</v>
      </c>
      <c r="BJ38" s="926">
        <f t="shared" si="317"/>
        <v>2909.0908279035211</v>
      </c>
      <c r="BK38" s="927">
        <f t="shared" si="317"/>
        <v>2909.0909023252934</v>
      </c>
      <c r="BN38" s="926">
        <f>IF(BN42=2,($B38+O38)/12,0)</f>
        <v>0</v>
      </c>
      <c r="BO38" s="692">
        <f t="shared" ref="BO38:BZ38" si="318">IF(BO42=2,($B38+BN38)/12,0)</f>
        <v>0</v>
      </c>
      <c r="BP38" s="692">
        <f t="shared" si="318"/>
        <v>0</v>
      </c>
      <c r="BQ38" s="692">
        <f t="shared" si="318"/>
        <v>0</v>
      </c>
      <c r="BR38" s="692">
        <f t="shared" si="318"/>
        <v>0</v>
      </c>
      <c r="BS38" s="692">
        <f t="shared" si="318"/>
        <v>0</v>
      </c>
      <c r="BT38" s="692">
        <f t="shared" si="318"/>
        <v>0</v>
      </c>
      <c r="BU38" s="692">
        <f t="shared" si="318"/>
        <v>0</v>
      </c>
      <c r="BV38" s="692">
        <f t="shared" si="318"/>
        <v>0</v>
      </c>
      <c r="BW38" s="692">
        <f t="shared" si="318"/>
        <v>0</v>
      </c>
      <c r="BX38" s="692">
        <f t="shared" si="318"/>
        <v>0</v>
      </c>
      <c r="BY38" s="692">
        <f t="shared" si="318"/>
        <v>0</v>
      </c>
      <c r="BZ38" s="692">
        <f t="shared" si="318"/>
        <v>0</v>
      </c>
    </row>
    <row r="39" spans="1:78" s="693" customFormat="1">
      <c r="A39" s="953" t="s">
        <v>198</v>
      </c>
      <c r="B39" s="692">
        <v>38000</v>
      </c>
      <c r="C39" s="926">
        <f t="shared" si="314"/>
        <v>9880</v>
      </c>
      <c r="D39" s="926">
        <f>IF(('Contractor Model'!B13+'Contractor Model'!B26)&lt;25,0,(HR!$B$39/12))</f>
        <v>0</v>
      </c>
      <c r="E39" s="926">
        <f>IF(('Contractor Model'!C13+'Contractor Model'!C26)&lt;25,0,(HR!$B$39/12))</f>
        <v>0</v>
      </c>
      <c r="F39" s="926">
        <f>IF(('Contractor Model'!D13+'Contractor Model'!D26)&lt;25,0,(HR!$B$39/12))</f>
        <v>0</v>
      </c>
      <c r="G39" s="926">
        <f>IF(('Contractor Model'!E13+'Contractor Model'!E26)&lt;25,0,(HR!$B$39/12))</f>
        <v>0</v>
      </c>
      <c r="H39" s="926">
        <f>IF(('Contractor Model'!F13+'Contractor Model'!F26)&lt;25,0,(HR!$B$39/12))</f>
        <v>0</v>
      </c>
      <c r="I39" s="926">
        <f>IF(('Contractor Model'!G13+'Contractor Model'!G26)&lt;25,0,(HR!$B$39/12))</f>
        <v>0</v>
      </c>
      <c r="J39" s="926">
        <f>IF(('Contractor Model'!H13+'Contractor Model'!H26)&lt;25,0,(HR!$B$39/12))</f>
        <v>0</v>
      </c>
      <c r="K39" s="926">
        <f>IF(('Contractor Model'!I13+'Contractor Model'!I26)&lt;25,0,(HR!$B$39/12))</f>
        <v>0</v>
      </c>
      <c r="L39" s="926">
        <f>IF(('Contractor Model'!J13+'Contractor Model'!J26)&lt;25,0,(HR!$B$39/12))</f>
        <v>0</v>
      </c>
      <c r="M39" s="926">
        <f>IF(('Contractor Model'!K13+'Contractor Model'!K26)&lt;25,0,(HR!$B$39/12))</f>
        <v>0</v>
      </c>
      <c r="N39" s="926">
        <f>IF(('Contractor Model'!L13+'Contractor Model'!L26)&lt;25,0,(HR!$B$39/12))</f>
        <v>0</v>
      </c>
      <c r="O39" s="927">
        <f>IF(('Contractor Model'!M13+'Contractor Model'!M26)&lt;25,0,(HR!$B$39/12))</f>
        <v>0</v>
      </c>
      <c r="P39" s="926">
        <f>IF(('Contractor Model'!N13+'Contractor Model'!N26)&lt;25,0,(HR!$B$39/12))</f>
        <v>0</v>
      </c>
      <c r="Q39" s="926">
        <f>IF(('Contractor Model'!O13+'Contractor Model'!O26)&lt;25,0,(HR!$B$39/12))</f>
        <v>0</v>
      </c>
      <c r="R39" s="926">
        <f>IF(('Contractor Model'!P13+'Contractor Model'!P26)&lt;25,0,(HR!$B$39/12))</f>
        <v>0</v>
      </c>
      <c r="S39" s="926">
        <f>IF(('Contractor Model'!Q13+'Contractor Model'!Q26)&lt;25,0,(HR!$B$39/12))</f>
        <v>0</v>
      </c>
      <c r="T39" s="926">
        <f>IF(('Contractor Model'!R13+'Contractor Model'!R26)&lt;25,0,(HR!$B$39/12))</f>
        <v>0</v>
      </c>
      <c r="U39" s="926">
        <f>IF(('Contractor Model'!S13+'Contractor Model'!S26)&lt;25,0,(HR!$B$39/12))</f>
        <v>0</v>
      </c>
      <c r="V39" s="926">
        <f>IF(('Contractor Model'!T13+'Contractor Model'!T26)&lt;25,0,(HR!$B$39/12))</f>
        <v>0</v>
      </c>
      <c r="W39" s="926">
        <f>IF(('Contractor Model'!U13+'Contractor Model'!U26)&lt;25,0,(HR!$B$39/12))</f>
        <v>0</v>
      </c>
      <c r="X39" s="926">
        <f>IF(('Contractor Model'!V13+'Contractor Model'!V26)&lt;25,0,(HR!$B$39/12))</f>
        <v>0</v>
      </c>
      <c r="Y39" s="926">
        <f>IF(('Contractor Model'!W13+'Contractor Model'!W26)&lt;25,0,(HR!$B$39/12))</f>
        <v>0</v>
      </c>
      <c r="Z39" s="926">
        <f>IF(('Contractor Model'!X13+'Contractor Model'!X26)&lt;25,0,(HR!$B$39/12))</f>
        <v>0</v>
      </c>
      <c r="AA39" s="927">
        <f>IF(('Contractor Model'!Y13+'Contractor Model'!Y26)&lt;25,0,(HR!$B$39/12))</f>
        <v>0</v>
      </c>
      <c r="AB39" s="926">
        <f>IF(('Contractor Model'!Z13+'Contractor Model'!Z26)&lt;25,0,(HR!$B$39/12))</f>
        <v>3166.6666666666665</v>
      </c>
      <c r="AC39" s="926">
        <f>IF(('Contractor Model'!AA13+'Contractor Model'!AA26)&lt;25,0,(HR!$B$39/12))</f>
        <v>3166.6666666666665</v>
      </c>
      <c r="AD39" s="926">
        <f>IF(('Contractor Model'!AB13+'Contractor Model'!AB26)&lt;25,0,(HR!$B$39/12))</f>
        <v>3166.6666666666665</v>
      </c>
      <c r="AE39" s="926">
        <f>IF(('Contractor Model'!AC13+'Contractor Model'!AC26)&lt;25,0,(HR!$B$39/12))</f>
        <v>3166.6666666666665</v>
      </c>
      <c r="AF39" s="926">
        <f>IF(('Contractor Model'!AD13+'Contractor Model'!AD26)&lt;25,0,(HR!$B$39/12))</f>
        <v>3166.6666666666665</v>
      </c>
      <c r="AG39" s="926">
        <f>IF(('Contractor Model'!AE13+'Contractor Model'!AE26)&lt;25,0,(HR!$B$39/12))</f>
        <v>3166.6666666666665</v>
      </c>
      <c r="AH39" s="926">
        <f>IF(('Contractor Model'!AF13+'Contractor Model'!AF26)&lt;25,0,(HR!$B$39/12))</f>
        <v>3166.6666666666665</v>
      </c>
      <c r="AI39" s="926">
        <f>IF(('Contractor Model'!AG13+'Contractor Model'!AG26)&lt;25,0,(HR!$B$39/12))</f>
        <v>3166.6666666666665</v>
      </c>
      <c r="AJ39" s="926">
        <f>IF(('Contractor Model'!AH13+'Contractor Model'!AH26)&lt;25,0,(HR!$B$39/12))</f>
        <v>3166.6666666666665</v>
      </c>
      <c r="AK39" s="926">
        <f>IF(('Contractor Model'!AI13+'Contractor Model'!AI26)&lt;25,0,(HR!$B$39/12))</f>
        <v>3166.6666666666665</v>
      </c>
      <c r="AL39" s="926">
        <f>IF(('Contractor Model'!AJ13+'Contractor Model'!AJ26)&lt;25,0,(HR!$B$39/12))</f>
        <v>3166.6666666666665</v>
      </c>
      <c r="AM39" s="927">
        <f>IF(('Contractor Model'!AK13+'Contractor Model'!AK26)&lt;25,0,(HR!$B$39/12))</f>
        <v>3166.6666666666665</v>
      </c>
      <c r="AN39" s="926">
        <f>IF(('Contractor Model'!AL13+'Contractor Model'!AL26)&lt;25,0,(HR!$B$39/12))</f>
        <v>3166.6666666666665</v>
      </c>
      <c r="AO39" s="926">
        <f>IF(('Contractor Model'!AM13+'Contractor Model'!AM26)&lt;25,0,(HR!$B$39/12))</f>
        <v>3166.6666666666665</v>
      </c>
      <c r="AP39" s="926">
        <f>IF(('Contractor Model'!AN13+'Contractor Model'!AN26)&lt;25,0,(HR!$B$39/12))</f>
        <v>3166.6666666666665</v>
      </c>
      <c r="AQ39" s="926">
        <f>IF(('Contractor Model'!AO13+'Contractor Model'!AO26)&lt;25,0,(HR!$B$39/12))</f>
        <v>3166.6666666666665</v>
      </c>
      <c r="AR39" s="926">
        <f>IF(('Contractor Model'!AP13+'Contractor Model'!AP26)&lt;25,0,(HR!$B$39/12))</f>
        <v>3166.6666666666665</v>
      </c>
      <c r="AS39" s="926">
        <f>IF(('Contractor Model'!AQ13+'Contractor Model'!AQ26)&lt;25,0,(HR!$B$39/12))</f>
        <v>3166.6666666666665</v>
      </c>
      <c r="AT39" s="926">
        <f>IF(('Contractor Model'!AR13+'Contractor Model'!AR26)&lt;25,0,(HR!$B$39/12))</f>
        <v>3166.6666666666665</v>
      </c>
      <c r="AU39" s="926">
        <f>IF(('Contractor Model'!AS13+'Contractor Model'!AS26)&lt;25,0,(HR!$B$39/12))</f>
        <v>3166.6666666666665</v>
      </c>
      <c r="AV39" s="926">
        <f>IF(('Contractor Model'!AT13+'Contractor Model'!AT26)&lt;25,0,(HR!$B$39/12))</f>
        <v>3166.6666666666665</v>
      </c>
      <c r="AW39" s="926">
        <f>IF(('Contractor Model'!AU13+'Contractor Model'!AU26)&lt;25,0,(HR!$B$39/12))</f>
        <v>3166.6666666666665</v>
      </c>
      <c r="AX39" s="926">
        <f>IF(('Contractor Model'!AV13+'Contractor Model'!AV26)&lt;25,0,(HR!$B$39/12))</f>
        <v>3166.6666666666665</v>
      </c>
      <c r="AY39" s="927">
        <f>IF(('Contractor Model'!AW13+'Contractor Model'!AW26)&lt;25,0,(HR!$B$39/12))</f>
        <v>3166.6666666666665</v>
      </c>
      <c r="AZ39" s="926">
        <f>IF(('Contractor Model'!AX13+'Contractor Model'!AX26)&lt;25,0,(HR!$B$39/12))</f>
        <v>3166.6666666666665</v>
      </c>
      <c r="BA39" s="926">
        <f>IF(('Contractor Model'!AY13+'Contractor Model'!AY26)&lt;25,0,(HR!$B$39/12))</f>
        <v>3166.6666666666665</v>
      </c>
      <c r="BB39" s="926">
        <f>IF(('Contractor Model'!AZ13+'Contractor Model'!AZ26)&lt;25,0,(HR!$B$39/12))</f>
        <v>3166.6666666666665</v>
      </c>
      <c r="BC39" s="926">
        <f>IF(('Contractor Model'!BA13+'Contractor Model'!BA26)&lt;25,0,(HR!$B$39/12))</f>
        <v>3166.6666666666665</v>
      </c>
      <c r="BD39" s="926">
        <f>IF(('Contractor Model'!BB13+'Contractor Model'!BB26)&lt;25,0,(HR!$B$39/12))</f>
        <v>3166.6666666666665</v>
      </c>
      <c r="BE39" s="926">
        <f>IF(('Contractor Model'!BC13+'Contractor Model'!BC26)&lt;25,0,(HR!$B$39/12))</f>
        <v>3166.6666666666665</v>
      </c>
      <c r="BF39" s="926">
        <f>IF(('Contractor Model'!BD13+'Contractor Model'!BD26)&lt;25,0,(HR!$B$39/12))</f>
        <v>3166.6666666666665</v>
      </c>
      <c r="BG39" s="926">
        <f>IF(('Contractor Model'!BE13+'Contractor Model'!BE26)&lt;25,0,(HR!$B$39/12))</f>
        <v>3166.6666666666665</v>
      </c>
      <c r="BH39" s="926">
        <f>IF(('Contractor Model'!BF13+'Contractor Model'!BF26)&lt;25,0,(HR!$B$39/12))</f>
        <v>3166.6666666666665</v>
      </c>
      <c r="BI39" s="926">
        <f>IF(('Contractor Model'!BG13+'Contractor Model'!BG26)&lt;25,0,(HR!$B$39/12))</f>
        <v>3166.6666666666665</v>
      </c>
      <c r="BJ39" s="926">
        <f>IF(('Contractor Model'!BH13+'Contractor Model'!BH26)&lt;25,0,(HR!$B$39/12))</f>
        <v>3166.6666666666665</v>
      </c>
      <c r="BK39" s="927">
        <f>IF(('Contractor Model'!BI13+'Contractor Model'!BI26)&lt;25,0,(HR!$B$39/12))</f>
        <v>3166.6666666666665</v>
      </c>
      <c r="BN39" s="926">
        <f>IF(('Contractor Model'!N13+'Contractor Model'!N26)&lt;25,0,(HR!$B$39/12))</f>
        <v>0</v>
      </c>
      <c r="BO39" s="926">
        <f>IF(('Contractor Model'!O13+'Contractor Model'!O26)&lt;25,0,(HR!$B$39/12))</f>
        <v>0</v>
      </c>
      <c r="BP39" s="926">
        <f>IF(('Contractor Model'!P13+'Contractor Model'!P26)&lt;25,0,(HR!$B$39/12))</f>
        <v>0</v>
      </c>
      <c r="BQ39" s="926">
        <f>IF(('Contractor Model'!Q13+'Contractor Model'!Q26)&lt;25,0,(HR!$B$39/12))</f>
        <v>0</v>
      </c>
      <c r="BR39" s="926">
        <f>IF(('Contractor Model'!R13+'Contractor Model'!R26)&lt;25,0,(HR!$B$39/12))</f>
        <v>0</v>
      </c>
      <c r="BS39" s="926">
        <f>IF(('Contractor Model'!S13+'Contractor Model'!S26)&lt;25,0,(HR!$B$39/12))</f>
        <v>0</v>
      </c>
      <c r="BT39" s="926">
        <f>IF(('Contractor Model'!T13+'Contractor Model'!T26)&lt;25,0,(HR!$B$39/12))</f>
        <v>0</v>
      </c>
      <c r="BU39" s="926">
        <f>IF(('Contractor Model'!U13+'Contractor Model'!U26)&lt;25,0,(HR!$B$39/12))</f>
        <v>0</v>
      </c>
      <c r="BV39" s="926">
        <f>IF(('Contractor Model'!V13+'Contractor Model'!V26)&lt;25,0,(HR!$B$39/12))</f>
        <v>0</v>
      </c>
      <c r="BW39" s="926">
        <f>IF(('Contractor Model'!W13+'Contractor Model'!W26)&lt;25,0,(HR!$B$39/12))</f>
        <v>0</v>
      </c>
      <c r="BX39" s="926">
        <f>IF(('Contractor Model'!X13+'Contractor Model'!X26)&lt;25,0,(HR!$B$39/12))</f>
        <v>0</v>
      </c>
      <c r="BY39" s="926">
        <f>IF(('Contractor Model'!Y13+'Contractor Model'!Y26)&lt;25,0,(HR!$B$39/12))</f>
        <v>0</v>
      </c>
      <c r="BZ39" s="926">
        <f>IF(('Contractor Model'!Z13+'Contractor Model'!Z26)&lt;25,0,(HR!$B$39/12))</f>
        <v>3166.6666666666665</v>
      </c>
    </row>
    <row r="40" spans="1:78" s="693" customFormat="1">
      <c r="A40" s="1259" t="s">
        <v>401</v>
      </c>
      <c r="B40" s="692">
        <v>52000</v>
      </c>
      <c r="C40" s="926">
        <f t="shared" si="314"/>
        <v>13520</v>
      </c>
      <c r="D40" s="926">
        <f>IF(D45&gt;24,($B$40+$C$40)/12,0)</f>
        <v>0</v>
      </c>
      <c r="E40" s="926">
        <f t="shared" ref="E40:BK40" si="319">IF(E45&gt;24,($B$40+$C$40)/12,0)</f>
        <v>0</v>
      </c>
      <c r="F40" s="926">
        <f t="shared" si="319"/>
        <v>0</v>
      </c>
      <c r="G40" s="926">
        <f t="shared" si="319"/>
        <v>0</v>
      </c>
      <c r="H40" s="926">
        <f t="shared" si="319"/>
        <v>0</v>
      </c>
      <c r="I40" s="926">
        <f t="shared" si="319"/>
        <v>0</v>
      </c>
      <c r="J40" s="926">
        <f t="shared" si="319"/>
        <v>0</v>
      </c>
      <c r="K40" s="926">
        <f t="shared" si="319"/>
        <v>0</v>
      </c>
      <c r="L40" s="926">
        <f t="shared" si="319"/>
        <v>0</v>
      </c>
      <c r="M40" s="926">
        <f t="shared" si="319"/>
        <v>0</v>
      </c>
      <c r="N40" s="926">
        <f t="shared" si="319"/>
        <v>0</v>
      </c>
      <c r="O40" s="926">
        <f t="shared" si="319"/>
        <v>0</v>
      </c>
      <c r="P40" s="926">
        <f t="shared" si="319"/>
        <v>0</v>
      </c>
      <c r="Q40" s="926">
        <f t="shared" si="319"/>
        <v>0</v>
      </c>
      <c r="R40" s="926">
        <f t="shared" si="319"/>
        <v>0</v>
      </c>
      <c r="S40" s="926">
        <f t="shared" si="319"/>
        <v>0</v>
      </c>
      <c r="T40" s="926">
        <f t="shared" si="319"/>
        <v>0</v>
      </c>
      <c r="U40" s="926">
        <f t="shared" si="319"/>
        <v>0</v>
      </c>
      <c r="V40" s="926">
        <f t="shared" si="319"/>
        <v>0</v>
      </c>
      <c r="W40" s="926">
        <f t="shared" si="319"/>
        <v>0</v>
      </c>
      <c r="X40" s="926">
        <f t="shared" si="319"/>
        <v>0</v>
      </c>
      <c r="Y40" s="926">
        <f t="shared" si="319"/>
        <v>0</v>
      </c>
      <c r="Z40" s="926">
        <f t="shared" si="319"/>
        <v>0</v>
      </c>
      <c r="AA40" s="927">
        <f t="shared" si="319"/>
        <v>0</v>
      </c>
      <c r="AB40" s="926">
        <f t="shared" si="319"/>
        <v>0</v>
      </c>
      <c r="AC40" s="926">
        <f t="shared" si="319"/>
        <v>0</v>
      </c>
      <c r="AD40" s="926">
        <f t="shared" si="319"/>
        <v>0</v>
      </c>
      <c r="AE40" s="926">
        <f t="shared" si="319"/>
        <v>0</v>
      </c>
      <c r="AF40" s="926">
        <f t="shared" si="319"/>
        <v>0</v>
      </c>
      <c r="AG40" s="926">
        <f t="shared" si="319"/>
        <v>0</v>
      </c>
      <c r="AH40" s="926">
        <f t="shared" si="319"/>
        <v>0</v>
      </c>
      <c r="AI40" s="926">
        <f t="shared" si="319"/>
        <v>0</v>
      </c>
      <c r="AJ40" s="926">
        <f t="shared" si="319"/>
        <v>0</v>
      </c>
      <c r="AK40" s="926">
        <f t="shared" si="319"/>
        <v>0</v>
      </c>
      <c r="AL40" s="926">
        <f t="shared" si="319"/>
        <v>0</v>
      </c>
      <c r="AM40" s="927">
        <f t="shared" si="319"/>
        <v>0</v>
      </c>
      <c r="AN40" s="926">
        <f t="shared" si="319"/>
        <v>0</v>
      </c>
      <c r="AO40" s="926">
        <f t="shared" si="319"/>
        <v>0</v>
      </c>
      <c r="AP40" s="926">
        <f t="shared" si="319"/>
        <v>0</v>
      </c>
      <c r="AQ40" s="926">
        <f t="shared" si="319"/>
        <v>0</v>
      </c>
      <c r="AR40" s="926">
        <f t="shared" si="319"/>
        <v>0</v>
      </c>
      <c r="AS40" s="926">
        <f t="shared" si="319"/>
        <v>0</v>
      </c>
      <c r="AT40" s="926">
        <f t="shared" si="319"/>
        <v>0</v>
      </c>
      <c r="AU40" s="926">
        <f t="shared" si="319"/>
        <v>0</v>
      </c>
      <c r="AV40" s="926">
        <f t="shared" si="319"/>
        <v>5460</v>
      </c>
      <c r="AW40" s="926">
        <f t="shared" si="319"/>
        <v>5460</v>
      </c>
      <c r="AX40" s="926">
        <f t="shared" si="319"/>
        <v>5460</v>
      </c>
      <c r="AY40" s="927">
        <f t="shared" si="319"/>
        <v>5460</v>
      </c>
      <c r="AZ40" s="926">
        <f t="shared" si="319"/>
        <v>5460</v>
      </c>
      <c r="BA40" s="926">
        <f t="shared" si="319"/>
        <v>5460</v>
      </c>
      <c r="BB40" s="926">
        <f t="shared" si="319"/>
        <v>5460</v>
      </c>
      <c r="BC40" s="926">
        <f t="shared" si="319"/>
        <v>5460</v>
      </c>
      <c r="BD40" s="926">
        <f t="shared" si="319"/>
        <v>5460</v>
      </c>
      <c r="BE40" s="926">
        <f t="shared" si="319"/>
        <v>5460</v>
      </c>
      <c r="BF40" s="926">
        <f t="shared" si="319"/>
        <v>5460</v>
      </c>
      <c r="BG40" s="926">
        <f t="shared" si="319"/>
        <v>5460</v>
      </c>
      <c r="BH40" s="926">
        <f t="shared" si="319"/>
        <v>5460</v>
      </c>
      <c r="BI40" s="926">
        <f t="shared" si="319"/>
        <v>5460</v>
      </c>
      <c r="BJ40" s="926">
        <f t="shared" si="319"/>
        <v>5460</v>
      </c>
      <c r="BK40" s="927">
        <f t="shared" si="319"/>
        <v>5460</v>
      </c>
      <c r="BN40" s="926"/>
      <c r="BO40" s="926"/>
      <c r="BP40" s="926"/>
      <c r="BQ40" s="926"/>
      <c r="BR40" s="926"/>
      <c r="BS40" s="926"/>
      <c r="BT40" s="926"/>
      <c r="BU40" s="926"/>
      <c r="BV40" s="926"/>
      <c r="BW40" s="926"/>
      <c r="BX40" s="926"/>
      <c r="BY40" s="926"/>
      <c r="BZ40" s="926"/>
    </row>
    <row r="41" spans="1:78" s="693" customFormat="1">
      <c r="A41" s="953" t="s">
        <v>171</v>
      </c>
      <c r="B41" s="692">
        <v>24000</v>
      </c>
      <c r="C41" s="926">
        <f t="shared" si="314"/>
        <v>6240</v>
      </c>
      <c r="D41" s="926">
        <f>($B41+C41)/12*D42</f>
        <v>0</v>
      </c>
      <c r="E41" s="926">
        <f t="shared" ref="E41:BC41" si="320">($B41+D41)/12*E42</f>
        <v>0</v>
      </c>
      <c r="F41" s="926">
        <f t="shared" si="320"/>
        <v>0</v>
      </c>
      <c r="G41" s="926">
        <f t="shared" si="320"/>
        <v>0</v>
      </c>
      <c r="H41" s="926">
        <f t="shared" si="320"/>
        <v>0</v>
      </c>
      <c r="I41" s="926">
        <f t="shared" si="320"/>
        <v>0</v>
      </c>
      <c r="J41" s="926">
        <f t="shared" si="320"/>
        <v>0</v>
      </c>
      <c r="K41" s="926">
        <f t="shared" si="320"/>
        <v>0</v>
      </c>
      <c r="L41" s="926">
        <f t="shared" si="320"/>
        <v>0</v>
      </c>
      <c r="M41" s="926">
        <f t="shared" si="320"/>
        <v>0</v>
      </c>
      <c r="N41" s="926">
        <f t="shared" si="320"/>
        <v>0</v>
      </c>
      <c r="O41" s="926">
        <f t="shared" si="320"/>
        <v>0</v>
      </c>
      <c r="P41" s="925">
        <f>($B41+BZ41)/12*P42</f>
        <v>0</v>
      </c>
      <c r="Q41" s="926">
        <f t="shared" si="320"/>
        <v>0</v>
      </c>
      <c r="R41" s="926">
        <f t="shared" si="320"/>
        <v>0</v>
      </c>
      <c r="S41" s="926">
        <f t="shared" si="320"/>
        <v>0</v>
      </c>
      <c r="T41" s="926">
        <f t="shared" si="320"/>
        <v>0</v>
      </c>
      <c r="U41" s="926">
        <f t="shared" si="320"/>
        <v>0</v>
      </c>
      <c r="V41" s="926">
        <f t="shared" si="320"/>
        <v>0</v>
      </c>
      <c r="W41" s="926">
        <f t="shared" si="320"/>
        <v>0</v>
      </c>
      <c r="X41" s="926">
        <f t="shared" si="320"/>
        <v>0</v>
      </c>
      <c r="Y41" s="926">
        <f t="shared" si="320"/>
        <v>0</v>
      </c>
      <c r="Z41" s="926">
        <f t="shared" si="320"/>
        <v>0</v>
      </c>
      <c r="AA41" s="927">
        <f t="shared" si="320"/>
        <v>0</v>
      </c>
      <c r="AB41" s="926">
        <f t="shared" si="320"/>
        <v>0</v>
      </c>
      <c r="AC41" s="926">
        <f t="shared" si="320"/>
        <v>0</v>
      </c>
      <c r="AD41" s="926">
        <f t="shared" si="320"/>
        <v>0</v>
      </c>
      <c r="AE41" s="926">
        <f t="shared" si="320"/>
        <v>0</v>
      </c>
      <c r="AF41" s="926">
        <f t="shared" si="320"/>
        <v>0</v>
      </c>
      <c r="AG41" s="926">
        <f t="shared" si="320"/>
        <v>0</v>
      </c>
      <c r="AH41" s="926">
        <f t="shared" si="320"/>
        <v>0</v>
      </c>
      <c r="AI41" s="926">
        <f t="shared" si="320"/>
        <v>0</v>
      </c>
      <c r="AJ41" s="926">
        <f t="shared" si="320"/>
        <v>2000</v>
      </c>
      <c r="AK41" s="926">
        <f t="shared" si="320"/>
        <v>2166.6666666666665</v>
      </c>
      <c r="AL41" s="926">
        <f t="shared" si="320"/>
        <v>2180.5555555555557</v>
      </c>
      <c r="AM41" s="927">
        <f t="shared" si="320"/>
        <v>2181.712962962963</v>
      </c>
      <c r="AN41" s="925">
        <f t="shared" si="320"/>
        <v>2181.8094135802471</v>
      </c>
      <c r="AO41" s="926">
        <f t="shared" si="320"/>
        <v>2181.817451131687</v>
      </c>
      <c r="AP41" s="926">
        <f t="shared" si="320"/>
        <v>2181.8181209276404</v>
      </c>
      <c r="AQ41" s="926">
        <f t="shared" si="320"/>
        <v>2181.8181767439701</v>
      </c>
      <c r="AR41" s="926">
        <f t="shared" si="320"/>
        <v>2181.8181813953311</v>
      </c>
      <c r="AS41" s="926">
        <f t="shared" si="320"/>
        <v>2181.8181817829441</v>
      </c>
      <c r="AT41" s="926">
        <f t="shared" si="320"/>
        <v>2181.8181818152452</v>
      </c>
      <c r="AU41" s="926">
        <f t="shared" si="320"/>
        <v>2181.8181818179369</v>
      </c>
      <c r="AV41" s="926">
        <f t="shared" si="320"/>
        <v>2181.8181818181615</v>
      </c>
      <c r="AW41" s="926">
        <f t="shared" si="320"/>
        <v>2181.8181818181802</v>
      </c>
      <c r="AX41" s="926">
        <f t="shared" si="320"/>
        <v>2181.8181818181815</v>
      </c>
      <c r="AY41" s="927">
        <f t="shared" si="320"/>
        <v>2181.8181818181815</v>
      </c>
      <c r="AZ41" s="925">
        <f t="shared" si="320"/>
        <v>2181.8181818181815</v>
      </c>
      <c r="BA41" s="926">
        <f t="shared" si="320"/>
        <v>2181.8181818181815</v>
      </c>
      <c r="BB41" s="926">
        <f t="shared" si="320"/>
        <v>2181.8181818181815</v>
      </c>
      <c r="BC41" s="926">
        <f t="shared" si="320"/>
        <v>2181.8181818181815</v>
      </c>
      <c r="BD41" s="926">
        <f t="shared" ref="BD41:BK41" si="321">($B41+BC41)/12*BD42</f>
        <v>4363.6363636363631</v>
      </c>
      <c r="BE41" s="926">
        <f t="shared" si="321"/>
        <v>4727.272727272727</v>
      </c>
      <c r="BF41" s="926">
        <f t="shared" si="321"/>
        <v>4787.878787878788</v>
      </c>
      <c r="BG41" s="926">
        <f t="shared" si="321"/>
        <v>4797.9797979797977</v>
      </c>
      <c r="BH41" s="926">
        <f t="shared" si="321"/>
        <v>4799.6632996632998</v>
      </c>
      <c r="BI41" s="926">
        <f t="shared" si="321"/>
        <v>4799.9438832772166</v>
      </c>
      <c r="BJ41" s="926">
        <f t="shared" si="321"/>
        <v>4799.9906472128696</v>
      </c>
      <c r="BK41" s="927">
        <f t="shared" si="321"/>
        <v>4799.9984412021449</v>
      </c>
      <c r="BL41" s="533"/>
      <c r="BN41" s="926">
        <f>($B41+O41)/12*BN42</f>
        <v>0</v>
      </c>
      <c r="BO41" s="692">
        <f t="shared" ref="BO41:BZ41" si="322">($B41+BN41)/12*BO42</f>
        <v>0</v>
      </c>
      <c r="BP41" s="692">
        <f t="shared" si="322"/>
        <v>0</v>
      </c>
      <c r="BQ41" s="692">
        <f t="shared" si="322"/>
        <v>0</v>
      </c>
      <c r="BR41" s="692">
        <f t="shared" si="322"/>
        <v>0</v>
      </c>
      <c r="BS41" s="692">
        <f t="shared" si="322"/>
        <v>0</v>
      </c>
      <c r="BT41" s="692">
        <f t="shared" si="322"/>
        <v>0</v>
      </c>
      <c r="BU41" s="692">
        <f t="shared" si="322"/>
        <v>0</v>
      </c>
      <c r="BV41" s="692">
        <f t="shared" si="322"/>
        <v>0</v>
      </c>
      <c r="BW41" s="692">
        <f t="shared" si="322"/>
        <v>0</v>
      </c>
      <c r="BX41" s="692">
        <f t="shared" si="322"/>
        <v>0</v>
      </c>
      <c r="BY41" s="692">
        <f t="shared" si="322"/>
        <v>0</v>
      </c>
      <c r="BZ41" s="692">
        <f t="shared" si="322"/>
        <v>0</v>
      </c>
    </row>
    <row r="42" spans="1:78" s="719" customFormat="1">
      <c r="A42" s="954" t="s">
        <v>194</v>
      </c>
      <c r="B42" s="718"/>
      <c r="C42" s="934"/>
      <c r="D42" s="934">
        <f>IF((D2+D3+D5)&gt;60,3,IF((D2+D3+D5)&gt;30,2,IF((D2+D3+D5)&lt;10,0,1)))</f>
        <v>0</v>
      </c>
      <c r="E42" s="934">
        <f t="shared" ref="E42:BC42" si="323">IF((E2+E3+E5)&gt;60,3,IF((E2+E3+E5)&gt;30,2,IF((E2+E3+E5)&lt;10,0,1)))</f>
        <v>0</v>
      </c>
      <c r="F42" s="934">
        <f t="shared" si="323"/>
        <v>0</v>
      </c>
      <c r="G42" s="934">
        <f t="shared" si="323"/>
        <v>0</v>
      </c>
      <c r="H42" s="934">
        <f t="shared" si="323"/>
        <v>0</v>
      </c>
      <c r="I42" s="934">
        <f t="shared" si="323"/>
        <v>0</v>
      </c>
      <c r="J42" s="934">
        <f t="shared" si="323"/>
        <v>0</v>
      </c>
      <c r="K42" s="934">
        <f t="shared" si="323"/>
        <v>0</v>
      </c>
      <c r="L42" s="934">
        <f t="shared" si="323"/>
        <v>0</v>
      </c>
      <c r="M42" s="934">
        <f t="shared" si="323"/>
        <v>0</v>
      </c>
      <c r="N42" s="934">
        <f t="shared" si="323"/>
        <v>0</v>
      </c>
      <c r="O42" s="934">
        <f t="shared" si="323"/>
        <v>0</v>
      </c>
      <c r="P42" s="935">
        <f t="shared" si="323"/>
        <v>0</v>
      </c>
      <c r="Q42" s="934">
        <f t="shared" si="323"/>
        <v>0</v>
      </c>
      <c r="R42" s="934">
        <f t="shared" si="323"/>
        <v>0</v>
      </c>
      <c r="S42" s="934">
        <f t="shared" si="323"/>
        <v>0</v>
      </c>
      <c r="T42" s="934">
        <f t="shared" si="323"/>
        <v>0</v>
      </c>
      <c r="U42" s="934">
        <f t="shared" si="323"/>
        <v>0</v>
      </c>
      <c r="V42" s="934">
        <f t="shared" si="323"/>
        <v>0</v>
      </c>
      <c r="W42" s="934">
        <f t="shared" si="323"/>
        <v>0</v>
      </c>
      <c r="X42" s="934">
        <f t="shared" si="323"/>
        <v>0</v>
      </c>
      <c r="Y42" s="934">
        <f t="shared" si="323"/>
        <v>0</v>
      </c>
      <c r="Z42" s="934">
        <f t="shared" si="323"/>
        <v>0</v>
      </c>
      <c r="AA42" s="936">
        <f t="shared" si="323"/>
        <v>0</v>
      </c>
      <c r="AB42" s="934">
        <f t="shared" si="323"/>
        <v>0</v>
      </c>
      <c r="AC42" s="934">
        <f t="shared" si="323"/>
        <v>0</v>
      </c>
      <c r="AD42" s="934">
        <f t="shared" si="323"/>
        <v>0</v>
      </c>
      <c r="AE42" s="934">
        <f t="shared" si="323"/>
        <v>0</v>
      </c>
      <c r="AF42" s="934">
        <f t="shared" si="323"/>
        <v>0</v>
      </c>
      <c r="AG42" s="934">
        <f t="shared" si="323"/>
        <v>0</v>
      </c>
      <c r="AH42" s="934">
        <f t="shared" si="323"/>
        <v>0</v>
      </c>
      <c r="AI42" s="934">
        <f t="shared" si="323"/>
        <v>0</v>
      </c>
      <c r="AJ42" s="934">
        <f t="shared" si="323"/>
        <v>1</v>
      </c>
      <c r="AK42" s="934">
        <f t="shared" si="323"/>
        <v>1</v>
      </c>
      <c r="AL42" s="934">
        <f t="shared" si="323"/>
        <v>1</v>
      </c>
      <c r="AM42" s="936">
        <f t="shared" si="323"/>
        <v>1</v>
      </c>
      <c r="AN42" s="935">
        <f t="shared" si="323"/>
        <v>1</v>
      </c>
      <c r="AO42" s="934">
        <f t="shared" si="323"/>
        <v>1</v>
      </c>
      <c r="AP42" s="934">
        <f t="shared" si="323"/>
        <v>1</v>
      </c>
      <c r="AQ42" s="934">
        <f t="shared" si="323"/>
        <v>1</v>
      </c>
      <c r="AR42" s="934">
        <f t="shared" si="323"/>
        <v>1</v>
      </c>
      <c r="AS42" s="934">
        <f t="shared" si="323"/>
        <v>1</v>
      </c>
      <c r="AT42" s="934">
        <f t="shared" si="323"/>
        <v>1</v>
      </c>
      <c r="AU42" s="934">
        <f t="shared" si="323"/>
        <v>1</v>
      </c>
      <c r="AV42" s="934">
        <f t="shared" si="323"/>
        <v>1</v>
      </c>
      <c r="AW42" s="934">
        <f t="shared" si="323"/>
        <v>1</v>
      </c>
      <c r="AX42" s="934">
        <f t="shared" si="323"/>
        <v>1</v>
      </c>
      <c r="AY42" s="936">
        <f t="shared" si="323"/>
        <v>1</v>
      </c>
      <c r="AZ42" s="935">
        <f t="shared" si="323"/>
        <v>1</v>
      </c>
      <c r="BA42" s="934">
        <f t="shared" si="323"/>
        <v>1</v>
      </c>
      <c r="BB42" s="934">
        <f t="shared" si="323"/>
        <v>1</v>
      </c>
      <c r="BC42" s="934">
        <f t="shared" si="323"/>
        <v>1</v>
      </c>
      <c r="BD42" s="934">
        <f t="shared" ref="BD42:BK42" si="324">IF((BD2+BD3+BD5)&gt;60,3,IF((BD2+BD3+BD5)&gt;30,2,IF((BD2+BD3+BD5)&lt;10,0,1)))</f>
        <v>2</v>
      </c>
      <c r="BE42" s="934">
        <f t="shared" si="324"/>
        <v>2</v>
      </c>
      <c r="BF42" s="934">
        <f t="shared" si="324"/>
        <v>2</v>
      </c>
      <c r="BG42" s="934">
        <f t="shared" si="324"/>
        <v>2</v>
      </c>
      <c r="BH42" s="934">
        <f t="shared" si="324"/>
        <v>2</v>
      </c>
      <c r="BI42" s="934">
        <f t="shared" si="324"/>
        <v>2</v>
      </c>
      <c r="BJ42" s="934">
        <f t="shared" si="324"/>
        <v>2</v>
      </c>
      <c r="BK42" s="936">
        <f t="shared" si="324"/>
        <v>2</v>
      </c>
      <c r="BN42" s="934">
        <f t="shared" ref="BN42:BZ42" si="325">IF((BN2+BN3+BN5)&gt;60,3,IF((BN2+BN3+BN5)&gt;30,2,IF((BN2+BN3+BN5)&lt;10,0,1)))</f>
        <v>0</v>
      </c>
      <c r="BO42" s="718">
        <f t="shared" si="325"/>
        <v>0</v>
      </c>
      <c r="BP42" s="718">
        <f t="shared" si="325"/>
        <v>0</v>
      </c>
      <c r="BQ42" s="718">
        <f t="shared" si="325"/>
        <v>0</v>
      </c>
      <c r="BR42" s="718">
        <f t="shared" si="325"/>
        <v>0</v>
      </c>
      <c r="BS42" s="718">
        <f t="shared" si="325"/>
        <v>0</v>
      </c>
      <c r="BT42" s="718">
        <f t="shared" si="325"/>
        <v>0</v>
      </c>
      <c r="BU42" s="718">
        <f t="shared" si="325"/>
        <v>0</v>
      </c>
      <c r="BV42" s="718">
        <f t="shared" si="325"/>
        <v>0</v>
      </c>
      <c r="BW42" s="718">
        <f t="shared" si="325"/>
        <v>0</v>
      </c>
      <c r="BX42" s="718">
        <f t="shared" si="325"/>
        <v>0</v>
      </c>
      <c r="BY42" s="718">
        <f t="shared" si="325"/>
        <v>0</v>
      </c>
      <c r="BZ42" s="718">
        <f t="shared" si="325"/>
        <v>0</v>
      </c>
    </row>
    <row r="43" spans="1:78" s="187" customFormat="1" ht="15" customHeight="1">
      <c r="A43" s="899" t="s">
        <v>293</v>
      </c>
      <c r="B43" s="116"/>
      <c r="C43" s="900"/>
      <c r="D43" s="900">
        <f>IF(D35=0,0,1)+IF(D36=0,0,1)+IF(D38=0,0,1)+IF(D39=0,0,1)+D42</f>
        <v>0</v>
      </c>
      <c r="E43" s="900">
        <f t="shared" ref="E43:BC43" si="326">IF(E35=0,0,1)+IF(E36=0,0,1)+IF(E38=0,0,1)+IF(E39=0,0,1)+E42</f>
        <v>0</v>
      </c>
      <c r="F43" s="900">
        <f t="shared" si="326"/>
        <v>0</v>
      </c>
      <c r="G43" s="900">
        <f t="shared" si="326"/>
        <v>0</v>
      </c>
      <c r="H43" s="900">
        <f t="shared" si="326"/>
        <v>0</v>
      </c>
      <c r="I43" s="900">
        <f t="shared" si="326"/>
        <v>0</v>
      </c>
      <c r="J43" s="900">
        <f t="shared" si="326"/>
        <v>0</v>
      </c>
      <c r="K43" s="900">
        <f t="shared" si="326"/>
        <v>0</v>
      </c>
      <c r="L43" s="900">
        <f t="shared" si="326"/>
        <v>0</v>
      </c>
      <c r="M43" s="900">
        <f t="shared" si="326"/>
        <v>0</v>
      </c>
      <c r="N43" s="900">
        <f t="shared" si="326"/>
        <v>0</v>
      </c>
      <c r="O43" s="900">
        <f t="shared" si="326"/>
        <v>0</v>
      </c>
      <c r="P43" s="901">
        <f t="shared" si="326"/>
        <v>0</v>
      </c>
      <c r="Q43" s="902">
        <f t="shared" si="326"/>
        <v>0</v>
      </c>
      <c r="R43" s="902">
        <f t="shared" si="326"/>
        <v>0</v>
      </c>
      <c r="S43" s="902">
        <f t="shared" si="326"/>
        <v>0</v>
      </c>
      <c r="T43" s="902">
        <f t="shared" si="326"/>
        <v>0</v>
      </c>
      <c r="U43" s="902">
        <f t="shared" si="326"/>
        <v>0</v>
      </c>
      <c r="V43" s="902">
        <f t="shared" si="326"/>
        <v>0</v>
      </c>
      <c r="W43" s="902">
        <f t="shared" si="326"/>
        <v>0</v>
      </c>
      <c r="X43" s="902">
        <f t="shared" si="326"/>
        <v>0</v>
      </c>
      <c r="Y43" s="902">
        <f t="shared" si="326"/>
        <v>1</v>
      </c>
      <c r="Z43" s="902">
        <f t="shared" si="326"/>
        <v>1</v>
      </c>
      <c r="AA43" s="903">
        <f t="shared" si="326"/>
        <v>1</v>
      </c>
      <c r="AB43" s="902">
        <f t="shared" si="326"/>
        <v>3</v>
      </c>
      <c r="AC43" s="902">
        <f t="shared" si="326"/>
        <v>3</v>
      </c>
      <c r="AD43" s="902">
        <f t="shared" si="326"/>
        <v>3</v>
      </c>
      <c r="AE43" s="902">
        <f t="shared" si="326"/>
        <v>3</v>
      </c>
      <c r="AF43" s="902">
        <f t="shared" si="326"/>
        <v>3</v>
      </c>
      <c r="AG43" s="902">
        <f t="shared" si="326"/>
        <v>3</v>
      </c>
      <c r="AH43" s="902">
        <f t="shared" si="326"/>
        <v>3</v>
      </c>
      <c r="AI43" s="902">
        <f t="shared" si="326"/>
        <v>3</v>
      </c>
      <c r="AJ43" s="902">
        <f t="shared" si="326"/>
        <v>4</v>
      </c>
      <c r="AK43" s="902">
        <f t="shared" si="326"/>
        <v>4</v>
      </c>
      <c r="AL43" s="902">
        <f t="shared" si="326"/>
        <v>4</v>
      </c>
      <c r="AM43" s="903">
        <f t="shared" si="326"/>
        <v>4</v>
      </c>
      <c r="AN43" s="901">
        <f t="shared" si="326"/>
        <v>4</v>
      </c>
      <c r="AO43" s="902">
        <f t="shared" si="326"/>
        <v>4</v>
      </c>
      <c r="AP43" s="902">
        <f t="shared" si="326"/>
        <v>4</v>
      </c>
      <c r="AQ43" s="902">
        <f t="shared" si="326"/>
        <v>4</v>
      </c>
      <c r="AR43" s="902">
        <f t="shared" si="326"/>
        <v>4</v>
      </c>
      <c r="AS43" s="902">
        <f t="shared" si="326"/>
        <v>4</v>
      </c>
      <c r="AT43" s="902">
        <f t="shared" si="326"/>
        <v>4</v>
      </c>
      <c r="AU43" s="902">
        <f t="shared" si="326"/>
        <v>4</v>
      </c>
      <c r="AV43" s="902">
        <f t="shared" si="326"/>
        <v>4</v>
      </c>
      <c r="AW43" s="902">
        <f t="shared" si="326"/>
        <v>4</v>
      </c>
      <c r="AX43" s="902">
        <f t="shared" si="326"/>
        <v>4</v>
      </c>
      <c r="AY43" s="903">
        <f t="shared" si="326"/>
        <v>4</v>
      </c>
      <c r="AZ43" s="901">
        <f t="shared" si="326"/>
        <v>4</v>
      </c>
      <c r="BA43" s="902">
        <f t="shared" si="326"/>
        <v>4</v>
      </c>
      <c r="BB43" s="902">
        <f t="shared" si="326"/>
        <v>4</v>
      </c>
      <c r="BC43" s="902">
        <f t="shared" si="326"/>
        <v>4</v>
      </c>
      <c r="BD43" s="902">
        <f t="shared" ref="BD43:BK43" si="327">IF(BD35=0,0,1)+IF(BD36=0,0,1)+IF(BD38=0,0,1)+IF(BD39=0,0,1)+BD42</f>
        <v>6</v>
      </c>
      <c r="BE43" s="902">
        <f t="shared" si="327"/>
        <v>6</v>
      </c>
      <c r="BF43" s="902">
        <f t="shared" si="327"/>
        <v>6</v>
      </c>
      <c r="BG43" s="902">
        <f t="shared" si="327"/>
        <v>6</v>
      </c>
      <c r="BH43" s="902">
        <f t="shared" si="327"/>
        <v>6</v>
      </c>
      <c r="BI43" s="902">
        <f t="shared" si="327"/>
        <v>6</v>
      </c>
      <c r="BJ43" s="902">
        <f t="shared" si="327"/>
        <v>6</v>
      </c>
      <c r="BK43" s="903">
        <f t="shared" si="327"/>
        <v>6</v>
      </c>
      <c r="BN43" s="900">
        <f t="shared" ref="BN43:BZ43" si="328">IF(BN35=0,0,1)+IF(BN36=0,0,1)+IF(BN38=0,0,1)+IF(BN39=0,0,1)+BN42</f>
        <v>0</v>
      </c>
      <c r="BO43" s="65">
        <f t="shared" si="328"/>
        <v>0</v>
      </c>
      <c r="BP43" s="65">
        <f t="shared" si="328"/>
        <v>0</v>
      </c>
      <c r="BQ43" s="65">
        <f t="shared" si="328"/>
        <v>0</v>
      </c>
      <c r="BR43" s="65">
        <f t="shared" si="328"/>
        <v>0</v>
      </c>
      <c r="BS43" s="65">
        <f t="shared" si="328"/>
        <v>0</v>
      </c>
      <c r="BT43" s="65">
        <f t="shared" si="328"/>
        <v>0</v>
      </c>
      <c r="BU43" s="65">
        <f t="shared" si="328"/>
        <v>0</v>
      </c>
      <c r="BV43" s="65">
        <f t="shared" si="328"/>
        <v>0</v>
      </c>
      <c r="BW43" s="65">
        <f t="shared" si="328"/>
        <v>1</v>
      </c>
      <c r="BX43" s="65">
        <f t="shared" si="328"/>
        <v>1</v>
      </c>
      <c r="BY43" s="65">
        <f t="shared" si="328"/>
        <v>1</v>
      </c>
      <c r="BZ43" s="65">
        <f t="shared" si="328"/>
        <v>3</v>
      </c>
    </row>
    <row r="44" spans="1:78" s="1260" customFormat="1" ht="16.5" customHeight="1">
      <c r="B44" s="1261"/>
      <c r="C44" s="1261" t="s">
        <v>177</v>
      </c>
      <c r="D44" s="1261">
        <f t="shared" ref="D44:O44" si="329">SUM(D35:D43)</f>
        <v>0</v>
      </c>
      <c r="E44" s="1261">
        <f t="shared" si="329"/>
        <v>0</v>
      </c>
      <c r="F44" s="1261">
        <f t="shared" si="329"/>
        <v>0</v>
      </c>
      <c r="G44" s="1261">
        <f t="shared" si="329"/>
        <v>0</v>
      </c>
      <c r="H44" s="1261">
        <f t="shared" si="329"/>
        <v>0</v>
      </c>
      <c r="I44" s="1261">
        <f t="shared" si="329"/>
        <v>0</v>
      </c>
      <c r="J44" s="1261">
        <f t="shared" si="329"/>
        <v>0</v>
      </c>
      <c r="K44" s="1261">
        <f t="shared" si="329"/>
        <v>0</v>
      </c>
      <c r="L44" s="1261">
        <f t="shared" si="329"/>
        <v>0</v>
      </c>
      <c r="M44" s="1261">
        <f t="shared" si="329"/>
        <v>0</v>
      </c>
      <c r="N44" s="1261">
        <f t="shared" si="329"/>
        <v>0</v>
      </c>
      <c r="O44" s="1261">
        <f t="shared" si="329"/>
        <v>0</v>
      </c>
      <c r="P44" s="1262">
        <f t="shared" ref="P44:AA44" si="330">SUM(P35:P43)</f>
        <v>0</v>
      </c>
      <c r="Q44" s="1263">
        <f t="shared" si="330"/>
        <v>0</v>
      </c>
      <c r="R44" s="1263">
        <f t="shared" si="330"/>
        <v>0</v>
      </c>
      <c r="S44" s="1263">
        <f t="shared" si="330"/>
        <v>0</v>
      </c>
      <c r="T44" s="1263">
        <f t="shared" si="330"/>
        <v>0</v>
      </c>
      <c r="U44" s="1263">
        <f t="shared" si="330"/>
        <v>0</v>
      </c>
      <c r="V44" s="1263">
        <f t="shared" si="330"/>
        <v>0</v>
      </c>
      <c r="W44" s="1263">
        <f t="shared" si="330"/>
        <v>0</v>
      </c>
      <c r="X44" s="1263">
        <f t="shared" si="330"/>
        <v>0</v>
      </c>
      <c r="Y44" s="1263">
        <f t="shared" si="330"/>
        <v>9451</v>
      </c>
      <c r="Z44" s="1263">
        <f t="shared" si="330"/>
        <v>9451</v>
      </c>
      <c r="AA44" s="1264">
        <f t="shared" si="330"/>
        <v>9451</v>
      </c>
      <c r="AB44" s="1263">
        <f t="shared" ref="AB44:AM44" si="331">SUM(AB35:AB43)</f>
        <v>15139.666666666666</v>
      </c>
      <c r="AC44" s="1263">
        <f t="shared" si="331"/>
        <v>15139.666666666666</v>
      </c>
      <c r="AD44" s="1263">
        <f t="shared" si="331"/>
        <v>15139.666666666666</v>
      </c>
      <c r="AE44" s="1263">
        <f t="shared" si="331"/>
        <v>15139.666666666666</v>
      </c>
      <c r="AF44" s="1263">
        <f t="shared" si="331"/>
        <v>15139.666666666666</v>
      </c>
      <c r="AG44" s="1263">
        <f t="shared" si="331"/>
        <v>15139.666666666666</v>
      </c>
      <c r="AH44" s="1263">
        <f t="shared" si="331"/>
        <v>15139.666666666666</v>
      </c>
      <c r="AI44" s="1263">
        <f t="shared" si="331"/>
        <v>15139.666666666666</v>
      </c>
      <c r="AJ44" s="1263">
        <f t="shared" si="331"/>
        <v>17141.666666666664</v>
      </c>
      <c r="AK44" s="1263">
        <f t="shared" si="331"/>
        <v>17308.333333333332</v>
      </c>
      <c r="AL44" s="1263">
        <f t="shared" si="331"/>
        <v>19842.222222222223</v>
      </c>
      <c r="AM44" s="1264">
        <f t="shared" si="331"/>
        <v>19843.379629629631</v>
      </c>
      <c r="AN44" s="1262">
        <f t="shared" ref="AN44:AY44" si="332">SUM(AN35:AN43)</f>
        <v>19843.476080246914</v>
      </c>
      <c r="AO44" s="1263">
        <f t="shared" si="332"/>
        <v>19843.484117798354</v>
      </c>
      <c r="AP44" s="1263">
        <f t="shared" si="332"/>
        <v>19843.484787594309</v>
      </c>
      <c r="AQ44" s="1263">
        <f t="shared" si="332"/>
        <v>19843.484843410639</v>
      </c>
      <c r="AR44" s="1263">
        <f t="shared" si="332"/>
        <v>19843.484848061998</v>
      </c>
      <c r="AS44" s="1263">
        <f t="shared" si="332"/>
        <v>19843.484848449611</v>
      </c>
      <c r="AT44" s="1263">
        <f t="shared" si="332"/>
        <v>19843.484848481912</v>
      </c>
      <c r="AU44" s="1263">
        <f t="shared" si="332"/>
        <v>19843.484848484604</v>
      </c>
      <c r="AV44" s="1263">
        <f t="shared" si="332"/>
        <v>25303.48484848483</v>
      </c>
      <c r="AW44" s="1263">
        <f t="shared" si="332"/>
        <v>25303.484848484848</v>
      </c>
      <c r="AX44" s="1263">
        <f t="shared" si="332"/>
        <v>25303.484848484848</v>
      </c>
      <c r="AY44" s="1264">
        <f t="shared" si="332"/>
        <v>25303.484848484848</v>
      </c>
      <c r="AZ44" s="1262">
        <f t="shared" ref="AZ44:BK44" si="333">SUM(AZ35:AZ43)</f>
        <v>25303.484848484848</v>
      </c>
      <c r="BA44" s="1263">
        <f t="shared" si="333"/>
        <v>25303.484848484848</v>
      </c>
      <c r="BB44" s="1263">
        <f t="shared" si="333"/>
        <v>25303.484848484848</v>
      </c>
      <c r="BC44" s="1263">
        <f t="shared" si="333"/>
        <v>25303.484848484848</v>
      </c>
      <c r="BD44" s="1263">
        <f t="shared" si="333"/>
        <v>36664.969696969696</v>
      </c>
      <c r="BE44" s="1263">
        <f t="shared" si="333"/>
        <v>37250.828282828283</v>
      </c>
      <c r="BF44" s="1263">
        <f t="shared" si="333"/>
        <v>37329.952861952865</v>
      </c>
      <c r="BG44" s="1263">
        <f t="shared" si="333"/>
        <v>37341.597081930413</v>
      </c>
      <c r="BH44" s="1263">
        <f t="shared" si="333"/>
        <v>37343.409184436961</v>
      </c>
      <c r="BI44" s="1263">
        <f t="shared" si="333"/>
        <v>37343.700484786132</v>
      </c>
      <c r="BJ44" s="1263">
        <f t="shared" si="333"/>
        <v>37343.748141783057</v>
      </c>
      <c r="BK44" s="1264">
        <f t="shared" si="333"/>
        <v>37343.756010194105</v>
      </c>
      <c r="BN44" s="1261">
        <f t="shared" ref="BN44:BZ44" si="334">SUM(BN35:BN43)</f>
        <v>0</v>
      </c>
      <c r="BO44" s="1261">
        <f t="shared" si="334"/>
        <v>0</v>
      </c>
      <c r="BP44" s="1261">
        <f t="shared" si="334"/>
        <v>0</v>
      </c>
      <c r="BQ44" s="1261">
        <f t="shared" si="334"/>
        <v>0</v>
      </c>
      <c r="BR44" s="1261">
        <f t="shared" si="334"/>
        <v>0</v>
      </c>
      <c r="BS44" s="1261">
        <f t="shared" si="334"/>
        <v>0</v>
      </c>
      <c r="BT44" s="1261">
        <f t="shared" si="334"/>
        <v>0</v>
      </c>
      <c r="BU44" s="1261">
        <f t="shared" si="334"/>
        <v>0</v>
      </c>
      <c r="BV44" s="1261">
        <f t="shared" si="334"/>
        <v>0</v>
      </c>
      <c r="BW44" s="1261">
        <f t="shared" si="334"/>
        <v>9451</v>
      </c>
      <c r="BX44" s="1261">
        <f t="shared" si="334"/>
        <v>9451</v>
      </c>
      <c r="BY44" s="1261">
        <f t="shared" si="334"/>
        <v>9451</v>
      </c>
      <c r="BZ44" s="1261">
        <f t="shared" si="334"/>
        <v>15139.666666666666</v>
      </c>
    </row>
    <row r="45" spans="1:78" s="65" customFormat="1">
      <c r="C45" s="1265" t="s">
        <v>402</v>
      </c>
      <c r="D45" s="65">
        <f>D43+D31+D25+D22+D19+D15+D12</f>
        <v>2</v>
      </c>
      <c r="E45" s="65">
        <f t="shared" ref="E45:BK45" si="335">E43+E31+E25+E22+E19+E15+E12</f>
        <v>2</v>
      </c>
      <c r="F45" s="65">
        <f t="shared" si="335"/>
        <v>2</v>
      </c>
      <c r="G45" s="65">
        <f t="shared" si="335"/>
        <v>2</v>
      </c>
      <c r="H45" s="65">
        <f t="shared" si="335"/>
        <v>2</v>
      </c>
      <c r="I45" s="65">
        <f t="shared" si="335"/>
        <v>3</v>
      </c>
      <c r="J45" s="65">
        <f t="shared" si="335"/>
        <v>3</v>
      </c>
      <c r="K45" s="65">
        <f t="shared" si="335"/>
        <v>3</v>
      </c>
      <c r="L45" s="65">
        <f t="shared" si="335"/>
        <v>3</v>
      </c>
      <c r="M45" s="65">
        <f t="shared" si="335"/>
        <v>3</v>
      </c>
      <c r="N45" s="65">
        <f t="shared" si="335"/>
        <v>3</v>
      </c>
      <c r="O45" s="65">
        <f t="shared" si="335"/>
        <v>3</v>
      </c>
      <c r="P45" s="124">
        <f t="shared" si="335"/>
        <v>3</v>
      </c>
      <c r="Q45" s="116">
        <f t="shared" si="335"/>
        <v>3</v>
      </c>
      <c r="R45" s="116">
        <f t="shared" si="335"/>
        <v>4</v>
      </c>
      <c r="S45" s="116">
        <f t="shared" si="335"/>
        <v>4</v>
      </c>
      <c r="T45" s="116">
        <f t="shared" si="335"/>
        <v>4.0424847737506902</v>
      </c>
      <c r="U45" s="116">
        <f t="shared" si="335"/>
        <v>4.0964699427499944</v>
      </c>
      <c r="V45" s="116">
        <f t="shared" si="335"/>
        <v>4.1536421845770324</v>
      </c>
      <c r="W45" s="116">
        <f t="shared" si="335"/>
        <v>4.2141763171995006</v>
      </c>
      <c r="X45" s="116">
        <f t="shared" si="335"/>
        <v>5.2782522336575664</v>
      </c>
      <c r="Y45" s="116">
        <f t="shared" si="335"/>
        <v>6.3460546874933135</v>
      </c>
      <c r="Z45" s="116">
        <f t="shared" si="335"/>
        <v>6.4177731112571585</v>
      </c>
      <c r="AA45" s="117">
        <f t="shared" si="335"/>
        <v>8.4936014801960074</v>
      </c>
      <c r="AB45" s="116">
        <f t="shared" si="335"/>
        <v>10.259065293004431</v>
      </c>
      <c r="AC45" s="116">
        <f t="shared" si="335"/>
        <v>10.325476996192389</v>
      </c>
      <c r="AD45" s="116">
        <f t="shared" si="335"/>
        <v>10.395563357519453</v>
      </c>
      <c r="AE45" s="116">
        <f t="shared" si="335"/>
        <v>11.46949278775153</v>
      </c>
      <c r="AF45" s="116">
        <f t="shared" si="335"/>
        <v>11.547437706616371</v>
      </c>
      <c r="AG45" s="116">
        <f t="shared" si="335"/>
        <v>11.629574590601344</v>
      </c>
      <c r="AH45" s="116">
        <f t="shared" si="335"/>
        <v>12.716084054449926</v>
      </c>
      <c r="AI45" s="116">
        <f t="shared" si="335"/>
        <v>12.807150967557114</v>
      </c>
      <c r="AJ45" s="116">
        <f t="shared" si="335"/>
        <v>14.902964605799998</v>
      </c>
      <c r="AK45" s="116">
        <f t="shared" si="335"/>
        <v>15.003718838752006</v>
      </c>
      <c r="AL45" s="116">
        <f t="shared" si="335"/>
        <v>16.609612351736921</v>
      </c>
      <c r="AM45" s="117">
        <f t="shared" si="335"/>
        <v>16.720848901793211</v>
      </c>
      <c r="AN45" s="124">
        <f t="shared" si="335"/>
        <v>18.837637606344316</v>
      </c>
      <c r="AO45" s="116">
        <f t="shared" si="335"/>
        <v>18.95414606581333</v>
      </c>
      <c r="AP45" s="116">
        <f t="shared" si="335"/>
        <v>20.076127198966098</v>
      </c>
      <c r="AQ45" s="116">
        <f t="shared" si="335"/>
        <v>20.203790003532006</v>
      </c>
      <c r="AR45" s="116">
        <f t="shared" si="335"/>
        <v>21.337349746690137</v>
      </c>
      <c r="AS45" s="116">
        <f t="shared" si="335"/>
        <v>22.477028256550188</v>
      </c>
      <c r="AT45" s="116">
        <f t="shared" si="335"/>
        <v>22.623054237206276</v>
      </c>
      <c r="AU45" s="116">
        <f t="shared" si="335"/>
        <v>23.775663608035934</v>
      </c>
      <c r="AV45" s="116">
        <f t="shared" si="335"/>
        <v>25.935099867858888</v>
      </c>
      <c r="AW45" s="116">
        <f t="shared" si="335"/>
        <v>26.101614484513831</v>
      </c>
      <c r="AX45" s="116">
        <f t="shared" si="335"/>
        <v>27.775467310356472</v>
      </c>
      <c r="AY45" s="117">
        <f t="shared" si="335"/>
        <v>28.956927024129797</v>
      </c>
      <c r="AZ45" s="124">
        <f t="shared" si="335"/>
        <v>30.146271599608376</v>
      </c>
      <c r="BA45" s="116">
        <f t="shared" si="335"/>
        <v>31.346790200547009</v>
      </c>
      <c r="BB45" s="116">
        <f t="shared" si="335"/>
        <v>32.55618916420346</v>
      </c>
      <c r="BC45" s="116">
        <f t="shared" si="335"/>
        <v>33.774808036211319</v>
      </c>
      <c r="BD45" s="116">
        <f t="shared" si="335"/>
        <v>37.002999109132219</v>
      </c>
      <c r="BE45" s="116">
        <f t="shared" si="335"/>
        <v>38.241128066702764</v>
      </c>
      <c r="BF45" s="116">
        <f t="shared" si="335"/>
        <v>39.489574660510705</v>
      </c>
      <c r="BG45" s="116">
        <f t="shared" si="335"/>
        <v>41.748733419622198</v>
      </c>
      <c r="BH45" s="116">
        <f t="shared" si="335"/>
        <v>44.019014393666168</v>
      </c>
      <c r="BI45" s="116">
        <f t="shared" si="335"/>
        <v>45.300843929872137</v>
      </c>
      <c r="BJ45" s="116">
        <f t="shared" si="335"/>
        <v>46.594665484556216</v>
      </c>
      <c r="BK45" s="117">
        <f t="shared" si="335"/>
        <v>49.900940469555124</v>
      </c>
    </row>
    <row r="46" spans="1:78" s="59" customFormat="1">
      <c r="B46" s="66"/>
      <c r="C46" s="66"/>
      <c r="P46" s="413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761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761"/>
      <c r="AN46" s="413"/>
      <c r="AO46" s="529"/>
      <c r="AP46" s="529"/>
      <c r="AQ46" s="529"/>
      <c r="AR46" s="529"/>
      <c r="AS46" s="529"/>
      <c r="AT46" s="529"/>
      <c r="AU46" s="529"/>
      <c r="AV46" s="529"/>
      <c r="AW46" s="529"/>
      <c r="AX46" s="529"/>
      <c r="AY46" s="761"/>
      <c r="AZ46" s="413"/>
      <c r="BA46" s="529"/>
      <c r="BB46" s="529"/>
      <c r="BC46" s="529"/>
      <c r="BD46" s="529"/>
      <c r="BE46" s="529"/>
      <c r="BF46" s="529"/>
      <c r="BG46" s="529"/>
      <c r="BH46" s="529"/>
      <c r="BI46" s="529"/>
      <c r="BJ46" s="529"/>
      <c r="BK46" s="761"/>
    </row>
    <row r="47" spans="1:78" s="59" customFormat="1">
      <c r="B47" s="66"/>
      <c r="C47" s="66"/>
      <c r="P47" s="413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761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761"/>
      <c r="AN47" s="413"/>
      <c r="AO47" s="529"/>
      <c r="AP47" s="529"/>
      <c r="AQ47" s="529"/>
      <c r="AR47" s="529"/>
      <c r="AS47" s="529"/>
      <c r="AT47" s="529"/>
      <c r="AU47" s="529"/>
      <c r="AV47" s="529"/>
      <c r="AW47" s="529"/>
      <c r="AX47" s="529"/>
      <c r="AY47" s="761"/>
      <c r="AZ47" s="413"/>
      <c r="BA47" s="529"/>
      <c r="BB47" s="529"/>
      <c r="BC47" s="529"/>
      <c r="BD47" s="529"/>
      <c r="BE47" s="529"/>
      <c r="BF47" s="529"/>
      <c r="BG47" s="529"/>
      <c r="BH47" s="529"/>
      <c r="BI47" s="529"/>
      <c r="BJ47" s="529"/>
      <c r="BK47" s="761"/>
    </row>
  </sheetData>
  <mergeCells count="5">
    <mergeCell ref="AN1:AY1"/>
    <mergeCell ref="AZ1:BK1"/>
    <mergeCell ref="D1:O1"/>
    <mergeCell ref="P1:AA1"/>
    <mergeCell ref="AB1:AM1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-0.499984740745262"/>
  </sheetPr>
  <dimension ref="A1:BP108"/>
  <sheetViews>
    <sheetView showGridLines="0" workbookViewId="0">
      <pane xSplit="8" ySplit="1" topLeftCell="AX66" activePane="bottomRight" state="frozen"/>
      <selection activeCell="BI26" sqref="BI26"/>
      <selection pane="topRight" activeCell="BI26" sqref="BI26"/>
      <selection pane="bottomLeft" activeCell="BI26" sqref="BI26"/>
      <selection pane="bottomRight" activeCell="BE89" sqref="BE89"/>
    </sheetView>
  </sheetViews>
  <sheetFormatPr defaultColWidth="8.85546875" defaultRowHeight="12.75"/>
  <cols>
    <col min="1" max="1" width="3.42578125" style="160" customWidth="1"/>
    <col min="2" max="2" width="4.42578125" style="999" customWidth="1"/>
    <col min="3" max="3" width="14.140625" style="160" customWidth="1"/>
    <col min="4" max="4" width="8" style="1000" customWidth="1"/>
    <col min="5" max="5" width="10.42578125" style="160" customWidth="1"/>
    <col min="6" max="6" width="9.42578125" style="24" hidden="1" customWidth="1"/>
    <col min="7" max="7" width="11" style="25" hidden="1" customWidth="1"/>
    <col min="8" max="8" width="0.85546875" style="25" customWidth="1"/>
    <col min="9" max="19" width="9.7109375" style="141" customWidth="1"/>
    <col min="20" max="20" width="9.7109375" style="142" customWidth="1"/>
    <col min="21" max="31" width="9.7109375" style="141" customWidth="1"/>
    <col min="32" max="32" width="9.7109375" style="142" customWidth="1"/>
    <col min="33" max="43" width="9.7109375" style="141" customWidth="1"/>
    <col min="44" max="44" width="9.7109375" style="142" customWidth="1"/>
    <col min="45" max="55" width="9.7109375" style="141" customWidth="1"/>
    <col min="56" max="56" width="9.7109375" style="142" customWidth="1"/>
    <col min="57" max="67" width="9.7109375" style="141" customWidth="1"/>
    <col min="68" max="68" width="9.7109375" style="142" customWidth="1"/>
    <col min="69" max="16384" width="8.85546875" style="24"/>
  </cols>
  <sheetData>
    <row r="1" spans="1:68" s="141" customFormat="1" ht="15" customHeight="1">
      <c r="A1" s="156"/>
      <c r="B1" s="156"/>
      <c r="C1" s="956"/>
      <c r="D1" s="957"/>
      <c r="E1" s="958"/>
      <c r="G1" s="145" t="s">
        <v>47</v>
      </c>
      <c r="H1" s="145" t="s">
        <v>46</v>
      </c>
      <c r="I1" s="1330" t="s">
        <v>189</v>
      </c>
      <c r="J1" s="1330"/>
      <c r="K1" s="1330"/>
      <c r="L1" s="1330"/>
      <c r="M1" s="1330"/>
      <c r="N1" s="1330"/>
      <c r="O1" s="1330"/>
      <c r="P1" s="1330"/>
      <c r="Q1" s="1330"/>
      <c r="R1" s="1330"/>
      <c r="S1" s="1330"/>
      <c r="T1" s="1330"/>
      <c r="U1" s="1330" t="s">
        <v>190</v>
      </c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 t="s">
        <v>191</v>
      </c>
      <c r="AH1" s="1330"/>
      <c r="AI1" s="1330"/>
      <c r="AJ1" s="1330"/>
      <c r="AK1" s="1330"/>
      <c r="AL1" s="1330"/>
      <c r="AM1" s="1330"/>
      <c r="AN1" s="1330"/>
      <c r="AO1" s="1330"/>
      <c r="AP1" s="1330"/>
      <c r="AQ1" s="1330"/>
      <c r="AR1" s="1330"/>
      <c r="AS1" s="1330" t="s">
        <v>192</v>
      </c>
      <c r="AT1" s="1330"/>
      <c r="AU1" s="1330"/>
      <c r="AV1" s="1330"/>
      <c r="AW1" s="1330"/>
      <c r="AX1" s="1330"/>
      <c r="AY1" s="1330"/>
      <c r="AZ1" s="1330"/>
      <c r="BA1" s="1330"/>
      <c r="BB1" s="1330"/>
      <c r="BC1" s="1330"/>
      <c r="BD1" s="1330"/>
      <c r="BE1" s="1330" t="s">
        <v>193</v>
      </c>
      <c r="BF1" s="1330"/>
      <c r="BG1" s="1330"/>
      <c r="BH1" s="1330"/>
      <c r="BI1" s="1330"/>
      <c r="BJ1" s="1330"/>
      <c r="BK1" s="1330"/>
      <c r="BL1" s="1330"/>
      <c r="BM1" s="1330"/>
      <c r="BN1" s="1330"/>
      <c r="BO1" s="1330"/>
      <c r="BP1" s="1330"/>
    </row>
    <row r="2" spans="1:68" s="141" customFormat="1" ht="12.75" hidden="1" customHeight="1">
      <c r="A2" s="156"/>
      <c r="B2" s="156" t="s">
        <v>19</v>
      </c>
      <c r="C2" s="956"/>
      <c r="D2" s="957"/>
      <c r="E2" s="958"/>
      <c r="G2" s="145"/>
      <c r="H2" s="145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  <c r="X2" s="1330"/>
      <c r="Y2" s="1330"/>
      <c r="Z2" s="1330"/>
      <c r="AA2" s="1330"/>
      <c r="AB2" s="1330"/>
      <c r="AC2" s="1330"/>
      <c r="AD2" s="1330"/>
      <c r="AE2" s="1330"/>
      <c r="AF2" s="1330"/>
      <c r="AG2" s="1330"/>
      <c r="AH2" s="1330"/>
      <c r="AI2" s="1330"/>
      <c r="AJ2" s="1330"/>
      <c r="AK2" s="1330"/>
      <c r="AL2" s="1330"/>
      <c r="AM2" s="1330"/>
      <c r="AN2" s="1330"/>
      <c r="AO2" s="1330"/>
      <c r="AP2" s="1330"/>
      <c r="AQ2" s="1330"/>
      <c r="AR2" s="1330"/>
      <c r="AS2" s="1330"/>
      <c r="AT2" s="1330"/>
      <c r="AU2" s="1330"/>
      <c r="AV2" s="1330"/>
      <c r="AW2" s="1330"/>
      <c r="AX2" s="1330"/>
      <c r="AY2" s="1330"/>
      <c r="AZ2" s="1330"/>
      <c r="BA2" s="1330"/>
      <c r="BB2" s="1330"/>
      <c r="BC2" s="1330"/>
      <c r="BD2" s="1330"/>
      <c r="BE2" s="1330"/>
      <c r="BF2" s="1330"/>
      <c r="BG2" s="1330"/>
      <c r="BH2" s="1330"/>
      <c r="BI2" s="1330"/>
      <c r="BJ2" s="1330"/>
      <c r="BK2" s="1330"/>
      <c r="BL2" s="1330"/>
      <c r="BM2" s="1330"/>
      <c r="BN2" s="1330"/>
      <c r="BO2" s="1330"/>
      <c r="BP2" s="1330"/>
    </row>
    <row r="3" spans="1:68" s="141" customFormat="1" ht="12.75" hidden="1" customHeight="1">
      <c r="A3" s="156"/>
      <c r="B3" s="156" t="s">
        <v>118</v>
      </c>
      <c r="C3" s="956"/>
      <c r="D3" s="957"/>
      <c r="E3" s="958"/>
      <c r="G3" s="145"/>
      <c r="H3" s="145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0"/>
      <c r="X3" s="1330"/>
      <c r="Y3" s="1330"/>
      <c r="Z3" s="1330"/>
      <c r="AA3" s="1330"/>
      <c r="AB3" s="1330"/>
      <c r="AC3" s="1330"/>
      <c r="AD3" s="1330"/>
      <c r="AE3" s="1330"/>
      <c r="AF3" s="1330"/>
      <c r="AG3" s="1330"/>
      <c r="AH3" s="1330"/>
      <c r="AI3" s="1330"/>
      <c r="AJ3" s="1330"/>
      <c r="AK3" s="1330"/>
      <c r="AL3" s="1330"/>
      <c r="AM3" s="1330"/>
      <c r="AN3" s="1330"/>
      <c r="AO3" s="1330"/>
      <c r="AP3" s="1330"/>
      <c r="AQ3" s="1330"/>
      <c r="AR3" s="1330"/>
      <c r="AS3" s="1330"/>
      <c r="AT3" s="1330"/>
      <c r="AU3" s="1330"/>
      <c r="AV3" s="1330"/>
      <c r="AW3" s="1330"/>
      <c r="AX3" s="1330"/>
      <c r="AY3" s="1330"/>
      <c r="AZ3" s="1330"/>
      <c r="BA3" s="1330"/>
      <c r="BB3" s="1330"/>
      <c r="BC3" s="1330"/>
      <c r="BD3" s="1330"/>
      <c r="BE3" s="1330"/>
      <c r="BF3" s="1330"/>
      <c r="BG3" s="1330"/>
      <c r="BH3" s="1330"/>
      <c r="BI3" s="1330"/>
      <c r="BJ3" s="1330"/>
      <c r="BK3" s="1330"/>
      <c r="BL3" s="1330"/>
      <c r="BM3" s="1330"/>
      <c r="BN3" s="1330"/>
      <c r="BO3" s="1330"/>
      <c r="BP3" s="1330"/>
    </row>
    <row r="4" spans="1:68" s="141" customFormat="1" ht="12.75" hidden="1" customHeight="1">
      <c r="A4" s="156"/>
      <c r="B4" s="156" t="s">
        <v>56</v>
      </c>
      <c r="C4" s="956"/>
      <c r="D4" s="957"/>
      <c r="E4" s="958"/>
      <c r="G4" s="145"/>
      <c r="H4" s="145"/>
      <c r="I4" s="1330"/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0"/>
      <c r="U4" s="1330"/>
      <c r="V4" s="1330"/>
      <c r="W4" s="1330"/>
      <c r="X4" s="1330"/>
      <c r="Y4" s="1330"/>
      <c r="Z4" s="1330"/>
      <c r="AA4" s="1330"/>
      <c r="AB4" s="1330"/>
      <c r="AC4" s="1330"/>
      <c r="AD4" s="1330"/>
      <c r="AE4" s="1330"/>
      <c r="AF4" s="1330"/>
      <c r="AG4" s="1330"/>
      <c r="AH4" s="1330"/>
      <c r="AI4" s="1330"/>
      <c r="AJ4" s="1330"/>
      <c r="AK4" s="1330"/>
      <c r="AL4" s="1330"/>
      <c r="AM4" s="1330"/>
      <c r="AN4" s="1330"/>
      <c r="AO4" s="1330"/>
      <c r="AP4" s="1330"/>
      <c r="AQ4" s="1330"/>
      <c r="AR4" s="1330"/>
      <c r="AS4" s="1330"/>
      <c r="AT4" s="1330"/>
      <c r="AU4" s="1330"/>
      <c r="AV4" s="1330"/>
      <c r="AW4" s="1330"/>
      <c r="AX4" s="1330"/>
      <c r="AY4" s="1330"/>
      <c r="AZ4" s="1330"/>
      <c r="BA4" s="1330"/>
      <c r="BB4" s="1330"/>
      <c r="BC4" s="1330"/>
      <c r="BD4" s="1330"/>
      <c r="BE4" s="1330"/>
      <c r="BF4" s="1330"/>
      <c r="BG4" s="1330"/>
      <c r="BH4" s="1330"/>
      <c r="BI4" s="1330"/>
      <c r="BJ4" s="1330"/>
      <c r="BK4" s="1330"/>
      <c r="BL4" s="1330"/>
      <c r="BM4" s="1330"/>
      <c r="BN4" s="1330"/>
      <c r="BO4" s="1330"/>
      <c r="BP4" s="1330"/>
    </row>
    <row r="5" spans="1:68" s="141" customFormat="1" ht="12.75" hidden="1" customHeight="1">
      <c r="A5" s="156"/>
      <c r="B5" s="156" t="s">
        <v>57</v>
      </c>
      <c r="C5" s="956"/>
      <c r="D5" s="957"/>
      <c r="E5" s="958"/>
      <c r="G5" s="145"/>
      <c r="H5" s="145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0"/>
      <c r="AI5" s="1330"/>
      <c r="AJ5" s="1330"/>
      <c r="AK5" s="1330"/>
      <c r="AL5" s="1330"/>
      <c r="AM5" s="1330"/>
      <c r="AN5" s="1330"/>
      <c r="AO5" s="1330"/>
      <c r="AP5" s="1330"/>
      <c r="AQ5" s="1330"/>
      <c r="AR5" s="1330"/>
      <c r="AS5" s="1330"/>
      <c r="AT5" s="1330"/>
      <c r="AU5" s="1330"/>
      <c r="AV5" s="1330"/>
      <c r="AW5" s="1330"/>
      <c r="AX5" s="1330"/>
      <c r="AY5" s="1330"/>
      <c r="AZ5" s="1330"/>
      <c r="BA5" s="1330"/>
      <c r="BB5" s="1330"/>
      <c r="BC5" s="1330"/>
      <c r="BD5" s="1330"/>
      <c r="BE5" s="1330"/>
      <c r="BF5" s="1330"/>
      <c r="BG5" s="1330"/>
      <c r="BH5" s="1330"/>
      <c r="BI5" s="1330"/>
      <c r="BJ5" s="1330"/>
      <c r="BK5" s="1330"/>
      <c r="BL5" s="1330"/>
      <c r="BM5" s="1330"/>
      <c r="BN5" s="1330"/>
      <c r="BO5" s="1330"/>
      <c r="BP5" s="1330"/>
    </row>
    <row r="6" spans="1:68" s="141" customFormat="1" ht="12.75" hidden="1" customHeight="1">
      <c r="A6" s="156"/>
      <c r="B6" s="156" t="s">
        <v>58</v>
      </c>
      <c r="C6" s="956"/>
      <c r="D6" s="957"/>
      <c r="E6" s="958"/>
      <c r="G6" s="145"/>
      <c r="H6" s="145"/>
      <c r="I6" s="1330"/>
      <c r="J6" s="1330"/>
      <c r="K6" s="1330"/>
      <c r="L6" s="1330"/>
      <c r="M6" s="1330"/>
      <c r="N6" s="1330"/>
      <c r="O6" s="1330"/>
      <c r="P6" s="1330"/>
      <c r="Q6" s="1330"/>
      <c r="R6" s="1330"/>
      <c r="S6" s="1330"/>
      <c r="T6" s="1330"/>
      <c r="U6" s="1330"/>
      <c r="V6" s="1330"/>
      <c r="W6" s="1330"/>
      <c r="X6" s="1330"/>
      <c r="Y6" s="1330"/>
      <c r="Z6" s="1330"/>
      <c r="AA6" s="1330"/>
      <c r="AB6" s="1330"/>
      <c r="AC6" s="1330"/>
      <c r="AD6" s="1330"/>
      <c r="AE6" s="1330"/>
      <c r="AF6" s="1330"/>
      <c r="AG6" s="1330"/>
      <c r="AH6" s="1330"/>
      <c r="AI6" s="1330"/>
      <c r="AJ6" s="1330"/>
      <c r="AK6" s="1330"/>
      <c r="AL6" s="1330"/>
      <c r="AM6" s="1330"/>
      <c r="AN6" s="1330"/>
      <c r="AO6" s="1330"/>
      <c r="AP6" s="1330"/>
      <c r="AQ6" s="1330"/>
      <c r="AR6" s="1330"/>
      <c r="AS6" s="1330"/>
      <c r="AT6" s="1330"/>
      <c r="AU6" s="1330"/>
      <c r="AV6" s="1330"/>
      <c r="AW6" s="1330"/>
      <c r="AX6" s="1330"/>
      <c r="AY6" s="1330"/>
      <c r="AZ6" s="1330"/>
      <c r="BA6" s="1330"/>
      <c r="BB6" s="1330"/>
      <c r="BC6" s="1330"/>
      <c r="BD6" s="1330"/>
      <c r="BE6" s="1330"/>
      <c r="BF6" s="1330"/>
      <c r="BG6" s="1330"/>
      <c r="BH6" s="1330"/>
      <c r="BI6" s="1330"/>
      <c r="BJ6" s="1330"/>
      <c r="BK6" s="1330"/>
      <c r="BL6" s="1330"/>
      <c r="BM6" s="1330"/>
      <c r="BN6" s="1330"/>
      <c r="BO6" s="1330"/>
      <c r="BP6" s="1330"/>
    </row>
    <row r="7" spans="1:68" s="141" customFormat="1" ht="12.75" hidden="1" customHeight="1">
      <c r="A7" s="156"/>
      <c r="B7" s="156"/>
      <c r="C7" s="956"/>
      <c r="D7" s="957"/>
      <c r="E7" s="958"/>
      <c r="G7" s="145"/>
      <c r="H7" s="145"/>
      <c r="I7" s="1330"/>
      <c r="J7" s="1330"/>
      <c r="K7" s="1330"/>
      <c r="L7" s="1330"/>
      <c r="M7" s="1330"/>
      <c r="N7" s="1330"/>
      <c r="O7" s="1330"/>
      <c r="P7" s="1330"/>
      <c r="Q7" s="1330"/>
      <c r="R7" s="1330"/>
      <c r="S7" s="1330"/>
      <c r="T7" s="1330"/>
      <c r="U7" s="1330"/>
      <c r="V7" s="1330"/>
      <c r="W7" s="1330"/>
      <c r="X7" s="1330"/>
      <c r="Y7" s="1330"/>
      <c r="Z7" s="1330"/>
      <c r="AA7" s="1330"/>
      <c r="AB7" s="1330"/>
      <c r="AC7" s="1330"/>
      <c r="AD7" s="1330"/>
      <c r="AE7" s="1330"/>
      <c r="AF7" s="1330"/>
      <c r="AG7" s="1330"/>
      <c r="AH7" s="1330"/>
      <c r="AI7" s="1330"/>
      <c r="AJ7" s="1330"/>
      <c r="AK7" s="1330"/>
      <c r="AL7" s="1330"/>
      <c r="AM7" s="1330"/>
      <c r="AN7" s="1330"/>
      <c r="AO7" s="1330"/>
      <c r="AP7" s="1330"/>
      <c r="AQ7" s="1330"/>
      <c r="AR7" s="1330"/>
      <c r="AS7" s="1330"/>
      <c r="AT7" s="1330"/>
      <c r="AU7" s="1330"/>
      <c r="AV7" s="1330"/>
      <c r="AW7" s="1330"/>
      <c r="AX7" s="1330"/>
      <c r="AY7" s="1330"/>
      <c r="AZ7" s="1330"/>
      <c r="BA7" s="1330"/>
      <c r="BB7" s="1330"/>
      <c r="BC7" s="1330"/>
      <c r="BD7" s="1330"/>
      <c r="BE7" s="1330"/>
      <c r="BF7" s="1330"/>
      <c r="BG7" s="1330"/>
      <c r="BH7" s="1330"/>
      <c r="BI7" s="1330"/>
      <c r="BJ7" s="1330"/>
      <c r="BK7" s="1330"/>
      <c r="BL7" s="1330"/>
      <c r="BM7" s="1330"/>
      <c r="BN7" s="1330"/>
      <c r="BO7" s="1330"/>
      <c r="BP7" s="1330"/>
    </row>
    <row r="8" spans="1:68" s="141" customFormat="1" ht="12.75" hidden="1" customHeight="1">
      <c r="A8" s="156" t="s">
        <v>59</v>
      </c>
      <c r="B8" s="156"/>
      <c r="C8" s="956"/>
      <c r="D8" s="957"/>
      <c r="E8" s="958"/>
      <c r="G8" s="145"/>
      <c r="H8" s="145"/>
      <c r="I8" s="1330"/>
      <c r="J8" s="1330"/>
      <c r="K8" s="1330"/>
      <c r="L8" s="1330"/>
      <c r="M8" s="1330"/>
      <c r="N8" s="1330"/>
      <c r="O8" s="1330"/>
      <c r="P8" s="1330"/>
      <c r="Q8" s="1330"/>
      <c r="R8" s="1330"/>
      <c r="S8" s="1330"/>
      <c r="T8" s="1330"/>
      <c r="U8" s="1330"/>
      <c r="V8" s="1330"/>
      <c r="W8" s="1330"/>
      <c r="X8" s="1330"/>
      <c r="Y8" s="1330"/>
      <c r="Z8" s="1330"/>
      <c r="AA8" s="1330"/>
      <c r="AB8" s="1330"/>
      <c r="AC8" s="1330"/>
      <c r="AD8" s="1330"/>
      <c r="AE8" s="1330"/>
      <c r="AF8" s="1330"/>
      <c r="AG8" s="1330"/>
      <c r="AH8" s="1330"/>
      <c r="AI8" s="1330"/>
      <c r="AJ8" s="1330"/>
      <c r="AK8" s="1330"/>
      <c r="AL8" s="1330"/>
      <c r="AM8" s="1330"/>
      <c r="AN8" s="1330"/>
      <c r="AO8" s="1330"/>
      <c r="AP8" s="1330"/>
      <c r="AQ8" s="1330"/>
      <c r="AR8" s="1330"/>
      <c r="AS8" s="1330"/>
      <c r="AT8" s="1330"/>
      <c r="AU8" s="1330"/>
      <c r="AV8" s="1330"/>
      <c r="AW8" s="1330"/>
      <c r="AX8" s="1330"/>
      <c r="AY8" s="1330"/>
      <c r="AZ8" s="1330"/>
      <c r="BA8" s="1330"/>
      <c r="BB8" s="1330"/>
      <c r="BC8" s="1330"/>
      <c r="BD8" s="1330"/>
      <c r="BE8" s="1330"/>
      <c r="BF8" s="1330"/>
      <c r="BG8" s="1330"/>
      <c r="BH8" s="1330"/>
      <c r="BI8" s="1330"/>
      <c r="BJ8" s="1330"/>
      <c r="BK8" s="1330"/>
      <c r="BL8" s="1330"/>
      <c r="BM8" s="1330"/>
      <c r="BN8" s="1330"/>
      <c r="BO8" s="1330"/>
      <c r="BP8" s="1330"/>
    </row>
    <row r="9" spans="1:68" s="141" customFormat="1" ht="12.75" hidden="1" customHeight="1">
      <c r="A9" s="959" t="s">
        <v>60</v>
      </c>
      <c r="B9" s="959"/>
      <c r="C9" s="960"/>
      <c r="D9" s="961"/>
      <c r="E9" s="962"/>
      <c r="G9" s="141" t="e">
        <f>HR!#REF!</f>
        <v>#REF!</v>
      </c>
      <c r="H9" s="145" t="e">
        <f>HR!#REF!</f>
        <v>#REF!</v>
      </c>
      <c r="I9" s="1330"/>
      <c r="J9" s="1330"/>
      <c r="K9" s="1330"/>
      <c r="L9" s="1330"/>
      <c r="M9" s="1330"/>
      <c r="N9" s="1330"/>
      <c r="O9" s="1330"/>
      <c r="P9" s="1330"/>
      <c r="Q9" s="1330"/>
      <c r="R9" s="1330"/>
      <c r="S9" s="1330"/>
      <c r="T9" s="1330"/>
      <c r="U9" s="1330"/>
      <c r="V9" s="1330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0"/>
      <c r="AL9" s="1330"/>
      <c r="AM9" s="1330"/>
      <c r="AN9" s="1330"/>
      <c r="AO9" s="1330"/>
      <c r="AP9" s="1330"/>
      <c r="AQ9" s="1330"/>
      <c r="AR9" s="1330"/>
      <c r="AS9" s="1330"/>
      <c r="AT9" s="1330"/>
      <c r="AU9" s="1330"/>
      <c r="AV9" s="1330"/>
      <c r="AW9" s="1330"/>
      <c r="AX9" s="1330"/>
      <c r="AY9" s="1330"/>
      <c r="AZ9" s="1330"/>
      <c r="BA9" s="1330"/>
      <c r="BB9" s="1330"/>
      <c r="BC9" s="1330"/>
      <c r="BD9" s="1330"/>
      <c r="BE9" s="1330"/>
      <c r="BF9" s="1330"/>
      <c r="BG9" s="1330"/>
      <c r="BH9" s="1330"/>
      <c r="BI9" s="1330"/>
      <c r="BJ9" s="1330"/>
      <c r="BK9" s="1330"/>
      <c r="BL9" s="1330"/>
      <c r="BM9" s="1330"/>
      <c r="BN9" s="1330"/>
      <c r="BO9" s="1330"/>
      <c r="BP9" s="1330"/>
    </row>
    <row r="10" spans="1:68" s="141" customFormat="1" ht="12.75" hidden="1" customHeight="1">
      <c r="A10" s="156"/>
      <c r="B10" s="157"/>
      <c r="C10" s="158" t="s">
        <v>61</v>
      </c>
      <c r="D10" s="963" t="s">
        <v>59</v>
      </c>
      <c r="E10" s="958"/>
      <c r="G10" s="145"/>
      <c r="H10" s="145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1330"/>
      <c r="AL10" s="1330"/>
      <c r="AM10" s="1330"/>
      <c r="AN10" s="1330"/>
      <c r="AO10" s="1330"/>
      <c r="AP10" s="1330"/>
      <c r="AQ10" s="1330"/>
      <c r="AR10" s="1330"/>
      <c r="AS10" s="1330"/>
      <c r="AT10" s="1330"/>
      <c r="AU10" s="1330"/>
      <c r="AV10" s="1330"/>
      <c r="AW10" s="1330"/>
      <c r="AX10" s="1330"/>
      <c r="AY10" s="1330"/>
      <c r="AZ10" s="1330"/>
      <c r="BA10" s="1330"/>
      <c r="BB10" s="1330"/>
      <c r="BC10" s="1330"/>
      <c r="BD10" s="1330"/>
      <c r="BE10" s="1330"/>
      <c r="BF10" s="1330"/>
      <c r="BG10" s="1330"/>
      <c r="BH10" s="1330"/>
      <c r="BI10" s="1330"/>
      <c r="BJ10" s="1330"/>
      <c r="BK10" s="1330"/>
      <c r="BL10" s="1330"/>
      <c r="BM10" s="1330"/>
      <c r="BN10" s="1330"/>
      <c r="BO10" s="1330"/>
      <c r="BP10" s="1330"/>
    </row>
    <row r="11" spans="1:68" s="141" customFormat="1" ht="12.75" hidden="1" customHeight="1">
      <c r="A11" s="156"/>
      <c r="B11" s="157"/>
      <c r="C11" s="158" t="s">
        <v>62</v>
      </c>
      <c r="D11" s="964">
        <v>0.26</v>
      </c>
      <c r="E11" s="965" t="s">
        <v>63</v>
      </c>
      <c r="G11" s="145"/>
      <c r="H11" s="145"/>
      <c r="I11" s="1330"/>
      <c r="J11" s="1330"/>
      <c r="K11" s="1330"/>
      <c r="L11" s="1330"/>
      <c r="M11" s="1330"/>
      <c r="N11" s="1330"/>
      <c r="O11" s="1330"/>
      <c r="P11" s="1330"/>
      <c r="Q11" s="1330"/>
      <c r="R11" s="1330"/>
      <c r="S11" s="1330"/>
      <c r="T11" s="1330"/>
      <c r="U11" s="1330"/>
      <c r="V11" s="1330"/>
      <c r="W11" s="1330"/>
      <c r="X11" s="1330"/>
      <c r="Y11" s="1330"/>
      <c r="Z11" s="1330"/>
      <c r="AA11" s="1330"/>
      <c r="AB11" s="1330"/>
      <c r="AC11" s="1330"/>
      <c r="AD11" s="1330"/>
      <c r="AE11" s="1330"/>
      <c r="AF11" s="1330"/>
      <c r="AG11" s="1330"/>
      <c r="AH11" s="1330"/>
      <c r="AI11" s="1330"/>
      <c r="AJ11" s="1330"/>
      <c r="AK11" s="1330"/>
      <c r="AL11" s="1330"/>
      <c r="AM11" s="1330"/>
      <c r="AN11" s="1330"/>
      <c r="AO11" s="1330"/>
      <c r="AP11" s="1330"/>
      <c r="AQ11" s="1330"/>
      <c r="AR11" s="1330"/>
      <c r="AS11" s="1330"/>
      <c r="AT11" s="1330"/>
      <c r="AU11" s="1330"/>
      <c r="AV11" s="1330"/>
      <c r="AW11" s="1330"/>
      <c r="AX11" s="1330"/>
      <c r="AY11" s="1330"/>
      <c r="AZ11" s="1330"/>
      <c r="BA11" s="1330"/>
      <c r="BB11" s="1330"/>
      <c r="BC11" s="1330"/>
      <c r="BD11" s="1330"/>
      <c r="BE11" s="1330"/>
      <c r="BF11" s="1330"/>
      <c r="BG11" s="1330"/>
      <c r="BH11" s="1330"/>
      <c r="BI11" s="1330"/>
      <c r="BJ11" s="1330"/>
      <c r="BK11" s="1330"/>
      <c r="BL11" s="1330"/>
      <c r="BM11" s="1330"/>
      <c r="BN11" s="1330"/>
      <c r="BO11" s="1330"/>
      <c r="BP11" s="1330"/>
    </row>
    <row r="12" spans="1:68" s="141" customFormat="1" ht="12.75" hidden="1" customHeight="1">
      <c r="A12" s="966"/>
      <c r="B12" s="157"/>
      <c r="C12" s="158" t="s">
        <v>64</v>
      </c>
      <c r="D12" s="964">
        <v>0.12</v>
      </c>
      <c r="E12" s="965" t="s">
        <v>65</v>
      </c>
      <c r="G12" s="145"/>
      <c r="H12" s="145"/>
      <c r="I12" s="1330"/>
      <c r="J12" s="1330"/>
      <c r="K12" s="1330"/>
      <c r="L12" s="1330"/>
      <c r="M12" s="1330"/>
      <c r="N12" s="1330"/>
      <c r="O12" s="1330"/>
      <c r="P12" s="1330"/>
      <c r="Q12" s="1330"/>
      <c r="R12" s="1330"/>
      <c r="S12" s="1330"/>
      <c r="T12" s="1330"/>
      <c r="U12" s="1330"/>
      <c r="V12" s="1330"/>
      <c r="W12" s="1330"/>
      <c r="X12" s="1330"/>
      <c r="Y12" s="1330"/>
      <c r="Z12" s="1330"/>
      <c r="AA12" s="1330"/>
      <c r="AB12" s="1330"/>
      <c r="AC12" s="1330"/>
      <c r="AD12" s="1330"/>
      <c r="AE12" s="1330"/>
      <c r="AF12" s="1330"/>
      <c r="AG12" s="1330"/>
      <c r="AH12" s="1330"/>
      <c r="AI12" s="1330"/>
      <c r="AJ12" s="1330"/>
      <c r="AK12" s="1330"/>
      <c r="AL12" s="1330"/>
      <c r="AM12" s="1330"/>
      <c r="AN12" s="1330"/>
      <c r="AO12" s="1330"/>
      <c r="AP12" s="1330"/>
      <c r="AQ12" s="1330"/>
      <c r="AR12" s="1330"/>
      <c r="AS12" s="1330"/>
      <c r="AT12" s="1330"/>
      <c r="AU12" s="1330"/>
      <c r="AV12" s="1330"/>
      <c r="AW12" s="1330"/>
      <c r="AX12" s="1330"/>
      <c r="AY12" s="1330"/>
      <c r="AZ12" s="1330"/>
      <c r="BA12" s="1330"/>
      <c r="BB12" s="1330"/>
      <c r="BC12" s="1330"/>
      <c r="BD12" s="1330"/>
      <c r="BE12" s="1330"/>
      <c r="BF12" s="1330"/>
      <c r="BG12" s="1330"/>
      <c r="BH12" s="1330"/>
      <c r="BI12" s="1330"/>
      <c r="BJ12" s="1330"/>
      <c r="BK12" s="1330"/>
      <c r="BL12" s="1330"/>
      <c r="BM12" s="1330"/>
      <c r="BN12" s="1330"/>
      <c r="BO12" s="1330"/>
      <c r="BP12" s="1330"/>
    </row>
    <row r="13" spans="1:68" s="141" customFormat="1" ht="12.75" hidden="1" customHeight="1">
      <c r="A13" s="966"/>
      <c r="B13" s="157"/>
      <c r="C13" s="158" t="s">
        <v>66</v>
      </c>
      <c r="D13" s="967">
        <v>500</v>
      </c>
      <c r="E13" s="965" t="s">
        <v>67</v>
      </c>
      <c r="G13" s="145"/>
      <c r="H13" s="145"/>
      <c r="I13" s="1330"/>
      <c r="J13" s="1330"/>
      <c r="K13" s="1330"/>
      <c r="L13" s="1330"/>
      <c r="M13" s="1330"/>
      <c r="N13" s="1330"/>
      <c r="O13" s="1330"/>
      <c r="P13" s="1330"/>
      <c r="Q13" s="1330"/>
      <c r="R13" s="1330"/>
      <c r="S13" s="1330"/>
      <c r="T13" s="1330"/>
      <c r="U13" s="1330"/>
      <c r="V13" s="1330"/>
      <c r="W13" s="1330"/>
      <c r="X13" s="1330"/>
      <c r="Y13" s="1330"/>
      <c r="Z13" s="1330"/>
      <c r="AA13" s="1330"/>
      <c r="AB13" s="1330"/>
      <c r="AC13" s="1330"/>
      <c r="AD13" s="1330"/>
      <c r="AE13" s="1330"/>
      <c r="AF13" s="1330"/>
      <c r="AG13" s="1330"/>
      <c r="AH13" s="1330"/>
      <c r="AI13" s="1330"/>
      <c r="AJ13" s="1330"/>
      <c r="AK13" s="1330"/>
      <c r="AL13" s="1330"/>
      <c r="AM13" s="1330"/>
      <c r="AN13" s="1330"/>
      <c r="AO13" s="1330"/>
      <c r="AP13" s="1330"/>
      <c r="AQ13" s="1330"/>
      <c r="AR13" s="1330"/>
      <c r="AS13" s="1330"/>
      <c r="AT13" s="1330"/>
      <c r="AU13" s="1330"/>
      <c r="AV13" s="1330"/>
      <c r="AW13" s="1330"/>
      <c r="AX13" s="1330"/>
      <c r="AY13" s="1330"/>
      <c r="AZ13" s="1330"/>
      <c r="BA13" s="1330"/>
      <c r="BB13" s="1330"/>
      <c r="BC13" s="1330"/>
      <c r="BD13" s="1330"/>
      <c r="BE13" s="1330"/>
      <c r="BF13" s="1330"/>
      <c r="BG13" s="1330"/>
      <c r="BH13" s="1330"/>
      <c r="BI13" s="1330"/>
      <c r="BJ13" s="1330"/>
      <c r="BK13" s="1330"/>
      <c r="BL13" s="1330"/>
      <c r="BM13" s="1330"/>
      <c r="BN13" s="1330"/>
      <c r="BO13" s="1330"/>
      <c r="BP13" s="1330"/>
    </row>
    <row r="14" spans="1:68" s="141" customFormat="1" ht="12.75" hidden="1" customHeight="1">
      <c r="A14" s="968"/>
      <c r="B14" s="969"/>
      <c r="C14" s="970"/>
      <c r="D14" s="971"/>
      <c r="E14" s="972"/>
      <c r="G14" s="145"/>
      <c r="H14" s="145"/>
      <c r="I14" s="1330"/>
      <c r="J14" s="1330"/>
      <c r="K14" s="1330"/>
      <c r="L14" s="1330"/>
      <c r="M14" s="1330"/>
      <c r="N14" s="1330"/>
      <c r="O14" s="1330"/>
      <c r="P14" s="1330"/>
      <c r="Q14" s="1330"/>
      <c r="R14" s="1330"/>
      <c r="S14" s="1330"/>
      <c r="T14" s="1330"/>
      <c r="U14" s="1330"/>
      <c r="V14" s="1330"/>
      <c r="W14" s="1330"/>
      <c r="X14" s="1330"/>
      <c r="Y14" s="1330"/>
      <c r="Z14" s="1330"/>
      <c r="AA14" s="1330"/>
      <c r="AB14" s="1330"/>
      <c r="AC14" s="1330"/>
      <c r="AD14" s="1330"/>
      <c r="AE14" s="1330"/>
      <c r="AF14" s="1330"/>
      <c r="AG14" s="1330"/>
      <c r="AH14" s="1330"/>
      <c r="AI14" s="1330"/>
      <c r="AJ14" s="1330"/>
      <c r="AK14" s="1330"/>
      <c r="AL14" s="1330"/>
      <c r="AM14" s="1330"/>
      <c r="AN14" s="1330"/>
      <c r="AO14" s="1330"/>
      <c r="AP14" s="1330"/>
      <c r="AQ14" s="1330"/>
      <c r="AR14" s="1330"/>
      <c r="AS14" s="1330"/>
      <c r="AT14" s="1330"/>
      <c r="AU14" s="1330"/>
      <c r="AV14" s="1330"/>
      <c r="AW14" s="1330"/>
      <c r="AX14" s="1330"/>
      <c r="AY14" s="1330"/>
      <c r="AZ14" s="1330"/>
      <c r="BA14" s="1330"/>
      <c r="BB14" s="1330"/>
      <c r="BC14" s="1330"/>
      <c r="BD14" s="1330"/>
      <c r="BE14" s="1330"/>
      <c r="BF14" s="1330"/>
      <c r="BG14" s="1330"/>
      <c r="BH14" s="1330"/>
      <c r="BI14" s="1330"/>
      <c r="BJ14" s="1330"/>
      <c r="BK14" s="1330"/>
      <c r="BL14" s="1330"/>
      <c r="BM14" s="1330"/>
      <c r="BN14" s="1330"/>
      <c r="BO14" s="1330"/>
      <c r="BP14" s="1330"/>
    </row>
    <row r="15" spans="1:68" s="141" customFormat="1" ht="12.75" hidden="1" customHeight="1">
      <c r="A15" s="156" t="s">
        <v>25</v>
      </c>
      <c r="B15" s="973"/>
      <c r="C15" s="956"/>
      <c r="D15" s="963"/>
      <c r="E15" s="974"/>
      <c r="G15" s="145"/>
      <c r="H15" s="145"/>
      <c r="I15" s="1330"/>
      <c r="J15" s="1330"/>
      <c r="K15" s="1330"/>
      <c r="L15" s="1330"/>
      <c r="M15" s="1330"/>
      <c r="N15" s="1330"/>
      <c r="O15" s="1330"/>
      <c r="P15" s="1330"/>
      <c r="Q15" s="1330"/>
      <c r="R15" s="1330"/>
      <c r="S15" s="1330"/>
      <c r="T15" s="1330"/>
      <c r="U15" s="1330"/>
      <c r="V15" s="1330"/>
      <c r="W15" s="1330"/>
      <c r="X15" s="1330"/>
      <c r="Y15" s="1330"/>
      <c r="Z15" s="1330"/>
      <c r="AA15" s="1330"/>
      <c r="AB15" s="1330"/>
      <c r="AC15" s="1330"/>
      <c r="AD15" s="1330"/>
      <c r="AE15" s="1330"/>
      <c r="AF15" s="1330"/>
      <c r="AG15" s="1330"/>
      <c r="AH15" s="1330"/>
      <c r="AI15" s="1330"/>
      <c r="AJ15" s="1330"/>
      <c r="AK15" s="1330"/>
      <c r="AL15" s="1330"/>
      <c r="AM15" s="1330"/>
      <c r="AN15" s="1330"/>
      <c r="AO15" s="1330"/>
      <c r="AP15" s="1330"/>
      <c r="AQ15" s="1330"/>
      <c r="AR15" s="1330"/>
      <c r="AS15" s="1330"/>
      <c r="AT15" s="1330"/>
      <c r="AU15" s="1330"/>
      <c r="AV15" s="1330"/>
      <c r="AW15" s="1330"/>
      <c r="AX15" s="1330"/>
      <c r="AY15" s="1330"/>
      <c r="AZ15" s="1330"/>
      <c r="BA15" s="1330"/>
      <c r="BB15" s="1330"/>
      <c r="BC15" s="1330"/>
      <c r="BD15" s="1330"/>
      <c r="BE15" s="1330"/>
      <c r="BF15" s="1330"/>
      <c r="BG15" s="1330"/>
      <c r="BH15" s="1330"/>
      <c r="BI15" s="1330"/>
      <c r="BJ15" s="1330"/>
      <c r="BK15" s="1330"/>
      <c r="BL15" s="1330"/>
      <c r="BM15" s="1330"/>
      <c r="BN15" s="1330"/>
      <c r="BO15" s="1330"/>
      <c r="BP15" s="1330"/>
    </row>
    <row r="16" spans="1:68" s="141" customFormat="1" ht="12.75" hidden="1" customHeight="1">
      <c r="A16" s="968"/>
      <c r="B16" s="975"/>
      <c r="C16" s="976"/>
      <c r="D16" s="971"/>
      <c r="E16" s="962" t="s">
        <v>68</v>
      </c>
      <c r="G16" s="145"/>
      <c r="H16" s="145"/>
      <c r="I16" s="1330"/>
      <c r="J16" s="1330"/>
      <c r="K16" s="1330"/>
      <c r="L16" s="1330"/>
      <c r="M16" s="1330"/>
      <c r="N16" s="1330"/>
      <c r="O16" s="1330"/>
      <c r="P16" s="1330"/>
      <c r="Q16" s="1330"/>
      <c r="R16" s="1330"/>
      <c r="S16" s="1330"/>
      <c r="T16" s="1330"/>
      <c r="U16" s="1330"/>
      <c r="V16" s="1330"/>
      <c r="W16" s="1330"/>
      <c r="X16" s="1330"/>
      <c r="Y16" s="1330"/>
      <c r="Z16" s="1330"/>
      <c r="AA16" s="1330"/>
      <c r="AB16" s="1330"/>
      <c r="AC16" s="1330"/>
      <c r="AD16" s="1330"/>
      <c r="AE16" s="1330"/>
      <c r="AF16" s="1330"/>
      <c r="AG16" s="1330"/>
      <c r="AH16" s="1330"/>
      <c r="AI16" s="1330"/>
      <c r="AJ16" s="1330"/>
      <c r="AK16" s="1330"/>
      <c r="AL16" s="1330"/>
      <c r="AM16" s="1330"/>
      <c r="AN16" s="1330"/>
      <c r="AO16" s="1330"/>
      <c r="AP16" s="1330"/>
      <c r="AQ16" s="1330"/>
      <c r="AR16" s="1330"/>
      <c r="AS16" s="1330"/>
      <c r="AT16" s="1330"/>
      <c r="AU16" s="1330"/>
      <c r="AV16" s="1330"/>
      <c r="AW16" s="1330"/>
      <c r="AX16" s="1330"/>
      <c r="AY16" s="1330"/>
      <c r="AZ16" s="1330"/>
      <c r="BA16" s="1330"/>
      <c r="BB16" s="1330"/>
      <c r="BC16" s="1330"/>
      <c r="BD16" s="1330"/>
      <c r="BE16" s="1330"/>
      <c r="BF16" s="1330"/>
      <c r="BG16" s="1330"/>
      <c r="BH16" s="1330"/>
      <c r="BI16" s="1330"/>
      <c r="BJ16" s="1330"/>
      <c r="BK16" s="1330"/>
      <c r="BL16" s="1330"/>
      <c r="BM16" s="1330"/>
      <c r="BN16" s="1330"/>
      <c r="BO16" s="1330"/>
      <c r="BP16" s="1330"/>
    </row>
    <row r="17" spans="1:68" s="141" customFormat="1" ht="12.75" hidden="1" customHeight="1">
      <c r="A17" s="156"/>
      <c r="B17" s="157"/>
      <c r="C17" s="158" t="s">
        <v>25</v>
      </c>
      <c r="D17" s="964">
        <v>0.18</v>
      </c>
      <c r="E17" s="958" t="s">
        <v>65</v>
      </c>
      <c r="G17" s="145"/>
      <c r="H17" s="145"/>
      <c r="I17" s="1330"/>
      <c r="J17" s="1330"/>
      <c r="K17" s="1330"/>
      <c r="L17" s="1330"/>
      <c r="M17" s="1330"/>
      <c r="N17" s="1330"/>
      <c r="O17" s="1330"/>
      <c r="P17" s="1330"/>
      <c r="Q17" s="1330"/>
      <c r="R17" s="1330"/>
      <c r="S17" s="1330"/>
      <c r="T17" s="1330"/>
      <c r="U17" s="1330"/>
      <c r="V17" s="1330"/>
      <c r="W17" s="1330"/>
      <c r="X17" s="1330"/>
      <c r="Y17" s="1330"/>
      <c r="Z17" s="1330"/>
      <c r="AA17" s="1330"/>
      <c r="AB17" s="1330"/>
      <c r="AC17" s="1330"/>
      <c r="AD17" s="1330"/>
      <c r="AE17" s="1330"/>
      <c r="AF17" s="1330"/>
      <c r="AG17" s="1330"/>
      <c r="AH17" s="1330"/>
      <c r="AI17" s="1330"/>
      <c r="AJ17" s="1330"/>
      <c r="AK17" s="1330"/>
      <c r="AL17" s="1330"/>
      <c r="AM17" s="1330"/>
      <c r="AN17" s="1330"/>
      <c r="AO17" s="1330"/>
      <c r="AP17" s="1330"/>
      <c r="AQ17" s="1330"/>
      <c r="AR17" s="1330"/>
      <c r="AS17" s="1330"/>
      <c r="AT17" s="1330"/>
      <c r="AU17" s="1330"/>
      <c r="AV17" s="1330"/>
      <c r="AW17" s="1330"/>
      <c r="AX17" s="1330"/>
      <c r="AY17" s="1330"/>
      <c r="AZ17" s="1330"/>
      <c r="BA17" s="1330"/>
      <c r="BB17" s="1330"/>
      <c r="BC17" s="1330"/>
      <c r="BD17" s="1330"/>
      <c r="BE17" s="1330"/>
      <c r="BF17" s="1330"/>
      <c r="BG17" s="1330"/>
      <c r="BH17" s="1330"/>
      <c r="BI17" s="1330"/>
      <c r="BJ17" s="1330"/>
      <c r="BK17" s="1330"/>
      <c r="BL17" s="1330"/>
      <c r="BM17" s="1330"/>
      <c r="BN17" s="1330"/>
      <c r="BO17" s="1330"/>
      <c r="BP17" s="1330"/>
    </row>
    <row r="18" spans="1:68" s="141" customFormat="1" ht="12.75" hidden="1" customHeight="1">
      <c r="A18" s="968"/>
      <c r="B18" s="969"/>
      <c r="C18" s="970" t="s">
        <v>69</v>
      </c>
      <c r="D18" s="977">
        <v>5.0000000000000001E-3</v>
      </c>
      <c r="E18" s="972" t="s">
        <v>65</v>
      </c>
      <c r="G18" s="145"/>
      <c r="H18" s="145"/>
      <c r="I18" s="1330"/>
      <c r="J18" s="1330"/>
      <c r="K18" s="1330"/>
      <c r="L18" s="1330"/>
      <c r="M18" s="1330"/>
      <c r="N18" s="1330"/>
      <c r="O18" s="1330"/>
      <c r="P18" s="1330"/>
      <c r="Q18" s="1330"/>
      <c r="R18" s="1330"/>
      <c r="S18" s="1330"/>
      <c r="T18" s="1330"/>
      <c r="U18" s="1330"/>
      <c r="V18" s="1330"/>
      <c r="W18" s="1330"/>
      <c r="X18" s="1330"/>
      <c r="Y18" s="1330"/>
      <c r="Z18" s="1330"/>
      <c r="AA18" s="1330"/>
      <c r="AB18" s="1330"/>
      <c r="AC18" s="1330"/>
      <c r="AD18" s="1330"/>
      <c r="AE18" s="1330"/>
      <c r="AF18" s="1330"/>
      <c r="AG18" s="1330"/>
      <c r="AH18" s="1330"/>
      <c r="AI18" s="1330"/>
      <c r="AJ18" s="1330"/>
      <c r="AK18" s="1330"/>
      <c r="AL18" s="1330"/>
      <c r="AM18" s="1330"/>
      <c r="AN18" s="1330"/>
      <c r="AO18" s="1330"/>
      <c r="AP18" s="1330"/>
      <c r="AQ18" s="1330"/>
      <c r="AR18" s="1330"/>
      <c r="AS18" s="1330"/>
      <c r="AT18" s="1330"/>
      <c r="AU18" s="1330"/>
      <c r="AV18" s="1330"/>
      <c r="AW18" s="1330"/>
      <c r="AX18" s="1330"/>
      <c r="AY18" s="1330"/>
      <c r="AZ18" s="1330"/>
      <c r="BA18" s="1330"/>
      <c r="BB18" s="1330"/>
      <c r="BC18" s="1330"/>
      <c r="BD18" s="1330"/>
      <c r="BE18" s="1330"/>
      <c r="BF18" s="1330"/>
      <c r="BG18" s="1330"/>
      <c r="BH18" s="1330"/>
      <c r="BI18" s="1330"/>
      <c r="BJ18" s="1330"/>
      <c r="BK18" s="1330"/>
      <c r="BL18" s="1330"/>
      <c r="BM18" s="1330"/>
      <c r="BN18" s="1330"/>
      <c r="BO18" s="1330"/>
      <c r="BP18" s="1330"/>
    </row>
    <row r="19" spans="1:68" s="141" customFormat="1" ht="12.75" hidden="1" customHeight="1">
      <c r="A19" s="156"/>
      <c r="B19" s="157"/>
      <c r="C19" s="158"/>
      <c r="D19" s="963"/>
      <c r="E19" s="958"/>
      <c r="G19" s="145"/>
      <c r="H19" s="145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0"/>
      <c r="AC19" s="1330"/>
      <c r="AD19" s="1330"/>
      <c r="AE19" s="1330"/>
      <c r="AF19" s="1330"/>
      <c r="AG19" s="1330"/>
      <c r="AH19" s="1330"/>
      <c r="AI19" s="1330"/>
      <c r="AJ19" s="1330"/>
      <c r="AK19" s="1330"/>
      <c r="AL19" s="1330"/>
      <c r="AM19" s="1330"/>
      <c r="AN19" s="1330"/>
      <c r="AO19" s="1330"/>
      <c r="AP19" s="1330"/>
      <c r="AQ19" s="1330"/>
      <c r="AR19" s="1330"/>
      <c r="AS19" s="1330"/>
      <c r="AT19" s="1330"/>
      <c r="AU19" s="1330"/>
      <c r="AV19" s="1330"/>
      <c r="AW19" s="1330"/>
      <c r="AX19" s="1330"/>
      <c r="AY19" s="1330"/>
      <c r="AZ19" s="1330"/>
      <c r="BA19" s="1330"/>
      <c r="BB19" s="1330"/>
      <c r="BC19" s="1330"/>
      <c r="BD19" s="1330"/>
      <c r="BE19" s="1330"/>
      <c r="BF19" s="1330"/>
      <c r="BG19" s="1330"/>
      <c r="BH19" s="1330"/>
      <c r="BI19" s="1330"/>
      <c r="BJ19" s="1330"/>
      <c r="BK19" s="1330"/>
      <c r="BL19" s="1330"/>
      <c r="BM19" s="1330"/>
      <c r="BN19" s="1330"/>
      <c r="BO19" s="1330"/>
      <c r="BP19" s="1330"/>
    </row>
    <row r="20" spans="1:68" s="141" customFormat="1" ht="12.75" hidden="1" customHeight="1">
      <c r="A20" s="968" t="s">
        <v>70</v>
      </c>
      <c r="B20" s="975"/>
      <c r="C20" s="976"/>
      <c r="D20" s="971"/>
      <c r="E20" s="962"/>
      <c r="G20" s="145"/>
      <c r="H20" s="145"/>
      <c r="I20" s="1330"/>
      <c r="J20" s="1330"/>
      <c r="K20" s="1330"/>
      <c r="L20" s="1330"/>
      <c r="M20" s="1330"/>
      <c r="N20" s="1330"/>
      <c r="O20" s="1330"/>
      <c r="P20" s="1330"/>
      <c r="Q20" s="1330"/>
      <c r="R20" s="1330"/>
      <c r="S20" s="1330"/>
      <c r="T20" s="1330"/>
      <c r="U20" s="1330"/>
      <c r="V20" s="1330"/>
      <c r="W20" s="1330"/>
      <c r="X20" s="1330"/>
      <c r="Y20" s="1330"/>
      <c r="Z20" s="1330"/>
      <c r="AA20" s="1330"/>
      <c r="AB20" s="1330"/>
      <c r="AC20" s="1330"/>
      <c r="AD20" s="1330"/>
      <c r="AE20" s="1330"/>
      <c r="AF20" s="1330"/>
      <c r="AG20" s="1330"/>
      <c r="AH20" s="1330"/>
      <c r="AI20" s="1330"/>
      <c r="AJ20" s="1330"/>
      <c r="AK20" s="1330"/>
      <c r="AL20" s="1330"/>
      <c r="AM20" s="1330"/>
      <c r="AN20" s="1330"/>
      <c r="AO20" s="1330"/>
      <c r="AP20" s="1330"/>
      <c r="AQ20" s="1330"/>
      <c r="AR20" s="1330"/>
      <c r="AS20" s="1330"/>
      <c r="AT20" s="1330"/>
      <c r="AU20" s="1330"/>
      <c r="AV20" s="1330"/>
      <c r="AW20" s="1330"/>
      <c r="AX20" s="1330"/>
      <c r="AY20" s="1330"/>
      <c r="AZ20" s="1330"/>
      <c r="BA20" s="1330"/>
      <c r="BB20" s="1330"/>
      <c r="BC20" s="1330"/>
      <c r="BD20" s="1330"/>
      <c r="BE20" s="1330"/>
      <c r="BF20" s="1330"/>
      <c r="BG20" s="1330"/>
      <c r="BH20" s="1330"/>
      <c r="BI20" s="1330"/>
      <c r="BJ20" s="1330"/>
      <c r="BK20" s="1330"/>
      <c r="BL20" s="1330"/>
      <c r="BM20" s="1330"/>
      <c r="BN20" s="1330"/>
      <c r="BO20" s="1330"/>
      <c r="BP20" s="1330"/>
    </row>
    <row r="21" spans="1:68" s="141" customFormat="1" ht="12.75" hidden="1" customHeight="1">
      <c r="A21" s="156"/>
      <c r="B21" s="157"/>
      <c r="C21" s="158" t="s">
        <v>70</v>
      </c>
      <c r="D21" s="964">
        <v>0</v>
      </c>
      <c r="E21" s="958" t="s">
        <v>65</v>
      </c>
      <c r="G21" s="145"/>
      <c r="H21" s="145"/>
      <c r="I21" s="1330"/>
      <c r="J21" s="1330"/>
      <c r="K21" s="1330"/>
      <c r="L21" s="1330"/>
      <c r="M21" s="1330"/>
      <c r="N21" s="1330"/>
      <c r="O21" s="1330"/>
      <c r="P21" s="1330"/>
      <c r="Q21" s="1330"/>
      <c r="R21" s="1330"/>
      <c r="S21" s="1330"/>
      <c r="T21" s="1330"/>
      <c r="U21" s="1330"/>
      <c r="V21" s="1330"/>
      <c r="W21" s="1330"/>
      <c r="X21" s="1330"/>
      <c r="Y21" s="1330"/>
      <c r="Z21" s="1330"/>
      <c r="AA21" s="1330"/>
      <c r="AB21" s="1330"/>
      <c r="AC21" s="1330"/>
      <c r="AD21" s="1330"/>
      <c r="AE21" s="1330"/>
      <c r="AF21" s="1330"/>
      <c r="AG21" s="1330"/>
      <c r="AH21" s="1330"/>
      <c r="AI21" s="1330"/>
      <c r="AJ21" s="1330"/>
      <c r="AK21" s="1330"/>
      <c r="AL21" s="1330"/>
      <c r="AM21" s="1330"/>
      <c r="AN21" s="1330"/>
      <c r="AO21" s="1330"/>
      <c r="AP21" s="1330"/>
      <c r="AQ21" s="1330"/>
      <c r="AR21" s="1330"/>
      <c r="AS21" s="1330"/>
      <c r="AT21" s="1330"/>
      <c r="AU21" s="1330"/>
      <c r="AV21" s="1330"/>
      <c r="AW21" s="1330"/>
      <c r="AX21" s="1330"/>
      <c r="AY21" s="1330"/>
      <c r="AZ21" s="1330"/>
      <c r="BA21" s="1330"/>
      <c r="BB21" s="1330"/>
      <c r="BC21" s="1330"/>
      <c r="BD21" s="1330"/>
      <c r="BE21" s="1330"/>
      <c r="BF21" s="1330"/>
      <c r="BG21" s="1330"/>
      <c r="BH21" s="1330"/>
      <c r="BI21" s="1330"/>
      <c r="BJ21" s="1330"/>
      <c r="BK21" s="1330"/>
      <c r="BL21" s="1330"/>
      <c r="BM21" s="1330"/>
      <c r="BN21" s="1330"/>
      <c r="BO21" s="1330"/>
      <c r="BP21" s="1330"/>
    </row>
    <row r="22" spans="1:68" s="141" customFormat="1" ht="12.75" hidden="1" customHeight="1">
      <c r="A22" s="968"/>
      <c r="B22" s="969"/>
      <c r="C22" s="970"/>
      <c r="D22" s="977"/>
      <c r="E22" s="972"/>
      <c r="G22" s="145"/>
      <c r="H22" s="145"/>
      <c r="I22" s="1330"/>
      <c r="J22" s="1330"/>
      <c r="K22" s="1330"/>
      <c r="L22" s="1330"/>
      <c r="M22" s="1330"/>
      <c r="N22" s="1330"/>
      <c r="O22" s="1330"/>
      <c r="P22" s="1330"/>
      <c r="Q22" s="1330"/>
      <c r="R22" s="1330"/>
      <c r="S22" s="1330"/>
      <c r="T22" s="1330"/>
      <c r="U22" s="1330"/>
      <c r="V22" s="1330"/>
      <c r="W22" s="1330"/>
      <c r="X22" s="1330"/>
      <c r="Y22" s="1330"/>
      <c r="Z22" s="1330"/>
      <c r="AA22" s="1330"/>
      <c r="AB22" s="1330"/>
      <c r="AC22" s="1330"/>
      <c r="AD22" s="1330"/>
      <c r="AE22" s="1330"/>
      <c r="AF22" s="1330"/>
      <c r="AG22" s="1330"/>
      <c r="AH22" s="1330"/>
      <c r="AI22" s="1330"/>
      <c r="AJ22" s="1330"/>
      <c r="AK22" s="1330"/>
      <c r="AL22" s="1330"/>
      <c r="AM22" s="1330"/>
      <c r="AN22" s="1330"/>
      <c r="AO22" s="1330"/>
      <c r="AP22" s="1330"/>
      <c r="AQ22" s="1330"/>
      <c r="AR22" s="1330"/>
      <c r="AS22" s="1330"/>
      <c r="AT22" s="1330"/>
      <c r="AU22" s="1330"/>
      <c r="AV22" s="1330"/>
      <c r="AW22" s="1330"/>
      <c r="AX22" s="1330"/>
      <c r="AY22" s="1330"/>
      <c r="AZ22" s="1330"/>
      <c r="BA22" s="1330"/>
      <c r="BB22" s="1330"/>
      <c r="BC22" s="1330"/>
      <c r="BD22" s="1330"/>
      <c r="BE22" s="1330"/>
      <c r="BF22" s="1330"/>
      <c r="BG22" s="1330"/>
      <c r="BH22" s="1330"/>
      <c r="BI22" s="1330"/>
      <c r="BJ22" s="1330"/>
      <c r="BK22" s="1330"/>
      <c r="BL22" s="1330"/>
      <c r="BM22" s="1330"/>
      <c r="BN22" s="1330"/>
      <c r="BO22" s="1330"/>
      <c r="BP22" s="1330"/>
    </row>
    <row r="23" spans="1:68" s="141" customFormat="1" ht="12.75" hidden="1" customHeight="1">
      <c r="A23" s="156"/>
      <c r="B23" s="157"/>
      <c r="C23" s="158" t="s">
        <v>71</v>
      </c>
      <c r="D23" s="964">
        <v>2.5000000000000001E-2</v>
      </c>
      <c r="E23" s="958" t="s">
        <v>65</v>
      </c>
      <c r="G23" s="145"/>
      <c r="H23" s="145"/>
      <c r="I23" s="1330"/>
      <c r="J23" s="1330"/>
      <c r="K23" s="1330"/>
      <c r="L23" s="1330"/>
      <c r="M23" s="1330"/>
      <c r="N23" s="1330"/>
      <c r="O23" s="1330"/>
      <c r="P23" s="1330"/>
      <c r="Q23" s="1330"/>
      <c r="R23" s="1330"/>
      <c r="S23" s="1330"/>
      <c r="T23" s="1330"/>
      <c r="U23" s="1330"/>
      <c r="V23" s="1330"/>
      <c r="W23" s="1330"/>
      <c r="X23" s="1330"/>
      <c r="Y23" s="1330"/>
      <c r="Z23" s="1330"/>
      <c r="AA23" s="1330"/>
      <c r="AB23" s="1330"/>
      <c r="AC23" s="1330"/>
      <c r="AD23" s="1330"/>
      <c r="AE23" s="1330"/>
      <c r="AF23" s="1330"/>
      <c r="AG23" s="1330"/>
      <c r="AH23" s="1330"/>
      <c r="AI23" s="1330"/>
      <c r="AJ23" s="1330"/>
      <c r="AK23" s="1330"/>
      <c r="AL23" s="1330"/>
      <c r="AM23" s="1330"/>
      <c r="AN23" s="1330"/>
      <c r="AO23" s="1330"/>
      <c r="AP23" s="1330"/>
      <c r="AQ23" s="1330"/>
      <c r="AR23" s="1330"/>
      <c r="AS23" s="1330"/>
      <c r="AT23" s="1330"/>
      <c r="AU23" s="1330"/>
      <c r="AV23" s="1330"/>
      <c r="AW23" s="1330"/>
      <c r="AX23" s="1330"/>
      <c r="AY23" s="1330"/>
      <c r="AZ23" s="1330"/>
      <c r="BA23" s="1330"/>
      <c r="BB23" s="1330"/>
      <c r="BC23" s="1330"/>
      <c r="BD23" s="1330"/>
      <c r="BE23" s="1330"/>
      <c r="BF23" s="1330"/>
      <c r="BG23" s="1330"/>
      <c r="BH23" s="1330"/>
      <c r="BI23" s="1330"/>
      <c r="BJ23" s="1330"/>
      <c r="BK23" s="1330"/>
      <c r="BL23" s="1330"/>
      <c r="BM23" s="1330"/>
      <c r="BN23" s="1330"/>
      <c r="BO23" s="1330"/>
      <c r="BP23" s="1330"/>
    </row>
    <row r="24" spans="1:68" s="141" customFormat="1" ht="29.25" hidden="1" customHeight="1">
      <c r="A24" s="968" t="s">
        <v>72</v>
      </c>
      <c r="B24" s="978"/>
      <c r="C24" s="970"/>
      <c r="D24" s="961"/>
      <c r="E24" s="979"/>
      <c r="G24" s="145"/>
      <c r="H24" s="145"/>
      <c r="I24" s="1330"/>
      <c r="J24" s="1330"/>
      <c r="K24" s="1330"/>
      <c r="L24" s="1330"/>
      <c r="M24" s="1330"/>
      <c r="N24" s="1330"/>
      <c r="O24" s="1330"/>
      <c r="P24" s="1330"/>
      <c r="Q24" s="1330"/>
      <c r="R24" s="1330"/>
      <c r="S24" s="1330"/>
      <c r="T24" s="1330"/>
      <c r="U24" s="1330"/>
      <c r="V24" s="1330"/>
      <c r="W24" s="1330"/>
      <c r="X24" s="1330"/>
      <c r="Y24" s="1330"/>
      <c r="Z24" s="1330"/>
      <c r="AA24" s="1330"/>
      <c r="AB24" s="1330"/>
      <c r="AC24" s="1330"/>
      <c r="AD24" s="1330"/>
      <c r="AE24" s="1330"/>
      <c r="AF24" s="1330"/>
      <c r="AG24" s="1330"/>
      <c r="AH24" s="1330"/>
      <c r="AI24" s="1330"/>
      <c r="AJ24" s="1330"/>
      <c r="AK24" s="1330"/>
      <c r="AL24" s="1330"/>
      <c r="AM24" s="1330"/>
      <c r="AN24" s="1330"/>
      <c r="AO24" s="1330"/>
      <c r="AP24" s="1330"/>
      <c r="AQ24" s="1330"/>
      <c r="AR24" s="1330"/>
      <c r="AS24" s="1330"/>
      <c r="AT24" s="1330"/>
      <c r="AU24" s="1330"/>
      <c r="AV24" s="1330"/>
      <c r="AW24" s="1330"/>
      <c r="AX24" s="1330"/>
      <c r="AY24" s="1330"/>
      <c r="AZ24" s="1330"/>
      <c r="BA24" s="1330"/>
      <c r="BB24" s="1330"/>
      <c r="BC24" s="1330"/>
      <c r="BD24" s="1330"/>
      <c r="BE24" s="1330"/>
      <c r="BF24" s="1330"/>
      <c r="BG24" s="1330"/>
      <c r="BH24" s="1330"/>
      <c r="BI24" s="1330"/>
      <c r="BJ24" s="1330"/>
      <c r="BK24" s="1330"/>
      <c r="BL24" s="1330"/>
      <c r="BM24" s="1330"/>
      <c r="BN24" s="1330"/>
      <c r="BO24" s="1330"/>
      <c r="BP24" s="1330"/>
    </row>
    <row r="25" spans="1:68" s="141" customFormat="1" ht="29.25" hidden="1" customHeight="1">
      <c r="A25" s="968"/>
      <c r="B25" s="978"/>
      <c r="C25" s="970"/>
      <c r="D25" s="961"/>
      <c r="E25" s="979"/>
      <c r="G25" s="145"/>
      <c r="H25" s="145"/>
      <c r="I25" s="1330"/>
      <c r="J25" s="1330"/>
      <c r="K25" s="1330"/>
      <c r="L25" s="1330"/>
      <c r="M25" s="1330"/>
      <c r="N25" s="1330"/>
      <c r="O25" s="1330"/>
      <c r="P25" s="1330"/>
      <c r="Q25" s="1330"/>
      <c r="R25" s="1330"/>
      <c r="S25" s="1330"/>
      <c r="T25" s="1330"/>
      <c r="U25" s="1330"/>
      <c r="V25" s="1330"/>
      <c r="W25" s="1330"/>
      <c r="X25" s="1330"/>
      <c r="Y25" s="1330"/>
      <c r="Z25" s="1330"/>
      <c r="AA25" s="1330"/>
      <c r="AB25" s="1330"/>
      <c r="AC25" s="1330"/>
      <c r="AD25" s="1330"/>
      <c r="AE25" s="1330"/>
      <c r="AF25" s="1330"/>
      <c r="AG25" s="1330"/>
      <c r="AH25" s="1330"/>
      <c r="AI25" s="1330"/>
      <c r="AJ25" s="1330"/>
      <c r="AK25" s="1330"/>
      <c r="AL25" s="1330"/>
      <c r="AM25" s="1330"/>
      <c r="AN25" s="1330"/>
      <c r="AO25" s="1330"/>
      <c r="AP25" s="1330"/>
      <c r="AQ25" s="1330"/>
      <c r="AR25" s="1330"/>
      <c r="AS25" s="1330"/>
      <c r="AT25" s="1330"/>
      <c r="AU25" s="1330"/>
      <c r="AV25" s="1330"/>
      <c r="AW25" s="1330"/>
      <c r="AX25" s="1330"/>
      <c r="AY25" s="1330"/>
      <c r="AZ25" s="1330"/>
      <c r="BA25" s="1330"/>
      <c r="BB25" s="1330"/>
      <c r="BC25" s="1330"/>
      <c r="BD25" s="1330"/>
      <c r="BE25" s="1330"/>
      <c r="BF25" s="1330"/>
      <c r="BG25" s="1330"/>
      <c r="BH25" s="1330"/>
      <c r="BI25" s="1330"/>
      <c r="BJ25" s="1330"/>
      <c r="BK25" s="1330"/>
      <c r="BL25" s="1330"/>
      <c r="BM25" s="1330"/>
      <c r="BN25" s="1330"/>
      <c r="BO25" s="1330"/>
      <c r="BP25" s="1330"/>
    </row>
    <row r="26" spans="1:68" s="636" customFormat="1" ht="29.25" customHeight="1">
      <c r="A26" s="980"/>
      <c r="B26" s="980"/>
      <c r="C26" s="980"/>
      <c r="D26" s="980"/>
      <c r="E26" s="980"/>
      <c r="G26" s="637"/>
      <c r="H26" s="637"/>
      <c r="I26" s="955" t="s">
        <v>1</v>
      </c>
      <c r="J26" s="955" t="s">
        <v>2</v>
      </c>
      <c r="K26" s="955" t="s">
        <v>159</v>
      </c>
      <c r="L26" s="955" t="s">
        <v>160</v>
      </c>
      <c r="M26" s="955" t="s">
        <v>5</v>
      </c>
      <c r="N26" s="955" t="s">
        <v>161</v>
      </c>
      <c r="O26" s="955" t="s">
        <v>145</v>
      </c>
      <c r="P26" s="955" t="s">
        <v>8</v>
      </c>
      <c r="Q26" s="955" t="s">
        <v>9</v>
      </c>
      <c r="R26" s="955" t="s">
        <v>10</v>
      </c>
      <c r="S26" s="955" t="s">
        <v>11</v>
      </c>
      <c r="T26" s="1051" t="s">
        <v>12</v>
      </c>
      <c r="U26" s="955" t="s">
        <v>1</v>
      </c>
      <c r="V26" s="955" t="s">
        <v>2</v>
      </c>
      <c r="W26" s="955" t="s">
        <v>159</v>
      </c>
      <c r="X26" s="955" t="s">
        <v>160</v>
      </c>
      <c r="Y26" s="955" t="s">
        <v>5</v>
      </c>
      <c r="Z26" s="955" t="s">
        <v>161</v>
      </c>
      <c r="AA26" s="955" t="s">
        <v>145</v>
      </c>
      <c r="AB26" s="955" t="s">
        <v>8</v>
      </c>
      <c r="AC26" s="955" t="s">
        <v>9</v>
      </c>
      <c r="AD26" s="955" t="s">
        <v>10</v>
      </c>
      <c r="AE26" s="955" t="s">
        <v>11</v>
      </c>
      <c r="AF26" s="1051" t="s">
        <v>12</v>
      </c>
      <c r="AG26" s="955" t="s">
        <v>1</v>
      </c>
      <c r="AH26" s="955" t="s">
        <v>2</v>
      </c>
      <c r="AI26" s="955" t="s">
        <v>159</v>
      </c>
      <c r="AJ26" s="955" t="s">
        <v>160</v>
      </c>
      <c r="AK26" s="955" t="s">
        <v>5</v>
      </c>
      <c r="AL26" s="955" t="s">
        <v>161</v>
      </c>
      <c r="AM26" s="955" t="s">
        <v>145</v>
      </c>
      <c r="AN26" s="955" t="s">
        <v>8</v>
      </c>
      <c r="AO26" s="955" t="s">
        <v>9</v>
      </c>
      <c r="AP26" s="955" t="s">
        <v>10</v>
      </c>
      <c r="AQ26" s="955" t="s">
        <v>11</v>
      </c>
      <c r="AR26" s="1051" t="s">
        <v>12</v>
      </c>
      <c r="AS26" s="955" t="s">
        <v>1</v>
      </c>
      <c r="AT26" s="955" t="s">
        <v>2</v>
      </c>
      <c r="AU26" s="955" t="s">
        <v>159</v>
      </c>
      <c r="AV26" s="955" t="s">
        <v>160</v>
      </c>
      <c r="AW26" s="955" t="s">
        <v>5</v>
      </c>
      <c r="AX26" s="955" t="s">
        <v>161</v>
      </c>
      <c r="AY26" s="955" t="s">
        <v>145</v>
      </c>
      <c r="AZ26" s="955" t="s">
        <v>8</v>
      </c>
      <c r="BA26" s="955" t="s">
        <v>9</v>
      </c>
      <c r="BB26" s="955" t="s">
        <v>10</v>
      </c>
      <c r="BC26" s="955" t="s">
        <v>11</v>
      </c>
      <c r="BD26" s="1051" t="s">
        <v>12</v>
      </c>
      <c r="BE26" s="955" t="s">
        <v>1</v>
      </c>
      <c r="BF26" s="955" t="s">
        <v>2</v>
      </c>
      <c r="BG26" s="955" t="s">
        <v>159</v>
      </c>
      <c r="BH26" s="955" t="s">
        <v>160</v>
      </c>
      <c r="BI26" s="955" t="s">
        <v>5</v>
      </c>
      <c r="BJ26" s="955" t="s">
        <v>161</v>
      </c>
      <c r="BK26" s="955" t="s">
        <v>145</v>
      </c>
      <c r="BL26" s="955" t="s">
        <v>8</v>
      </c>
      <c r="BM26" s="955" t="s">
        <v>9</v>
      </c>
      <c r="BN26" s="955" t="s">
        <v>10</v>
      </c>
      <c r="BO26" s="955" t="s">
        <v>11</v>
      </c>
      <c r="BP26" s="1051" t="s">
        <v>12</v>
      </c>
    </row>
    <row r="27" spans="1:68" ht="12" hidden="1" customHeight="1">
      <c r="A27" s="306"/>
      <c r="B27" s="306"/>
      <c r="C27" s="308"/>
      <c r="D27" s="312"/>
      <c r="E27" s="808"/>
      <c r="F27" s="24" t="s">
        <v>73</v>
      </c>
      <c r="G27" s="40" t="e">
        <f>HR!#REF!</f>
        <v>#REF!</v>
      </c>
      <c r="H27" s="40">
        <v>2</v>
      </c>
      <c r="I27" s="154">
        <f>COUNT(HR!D21:D26)+HR!D2</f>
        <v>6</v>
      </c>
      <c r="J27" s="154">
        <f>COUNT(HR!E21:E26)+HR!E2</f>
        <v>6</v>
      </c>
      <c r="K27" s="154">
        <f>COUNT(HR!F21:F26)+HR!F2</f>
        <v>6</v>
      </c>
      <c r="L27" s="154">
        <f>COUNT(HR!G21:G26)+HR!G2</f>
        <v>6</v>
      </c>
      <c r="M27" s="154">
        <f>COUNT(HR!H21:H26)+HR!H2</f>
        <v>6</v>
      </c>
      <c r="N27" s="154">
        <f>COUNT(HR!I21:I26)+HR!I2</f>
        <v>7</v>
      </c>
      <c r="O27" s="154">
        <f>COUNT(HR!J21:J26)+HR!J2</f>
        <v>7</v>
      </c>
      <c r="P27" s="154">
        <f>COUNT(HR!K21:K26)+HR!K2</f>
        <v>7</v>
      </c>
      <c r="Q27" s="154">
        <f>COUNT(HR!L21:L26)+HR!L2</f>
        <v>7</v>
      </c>
      <c r="R27" s="154">
        <f>COUNT(HR!M21:M26)+HR!M2</f>
        <v>7</v>
      </c>
      <c r="S27" s="154">
        <f>COUNT(HR!N21:N26)+HR!N2</f>
        <v>7</v>
      </c>
      <c r="T27" s="155">
        <f>COUNT(HR!O21:O26)+HR!O2</f>
        <v>7</v>
      </c>
      <c r="U27" s="154">
        <f>COUNT(HR!P21:P26)+HR!P2</f>
        <v>7</v>
      </c>
      <c r="V27" s="154">
        <f>COUNT(HR!BO21:BO26)+HR!BO2</f>
        <v>3</v>
      </c>
      <c r="W27" s="154">
        <f>COUNT(HR!BP21:BP26)+HR!BP2</f>
        <v>3</v>
      </c>
      <c r="X27" s="154">
        <f>COUNT(HR!BQ21:BQ26)+HR!BQ2</f>
        <v>3</v>
      </c>
      <c r="Y27" s="154">
        <f>COUNT(HR!BR21:BR26)+HR!BR2</f>
        <v>3</v>
      </c>
      <c r="Z27" s="154">
        <f>COUNT(HR!BS21:BS26)+HR!BS2</f>
        <v>3</v>
      </c>
      <c r="AA27" s="154">
        <f>COUNT(HR!BT21:BT26)+HR!BT2</f>
        <v>3</v>
      </c>
      <c r="AB27" s="154">
        <f>COUNT(HR!BU21:BU26)+HR!BU2</f>
        <v>3</v>
      </c>
      <c r="AC27" s="154">
        <f>COUNT(HR!BV21:BV26)+HR!BV2</f>
        <v>3</v>
      </c>
      <c r="AD27" s="154">
        <f>COUNT(HR!BW21:BW26)+HR!BW2</f>
        <v>3</v>
      </c>
      <c r="AE27" s="154">
        <f>COUNT(HR!BX21:BX26)+HR!BX2</f>
        <v>3</v>
      </c>
      <c r="AF27" s="155">
        <f>COUNT(HR!BY21:BY26)+HR!BY2</f>
        <v>3</v>
      </c>
      <c r="AG27" s="154">
        <f>COUNT(HR!BZ21:BZ26)+HR!BZ2</f>
        <v>3</v>
      </c>
      <c r="AH27" s="154">
        <f>COUNT(HR!P21:P26)+HR!P2</f>
        <v>7</v>
      </c>
      <c r="AI27" s="154">
        <f>COUNT(HR!Q21:Q26)+HR!Q2</f>
        <v>7</v>
      </c>
      <c r="AJ27" s="154">
        <f>COUNT(HR!R21:R26)+HR!R2</f>
        <v>8</v>
      </c>
      <c r="AK27" s="154">
        <f>COUNT(HR!S21:S26)+HR!S2</f>
        <v>8</v>
      </c>
      <c r="AL27" s="154">
        <f>COUNT(HR!T21:T26)+HR!T2</f>
        <v>8</v>
      </c>
      <c r="AM27" s="154">
        <f>COUNT(HR!U21:U26)+HR!U2</f>
        <v>8</v>
      </c>
      <c r="AN27" s="154">
        <f>COUNT(HR!V21:V26)+HR!V2</f>
        <v>8</v>
      </c>
      <c r="AO27" s="154">
        <f>COUNT(HR!W21:W26)+HR!W2</f>
        <v>8</v>
      </c>
      <c r="AP27" s="154">
        <f>COUNT(HR!X21:X26)+HR!X2</f>
        <v>9</v>
      </c>
      <c r="AQ27" s="154">
        <f>COUNT(HR!Y21:Y26)+HR!Y2</f>
        <v>9</v>
      </c>
      <c r="AR27" s="155">
        <f>COUNT(HR!Z21:Z26)+HR!Z2</f>
        <v>9</v>
      </c>
      <c r="AS27" s="154">
        <f>COUNT(HR!AA21:AA26)+HR!AA2</f>
        <v>10</v>
      </c>
      <c r="AT27" s="154">
        <f>COUNT(HR!AB21:AB26)+HR!AB2</f>
        <v>10</v>
      </c>
      <c r="AU27" s="154">
        <f>COUNT(HR!AC21:AC26)+HR!AC2</f>
        <v>10</v>
      </c>
      <c r="AV27" s="154">
        <f>COUNT(HR!AD21:AD26)+HR!AD2</f>
        <v>10</v>
      </c>
      <c r="AW27" s="154">
        <f>COUNT(HR!AE21:AE26)+HR!AE2</f>
        <v>11</v>
      </c>
      <c r="AX27" s="154">
        <f>COUNT(HR!AF21:AF26)+HR!AF2</f>
        <v>11</v>
      </c>
      <c r="AY27" s="154">
        <f>COUNT(HR!AG21:AG26)+HR!AG2</f>
        <v>11</v>
      </c>
      <c r="AZ27" s="154">
        <f>COUNT(HR!AH21:AH26)+HR!AH2</f>
        <v>12</v>
      </c>
      <c r="BA27" s="154">
        <f>COUNT(HR!AI21:AI26)+HR!AI2</f>
        <v>12</v>
      </c>
      <c r="BB27" s="154">
        <f>COUNT(HR!AJ21:AJ26)+HR!AJ2</f>
        <v>13</v>
      </c>
      <c r="BC27" s="154">
        <f>COUNT(HR!AK21:AK26)+HR!AK2</f>
        <v>13</v>
      </c>
      <c r="BD27" s="155">
        <f>COUNT(HR!AL21:AL26)+HR!AL2</f>
        <v>14</v>
      </c>
      <c r="BE27" s="154">
        <f>COUNT(HR!AM21:AM26)+HR!AM2</f>
        <v>14</v>
      </c>
      <c r="BF27" s="154">
        <f>COUNT(HR!AN21:AN26)+HR!AN2</f>
        <v>15</v>
      </c>
      <c r="BG27" s="154">
        <f>COUNT(HR!AO21:AO26)+HR!AO2</f>
        <v>15</v>
      </c>
      <c r="BH27" s="154">
        <f>COUNT(HR!AP21:AP26)+HR!AP2</f>
        <v>16</v>
      </c>
      <c r="BI27" s="154">
        <f>COUNT(HR!AQ21:AQ26)+HR!AQ2</f>
        <v>16</v>
      </c>
      <c r="BJ27" s="154">
        <f>COUNT(HR!AR21:AR26)+HR!AR2</f>
        <v>17</v>
      </c>
      <c r="BK27" s="154">
        <f>COUNT(HR!AS21:AS26)+HR!AS2</f>
        <v>18</v>
      </c>
      <c r="BL27" s="154">
        <f>COUNT(HR!AT21:AT26)+HR!AT2</f>
        <v>18</v>
      </c>
      <c r="BM27" s="154">
        <f>COUNT(HR!AU21:AU26)+HR!AU2</f>
        <v>19</v>
      </c>
      <c r="BN27" s="154">
        <f>COUNT(HR!AV21:AV26)+HR!AV2</f>
        <v>20</v>
      </c>
      <c r="BO27" s="154">
        <f>COUNT(HR!AW21:AW26)+HR!AW2</f>
        <v>20</v>
      </c>
      <c r="BP27" s="155">
        <f>COUNT(HR!AX21:AX26)+HR!AX2</f>
        <v>21</v>
      </c>
    </row>
    <row r="28" spans="1:68" hidden="1">
      <c r="A28" s="301"/>
      <c r="B28" s="810"/>
      <c r="C28" s="304" t="s">
        <v>74</v>
      </c>
      <c r="D28" s="305"/>
      <c r="E28" s="811"/>
    </row>
    <row r="29" spans="1:68" hidden="1">
      <c r="A29" s="301"/>
      <c r="B29" s="810"/>
      <c r="C29" s="304" t="s">
        <v>62</v>
      </c>
      <c r="D29" s="812">
        <v>0.3</v>
      </c>
      <c r="E29" s="813" t="s">
        <v>63</v>
      </c>
    </row>
    <row r="30" spans="1:68" hidden="1">
      <c r="A30" s="301"/>
      <c r="B30" s="810"/>
      <c r="C30" s="304"/>
      <c r="D30" s="812"/>
      <c r="E30" s="813"/>
      <c r="G30" s="25" t="s">
        <v>47</v>
      </c>
      <c r="H30" s="25" t="s">
        <v>46</v>
      </c>
    </row>
    <row r="31" spans="1:68">
      <c r="A31" s="625" t="s">
        <v>247</v>
      </c>
      <c r="B31" s="653"/>
      <c r="C31" s="654"/>
      <c r="D31" s="991"/>
      <c r="E31" s="656"/>
    </row>
    <row r="32" spans="1:68" s="641" customFormat="1">
      <c r="A32" s="1337" t="s">
        <v>200</v>
      </c>
      <c r="B32" s="1338"/>
      <c r="C32" s="1001" t="s">
        <v>76</v>
      </c>
      <c r="D32" s="627">
        <v>600</v>
      </c>
      <c r="E32" s="1002" t="s">
        <v>77</v>
      </c>
      <c r="F32" s="641" t="s">
        <v>78</v>
      </c>
      <c r="G32" s="1003">
        <v>2445.6099999999997</v>
      </c>
      <c r="H32" s="1003">
        <v>2623.0599999999995</v>
      </c>
      <c r="I32" s="641">
        <f t="shared" ref="I32:AN32" si="0">I38*$D32</f>
        <v>600</v>
      </c>
      <c r="J32" s="641">
        <f t="shared" si="0"/>
        <v>600</v>
      </c>
      <c r="K32" s="641">
        <f t="shared" si="0"/>
        <v>600</v>
      </c>
      <c r="L32" s="641">
        <f t="shared" si="0"/>
        <v>600</v>
      </c>
      <c r="M32" s="641">
        <f t="shared" si="0"/>
        <v>600</v>
      </c>
      <c r="N32" s="641">
        <f t="shared" si="0"/>
        <v>600</v>
      </c>
      <c r="O32" s="641">
        <f t="shared" si="0"/>
        <v>600</v>
      </c>
      <c r="P32" s="641">
        <f t="shared" si="0"/>
        <v>600</v>
      </c>
      <c r="Q32" s="641">
        <f t="shared" si="0"/>
        <v>600</v>
      </c>
      <c r="R32" s="641">
        <f t="shared" si="0"/>
        <v>600</v>
      </c>
      <c r="S32" s="641">
        <f t="shared" si="0"/>
        <v>600</v>
      </c>
      <c r="T32" s="642">
        <f t="shared" si="0"/>
        <v>600</v>
      </c>
      <c r="U32" s="641">
        <f t="shared" si="0"/>
        <v>600</v>
      </c>
      <c r="V32" s="641">
        <f t="shared" si="0"/>
        <v>600</v>
      </c>
      <c r="W32" s="641">
        <f t="shared" si="0"/>
        <v>600</v>
      </c>
      <c r="X32" s="641">
        <f t="shared" si="0"/>
        <v>600</v>
      </c>
      <c r="Y32" s="641">
        <f t="shared" si="0"/>
        <v>600</v>
      </c>
      <c r="Z32" s="641">
        <f t="shared" si="0"/>
        <v>600</v>
      </c>
      <c r="AA32" s="641">
        <f t="shared" si="0"/>
        <v>600</v>
      </c>
      <c r="AB32" s="641">
        <f t="shared" si="0"/>
        <v>600</v>
      </c>
      <c r="AC32" s="641">
        <f t="shared" si="0"/>
        <v>1200</v>
      </c>
      <c r="AD32" s="641">
        <f t="shared" si="0"/>
        <v>1200</v>
      </c>
      <c r="AE32" s="641">
        <f t="shared" si="0"/>
        <v>1200</v>
      </c>
      <c r="AF32" s="642">
        <f t="shared" si="0"/>
        <v>1200</v>
      </c>
      <c r="AG32" s="641">
        <f t="shared" si="0"/>
        <v>1200</v>
      </c>
      <c r="AH32" s="641">
        <f t="shared" si="0"/>
        <v>1200</v>
      </c>
      <c r="AI32" s="641">
        <f t="shared" si="0"/>
        <v>1200</v>
      </c>
      <c r="AJ32" s="641">
        <f t="shared" si="0"/>
        <v>1200</v>
      </c>
      <c r="AK32" s="641">
        <f t="shared" si="0"/>
        <v>1200</v>
      </c>
      <c r="AL32" s="641">
        <f t="shared" si="0"/>
        <v>1200</v>
      </c>
      <c r="AM32" s="641">
        <f t="shared" si="0"/>
        <v>1800</v>
      </c>
      <c r="AN32" s="641">
        <f t="shared" si="0"/>
        <v>1800</v>
      </c>
      <c r="AO32" s="641">
        <f t="shared" ref="AO32:BP32" si="1">AO38*$D32</f>
        <v>1800</v>
      </c>
      <c r="AP32" s="641">
        <f t="shared" si="1"/>
        <v>1800</v>
      </c>
      <c r="AQ32" s="641">
        <f t="shared" si="1"/>
        <v>2400</v>
      </c>
      <c r="AR32" s="642">
        <f t="shared" si="1"/>
        <v>2400</v>
      </c>
      <c r="AS32" s="641">
        <f t="shared" si="1"/>
        <v>2400</v>
      </c>
      <c r="AT32" s="641">
        <f t="shared" si="1"/>
        <v>2400</v>
      </c>
      <c r="AU32" s="641">
        <f t="shared" si="1"/>
        <v>2400</v>
      </c>
      <c r="AV32" s="641">
        <f t="shared" si="1"/>
        <v>2400</v>
      </c>
      <c r="AW32" s="641">
        <f t="shared" si="1"/>
        <v>3000</v>
      </c>
      <c r="AX32" s="641">
        <f t="shared" si="1"/>
        <v>3000</v>
      </c>
      <c r="AY32" s="641">
        <f t="shared" si="1"/>
        <v>3000</v>
      </c>
      <c r="AZ32" s="641">
        <f t="shared" si="1"/>
        <v>3600</v>
      </c>
      <c r="BA32" s="641">
        <f t="shared" si="1"/>
        <v>3600</v>
      </c>
      <c r="BB32" s="641">
        <f t="shared" si="1"/>
        <v>3600</v>
      </c>
      <c r="BC32" s="641">
        <f t="shared" si="1"/>
        <v>3600</v>
      </c>
      <c r="BD32" s="642">
        <f t="shared" si="1"/>
        <v>4200</v>
      </c>
      <c r="BE32" s="641">
        <f t="shared" si="1"/>
        <v>4200</v>
      </c>
      <c r="BF32" s="641">
        <f t="shared" si="1"/>
        <v>4800</v>
      </c>
      <c r="BG32" s="641">
        <f t="shared" si="1"/>
        <v>4800</v>
      </c>
      <c r="BH32" s="641">
        <f t="shared" si="1"/>
        <v>4800</v>
      </c>
      <c r="BI32" s="641">
        <f t="shared" si="1"/>
        <v>5400</v>
      </c>
      <c r="BJ32" s="641">
        <f t="shared" si="1"/>
        <v>5400</v>
      </c>
      <c r="BK32" s="641">
        <f t="shared" si="1"/>
        <v>6000</v>
      </c>
      <c r="BL32" s="641">
        <f t="shared" si="1"/>
        <v>6000</v>
      </c>
      <c r="BM32" s="641">
        <f t="shared" si="1"/>
        <v>6600</v>
      </c>
      <c r="BN32" s="641">
        <f t="shared" si="1"/>
        <v>6600</v>
      </c>
      <c r="BO32" s="641">
        <f t="shared" si="1"/>
        <v>7200</v>
      </c>
      <c r="BP32" s="642">
        <f t="shared" si="1"/>
        <v>7200</v>
      </c>
    </row>
    <row r="33" spans="1:68" s="646" customFormat="1">
      <c r="A33" s="1335" t="s">
        <v>201</v>
      </c>
      <c r="B33" s="1336"/>
      <c r="C33" s="1004" t="s">
        <v>76</v>
      </c>
      <c r="D33" s="176">
        <v>0</v>
      </c>
      <c r="E33" s="1005" t="s">
        <v>77</v>
      </c>
      <c r="G33" s="1006"/>
      <c r="H33" s="1006"/>
      <c r="I33" s="646">
        <f>IF(I38&gt;0,I38*D33,0)</f>
        <v>0</v>
      </c>
      <c r="J33" s="646">
        <f t="shared" ref="J33:AO33" si="2">IF(J38&gt;I38,(J38-I38)*$D$33,0)</f>
        <v>0</v>
      </c>
      <c r="K33" s="646">
        <f t="shared" si="2"/>
        <v>0</v>
      </c>
      <c r="L33" s="646">
        <f t="shared" si="2"/>
        <v>0</v>
      </c>
      <c r="M33" s="646">
        <f t="shared" si="2"/>
        <v>0</v>
      </c>
      <c r="N33" s="646">
        <f t="shared" si="2"/>
        <v>0</v>
      </c>
      <c r="O33" s="646">
        <f t="shared" si="2"/>
        <v>0</v>
      </c>
      <c r="P33" s="646">
        <f t="shared" si="2"/>
        <v>0</v>
      </c>
      <c r="Q33" s="646">
        <f t="shared" si="2"/>
        <v>0</v>
      </c>
      <c r="R33" s="646">
        <f t="shared" si="2"/>
        <v>0</v>
      </c>
      <c r="S33" s="646">
        <f t="shared" si="2"/>
        <v>0</v>
      </c>
      <c r="T33" s="647">
        <f t="shared" si="2"/>
        <v>0</v>
      </c>
      <c r="U33" s="646">
        <f t="shared" si="2"/>
        <v>0</v>
      </c>
      <c r="V33" s="646">
        <f t="shared" si="2"/>
        <v>0</v>
      </c>
      <c r="W33" s="646">
        <f t="shared" si="2"/>
        <v>0</v>
      </c>
      <c r="X33" s="646">
        <f t="shared" si="2"/>
        <v>0</v>
      </c>
      <c r="Y33" s="646">
        <f t="shared" si="2"/>
        <v>0</v>
      </c>
      <c r="Z33" s="646">
        <f t="shared" si="2"/>
        <v>0</v>
      </c>
      <c r="AA33" s="646">
        <f t="shared" si="2"/>
        <v>0</v>
      </c>
      <c r="AB33" s="646">
        <f t="shared" si="2"/>
        <v>0</v>
      </c>
      <c r="AC33" s="646">
        <f t="shared" si="2"/>
        <v>0</v>
      </c>
      <c r="AD33" s="646">
        <f t="shared" si="2"/>
        <v>0</v>
      </c>
      <c r="AE33" s="646">
        <f t="shared" si="2"/>
        <v>0</v>
      </c>
      <c r="AF33" s="647">
        <f t="shared" si="2"/>
        <v>0</v>
      </c>
      <c r="AG33" s="646">
        <f t="shared" si="2"/>
        <v>0</v>
      </c>
      <c r="AH33" s="646">
        <f t="shared" si="2"/>
        <v>0</v>
      </c>
      <c r="AI33" s="646">
        <f t="shared" si="2"/>
        <v>0</v>
      </c>
      <c r="AJ33" s="646">
        <f t="shared" si="2"/>
        <v>0</v>
      </c>
      <c r="AK33" s="646">
        <f t="shared" si="2"/>
        <v>0</v>
      </c>
      <c r="AL33" s="646">
        <f t="shared" si="2"/>
        <v>0</v>
      </c>
      <c r="AM33" s="646">
        <f t="shared" si="2"/>
        <v>0</v>
      </c>
      <c r="AN33" s="646">
        <f t="shared" si="2"/>
        <v>0</v>
      </c>
      <c r="AO33" s="646">
        <f t="shared" si="2"/>
        <v>0</v>
      </c>
      <c r="AP33" s="646">
        <f t="shared" ref="AP33:BP33" si="3">IF(AP38&gt;AO38,(AP38-AO38)*$D$33,0)</f>
        <v>0</v>
      </c>
      <c r="AQ33" s="646">
        <f t="shared" si="3"/>
        <v>0</v>
      </c>
      <c r="AR33" s="647">
        <f t="shared" si="3"/>
        <v>0</v>
      </c>
      <c r="AS33" s="646">
        <f t="shared" si="3"/>
        <v>0</v>
      </c>
      <c r="AT33" s="646">
        <f t="shared" si="3"/>
        <v>0</v>
      </c>
      <c r="AU33" s="646">
        <f t="shared" si="3"/>
        <v>0</v>
      </c>
      <c r="AV33" s="646">
        <f t="shared" si="3"/>
        <v>0</v>
      </c>
      <c r="AW33" s="646">
        <f t="shared" si="3"/>
        <v>0</v>
      </c>
      <c r="AX33" s="646">
        <f t="shared" si="3"/>
        <v>0</v>
      </c>
      <c r="AY33" s="646">
        <f t="shared" si="3"/>
        <v>0</v>
      </c>
      <c r="AZ33" s="646">
        <f t="shared" si="3"/>
        <v>0</v>
      </c>
      <c r="BA33" s="646">
        <f t="shared" si="3"/>
        <v>0</v>
      </c>
      <c r="BB33" s="646">
        <f t="shared" si="3"/>
        <v>0</v>
      </c>
      <c r="BC33" s="646">
        <f t="shared" si="3"/>
        <v>0</v>
      </c>
      <c r="BD33" s="647">
        <f t="shared" si="3"/>
        <v>0</v>
      </c>
      <c r="BE33" s="646">
        <f t="shared" si="3"/>
        <v>0</v>
      </c>
      <c r="BF33" s="646">
        <f t="shared" si="3"/>
        <v>0</v>
      </c>
      <c r="BG33" s="646">
        <f t="shared" si="3"/>
        <v>0</v>
      </c>
      <c r="BH33" s="646">
        <f t="shared" si="3"/>
        <v>0</v>
      </c>
      <c r="BI33" s="646">
        <f t="shared" si="3"/>
        <v>0</v>
      </c>
      <c r="BJ33" s="646">
        <f t="shared" si="3"/>
        <v>0</v>
      </c>
      <c r="BK33" s="646">
        <f t="shared" si="3"/>
        <v>0</v>
      </c>
      <c r="BL33" s="646">
        <f t="shared" si="3"/>
        <v>0</v>
      </c>
      <c r="BM33" s="646">
        <f t="shared" si="3"/>
        <v>0</v>
      </c>
      <c r="BN33" s="646">
        <f t="shared" si="3"/>
        <v>0</v>
      </c>
      <c r="BO33" s="646">
        <f t="shared" si="3"/>
        <v>0</v>
      </c>
      <c r="BP33" s="647">
        <f t="shared" si="3"/>
        <v>0</v>
      </c>
    </row>
    <row r="34" spans="1:68" s="646" customFormat="1">
      <c r="A34" s="1007"/>
      <c r="B34" s="1008"/>
      <c r="C34" s="1009" t="s">
        <v>79</v>
      </c>
      <c r="D34" s="176">
        <v>325</v>
      </c>
      <c r="E34" s="1010" t="s">
        <v>77</v>
      </c>
      <c r="G34" s="1006">
        <f>$G$38*D34</f>
        <v>2275</v>
      </c>
      <c r="H34" s="1006">
        <f>$H$38*D34</f>
        <v>1300</v>
      </c>
      <c r="I34" s="646">
        <f t="shared" ref="I34:AN34" si="4">I38*$D$34</f>
        <v>325</v>
      </c>
      <c r="J34" s="646">
        <f t="shared" si="4"/>
        <v>325</v>
      </c>
      <c r="K34" s="646">
        <f t="shared" si="4"/>
        <v>325</v>
      </c>
      <c r="L34" s="646">
        <f t="shared" si="4"/>
        <v>325</v>
      </c>
      <c r="M34" s="646">
        <f t="shared" si="4"/>
        <v>325</v>
      </c>
      <c r="N34" s="646">
        <f t="shared" si="4"/>
        <v>325</v>
      </c>
      <c r="O34" s="646">
        <f t="shared" si="4"/>
        <v>325</v>
      </c>
      <c r="P34" s="646">
        <f t="shared" si="4"/>
        <v>325</v>
      </c>
      <c r="Q34" s="646">
        <f t="shared" si="4"/>
        <v>325</v>
      </c>
      <c r="R34" s="646">
        <f t="shared" si="4"/>
        <v>325</v>
      </c>
      <c r="S34" s="646">
        <f t="shared" si="4"/>
        <v>325</v>
      </c>
      <c r="T34" s="647">
        <f t="shared" si="4"/>
        <v>325</v>
      </c>
      <c r="U34" s="646">
        <f t="shared" si="4"/>
        <v>325</v>
      </c>
      <c r="V34" s="646">
        <f t="shared" si="4"/>
        <v>325</v>
      </c>
      <c r="W34" s="646">
        <f t="shared" si="4"/>
        <v>325</v>
      </c>
      <c r="X34" s="646">
        <f t="shared" si="4"/>
        <v>325</v>
      </c>
      <c r="Y34" s="646">
        <f t="shared" si="4"/>
        <v>325</v>
      </c>
      <c r="Z34" s="646">
        <f t="shared" si="4"/>
        <v>325</v>
      </c>
      <c r="AA34" s="646">
        <f t="shared" si="4"/>
        <v>325</v>
      </c>
      <c r="AB34" s="646">
        <f t="shared" si="4"/>
        <v>325</v>
      </c>
      <c r="AC34" s="646">
        <f t="shared" si="4"/>
        <v>650</v>
      </c>
      <c r="AD34" s="646">
        <f t="shared" si="4"/>
        <v>650</v>
      </c>
      <c r="AE34" s="646">
        <f t="shared" si="4"/>
        <v>650</v>
      </c>
      <c r="AF34" s="647">
        <f t="shared" si="4"/>
        <v>650</v>
      </c>
      <c r="AG34" s="646">
        <f t="shared" si="4"/>
        <v>650</v>
      </c>
      <c r="AH34" s="646">
        <f t="shared" si="4"/>
        <v>650</v>
      </c>
      <c r="AI34" s="646">
        <f t="shared" si="4"/>
        <v>650</v>
      </c>
      <c r="AJ34" s="646">
        <f t="shared" si="4"/>
        <v>650</v>
      </c>
      <c r="AK34" s="646">
        <f t="shared" si="4"/>
        <v>650</v>
      </c>
      <c r="AL34" s="646">
        <f t="shared" si="4"/>
        <v>650</v>
      </c>
      <c r="AM34" s="646">
        <f t="shared" si="4"/>
        <v>975</v>
      </c>
      <c r="AN34" s="646">
        <f t="shared" si="4"/>
        <v>975</v>
      </c>
      <c r="AO34" s="646">
        <f t="shared" ref="AO34:BP34" si="5">AO38*$D$34</f>
        <v>975</v>
      </c>
      <c r="AP34" s="646">
        <f t="shared" si="5"/>
        <v>975</v>
      </c>
      <c r="AQ34" s="646">
        <f t="shared" si="5"/>
        <v>1300</v>
      </c>
      <c r="AR34" s="647">
        <f t="shared" si="5"/>
        <v>1300</v>
      </c>
      <c r="AS34" s="646">
        <f t="shared" si="5"/>
        <v>1300</v>
      </c>
      <c r="AT34" s="646">
        <f t="shared" si="5"/>
        <v>1300</v>
      </c>
      <c r="AU34" s="646">
        <f t="shared" si="5"/>
        <v>1300</v>
      </c>
      <c r="AV34" s="646">
        <f t="shared" si="5"/>
        <v>1300</v>
      </c>
      <c r="AW34" s="646">
        <f t="shared" si="5"/>
        <v>1625</v>
      </c>
      <c r="AX34" s="646">
        <f t="shared" si="5"/>
        <v>1625</v>
      </c>
      <c r="AY34" s="646">
        <f t="shared" si="5"/>
        <v>1625</v>
      </c>
      <c r="AZ34" s="646">
        <f t="shared" si="5"/>
        <v>1950</v>
      </c>
      <c r="BA34" s="646">
        <f t="shared" si="5"/>
        <v>1950</v>
      </c>
      <c r="BB34" s="646">
        <f t="shared" si="5"/>
        <v>1950</v>
      </c>
      <c r="BC34" s="646">
        <f t="shared" si="5"/>
        <v>1950</v>
      </c>
      <c r="BD34" s="647">
        <f t="shared" si="5"/>
        <v>2275</v>
      </c>
      <c r="BE34" s="646">
        <f t="shared" si="5"/>
        <v>2275</v>
      </c>
      <c r="BF34" s="646">
        <f t="shared" si="5"/>
        <v>2600</v>
      </c>
      <c r="BG34" s="646">
        <f t="shared" si="5"/>
        <v>2600</v>
      </c>
      <c r="BH34" s="646">
        <f t="shared" si="5"/>
        <v>2600</v>
      </c>
      <c r="BI34" s="646">
        <f t="shared" si="5"/>
        <v>2925</v>
      </c>
      <c r="BJ34" s="646">
        <f t="shared" si="5"/>
        <v>2925</v>
      </c>
      <c r="BK34" s="646">
        <f t="shared" si="5"/>
        <v>3250</v>
      </c>
      <c r="BL34" s="646">
        <f t="shared" si="5"/>
        <v>3250</v>
      </c>
      <c r="BM34" s="646">
        <f t="shared" si="5"/>
        <v>3575</v>
      </c>
      <c r="BN34" s="646">
        <f t="shared" si="5"/>
        <v>3575</v>
      </c>
      <c r="BO34" s="646">
        <f t="shared" si="5"/>
        <v>3900</v>
      </c>
      <c r="BP34" s="647">
        <f t="shared" si="5"/>
        <v>3900</v>
      </c>
    </row>
    <row r="35" spans="1:68" s="646" customFormat="1">
      <c r="A35" s="1011"/>
      <c r="B35" s="1012"/>
      <c r="C35" s="1004" t="s">
        <v>80</v>
      </c>
      <c r="D35" s="176">
        <v>400</v>
      </c>
      <c r="E35" s="1005" t="s">
        <v>101</v>
      </c>
      <c r="G35" s="1006">
        <f>$G$38*D35</f>
        <v>2800</v>
      </c>
      <c r="H35" s="1006">
        <f>$H$38*D35</f>
        <v>1600</v>
      </c>
      <c r="I35" s="646">
        <f t="shared" ref="I35:AN35" si="6">I38*$D$35/12</f>
        <v>33.333333333333336</v>
      </c>
      <c r="J35" s="646">
        <f t="shared" si="6"/>
        <v>33.333333333333336</v>
      </c>
      <c r="K35" s="646">
        <f t="shared" si="6"/>
        <v>33.333333333333336</v>
      </c>
      <c r="L35" s="646">
        <f t="shared" si="6"/>
        <v>33.333333333333336</v>
      </c>
      <c r="M35" s="646">
        <f t="shared" si="6"/>
        <v>33.333333333333336</v>
      </c>
      <c r="N35" s="646">
        <f t="shared" si="6"/>
        <v>33.333333333333336</v>
      </c>
      <c r="O35" s="646">
        <f t="shared" si="6"/>
        <v>33.333333333333336</v>
      </c>
      <c r="P35" s="646">
        <f t="shared" si="6"/>
        <v>33.333333333333336</v>
      </c>
      <c r="Q35" s="646">
        <f t="shared" si="6"/>
        <v>33.333333333333336</v>
      </c>
      <c r="R35" s="646">
        <f t="shared" si="6"/>
        <v>33.333333333333336</v>
      </c>
      <c r="S35" s="646">
        <f t="shared" si="6"/>
        <v>33.333333333333336</v>
      </c>
      <c r="T35" s="647">
        <f t="shared" si="6"/>
        <v>33.333333333333336</v>
      </c>
      <c r="U35" s="646">
        <f t="shared" si="6"/>
        <v>33.333333333333336</v>
      </c>
      <c r="V35" s="646">
        <f t="shared" si="6"/>
        <v>33.333333333333336</v>
      </c>
      <c r="W35" s="646">
        <f t="shared" si="6"/>
        <v>33.333333333333336</v>
      </c>
      <c r="X35" s="646">
        <f t="shared" si="6"/>
        <v>33.333333333333336</v>
      </c>
      <c r="Y35" s="646">
        <f t="shared" si="6"/>
        <v>33.333333333333336</v>
      </c>
      <c r="Z35" s="646">
        <f t="shared" si="6"/>
        <v>33.333333333333336</v>
      </c>
      <c r="AA35" s="646">
        <f t="shared" si="6"/>
        <v>33.333333333333336</v>
      </c>
      <c r="AB35" s="646">
        <f t="shared" si="6"/>
        <v>33.333333333333336</v>
      </c>
      <c r="AC35" s="646">
        <f t="shared" si="6"/>
        <v>66.666666666666671</v>
      </c>
      <c r="AD35" s="646">
        <f t="shared" si="6"/>
        <v>66.666666666666671</v>
      </c>
      <c r="AE35" s="646">
        <f t="shared" si="6"/>
        <v>66.666666666666671</v>
      </c>
      <c r="AF35" s="647">
        <f t="shared" si="6"/>
        <v>66.666666666666671</v>
      </c>
      <c r="AG35" s="646">
        <f t="shared" si="6"/>
        <v>66.666666666666671</v>
      </c>
      <c r="AH35" s="646">
        <f t="shared" si="6"/>
        <v>66.666666666666671</v>
      </c>
      <c r="AI35" s="646">
        <f t="shared" si="6"/>
        <v>66.666666666666671</v>
      </c>
      <c r="AJ35" s="646">
        <f t="shared" si="6"/>
        <v>66.666666666666671</v>
      </c>
      <c r="AK35" s="646">
        <f t="shared" si="6"/>
        <v>66.666666666666671</v>
      </c>
      <c r="AL35" s="646">
        <f t="shared" si="6"/>
        <v>66.666666666666671</v>
      </c>
      <c r="AM35" s="646">
        <f t="shared" si="6"/>
        <v>100</v>
      </c>
      <c r="AN35" s="646">
        <f t="shared" si="6"/>
        <v>100</v>
      </c>
      <c r="AO35" s="646">
        <f t="shared" ref="AO35:BP35" si="7">AO38*$D$35/12</f>
        <v>100</v>
      </c>
      <c r="AP35" s="646">
        <f t="shared" si="7"/>
        <v>100</v>
      </c>
      <c r="AQ35" s="646">
        <f t="shared" si="7"/>
        <v>133.33333333333334</v>
      </c>
      <c r="AR35" s="647">
        <f t="shared" si="7"/>
        <v>133.33333333333334</v>
      </c>
      <c r="AS35" s="646">
        <f t="shared" si="7"/>
        <v>133.33333333333334</v>
      </c>
      <c r="AT35" s="646">
        <f t="shared" si="7"/>
        <v>133.33333333333334</v>
      </c>
      <c r="AU35" s="646">
        <f t="shared" si="7"/>
        <v>133.33333333333334</v>
      </c>
      <c r="AV35" s="646">
        <f t="shared" si="7"/>
        <v>133.33333333333334</v>
      </c>
      <c r="AW35" s="646">
        <f t="shared" si="7"/>
        <v>166.66666666666666</v>
      </c>
      <c r="AX35" s="646">
        <f t="shared" si="7"/>
        <v>166.66666666666666</v>
      </c>
      <c r="AY35" s="646">
        <f t="shared" si="7"/>
        <v>166.66666666666666</v>
      </c>
      <c r="AZ35" s="646">
        <f t="shared" si="7"/>
        <v>200</v>
      </c>
      <c r="BA35" s="646">
        <f t="shared" si="7"/>
        <v>200</v>
      </c>
      <c r="BB35" s="646">
        <f t="shared" si="7"/>
        <v>200</v>
      </c>
      <c r="BC35" s="646">
        <f t="shared" si="7"/>
        <v>200</v>
      </c>
      <c r="BD35" s="647">
        <f t="shared" si="7"/>
        <v>233.33333333333334</v>
      </c>
      <c r="BE35" s="646">
        <f t="shared" si="7"/>
        <v>233.33333333333334</v>
      </c>
      <c r="BF35" s="646">
        <f t="shared" si="7"/>
        <v>266.66666666666669</v>
      </c>
      <c r="BG35" s="646">
        <f t="shared" si="7"/>
        <v>266.66666666666669</v>
      </c>
      <c r="BH35" s="646">
        <f t="shared" si="7"/>
        <v>266.66666666666669</v>
      </c>
      <c r="BI35" s="646">
        <f t="shared" si="7"/>
        <v>300</v>
      </c>
      <c r="BJ35" s="646">
        <f t="shared" si="7"/>
        <v>300</v>
      </c>
      <c r="BK35" s="646">
        <f t="shared" si="7"/>
        <v>333.33333333333331</v>
      </c>
      <c r="BL35" s="646">
        <f t="shared" si="7"/>
        <v>333.33333333333331</v>
      </c>
      <c r="BM35" s="646">
        <f t="shared" si="7"/>
        <v>366.66666666666669</v>
      </c>
      <c r="BN35" s="646">
        <f t="shared" si="7"/>
        <v>366.66666666666669</v>
      </c>
      <c r="BO35" s="646">
        <f t="shared" si="7"/>
        <v>400</v>
      </c>
      <c r="BP35" s="647">
        <f t="shared" si="7"/>
        <v>400</v>
      </c>
    </row>
    <row r="36" spans="1:68" s="651" customFormat="1">
      <c r="A36" s="1013"/>
      <c r="B36" s="1014"/>
      <c r="C36" s="1015" t="s">
        <v>81</v>
      </c>
      <c r="D36" s="634">
        <v>75</v>
      </c>
      <c r="E36" s="1016" t="s">
        <v>77</v>
      </c>
      <c r="G36" s="1017">
        <f>$G$38*D36</f>
        <v>525</v>
      </c>
      <c r="H36" s="1017">
        <f>$H$38*D36</f>
        <v>300</v>
      </c>
      <c r="I36" s="651">
        <f t="shared" ref="I36:AN36" si="8">I38*$D$36</f>
        <v>75</v>
      </c>
      <c r="J36" s="651">
        <f t="shared" si="8"/>
        <v>75</v>
      </c>
      <c r="K36" s="651">
        <f t="shared" si="8"/>
        <v>75</v>
      </c>
      <c r="L36" s="651">
        <f t="shared" si="8"/>
        <v>75</v>
      </c>
      <c r="M36" s="651">
        <f t="shared" si="8"/>
        <v>75</v>
      </c>
      <c r="N36" s="651">
        <f t="shared" si="8"/>
        <v>75</v>
      </c>
      <c r="O36" s="651">
        <f t="shared" si="8"/>
        <v>75</v>
      </c>
      <c r="P36" s="651">
        <f t="shared" si="8"/>
        <v>75</v>
      </c>
      <c r="Q36" s="651">
        <f t="shared" si="8"/>
        <v>75</v>
      </c>
      <c r="R36" s="651">
        <f t="shared" si="8"/>
        <v>75</v>
      </c>
      <c r="S36" s="651">
        <f t="shared" si="8"/>
        <v>75</v>
      </c>
      <c r="T36" s="652">
        <f t="shared" si="8"/>
        <v>75</v>
      </c>
      <c r="U36" s="651">
        <f t="shared" si="8"/>
        <v>75</v>
      </c>
      <c r="V36" s="651">
        <f t="shared" si="8"/>
        <v>75</v>
      </c>
      <c r="W36" s="651">
        <f t="shared" si="8"/>
        <v>75</v>
      </c>
      <c r="X36" s="651">
        <f t="shared" si="8"/>
        <v>75</v>
      </c>
      <c r="Y36" s="651">
        <f t="shared" si="8"/>
        <v>75</v>
      </c>
      <c r="Z36" s="651">
        <f t="shared" si="8"/>
        <v>75</v>
      </c>
      <c r="AA36" s="651">
        <f t="shared" si="8"/>
        <v>75</v>
      </c>
      <c r="AB36" s="651">
        <f t="shared" si="8"/>
        <v>75</v>
      </c>
      <c r="AC36" s="651">
        <f t="shared" si="8"/>
        <v>150</v>
      </c>
      <c r="AD36" s="651">
        <f t="shared" si="8"/>
        <v>150</v>
      </c>
      <c r="AE36" s="651">
        <f t="shared" si="8"/>
        <v>150</v>
      </c>
      <c r="AF36" s="652">
        <f t="shared" si="8"/>
        <v>150</v>
      </c>
      <c r="AG36" s="651">
        <f t="shared" si="8"/>
        <v>150</v>
      </c>
      <c r="AH36" s="651">
        <f t="shared" si="8"/>
        <v>150</v>
      </c>
      <c r="AI36" s="651">
        <f t="shared" si="8"/>
        <v>150</v>
      </c>
      <c r="AJ36" s="651">
        <f t="shared" si="8"/>
        <v>150</v>
      </c>
      <c r="AK36" s="651">
        <f t="shared" si="8"/>
        <v>150</v>
      </c>
      <c r="AL36" s="651">
        <f t="shared" si="8"/>
        <v>150</v>
      </c>
      <c r="AM36" s="651">
        <f t="shared" si="8"/>
        <v>225</v>
      </c>
      <c r="AN36" s="651">
        <f t="shared" si="8"/>
        <v>225</v>
      </c>
      <c r="AO36" s="651">
        <f t="shared" ref="AO36:BP36" si="9">AO38*$D$36</f>
        <v>225</v>
      </c>
      <c r="AP36" s="651">
        <f t="shared" si="9"/>
        <v>225</v>
      </c>
      <c r="AQ36" s="651">
        <f t="shared" si="9"/>
        <v>300</v>
      </c>
      <c r="AR36" s="652">
        <f t="shared" si="9"/>
        <v>300</v>
      </c>
      <c r="AS36" s="651">
        <f t="shared" si="9"/>
        <v>300</v>
      </c>
      <c r="AT36" s="651">
        <f t="shared" si="9"/>
        <v>300</v>
      </c>
      <c r="AU36" s="651">
        <f t="shared" si="9"/>
        <v>300</v>
      </c>
      <c r="AV36" s="651">
        <f t="shared" si="9"/>
        <v>300</v>
      </c>
      <c r="AW36" s="651">
        <f t="shared" si="9"/>
        <v>375</v>
      </c>
      <c r="AX36" s="651">
        <f t="shared" si="9"/>
        <v>375</v>
      </c>
      <c r="AY36" s="651">
        <f t="shared" si="9"/>
        <v>375</v>
      </c>
      <c r="AZ36" s="651">
        <f t="shared" si="9"/>
        <v>450</v>
      </c>
      <c r="BA36" s="651">
        <f t="shared" si="9"/>
        <v>450</v>
      </c>
      <c r="BB36" s="651">
        <f t="shared" si="9"/>
        <v>450</v>
      </c>
      <c r="BC36" s="651">
        <f t="shared" si="9"/>
        <v>450</v>
      </c>
      <c r="BD36" s="652">
        <f t="shared" si="9"/>
        <v>525</v>
      </c>
      <c r="BE36" s="651">
        <f t="shared" si="9"/>
        <v>525</v>
      </c>
      <c r="BF36" s="651">
        <f t="shared" si="9"/>
        <v>600</v>
      </c>
      <c r="BG36" s="651">
        <f t="shared" si="9"/>
        <v>600</v>
      </c>
      <c r="BH36" s="651">
        <f t="shared" si="9"/>
        <v>600</v>
      </c>
      <c r="BI36" s="651">
        <f t="shared" si="9"/>
        <v>675</v>
      </c>
      <c r="BJ36" s="651">
        <f t="shared" si="9"/>
        <v>675</v>
      </c>
      <c r="BK36" s="651">
        <f t="shared" si="9"/>
        <v>750</v>
      </c>
      <c r="BL36" s="651">
        <f t="shared" si="9"/>
        <v>750</v>
      </c>
      <c r="BM36" s="651">
        <f t="shared" si="9"/>
        <v>825</v>
      </c>
      <c r="BN36" s="651">
        <f t="shared" si="9"/>
        <v>825</v>
      </c>
      <c r="BO36" s="651">
        <f t="shared" si="9"/>
        <v>900</v>
      </c>
      <c r="BP36" s="652">
        <f t="shared" si="9"/>
        <v>900</v>
      </c>
    </row>
    <row r="37" spans="1:68" s="327" customFormat="1">
      <c r="A37" s="297"/>
      <c r="B37" s="298"/>
      <c r="C37" s="299"/>
      <c r="D37" s="300"/>
      <c r="E37" s="300" t="s">
        <v>234</v>
      </c>
      <c r="G37" s="328">
        <f>SUM(G32:G36)</f>
        <v>8045.61</v>
      </c>
      <c r="H37" s="328">
        <f t="shared" ref="H37:T37" si="10">SUM(H32:H36)</f>
        <v>5823.0599999999995</v>
      </c>
      <c r="I37" s="1059">
        <f t="shared" si="10"/>
        <v>1033.3333333333335</v>
      </c>
      <c r="J37" s="1059">
        <f t="shared" si="10"/>
        <v>1033.3333333333335</v>
      </c>
      <c r="K37" s="1059">
        <f t="shared" si="10"/>
        <v>1033.3333333333335</v>
      </c>
      <c r="L37" s="1059">
        <f t="shared" si="10"/>
        <v>1033.3333333333335</v>
      </c>
      <c r="M37" s="1059">
        <f t="shared" si="10"/>
        <v>1033.3333333333335</v>
      </c>
      <c r="N37" s="1059">
        <f t="shared" si="10"/>
        <v>1033.3333333333335</v>
      </c>
      <c r="O37" s="1059">
        <f t="shared" si="10"/>
        <v>1033.3333333333335</v>
      </c>
      <c r="P37" s="1059">
        <f t="shared" si="10"/>
        <v>1033.3333333333335</v>
      </c>
      <c r="Q37" s="1059">
        <f t="shared" si="10"/>
        <v>1033.3333333333335</v>
      </c>
      <c r="R37" s="1059">
        <f t="shared" si="10"/>
        <v>1033.3333333333335</v>
      </c>
      <c r="S37" s="1059">
        <f t="shared" si="10"/>
        <v>1033.3333333333335</v>
      </c>
      <c r="T37" s="1060">
        <f t="shared" si="10"/>
        <v>1033.3333333333335</v>
      </c>
      <c r="U37" s="1059">
        <f t="shared" ref="U37:AF37" si="11">SUM(U32:U36)</f>
        <v>1033.3333333333335</v>
      </c>
      <c r="V37" s="1059">
        <f t="shared" si="11"/>
        <v>1033.3333333333335</v>
      </c>
      <c r="W37" s="1059">
        <f t="shared" si="11"/>
        <v>1033.3333333333335</v>
      </c>
      <c r="X37" s="1059">
        <f t="shared" si="11"/>
        <v>1033.3333333333335</v>
      </c>
      <c r="Y37" s="1059">
        <f t="shared" si="11"/>
        <v>1033.3333333333335</v>
      </c>
      <c r="Z37" s="1059">
        <f t="shared" si="11"/>
        <v>1033.3333333333335</v>
      </c>
      <c r="AA37" s="1059">
        <f t="shared" si="11"/>
        <v>1033.3333333333335</v>
      </c>
      <c r="AB37" s="1059">
        <f t="shared" si="11"/>
        <v>1033.3333333333335</v>
      </c>
      <c r="AC37" s="1059">
        <f t="shared" si="11"/>
        <v>2066.666666666667</v>
      </c>
      <c r="AD37" s="1059">
        <f t="shared" si="11"/>
        <v>2066.666666666667</v>
      </c>
      <c r="AE37" s="1059">
        <f t="shared" si="11"/>
        <v>2066.666666666667</v>
      </c>
      <c r="AF37" s="1060">
        <f t="shared" si="11"/>
        <v>2066.666666666667</v>
      </c>
      <c r="AG37" s="1059">
        <f t="shared" ref="AG37:AR37" si="12">SUM(AG32:AG36)</f>
        <v>2066.666666666667</v>
      </c>
      <c r="AH37" s="1059">
        <f t="shared" si="12"/>
        <v>2066.666666666667</v>
      </c>
      <c r="AI37" s="1059">
        <f t="shared" si="12"/>
        <v>2066.666666666667</v>
      </c>
      <c r="AJ37" s="1059">
        <f t="shared" si="12"/>
        <v>2066.666666666667</v>
      </c>
      <c r="AK37" s="1059">
        <f t="shared" si="12"/>
        <v>2066.666666666667</v>
      </c>
      <c r="AL37" s="1059">
        <f t="shared" si="12"/>
        <v>2066.666666666667</v>
      </c>
      <c r="AM37" s="1059">
        <f t="shared" si="12"/>
        <v>3100</v>
      </c>
      <c r="AN37" s="1059">
        <f t="shared" si="12"/>
        <v>3100</v>
      </c>
      <c r="AO37" s="1059">
        <f t="shared" si="12"/>
        <v>3100</v>
      </c>
      <c r="AP37" s="1059">
        <f t="shared" si="12"/>
        <v>3100</v>
      </c>
      <c r="AQ37" s="1059">
        <f t="shared" si="12"/>
        <v>4133.3333333333339</v>
      </c>
      <c r="AR37" s="1060">
        <f t="shared" si="12"/>
        <v>4133.3333333333339</v>
      </c>
      <c r="AS37" s="1059">
        <f t="shared" ref="AS37:BD37" si="13">SUM(AS32:AS36)</f>
        <v>4133.3333333333339</v>
      </c>
      <c r="AT37" s="1059">
        <f t="shared" si="13"/>
        <v>4133.3333333333339</v>
      </c>
      <c r="AU37" s="1059">
        <f t="shared" si="13"/>
        <v>4133.3333333333339</v>
      </c>
      <c r="AV37" s="1059">
        <f t="shared" si="13"/>
        <v>4133.3333333333339</v>
      </c>
      <c r="AW37" s="1059">
        <f t="shared" si="13"/>
        <v>5166.666666666667</v>
      </c>
      <c r="AX37" s="1059">
        <f t="shared" si="13"/>
        <v>5166.666666666667</v>
      </c>
      <c r="AY37" s="1059">
        <f t="shared" si="13"/>
        <v>5166.666666666667</v>
      </c>
      <c r="AZ37" s="1059">
        <f t="shared" si="13"/>
        <v>6200</v>
      </c>
      <c r="BA37" s="1059">
        <f t="shared" si="13"/>
        <v>6200</v>
      </c>
      <c r="BB37" s="1059">
        <f t="shared" si="13"/>
        <v>6200</v>
      </c>
      <c r="BC37" s="1059">
        <f t="shared" si="13"/>
        <v>6200</v>
      </c>
      <c r="BD37" s="1060">
        <f t="shared" si="13"/>
        <v>7233.333333333333</v>
      </c>
      <c r="BE37" s="1059">
        <f t="shared" ref="BE37:BP37" si="14">SUM(BE32:BE36)</f>
        <v>7233.333333333333</v>
      </c>
      <c r="BF37" s="1059">
        <f t="shared" si="14"/>
        <v>8266.6666666666679</v>
      </c>
      <c r="BG37" s="1059">
        <f t="shared" si="14"/>
        <v>8266.6666666666679</v>
      </c>
      <c r="BH37" s="1059">
        <f t="shared" si="14"/>
        <v>8266.6666666666679</v>
      </c>
      <c r="BI37" s="1059">
        <f t="shared" si="14"/>
        <v>9300</v>
      </c>
      <c r="BJ37" s="1059">
        <f t="shared" si="14"/>
        <v>9300</v>
      </c>
      <c r="BK37" s="1059">
        <f t="shared" si="14"/>
        <v>10333.333333333334</v>
      </c>
      <c r="BL37" s="1059">
        <f t="shared" si="14"/>
        <v>10333.333333333334</v>
      </c>
      <c r="BM37" s="1059">
        <f t="shared" si="14"/>
        <v>11366.666666666666</v>
      </c>
      <c r="BN37" s="1059">
        <f t="shared" si="14"/>
        <v>11366.666666666666</v>
      </c>
      <c r="BO37" s="1059">
        <f t="shared" si="14"/>
        <v>12400</v>
      </c>
      <c r="BP37" s="1060">
        <f t="shared" si="14"/>
        <v>12400</v>
      </c>
    </row>
    <row r="38" spans="1:68" s="1082" customFormat="1">
      <c r="A38" s="291"/>
      <c r="B38" s="993"/>
      <c r="C38" s="994"/>
      <c r="E38" s="295" t="s">
        <v>187</v>
      </c>
      <c r="F38" s="1082" t="s">
        <v>75</v>
      </c>
      <c r="G38" s="1083">
        <v>7</v>
      </c>
      <c r="H38" s="1084">
        <v>4</v>
      </c>
      <c r="I38" s="1085">
        <f>IF(ROUND(HR!D2/2.5,0)=0,1,ROUND(HR!D2/2.5,0))</f>
        <v>1</v>
      </c>
      <c r="J38" s="1085">
        <f>IF(ROUND(HR!E2/2.5,0)=0,1,ROUND(HR!E2/2.5,0))</f>
        <v>1</v>
      </c>
      <c r="K38" s="1085">
        <f>IF(ROUND(HR!F2/2.5,0)=0,1,ROUND(HR!F2/2.5,0))</f>
        <v>1</v>
      </c>
      <c r="L38" s="1085">
        <f>IF(ROUND(HR!G2/2.5,0)=0,1,ROUND(HR!G2/2.5,0))</f>
        <v>1</v>
      </c>
      <c r="M38" s="1085">
        <f>IF(ROUND(HR!H2/2.5,0)=0,1,ROUND(HR!H2/2.5,0))</f>
        <v>1</v>
      </c>
      <c r="N38" s="1085">
        <f>IF(ROUND(HR!I2/2.5,0)=0,1,ROUND(HR!I2/2.5,0))</f>
        <v>1</v>
      </c>
      <c r="O38" s="1085">
        <f>IF(ROUND(HR!J2/2.5,0)=0,1,ROUND(HR!J2/2.5,0))</f>
        <v>1</v>
      </c>
      <c r="P38" s="1085">
        <f>ROUND(HR!K2/2.5,0)</f>
        <v>1</v>
      </c>
      <c r="Q38" s="1085">
        <f>ROUND(HR!L2/2.5,0)</f>
        <v>1</v>
      </c>
      <c r="R38" s="1085">
        <f>ROUND(HR!M2/2.5,0)</f>
        <v>1</v>
      </c>
      <c r="S38" s="1085">
        <f>ROUND(HR!N2/2.5,0)</f>
        <v>1</v>
      </c>
      <c r="T38" s="1086">
        <f>ROUND(HR!O2/2.5,0)</f>
        <v>1</v>
      </c>
      <c r="U38" s="1085">
        <f>ROUND(HR!P2/2.5,0)</f>
        <v>1</v>
      </c>
      <c r="V38" s="1085">
        <f>ROUND(HR!Q2/2.5,0)</f>
        <v>1</v>
      </c>
      <c r="W38" s="1085">
        <f>ROUND(HR!R2/2.5,0)</f>
        <v>1</v>
      </c>
      <c r="X38" s="1085">
        <f>ROUND(HR!S2/2.5,0)</f>
        <v>1</v>
      </c>
      <c r="Y38" s="1085">
        <f>ROUND(HR!T2/2.5,0)</f>
        <v>1</v>
      </c>
      <c r="Z38" s="1085">
        <f>ROUND(HR!U2/2.5,0)</f>
        <v>1</v>
      </c>
      <c r="AA38" s="1085">
        <f>ROUND(HR!V2/2.5,0)</f>
        <v>1</v>
      </c>
      <c r="AB38" s="1085">
        <f>ROUND(HR!W2/2.5,0)</f>
        <v>1</v>
      </c>
      <c r="AC38" s="1085">
        <f>ROUND(HR!X2/2.5,0)</f>
        <v>2</v>
      </c>
      <c r="AD38" s="1085">
        <f>ROUND(HR!Y2/2.5,0)</f>
        <v>2</v>
      </c>
      <c r="AE38" s="1085">
        <f>ROUND(HR!Z2/2.5,0)</f>
        <v>2</v>
      </c>
      <c r="AF38" s="1086">
        <f>ROUND(HR!AA2/2.5,0)</f>
        <v>2</v>
      </c>
      <c r="AG38" s="1085">
        <f>ROUND(HR!AB2/2.5,0)</f>
        <v>2</v>
      </c>
      <c r="AH38" s="1085">
        <f>ROUND(HR!AC2/2.5,0)</f>
        <v>2</v>
      </c>
      <c r="AI38" s="1085">
        <f>ROUND(HR!AD2/2.5,0)</f>
        <v>2</v>
      </c>
      <c r="AJ38" s="1085">
        <f>ROUND(HR!AE2/2.5,0)</f>
        <v>2</v>
      </c>
      <c r="AK38" s="1085">
        <f>ROUND(HR!AF2/2.5,0)</f>
        <v>2</v>
      </c>
      <c r="AL38" s="1085">
        <f>ROUND(HR!AG2/2.5,0)</f>
        <v>2</v>
      </c>
      <c r="AM38" s="1085">
        <f>ROUND(HR!AH2/2.5,0)</f>
        <v>3</v>
      </c>
      <c r="AN38" s="1085">
        <f>ROUND(HR!AI2/2.5,0)</f>
        <v>3</v>
      </c>
      <c r="AO38" s="1085">
        <f>ROUND(HR!AJ2/2.5,0)</f>
        <v>3</v>
      </c>
      <c r="AP38" s="1085">
        <f>ROUND(HR!AK2/2.5,0)</f>
        <v>3</v>
      </c>
      <c r="AQ38" s="1085">
        <f>ROUND(HR!AL2/2.5,0)</f>
        <v>4</v>
      </c>
      <c r="AR38" s="1086">
        <f>ROUND(HR!AM2/2.5,0)</f>
        <v>4</v>
      </c>
      <c r="AS38" s="1085">
        <f>ROUND(HR!AN2/2.5,0)</f>
        <v>4</v>
      </c>
      <c r="AT38" s="1085">
        <f>ROUND(HR!AO2/2.5,0)</f>
        <v>4</v>
      </c>
      <c r="AU38" s="1085">
        <f>ROUND(HR!AP2/2.5,0)</f>
        <v>4</v>
      </c>
      <c r="AV38" s="1085">
        <f>ROUND(HR!AQ2/2.5,0)</f>
        <v>4</v>
      </c>
      <c r="AW38" s="1085">
        <f>ROUND(HR!AR2/2.5,0)</f>
        <v>5</v>
      </c>
      <c r="AX38" s="1085">
        <f>ROUND(HR!AS2/2.5,0)</f>
        <v>5</v>
      </c>
      <c r="AY38" s="1085">
        <f>ROUND(HR!AT2/2.5,0)</f>
        <v>5</v>
      </c>
      <c r="AZ38" s="1085">
        <f>ROUND(HR!AU2/2.5,0)</f>
        <v>6</v>
      </c>
      <c r="BA38" s="1085">
        <f>ROUND(HR!AV2/2.5,0)</f>
        <v>6</v>
      </c>
      <c r="BB38" s="1085">
        <f>ROUND(HR!AW2/2.5,0)</f>
        <v>6</v>
      </c>
      <c r="BC38" s="1085">
        <f>ROUND(HR!AX2/2.5,0)</f>
        <v>6</v>
      </c>
      <c r="BD38" s="1086">
        <f>ROUND(HR!AY2/2.5,0)</f>
        <v>7</v>
      </c>
      <c r="BE38" s="1085">
        <f>ROUND(HR!AZ2/2.5,0)</f>
        <v>7</v>
      </c>
      <c r="BF38" s="1085">
        <f>ROUND(HR!BA2/2.5,0)</f>
        <v>8</v>
      </c>
      <c r="BG38" s="1085">
        <f>ROUND(HR!BB2/2.5,0)</f>
        <v>8</v>
      </c>
      <c r="BH38" s="1085">
        <f>ROUND(HR!BC2/2.5,0)</f>
        <v>8</v>
      </c>
      <c r="BI38" s="1085">
        <f>ROUND(HR!BD2/2.5,0)</f>
        <v>9</v>
      </c>
      <c r="BJ38" s="1085">
        <f>ROUND(HR!BE2/2.5,0)</f>
        <v>9</v>
      </c>
      <c r="BK38" s="1085">
        <f>ROUND(HR!BF2/2.5,0)</f>
        <v>10</v>
      </c>
      <c r="BL38" s="1085">
        <f>ROUND(HR!BG2/2.5,0)</f>
        <v>10</v>
      </c>
      <c r="BM38" s="1085">
        <f>ROUND(HR!BH2/2.5,0)</f>
        <v>11</v>
      </c>
      <c r="BN38" s="1085">
        <f>ROUND(HR!BI2/2.5,0)</f>
        <v>11</v>
      </c>
      <c r="BO38" s="1085">
        <f>ROUND(HR!BJ2/2.5,0)</f>
        <v>12</v>
      </c>
      <c r="BP38" s="1086">
        <f>ROUND(HR!BK2/2.5,0)</f>
        <v>12</v>
      </c>
    </row>
    <row r="39" spans="1:68" hidden="1">
      <c r="A39" s="301"/>
      <c r="B39" s="810"/>
      <c r="C39" s="304"/>
      <c r="D39" s="305"/>
      <c r="E39" s="81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4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4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4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4"/>
    </row>
    <row r="40" spans="1:68" hidden="1">
      <c r="A40" s="306"/>
      <c r="B40" s="310"/>
      <c r="C40" s="311"/>
      <c r="D40" s="312"/>
      <c r="E40" s="31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4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4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4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4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4"/>
    </row>
    <row r="41" spans="1:68">
      <c r="A41" s="625" t="s">
        <v>82</v>
      </c>
      <c r="B41" s="653"/>
      <c r="C41" s="654"/>
      <c r="D41" s="655"/>
      <c r="E41" s="656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4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4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4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4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4"/>
    </row>
    <row r="42" spans="1:68" s="641" customFormat="1">
      <c r="A42" s="1018"/>
      <c r="B42" s="1019"/>
      <c r="C42" s="1001" t="s">
        <v>83</v>
      </c>
      <c r="D42" s="627">
        <v>25</v>
      </c>
      <c r="E42" s="1002" t="s">
        <v>84</v>
      </c>
      <c r="G42" s="1003" t="e">
        <f>$G$27*D42</f>
        <v>#REF!</v>
      </c>
      <c r="H42" s="1003">
        <f>$H$27*D42</f>
        <v>50</v>
      </c>
      <c r="I42" s="641">
        <f t="shared" ref="I42:AN42" si="15">I27*$D42</f>
        <v>150</v>
      </c>
      <c r="J42" s="641">
        <f t="shared" si="15"/>
        <v>150</v>
      </c>
      <c r="K42" s="641">
        <f t="shared" si="15"/>
        <v>150</v>
      </c>
      <c r="L42" s="641">
        <f t="shared" si="15"/>
        <v>150</v>
      </c>
      <c r="M42" s="641">
        <f t="shared" si="15"/>
        <v>150</v>
      </c>
      <c r="N42" s="641">
        <f t="shared" si="15"/>
        <v>175</v>
      </c>
      <c r="O42" s="641">
        <f t="shared" si="15"/>
        <v>175</v>
      </c>
      <c r="P42" s="641">
        <f t="shared" si="15"/>
        <v>175</v>
      </c>
      <c r="Q42" s="641">
        <f t="shared" si="15"/>
        <v>175</v>
      </c>
      <c r="R42" s="641">
        <f t="shared" si="15"/>
        <v>175</v>
      </c>
      <c r="S42" s="641">
        <f t="shared" si="15"/>
        <v>175</v>
      </c>
      <c r="T42" s="642">
        <f t="shared" si="15"/>
        <v>175</v>
      </c>
      <c r="U42" s="641">
        <f t="shared" si="15"/>
        <v>175</v>
      </c>
      <c r="V42" s="641">
        <f t="shared" si="15"/>
        <v>75</v>
      </c>
      <c r="W42" s="641">
        <f t="shared" si="15"/>
        <v>75</v>
      </c>
      <c r="X42" s="641">
        <f t="shared" si="15"/>
        <v>75</v>
      </c>
      <c r="Y42" s="641">
        <f t="shared" si="15"/>
        <v>75</v>
      </c>
      <c r="Z42" s="641">
        <f t="shared" si="15"/>
        <v>75</v>
      </c>
      <c r="AA42" s="641">
        <f t="shared" si="15"/>
        <v>75</v>
      </c>
      <c r="AB42" s="641">
        <f t="shared" si="15"/>
        <v>75</v>
      </c>
      <c r="AC42" s="641">
        <f t="shared" si="15"/>
        <v>75</v>
      </c>
      <c r="AD42" s="641">
        <f t="shared" si="15"/>
        <v>75</v>
      </c>
      <c r="AE42" s="641">
        <f t="shared" si="15"/>
        <v>75</v>
      </c>
      <c r="AF42" s="642">
        <f t="shared" si="15"/>
        <v>75</v>
      </c>
      <c r="AG42" s="641">
        <f t="shared" si="15"/>
        <v>75</v>
      </c>
      <c r="AH42" s="641">
        <f t="shared" si="15"/>
        <v>175</v>
      </c>
      <c r="AI42" s="641">
        <f t="shared" si="15"/>
        <v>175</v>
      </c>
      <c r="AJ42" s="641">
        <f t="shared" si="15"/>
        <v>200</v>
      </c>
      <c r="AK42" s="641">
        <f t="shared" si="15"/>
        <v>200</v>
      </c>
      <c r="AL42" s="641">
        <f t="shared" si="15"/>
        <v>200</v>
      </c>
      <c r="AM42" s="641">
        <f t="shared" si="15"/>
        <v>200</v>
      </c>
      <c r="AN42" s="641">
        <f t="shared" si="15"/>
        <v>200</v>
      </c>
      <c r="AO42" s="641">
        <f t="shared" ref="AO42:BP42" si="16">AO27*$D42</f>
        <v>200</v>
      </c>
      <c r="AP42" s="641">
        <f t="shared" si="16"/>
        <v>225</v>
      </c>
      <c r="AQ42" s="641">
        <f t="shared" si="16"/>
        <v>225</v>
      </c>
      <c r="AR42" s="642">
        <f t="shared" si="16"/>
        <v>225</v>
      </c>
      <c r="AS42" s="641">
        <f t="shared" si="16"/>
        <v>250</v>
      </c>
      <c r="AT42" s="641">
        <f t="shared" si="16"/>
        <v>250</v>
      </c>
      <c r="AU42" s="641">
        <f t="shared" si="16"/>
        <v>250</v>
      </c>
      <c r="AV42" s="641">
        <f t="shared" si="16"/>
        <v>250</v>
      </c>
      <c r="AW42" s="641">
        <f t="shared" si="16"/>
        <v>275</v>
      </c>
      <c r="AX42" s="641">
        <f t="shared" si="16"/>
        <v>275</v>
      </c>
      <c r="AY42" s="641">
        <f t="shared" si="16"/>
        <v>275</v>
      </c>
      <c r="AZ42" s="641">
        <f t="shared" si="16"/>
        <v>300</v>
      </c>
      <c r="BA42" s="641">
        <f t="shared" si="16"/>
        <v>300</v>
      </c>
      <c r="BB42" s="641">
        <f t="shared" si="16"/>
        <v>325</v>
      </c>
      <c r="BC42" s="641">
        <f t="shared" si="16"/>
        <v>325</v>
      </c>
      <c r="BD42" s="642">
        <f t="shared" si="16"/>
        <v>350</v>
      </c>
      <c r="BE42" s="641">
        <f t="shared" si="16"/>
        <v>350</v>
      </c>
      <c r="BF42" s="641">
        <f t="shared" si="16"/>
        <v>375</v>
      </c>
      <c r="BG42" s="641">
        <f t="shared" si="16"/>
        <v>375</v>
      </c>
      <c r="BH42" s="641">
        <f t="shared" si="16"/>
        <v>400</v>
      </c>
      <c r="BI42" s="641">
        <f t="shared" si="16"/>
        <v>400</v>
      </c>
      <c r="BJ42" s="641">
        <f t="shared" si="16"/>
        <v>425</v>
      </c>
      <c r="BK42" s="641">
        <f t="shared" si="16"/>
        <v>450</v>
      </c>
      <c r="BL42" s="641">
        <f t="shared" si="16"/>
        <v>450</v>
      </c>
      <c r="BM42" s="641">
        <f t="shared" si="16"/>
        <v>475</v>
      </c>
      <c r="BN42" s="641">
        <f t="shared" si="16"/>
        <v>500</v>
      </c>
      <c r="BO42" s="641">
        <f t="shared" si="16"/>
        <v>500</v>
      </c>
      <c r="BP42" s="642">
        <f t="shared" si="16"/>
        <v>525</v>
      </c>
    </row>
    <row r="43" spans="1:68" s="646" customFormat="1">
      <c r="A43" s="1011"/>
      <c r="B43" s="1012"/>
      <c r="C43" s="1004" t="s">
        <v>180</v>
      </c>
      <c r="D43" s="176">
        <v>7500</v>
      </c>
      <c r="E43" s="1005" t="s">
        <v>181</v>
      </c>
      <c r="G43" s="1006"/>
      <c r="H43" s="1006"/>
      <c r="I43" s="646">
        <f>IF(I38=1,D43,0)</f>
        <v>7500</v>
      </c>
      <c r="J43" s="646">
        <f t="shared" ref="J43:T43" si="17">(J38-I38)*$D$43</f>
        <v>0</v>
      </c>
      <c r="K43" s="646">
        <f t="shared" si="17"/>
        <v>0</v>
      </c>
      <c r="L43" s="646">
        <f t="shared" si="17"/>
        <v>0</v>
      </c>
      <c r="M43" s="646">
        <f t="shared" si="17"/>
        <v>0</v>
      </c>
      <c r="N43" s="646">
        <f t="shared" si="17"/>
        <v>0</v>
      </c>
      <c r="O43" s="646">
        <f t="shared" si="17"/>
        <v>0</v>
      </c>
      <c r="P43" s="646">
        <f t="shared" si="17"/>
        <v>0</v>
      </c>
      <c r="Q43" s="646">
        <f t="shared" si="17"/>
        <v>0</v>
      </c>
      <c r="R43" s="646">
        <f t="shared" si="17"/>
        <v>0</v>
      </c>
      <c r="S43" s="646">
        <f t="shared" si="17"/>
        <v>0</v>
      </c>
      <c r="T43" s="647">
        <f t="shared" si="17"/>
        <v>0</v>
      </c>
      <c r="V43" s="646">
        <f t="shared" ref="V43:AF43" si="18">(V38-U38)*$D$43</f>
        <v>0</v>
      </c>
      <c r="W43" s="646">
        <f t="shared" si="18"/>
        <v>0</v>
      </c>
      <c r="X43" s="646">
        <f t="shared" si="18"/>
        <v>0</v>
      </c>
      <c r="Y43" s="646">
        <f t="shared" si="18"/>
        <v>0</v>
      </c>
      <c r="Z43" s="646">
        <f t="shared" si="18"/>
        <v>0</v>
      </c>
      <c r="AA43" s="646">
        <f t="shared" si="18"/>
        <v>0</v>
      </c>
      <c r="AB43" s="646">
        <f t="shared" si="18"/>
        <v>0</v>
      </c>
      <c r="AC43" s="646">
        <f t="shared" si="18"/>
        <v>7500</v>
      </c>
      <c r="AD43" s="646">
        <f t="shared" si="18"/>
        <v>0</v>
      </c>
      <c r="AE43" s="646">
        <f t="shared" si="18"/>
        <v>0</v>
      </c>
      <c r="AF43" s="647">
        <f t="shared" si="18"/>
        <v>0</v>
      </c>
      <c r="AH43" s="646">
        <f t="shared" ref="AH43:AR43" si="19">(AH38-AG38)*$D$43</f>
        <v>0</v>
      </c>
      <c r="AI43" s="646">
        <f t="shared" si="19"/>
        <v>0</v>
      </c>
      <c r="AJ43" s="646">
        <f t="shared" si="19"/>
        <v>0</v>
      </c>
      <c r="AK43" s="646">
        <f t="shared" si="19"/>
        <v>0</v>
      </c>
      <c r="AL43" s="646">
        <f t="shared" si="19"/>
        <v>0</v>
      </c>
      <c r="AM43" s="646">
        <f t="shared" si="19"/>
        <v>7500</v>
      </c>
      <c r="AN43" s="646">
        <f t="shared" si="19"/>
        <v>0</v>
      </c>
      <c r="AO43" s="646">
        <f t="shared" si="19"/>
        <v>0</v>
      </c>
      <c r="AP43" s="646">
        <f t="shared" si="19"/>
        <v>0</v>
      </c>
      <c r="AQ43" s="646">
        <f t="shared" si="19"/>
        <v>7500</v>
      </c>
      <c r="AR43" s="647">
        <f t="shared" si="19"/>
        <v>0</v>
      </c>
      <c r="AT43" s="646">
        <f t="shared" ref="AT43:BD43" si="20">(AT38-AS38)*$D$43</f>
        <v>0</v>
      </c>
      <c r="AU43" s="646">
        <f t="shared" si="20"/>
        <v>0</v>
      </c>
      <c r="AV43" s="646">
        <f t="shared" si="20"/>
        <v>0</v>
      </c>
      <c r="AW43" s="646">
        <f t="shared" si="20"/>
        <v>7500</v>
      </c>
      <c r="AX43" s="646">
        <f t="shared" si="20"/>
        <v>0</v>
      </c>
      <c r="AY43" s="646">
        <f t="shared" si="20"/>
        <v>0</v>
      </c>
      <c r="AZ43" s="646">
        <f t="shared" si="20"/>
        <v>7500</v>
      </c>
      <c r="BA43" s="646">
        <f t="shared" si="20"/>
        <v>0</v>
      </c>
      <c r="BB43" s="646">
        <f t="shared" si="20"/>
        <v>0</v>
      </c>
      <c r="BC43" s="646">
        <f t="shared" si="20"/>
        <v>0</v>
      </c>
      <c r="BD43" s="647">
        <f t="shared" si="20"/>
        <v>7500</v>
      </c>
      <c r="BF43" s="646">
        <f t="shared" ref="BF43:BP43" si="21">(BF38-BE38)*$D$43</f>
        <v>7500</v>
      </c>
      <c r="BG43" s="646">
        <f t="shared" si="21"/>
        <v>0</v>
      </c>
      <c r="BH43" s="646">
        <f t="shared" si="21"/>
        <v>0</v>
      </c>
      <c r="BI43" s="646">
        <f t="shared" si="21"/>
        <v>7500</v>
      </c>
      <c r="BJ43" s="646">
        <f t="shared" si="21"/>
        <v>0</v>
      </c>
      <c r="BK43" s="646">
        <f t="shared" si="21"/>
        <v>7500</v>
      </c>
      <c r="BL43" s="646">
        <f t="shared" si="21"/>
        <v>0</v>
      </c>
      <c r="BM43" s="646">
        <f t="shared" si="21"/>
        <v>7500</v>
      </c>
      <c r="BN43" s="646">
        <f t="shared" si="21"/>
        <v>0</v>
      </c>
      <c r="BO43" s="646">
        <f t="shared" si="21"/>
        <v>7500</v>
      </c>
      <c r="BP43" s="647">
        <f t="shared" si="21"/>
        <v>0</v>
      </c>
    </row>
    <row r="44" spans="1:68" s="646" customFormat="1">
      <c r="A44" s="1007"/>
      <c r="B44" s="1008"/>
      <c r="C44" s="1009" t="s">
        <v>104</v>
      </c>
      <c r="D44" s="176">
        <v>600</v>
      </c>
      <c r="E44" s="1010" t="s">
        <v>67</v>
      </c>
      <c r="G44" s="1006"/>
      <c r="H44" s="1006"/>
      <c r="I44" s="646">
        <f>$D$44</f>
        <v>600</v>
      </c>
      <c r="J44" s="646">
        <f t="shared" ref="J44:T44" si="22">I44*J27/I27</f>
        <v>600</v>
      </c>
      <c r="K44" s="646">
        <f t="shared" si="22"/>
        <v>600</v>
      </c>
      <c r="L44" s="646">
        <f t="shared" si="22"/>
        <v>600</v>
      </c>
      <c r="M44" s="646">
        <f t="shared" si="22"/>
        <v>600</v>
      </c>
      <c r="N44" s="646">
        <f t="shared" si="22"/>
        <v>700</v>
      </c>
      <c r="O44" s="646">
        <f t="shared" si="22"/>
        <v>700</v>
      </c>
      <c r="P44" s="646">
        <f t="shared" si="22"/>
        <v>700</v>
      </c>
      <c r="Q44" s="646">
        <f t="shared" si="22"/>
        <v>700</v>
      </c>
      <c r="R44" s="646">
        <f t="shared" si="22"/>
        <v>700</v>
      </c>
      <c r="S44" s="646">
        <f t="shared" si="22"/>
        <v>700</v>
      </c>
      <c r="T44" s="647">
        <f t="shared" si="22"/>
        <v>700</v>
      </c>
      <c r="U44" s="646">
        <f>$D$44</f>
        <v>600</v>
      </c>
      <c r="V44" s="646">
        <f t="shared" ref="V44:AF44" si="23">U44*V27/U27</f>
        <v>257.14285714285717</v>
      </c>
      <c r="W44" s="646">
        <f t="shared" si="23"/>
        <v>257.14285714285717</v>
      </c>
      <c r="X44" s="646">
        <f t="shared" si="23"/>
        <v>257.14285714285717</v>
      </c>
      <c r="Y44" s="646">
        <f t="shared" si="23"/>
        <v>257.14285714285717</v>
      </c>
      <c r="Z44" s="646">
        <f t="shared" si="23"/>
        <v>257.14285714285717</v>
      </c>
      <c r="AA44" s="646">
        <f t="shared" si="23"/>
        <v>257.14285714285717</v>
      </c>
      <c r="AB44" s="646">
        <f t="shared" si="23"/>
        <v>257.14285714285717</v>
      </c>
      <c r="AC44" s="646">
        <f t="shared" si="23"/>
        <v>257.14285714285717</v>
      </c>
      <c r="AD44" s="646">
        <f t="shared" si="23"/>
        <v>257.14285714285717</v>
      </c>
      <c r="AE44" s="646">
        <f t="shared" si="23"/>
        <v>257.14285714285717</v>
      </c>
      <c r="AF44" s="647">
        <f t="shared" si="23"/>
        <v>257.14285714285717</v>
      </c>
      <c r="AG44" s="646">
        <f>$D$44</f>
        <v>600</v>
      </c>
      <c r="AH44" s="646">
        <f t="shared" ref="AH44:AR44" si="24">AG44*AH27/AG27</f>
        <v>1400</v>
      </c>
      <c r="AI44" s="646">
        <f t="shared" si="24"/>
        <v>1400</v>
      </c>
      <c r="AJ44" s="646">
        <f t="shared" si="24"/>
        <v>1600</v>
      </c>
      <c r="AK44" s="646">
        <f t="shared" si="24"/>
        <v>1600</v>
      </c>
      <c r="AL44" s="646">
        <f t="shared" si="24"/>
        <v>1600</v>
      </c>
      <c r="AM44" s="646">
        <f t="shared" si="24"/>
        <v>1600</v>
      </c>
      <c r="AN44" s="646">
        <f t="shared" si="24"/>
        <v>1600</v>
      </c>
      <c r="AO44" s="646">
        <f t="shared" si="24"/>
        <v>1600</v>
      </c>
      <c r="AP44" s="646">
        <f t="shared" si="24"/>
        <v>1800</v>
      </c>
      <c r="AQ44" s="646">
        <f t="shared" si="24"/>
        <v>1800</v>
      </c>
      <c r="AR44" s="647">
        <f t="shared" si="24"/>
        <v>1800</v>
      </c>
      <c r="AS44" s="646">
        <f>$D$44</f>
        <v>600</v>
      </c>
      <c r="AT44" s="646">
        <f t="shared" ref="AT44:BD44" si="25">AS44*AT27/AS27</f>
        <v>600</v>
      </c>
      <c r="AU44" s="646">
        <f t="shared" si="25"/>
        <v>600</v>
      </c>
      <c r="AV44" s="646">
        <f t="shared" si="25"/>
        <v>600</v>
      </c>
      <c r="AW44" s="646">
        <f t="shared" si="25"/>
        <v>660</v>
      </c>
      <c r="AX44" s="646">
        <f t="shared" si="25"/>
        <v>660</v>
      </c>
      <c r="AY44" s="646">
        <f t="shared" si="25"/>
        <v>660</v>
      </c>
      <c r="AZ44" s="646">
        <f t="shared" si="25"/>
        <v>720</v>
      </c>
      <c r="BA44" s="646">
        <f t="shared" si="25"/>
        <v>720</v>
      </c>
      <c r="BB44" s="646">
        <f t="shared" si="25"/>
        <v>780</v>
      </c>
      <c r="BC44" s="646">
        <f t="shared" si="25"/>
        <v>780</v>
      </c>
      <c r="BD44" s="647">
        <f t="shared" si="25"/>
        <v>840</v>
      </c>
      <c r="BE44" s="646">
        <f>$D$44</f>
        <v>600</v>
      </c>
      <c r="BF44" s="646">
        <f t="shared" ref="BF44:BP44" si="26">BE44*BF27/BE27</f>
        <v>642.85714285714289</v>
      </c>
      <c r="BG44" s="646">
        <f t="shared" si="26"/>
        <v>642.85714285714289</v>
      </c>
      <c r="BH44" s="646">
        <f t="shared" si="26"/>
        <v>685.71428571428578</v>
      </c>
      <c r="BI44" s="646">
        <f t="shared" si="26"/>
        <v>685.71428571428578</v>
      </c>
      <c r="BJ44" s="646">
        <f t="shared" si="26"/>
        <v>728.57142857142867</v>
      </c>
      <c r="BK44" s="646">
        <f t="shared" si="26"/>
        <v>771.42857142857156</v>
      </c>
      <c r="BL44" s="646">
        <f t="shared" si="26"/>
        <v>771.42857142857156</v>
      </c>
      <c r="BM44" s="646">
        <f t="shared" si="26"/>
        <v>814.28571428571433</v>
      </c>
      <c r="BN44" s="646">
        <f t="shared" si="26"/>
        <v>857.14285714285722</v>
      </c>
      <c r="BO44" s="646">
        <f t="shared" si="26"/>
        <v>857.14285714285722</v>
      </c>
      <c r="BP44" s="647">
        <f t="shared" si="26"/>
        <v>900</v>
      </c>
    </row>
    <row r="45" spans="1:68" s="646" customFormat="1">
      <c r="A45" s="1007"/>
      <c r="B45" s="1008"/>
      <c r="C45" s="1009" t="s">
        <v>249</v>
      </c>
      <c r="D45" s="176">
        <v>1700</v>
      </c>
      <c r="E45" s="1010" t="s">
        <v>182</v>
      </c>
      <c r="G45" s="1006"/>
      <c r="H45" s="1006"/>
      <c r="I45" s="646">
        <f>HR!AV15*Expenses!$D$45</f>
        <v>10200</v>
      </c>
      <c r="J45" s="646">
        <f>IF(HR!E15-HR!D15&gt;0,(HR!E15-HR!D15)*Expenses!$D$45,0)</f>
        <v>0</v>
      </c>
      <c r="K45" s="646">
        <f>IF(HR!F15-HR!E15&gt;0,(HR!F15-HR!E15)*Expenses!$D$45,0)</f>
        <v>0</v>
      </c>
      <c r="L45" s="646">
        <f>IF(HR!G15-HR!F15&gt;0,(HR!G15-HR!F15)*Expenses!$D$45,0)</f>
        <v>0</v>
      </c>
      <c r="M45" s="646">
        <f>IF(HR!H15-HR!G15&gt;0,(HR!H15-HR!G15)*Expenses!$D$45,0)</f>
        <v>0</v>
      </c>
      <c r="N45" s="646">
        <f>IF(HR!I15-HR!H15&gt;0,(HR!I15-HR!H15)*Expenses!$D$45,0)</f>
        <v>1700</v>
      </c>
      <c r="O45" s="646">
        <f>IF(HR!J15-HR!I15&gt;0,(HR!J15-HR!I15)*Expenses!$D$45,0)</f>
        <v>0</v>
      </c>
      <c r="P45" s="646">
        <f>IF(HR!K15-HR!J15&gt;0,(HR!K15-HR!J15)*Expenses!$D$45,0)</f>
        <v>0</v>
      </c>
      <c r="Q45" s="646">
        <f>IF(HR!L15-HR!K15&gt;0,(HR!L15-HR!K15)*Expenses!$D$45,0)</f>
        <v>0</v>
      </c>
      <c r="R45" s="646">
        <f>IF(HR!M15-HR!L15&gt;0,(HR!M15-HR!L15)*Expenses!$D$45,0)</f>
        <v>0</v>
      </c>
      <c r="S45" s="646">
        <f>IF(HR!N15-HR!M15&gt;0,(HR!N15-HR!M15)*Expenses!$D$45,0)</f>
        <v>0</v>
      </c>
      <c r="T45" s="647">
        <f>IF(HR!O15-HR!N15&gt;0,(HR!O15-HR!N15)*Expenses!$D$45,0)</f>
        <v>0</v>
      </c>
      <c r="U45" s="646">
        <f>IF(HR!BN15-HR!O15&gt;0,(HR!BN15-HR!O15)*Expenses!$D$45,0)</f>
        <v>0</v>
      </c>
      <c r="V45" s="646">
        <f>IF(HR!BO15-HR!BN15&gt;0,(HR!BO15-HR!BN15)*Expenses!$D$45,0)</f>
        <v>0</v>
      </c>
      <c r="W45" s="646">
        <f>IF(HR!BP15-HR!BO15&gt;0,(HR!BP15-HR!BO15)*Expenses!$D$45,0)</f>
        <v>0</v>
      </c>
      <c r="X45" s="646">
        <f>IF(HR!BQ15-HR!BP15&gt;0,(HR!BQ15-HR!BP15)*Expenses!$D$45,0)</f>
        <v>0</v>
      </c>
      <c r="Y45" s="646">
        <f>IF(HR!BR15-HR!BQ15&gt;0,(HR!BR15-HR!BQ15)*Expenses!$D$45,0)</f>
        <v>0</v>
      </c>
      <c r="Z45" s="646">
        <f>IF(HR!BS15-HR!BR15&gt;0,(HR!BS15-HR!BR15)*Expenses!$D$45,0)</f>
        <v>0</v>
      </c>
      <c r="AA45" s="646">
        <f>IF(HR!BT15-HR!BS15&gt;0,(HR!BT15-HR!BS15)*Expenses!$D$45,0)</f>
        <v>0</v>
      </c>
      <c r="AB45" s="646">
        <f>IF(HR!BU15-HR!BT15&gt;0,(HR!BU15-HR!BT15)*Expenses!$D$45,0)</f>
        <v>0</v>
      </c>
      <c r="AC45" s="646">
        <f>IF(HR!BV15-HR!BU15&gt;0,(HR!BV15-HR!BU15)*Expenses!$D$45,0)</f>
        <v>0</v>
      </c>
      <c r="AD45" s="646">
        <f>IF(HR!BW15-HR!BV15&gt;0,(HR!BW15-HR!BV15)*Expenses!$D$45,0)</f>
        <v>0</v>
      </c>
      <c r="AE45" s="646">
        <f>IF(HR!BX15-HR!BW15&gt;0,(HR!BX15-HR!BW15)*Expenses!$D$45,0)</f>
        <v>0</v>
      </c>
      <c r="AF45" s="647">
        <f>IF(HR!BY15-HR!BX15&gt;0,(HR!BY15-HR!BX15)*Expenses!$D$45,0)</f>
        <v>0</v>
      </c>
      <c r="AG45" s="646">
        <f>IF(HR!BZ15-HR!BY15&gt;0,(HR!BZ15-HR!BY15)*Expenses!$D$45,0)</f>
        <v>0</v>
      </c>
      <c r="AH45" s="646">
        <f>IF(HR!P15-HR!BZ15&gt;0,(HR!P15-HR!BZ15)*Expenses!$D$45,0)</f>
        <v>1700</v>
      </c>
      <c r="AI45" s="646">
        <f>IF(HR!Q15-HR!P15&gt;0,(HR!Q15-HR!P15)*Expenses!$D$45,0)</f>
        <v>0</v>
      </c>
      <c r="AJ45" s="646">
        <f>IF(HR!R15-HR!Q15&gt;0,(HR!R15-HR!Q15)*Expenses!$D$45,0)</f>
        <v>0</v>
      </c>
      <c r="AK45" s="646">
        <f>IF(HR!S15-HR!R15&gt;0,(HR!S15-HR!R15)*Expenses!$D$45,0)</f>
        <v>0</v>
      </c>
      <c r="AL45" s="646">
        <f>IF(HR!T15-HR!S15&gt;0,(HR!T15-HR!S15)*Expenses!$D$45,0)</f>
        <v>0</v>
      </c>
      <c r="AM45" s="646">
        <f>IF(HR!U15-HR!T15&gt;0,(HR!U15-HR!T15)*Expenses!$D$45,0)</f>
        <v>0</v>
      </c>
      <c r="AN45" s="646">
        <f>IF(HR!V15-HR!U15&gt;0,(HR!V15-HR!U15)*Expenses!$D$45,0)</f>
        <v>0</v>
      </c>
      <c r="AO45" s="646">
        <f>IF(HR!W15-HR!V15&gt;0,(HR!W15-HR!V15)*Expenses!$D$45,0)</f>
        <v>0</v>
      </c>
      <c r="AP45" s="646">
        <f>IF(HR!X15-HR!W15&gt;0,(HR!X15-HR!W15)*Expenses!$D$45,0)</f>
        <v>1700</v>
      </c>
      <c r="AQ45" s="646">
        <f>IF(HR!Y15-HR!X15&gt;0,(HR!Y15-HR!X15)*Expenses!$D$45,0)</f>
        <v>0</v>
      </c>
      <c r="AR45" s="647">
        <f>IF(HR!Z15-HR!Y15&gt;0,(HR!Z15-HR!Y15)*Expenses!$D$45,0)</f>
        <v>0</v>
      </c>
      <c r="AS45" s="646">
        <f>IF(HR!AA15-HR!Z15&gt;0,(HR!AA15-HR!Z15)*Expenses!$D$45,0)</f>
        <v>0</v>
      </c>
      <c r="AT45" s="646">
        <f>IF(HR!AB15-HR!AA15&gt;0,(HR!AB15-HR!AA15)*Expenses!$D$45,0)</f>
        <v>0</v>
      </c>
      <c r="AU45" s="646">
        <f>IF(HR!AC15-HR!AB15&gt;0,(HR!AC15-HR!AB15)*Expenses!$D$45,0)</f>
        <v>0</v>
      </c>
      <c r="AV45" s="646">
        <f>IF(HR!AD15-HR!AC15&gt;0,(HR!AD15-HR!AC15)*Expenses!$D$45,0)</f>
        <v>0</v>
      </c>
      <c r="AW45" s="646">
        <f>IF(HR!AE15-HR!AD15&gt;0,(HR!AE15-HR!AD15)*Expenses!$D$45,0)</f>
        <v>0</v>
      </c>
      <c r="AX45" s="646">
        <f>IF(HR!AF15-HR!AE15&gt;0,(HR!AF15-HR!AE15)*Expenses!$D$45,0)</f>
        <v>0</v>
      </c>
      <c r="AY45" s="646">
        <f>IF(HR!AG15-HR!AF15&gt;0,(HR!AG15-HR!AF15)*Expenses!$D$45,0)</f>
        <v>0</v>
      </c>
      <c r="AZ45" s="646">
        <f>IF(HR!AH15-HR!AG15&gt;0,(HR!AH15-HR!AG15)*Expenses!$D$45,0)</f>
        <v>1700</v>
      </c>
      <c r="BA45" s="646">
        <f>IF(HR!AI15-HR!AH15&gt;0,(HR!AI15-HR!AH15)*Expenses!$D$45,0)</f>
        <v>0</v>
      </c>
      <c r="BB45" s="646">
        <f>IF(HR!AJ15-HR!AI15&gt;0,(HR!AJ15-HR!AI15)*Expenses!$D$45,0)</f>
        <v>0</v>
      </c>
      <c r="BC45" s="646">
        <f>IF(HR!AK15-HR!AJ15&gt;0,(HR!AK15-HR!AJ15)*Expenses!$D$45,0)</f>
        <v>0</v>
      </c>
      <c r="BD45" s="647">
        <f>IF(HR!AL15-HR!AK15&gt;0,(HR!AL15-HR!AK15)*Expenses!$D$45,0)</f>
        <v>1700</v>
      </c>
      <c r="BE45" s="646">
        <f>IF(HR!AM15-HR!AL15&gt;0,(HR!AM15-HR!AL15)*Expenses!$D$45,0)</f>
        <v>0</v>
      </c>
      <c r="BF45" s="646">
        <f>IF(HR!AN15-HR!AM15&gt;0,(HR!AN15-HR!AM15)*Expenses!$D$45,0)</f>
        <v>0</v>
      </c>
      <c r="BG45" s="646">
        <f>IF(HR!AO15-HR!AN15&gt;0,(HR!AO15-HR!AN15)*Expenses!$D$45,0)</f>
        <v>0</v>
      </c>
      <c r="BH45" s="646">
        <f>IF(HR!AP15-HR!AO15&gt;0,(HR!AP15-HR!AO15)*Expenses!$D$45,0)</f>
        <v>0</v>
      </c>
      <c r="BI45" s="646">
        <f>IF(HR!AQ15-HR!AP15&gt;0,(HR!AQ15-HR!AP15)*Expenses!$D$45,0)</f>
        <v>0</v>
      </c>
      <c r="BJ45" s="646">
        <f>IF(HR!AR15-HR!AQ15&gt;0,(HR!AR15-HR!AQ15)*Expenses!$D$45,0)</f>
        <v>1700</v>
      </c>
      <c r="BK45" s="646">
        <f>IF(HR!AS15-HR!AR15&gt;0,(HR!AS15-HR!AR15)*Expenses!$D$45,0)</f>
        <v>0</v>
      </c>
      <c r="BL45" s="646">
        <f>IF(HR!AT15-HR!AS15&gt;0,(HR!AT15-HR!AS15)*Expenses!$D$45,0)</f>
        <v>0</v>
      </c>
      <c r="BM45" s="646">
        <f>IF(HR!AU15-HR!AT15&gt;0,(HR!AU15-HR!AT15)*Expenses!$D$45,0)</f>
        <v>1700</v>
      </c>
      <c r="BN45" s="646">
        <f>IF(HR!AV15-HR!AU15&gt;0,(HR!AV15-HR!AU15)*Expenses!$D$45,0)</f>
        <v>0</v>
      </c>
      <c r="BO45" s="646">
        <f>IF(HR!AW15-HR!AV15&gt;0,(HR!AW15-HR!AV15)*Expenses!$D$45,0)</f>
        <v>0</v>
      </c>
      <c r="BP45" s="647">
        <f>IF(HR!AX15-HR!AW15&gt;0,(HR!AX15-HR!AW15)*Expenses!$D$45,0)</f>
        <v>0</v>
      </c>
    </row>
    <row r="46" spans="1:68" s="646" customFormat="1">
      <c r="A46" s="1011"/>
      <c r="B46" s="1012"/>
      <c r="C46" s="1004" t="s">
        <v>85</v>
      </c>
      <c r="D46" s="176">
        <v>60</v>
      </c>
      <c r="E46" s="1005" t="s">
        <v>84</v>
      </c>
      <c r="G46" s="1006" t="e">
        <f>$G$27*D46</f>
        <v>#REF!</v>
      </c>
      <c r="H46" s="1006">
        <f>$H$27*D46</f>
        <v>120</v>
      </c>
      <c r="I46" s="646">
        <f t="shared" ref="I46:AN46" si="27">I27*$D$46</f>
        <v>360</v>
      </c>
      <c r="J46" s="646">
        <f t="shared" si="27"/>
        <v>360</v>
      </c>
      <c r="K46" s="646">
        <f t="shared" si="27"/>
        <v>360</v>
      </c>
      <c r="L46" s="646">
        <f t="shared" si="27"/>
        <v>360</v>
      </c>
      <c r="M46" s="646">
        <f t="shared" si="27"/>
        <v>360</v>
      </c>
      <c r="N46" s="646">
        <f t="shared" si="27"/>
        <v>420</v>
      </c>
      <c r="O46" s="646">
        <f t="shared" si="27"/>
        <v>420</v>
      </c>
      <c r="P46" s="646">
        <f t="shared" si="27"/>
        <v>420</v>
      </c>
      <c r="Q46" s="646">
        <f t="shared" si="27"/>
        <v>420</v>
      </c>
      <c r="R46" s="646">
        <f t="shared" si="27"/>
        <v>420</v>
      </c>
      <c r="S46" s="646">
        <f t="shared" si="27"/>
        <v>420</v>
      </c>
      <c r="T46" s="647">
        <f t="shared" si="27"/>
        <v>420</v>
      </c>
      <c r="U46" s="646">
        <f t="shared" si="27"/>
        <v>420</v>
      </c>
      <c r="V46" s="646">
        <f t="shared" si="27"/>
        <v>180</v>
      </c>
      <c r="W46" s="646">
        <f t="shared" si="27"/>
        <v>180</v>
      </c>
      <c r="X46" s="646">
        <f t="shared" si="27"/>
        <v>180</v>
      </c>
      <c r="Y46" s="646">
        <f t="shared" si="27"/>
        <v>180</v>
      </c>
      <c r="Z46" s="646">
        <f t="shared" si="27"/>
        <v>180</v>
      </c>
      <c r="AA46" s="646">
        <f t="shared" si="27"/>
        <v>180</v>
      </c>
      <c r="AB46" s="646">
        <f t="shared" si="27"/>
        <v>180</v>
      </c>
      <c r="AC46" s="646">
        <f t="shared" si="27"/>
        <v>180</v>
      </c>
      <c r="AD46" s="646">
        <f t="shared" si="27"/>
        <v>180</v>
      </c>
      <c r="AE46" s="646">
        <f t="shared" si="27"/>
        <v>180</v>
      </c>
      <c r="AF46" s="647">
        <f t="shared" si="27"/>
        <v>180</v>
      </c>
      <c r="AG46" s="646">
        <f t="shared" si="27"/>
        <v>180</v>
      </c>
      <c r="AH46" s="646">
        <f t="shared" si="27"/>
        <v>420</v>
      </c>
      <c r="AI46" s="646">
        <f t="shared" si="27"/>
        <v>420</v>
      </c>
      <c r="AJ46" s="646">
        <f t="shared" si="27"/>
        <v>480</v>
      </c>
      <c r="AK46" s="646">
        <f t="shared" si="27"/>
        <v>480</v>
      </c>
      <c r="AL46" s="646">
        <f t="shared" si="27"/>
        <v>480</v>
      </c>
      <c r="AM46" s="646">
        <f t="shared" si="27"/>
        <v>480</v>
      </c>
      <c r="AN46" s="646">
        <f t="shared" si="27"/>
        <v>480</v>
      </c>
      <c r="AO46" s="646">
        <f t="shared" ref="AO46:BP46" si="28">AO27*$D$46</f>
        <v>480</v>
      </c>
      <c r="AP46" s="646">
        <f t="shared" si="28"/>
        <v>540</v>
      </c>
      <c r="AQ46" s="646">
        <f t="shared" si="28"/>
        <v>540</v>
      </c>
      <c r="AR46" s="647">
        <f t="shared" si="28"/>
        <v>540</v>
      </c>
      <c r="AS46" s="646">
        <f t="shared" si="28"/>
        <v>600</v>
      </c>
      <c r="AT46" s="646">
        <f t="shared" si="28"/>
        <v>600</v>
      </c>
      <c r="AU46" s="646">
        <f t="shared" si="28"/>
        <v>600</v>
      </c>
      <c r="AV46" s="646">
        <f t="shared" si="28"/>
        <v>600</v>
      </c>
      <c r="AW46" s="646">
        <f t="shared" si="28"/>
        <v>660</v>
      </c>
      <c r="AX46" s="646">
        <f t="shared" si="28"/>
        <v>660</v>
      </c>
      <c r="AY46" s="646">
        <f t="shared" si="28"/>
        <v>660</v>
      </c>
      <c r="AZ46" s="646">
        <f t="shared" si="28"/>
        <v>720</v>
      </c>
      <c r="BA46" s="646">
        <f t="shared" si="28"/>
        <v>720</v>
      </c>
      <c r="BB46" s="646">
        <f t="shared" si="28"/>
        <v>780</v>
      </c>
      <c r="BC46" s="646">
        <f t="shared" si="28"/>
        <v>780</v>
      </c>
      <c r="BD46" s="647">
        <f t="shared" si="28"/>
        <v>840</v>
      </c>
      <c r="BE46" s="646">
        <f t="shared" si="28"/>
        <v>840</v>
      </c>
      <c r="BF46" s="646">
        <f t="shared" si="28"/>
        <v>900</v>
      </c>
      <c r="BG46" s="646">
        <f t="shared" si="28"/>
        <v>900</v>
      </c>
      <c r="BH46" s="646">
        <f t="shared" si="28"/>
        <v>960</v>
      </c>
      <c r="BI46" s="646">
        <f t="shared" si="28"/>
        <v>960</v>
      </c>
      <c r="BJ46" s="646">
        <f t="shared" si="28"/>
        <v>1020</v>
      </c>
      <c r="BK46" s="646">
        <f t="shared" si="28"/>
        <v>1080</v>
      </c>
      <c r="BL46" s="646">
        <f t="shared" si="28"/>
        <v>1080</v>
      </c>
      <c r="BM46" s="646">
        <f t="shared" si="28"/>
        <v>1140</v>
      </c>
      <c r="BN46" s="646">
        <f t="shared" si="28"/>
        <v>1200</v>
      </c>
      <c r="BO46" s="646">
        <f t="shared" si="28"/>
        <v>1200</v>
      </c>
      <c r="BP46" s="647">
        <f t="shared" si="28"/>
        <v>1260</v>
      </c>
    </row>
    <row r="47" spans="1:68" s="646" customFormat="1">
      <c r="A47" s="1007"/>
      <c r="B47" s="1008"/>
      <c r="C47" s="1009" t="s">
        <v>86</v>
      </c>
      <c r="D47" s="176">
        <v>15</v>
      </c>
      <c r="E47" s="1010" t="s">
        <v>84</v>
      </c>
      <c r="G47" s="1006" t="e">
        <f>$G$9*$D$47</f>
        <v>#REF!</v>
      </c>
      <c r="H47" s="1006" t="e">
        <f>$H$9*$D$47</f>
        <v>#REF!</v>
      </c>
      <c r="I47" s="646">
        <f>$D47*HR!D2</f>
        <v>15</v>
      </c>
      <c r="J47" s="646">
        <f>$D47*HR!E2</f>
        <v>15</v>
      </c>
      <c r="K47" s="646">
        <f>$D47*HR!F2</f>
        <v>15</v>
      </c>
      <c r="L47" s="646">
        <f>$D47*HR!G2</f>
        <v>15</v>
      </c>
      <c r="M47" s="646">
        <f>$D47*HR!H2</f>
        <v>15</v>
      </c>
      <c r="N47" s="646">
        <f>$D47*HR!I2</f>
        <v>30</v>
      </c>
      <c r="O47" s="646">
        <f>$D47*HR!J2</f>
        <v>30</v>
      </c>
      <c r="P47" s="646">
        <f>$D47*HR!K2</f>
        <v>30</v>
      </c>
      <c r="Q47" s="646">
        <f>$D47*HR!L2</f>
        <v>30</v>
      </c>
      <c r="R47" s="646">
        <f>$D47*HR!M2</f>
        <v>30</v>
      </c>
      <c r="S47" s="646">
        <f>$D47*HR!N2</f>
        <v>30</v>
      </c>
      <c r="T47" s="647">
        <f>$D47*HR!O2</f>
        <v>30</v>
      </c>
      <c r="U47" s="646">
        <f>$D47*HR!BN2</f>
        <v>0</v>
      </c>
      <c r="V47" s="646">
        <f>$D47*HR!BO2</f>
        <v>0</v>
      </c>
      <c r="W47" s="646">
        <f>$D47*HR!BP2</f>
        <v>0</v>
      </c>
      <c r="X47" s="646">
        <f>$D47*HR!BQ2</f>
        <v>0</v>
      </c>
      <c r="Y47" s="646">
        <f>$D47*HR!BR2</f>
        <v>0</v>
      </c>
      <c r="Z47" s="646">
        <f>$D47*HR!BS2</f>
        <v>0</v>
      </c>
      <c r="AA47" s="646">
        <f>$D47*HR!BT2</f>
        <v>0</v>
      </c>
      <c r="AB47" s="646">
        <f>$D47*HR!BU2</f>
        <v>0</v>
      </c>
      <c r="AC47" s="646">
        <f>$D47*HR!BV2</f>
        <v>0</v>
      </c>
      <c r="AD47" s="646">
        <f>$D47*HR!BW2</f>
        <v>0</v>
      </c>
      <c r="AE47" s="646">
        <f>$D47*HR!BX2</f>
        <v>0</v>
      </c>
      <c r="AF47" s="647">
        <f>$D47*HR!BY2</f>
        <v>0</v>
      </c>
      <c r="AG47" s="646">
        <f>$D47*HR!BZ2</f>
        <v>0</v>
      </c>
      <c r="AH47" s="646">
        <f>$D47*HR!P2</f>
        <v>30</v>
      </c>
      <c r="AI47" s="646">
        <f>$D47*HR!Q2</f>
        <v>30</v>
      </c>
      <c r="AJ47" s="646">
        <f>$D47*HR!R2</f>
        <v>45</v>
      </c>
      <c r="AK47" s="646">
        <f>$D47*HR!S2</f>
        <v>45</v>
      </c>
      <c r="AL47" s="646">
        <f>$D47*HR!T2</f>
        <v>45</v>
      </c>
      <c r="AM47" s="646">
        <f>$D47*HR!U2</f>
        <v>45</v>
      </c>
      <c r="AN47" s="646">
        <f>$D47*HR!V2</f>
        <v>45</v>
      </c>
      <c r="AO47" s="646">
        <f>$D47*HR!W2</f>
        <v>45</v>
      </c>
      <c r="AP47" s="646">
        <f>$D47*HR!X2</f>
        <v>60</v>
      </c>
      <c r="AQ47" s="646">
        <f>$D47*HR!Y2</f>
        <v>60</v>
      </c>
      <c r="AR47" s="647">
        <f>$D47*HR!Z2</f>
        <v>60</v>
      </c>
      <c r="AS47" s="646">
        <f>$D47*HR!AA2</f>
        <v>75</v>
      </c>
      <c r="AT47" s="646">
        <f>$D47*HR!AB2</f>
        <v>75</v>
      </c>
      <c r="AU47" s="646">
        <f>$D47*HR!AC2</f>
        <v>75</v>
      </c>
      <c r="AV47" s="646">
        <f>$D47*HR!AD2</f>
        <v>75</v>
      </c>
      <c r="AW47" s="646">
        <f>$D47*HR!AE2</f>
        <v>90</v>
      </c>
      <c r="AX47" s="646">
        <f>$D47*HR!AF2</f>
        <v>90</v>
      </c>
      <c r="AY47" s="646">
        <f>$D47*HR!AG2</f>
        <v>90</v>
      </c>
      <c r="AZ47" s="646">
        <f>$D47*HR!AH2</f>
        <v>105</v>
      </c>
      <c r="BA47" s="646">
        <f>$D47*HR!AI2</f>
        <v>105</v>
      </c>
      <c r="BB47" s="646">
        <f>$D47*HR!AJ2</f>
        <v>120</v>
      </c>
      <c r="BC47" s="646">
        <f>$D47*HR!AK2</f>
        <v>120</v>
      </c>
      <c r="BD47" s="647">
        <f>$D47*HR!AL2</f>
        <v>135</v>
      </c>
      <c r="BE47" s="646">
        <f>$D47*HR!AM2</f>
        <v>135</v>
      </c>
      <c r="BF47" s="646">
        <f>$D47*HR!AN2</f>
        <v>150</v>
      </c>
      <c r="BG47" s="646">
        <f>$D47*HR!AO2</f>
        <v>150</v>
      </c>
      <c r="BH47" s="646">
        <f>$D47*HR!AP2</f>
        <v>165</v>
      </c>
      <c r="BI47" s="646">
        <f>$D47*HR!AQ2</f>
        <v>165</v>
      </c>
      <c r="BJ47" s="646">
        <f>$D47*HR!AR2</f>
        <v>180</v>
      </c>
      <c r="BK47" s="646">
        <f>$D47*HR!AS2</f>
        <v>195</v>
      </c>
      <c r="BL47" s="646">
        <f>$D47*HR!AT2</f>
        <v>195</v>
      </c>
      <c r="BM47" s="646">
        <f>$D47*HR!AU2</f>
        <v>210</v>
      </c>
      <c r="BN47" s="646">
        <f>$D47*HR!AV2</f>
        <v>225</v>
      </c>
      <c r="BO47" s="646">
        <f>$D47*HR!AW2</f>
        <v>225</v>
      </c>
      <c r="BP47" s="647">
        <f>$D47*HR!AX2</f>
        <v>240</v>
      </c>
    </row>
    <row r="48" spans="1:68" s="651" customFormat="1">
      <c r="A48" s="1020"/>
      <c r="B48" s="1021"/>
      <c r="C48" s="1022" t="s">
        <v>87</v>
      </c>
      <c r="D48" s="634">
        <v>15</v>
      </c>
      <c r="E48" s="1016" t="s">
        <v>84</v>
      </c>
      <c r="G48" s="1017" t="e">
        <f>$G$9*$D$48</f>
        <v>#REF!</v>
      </c>
      <c r="H48" s="1017"/>
      <c r="I48" s="651">
        <f>$D48*HR!D2</f>
        <v>15</v>
      </c>
      <c r="J48" s="651">
        <f>$D48*HR!E2</f>
        <v>15</v>
      </c>
      <c r="K48" s="651">
        <f>$D48*HR!F2</f>
        <v>15</v>
      </c>
      <c r="L48" s="651">
        <f>$D48*HR!G2</f>
        <v>15</v>
      </c>
      <c r="M48" s="651">
        <f>$D48*HR!H2</f>
        <v>15</v>
      </c>
      <c r="N48" s="651">
        <f>$D48*HR!I2</f>
        <v>30</v>
      </c>
      <c r="O48" s="651">
        <f>$D48*HR!J2</f>
        <v>30</v>
      </c>
      <c r="P48" s="651">
        <f>$D48*HR!K2</f>
        <v>30</v>
      </c>
      <c r="Q48" s="651">
        <f>$D48*HR!L2</f>
        <v>30</v>
      </c>
      <c r="R48" s="651">
        <f>$D48*HR!M2</f>
        <v>30</v>
      </c>
      <c r="S48" s="651">
        <f>$D48*HR!N2</f>
        <v>30</v>
      </c>
      <c r="T48" s="652">
        <f>$D48*HR!O2</f>
        <v>30</v>
      </c>
      <c r="U48" s="651">
        <f>$D48*HR!BN2</f>
        <v>0</v>
      </c>
      <c r="V48" s="651">
        <f>$D48*HR!BO2</f>
        <v>0</v>
      </c>
      <c r="W48" s="651">
        <f>$D48*HR!BP2</f>
        <v>0</v>
      </c>
      <c r="X48" s="651">
        <f>$D48*HR!BQ2</f>
        <v>0</v>
      </c>
      <c r="Y48" s="651">
        <f>$D48*HR!BR2</f>
        <v>0</v>
      </c>
      <c r="Z48" s="651">
        <f>$D48*HR!BS2</f>
        <v>0</v>
      </c>
      <c r="AA48" s="651">
        <f>$D48*HR!BT2</f>
        <v>0</v>
      </c>
      <c r="AB48" s="651">
        <f>$D48*HR!BU2</f>
        <v>0</v>
      </c>
      <c r="AC48" s="651">
        <f>$D48*HR!BV2</f>
        <v>0</v>
      </c>
      <c r="AD48" s="651">
        <f>$D48*HR!BW2</f>
        <v>0</v>
      </c>
      <c r="AE48" s="651">
        <f>$D48*HR!BX2</f>
        <v>0</v>
      </c>
      <c r="AF48" s="652">
        <f>$D48*HR!BY2</f>
        <v>0</v>
      </c>
      <c r="AG48" s="651">
        <f>$D48*HR!BZ2</f>
        <v>0</v>
      </c>
      <c r="AH48" s="651">
        <f>$D48*HR!P2</f>
        <v>30</v>
      </c>
      <c r="AI48" s="651">
        <f>$D48*HR!Q2</f>
        <v>30</v>
      </c>
      <c r="AJ48" s="651">
        <f>$D48*HR!R2</f>
        <v>45</v>
      </c>
      <c r="AK48" s="651">
        <f>$D48*HR!S2</f>
        <v>45</v>
      </c>
      <c r="AL48" s="651">
        <f>$D48*HR!T2</f>
        <v>45</v>
      </c>
      <c r="AM48" s="651">
        <f>$D48*HR!U2</f>
        <v>45</v>
      </c>
      <c r="AN48" s="651">
        <f>$D48*HR!V2</f>
        <v>45</v>
      </c>
      <c r="AO48" s="651">
        <f>$D48*HR!W2</f>
        <v>45</v>
      </c>
      <c r="AP48" s="651">
        <f>$D48*HR!X2</f>
        <v>60</v>
      </c>
      <c r="AQ48" s="651">
        <f>$D48*HR!Y2</f>
        <v>60</v>
      </c>
      <c r="AR48" s="652">
        <f>$D48*HR!Z2</f>
        <v>60</v>
      </c>
      <c r="AS48" s="651">
        <f>$D48*HR!AA2</f>
        <v>75</v>
      </c>
      <c r="AT48" s="651">
        <f>$D48*HR!AB2</f>
        <v>75</v>
      </c>
      <c r="AU48" s="651">
        <f>$D48*HR!AC2</f>
        <v>75</v>
      </c>
      <c r="AV48" s="651">
        <f>$D48*HR!AD2</f>
        <v>75</v>
      </c>
      <c r="AW48" s="651">
        <f>$D48*HR!AE2</f>
        <v>90</v>
      </c>
      <c r="AX48" s="651">
        <f>$D48*HR!AF2</f>
        <v>90</v>
      </c>
      <c r="AY48" s="651">
        <f>$D48*HR!AG2</f>
        <v>90</v>
      </c>
      <c r="AZ48" s="651">
        <f>$D48*HR!AH2</f>
        <v>105</v>
      </c>
      <c r="BA48" s="651">
        <f>$D48*HR!AI2</f>
        <v>105</v>
      </c>
      <c r="BB48" s="651">
        <f>$D48*HR!AJ2</f>
        <v>120</v>
      </c>
      <c r="BC48" s="651">
        <f>$D48*HR!AK2</f>
        <v>120</v>
      </c>
      <c r="BD48" s="652">
        <f>$D48*HR!AL2</f>
        <v>135</v>
      </c>
      <c r="BE48" s="651">
        <f>$D48*HR!AM2</f>
        <v>135</v>
      </c>
      <c r="BF48" s="651">
        <f>$D48*HR!AN2</f>
        <v>150</v>
      </c>
      <c r="BG48" s="651">
        <f>$D48*HR!AO2</f>
        <v>150</v>
      </c>
      <c r="BH48" s="651">
        <f>$D48*HR!AP2</f>
        <v>165</v>
      </c>
      <c r="BI48" s="651">
        <f>$D48*HR!AQ2</f>
        <v>165</v>
      </c>
      <c r="BJ48" s="651">
        <f>$D48*HR!AR2</f>
        <v>180</v>
      </c>
      <c r="BK48" s="651">
        <f>$D48*HR!AS2</f>
        <v>195</v>
      </c>
      <c r="BL48" s="651">
        <f>$D48*HR!AT2</f>
        <v>195</v>
      </c>
      <c r="BM48" s="651">
        <f>$D48*HR!AU2</f>
        <v>210</v>
      </c>
      <c r="BN48" s="651">
        <f>$D48*HR!AV2</f>
        <v>225</v>
      </c>
      <c r="BO48" s="651">
        <f>$D48*HR!AW2</f>
        <v>225</v>
      </c>
      <c r="BP48" s="652">
        <f>$D48*HR!AX2</f>
        <v>240</v>
      </c>
    </row>
    <row r="49" spans="1:68" s="327" customFormat="1">
      <c r="A49" s="297"/>
      <c r="B49" s="298"/>
      <c r="C49" s="299"/>
      <c r="D49" s="300"/>
      <c r="E49" s="300"/>
      <c r="G49" s="328" t="e">
        <f t="shared" ref="G49:AL49" si="29">SUM(G42:G48)</f>
        <v>#REF!</v>
      </c>
      <c r="H49" s="328" t="e">
        <f t="shared" si="29"/>
        <v>#REF!</v>
      </c>
      <c r="I49" s="1059">
        <f t="shared" si="29"/>
        <v>18840</v>
      </c>
      <c r="J49" s="1059">
        <f t="shared" si="29"/>
        <v>1140</v>
      </c>
      <c r="K49" s="1059">
        <f t="shared" si="29"/>
        <v>1140</v>
      </c>
      <c r="L49" s="1059">
        <f t="shared" si="29"/>
        <v>1140</v>
      </c>
      <c r="M49" s="1059">
        <f t="shared" si="29"/>
        <v>1140</v>
      </c>
      <c r="N49" s="1059">
        <f t="shared" si="29"/>
        <v>3055</v>
      </c>
      <c r="O49" s="1059">
        <f t="shared" si="29"/>
        <v>1355</v>
      </c>
      <c r="P49" s="1059">
        <f t="shared" si="29"/>
        <v>1355</v>
      </c>
      <c r="Q49" s="1059">
        <f t="shared" si="29"/>
        <v>1355</v>
      </c>
      <c r="R49" s="1059">
        <f t="shared" si="29"/>
        <v>1355</v>
      </c>
      <c r="S49" s="1059">
        <f t="shared" si="29"/>
        <v>1355</v>
      </c>
      <c r="T49" s="1060">
        <f t="shared" si="29"/>
        <v>1355</v>
      </c>
      <c r="U49" s="1059">
        <f t="shared" si="29"/>
        <v>1195</v>
      </c>
      <c r="V49" s="1059">
        <f t="shared" si="29"/>
        <v>512.14285714285711</v>
      </c>
      <c r="W49" s="1059">
        <f t="shared" si="29"/>
        <v>512.14285714285711</v>
      </c>
      <c r="X49" s="1059">
        <f t="shared" si="29"/>
        <v>512.14285714285711</v>
      </c>
      <c r="Y49" s="1059">
        <f t="shared" si="29"/>
        <v>512.14285714285711</v>
      </c>
      <c r="Z49" s="1059">
        <f t="shared" si="29"/>
        <v>512.14285714285711</v>
      </c>
      <c r="AA49" s="1059">
        <f t="shared" si="29"/>
        <v>512.14285714285711</v>
      </c>
      <c r="AB49" s="1059">
        <f t="shared" si="29"/>
        <v>512.14285714285711</v>
      </c>
      <c r="AC49" s="1059">
        <f t="shared" si="29"/>
        <v>8012.1428571428569</v>
      </c>
      <c r="AD49" s="1059">
        <f t="shared" si="29"/>
        <v>512.14285714285711</v>
      </c>
      <c r="AE49" s="1059">
        <f t="shared" si="29"/>
        <v>512.14285714285711</v>
      </c>
      <c r="AF49" s="1060">
        <f t="shared" si="29"/>
        <v>512.14285714285711</v>
      </c>
      <c r="AG49" s="1059">
        <f t="shared" si="29"/>
        <v>855</v>
      </c>
      <c r="AH49" s="1059">
        <f t="shared" si="29"/>
        <v>3755</v>
      </c>
      <c r="AI49" s="1059">
        <f t="shared" si="29"/>
        <v>2055</v>
      </c>
      <c r="AJ49" s="1059">
        <f t="shared" si="29"/>
        <v>2370</v>
      </c>
      <c r="AK49" s="1059">
        <f t="shared" si="29"/>
        <v>2370</v>
      </c>
      <c r="AL49" s="1059">
        <f t="shared" si="29"/>
        <v>2370</v>
      </c>
      <c r="AM49" s="1059">
        <f t="shared" ref="AM49:BP49" si="30">SUM(AM42:AM48)</f>
        <v>9870</v>
      </c>
      <c r="AN49" s="1059">
        <f t="shared" si="30"/>
        <v>2370</v>
      </c>
      <c r="AO49" s="1059">
        <f t="shared" si="30"/>
        <v>2370</v>
      </c>
      <c r="AP49" s="1059">
        <f t="shared" si="30"/>
        <v>4385</v>
      </c>
      <c r="AQ49" s="1059">
        <f t="shared" si="30"/>
        <v>10185</v>
      </c>
      <c r="AR49" s="1060">
        <f t="shared" si="30"/>
        <v>2685</v>
      </c>
      <c r="AS49" s="1059">
        <f t="shared" si="30"/>
        <v>1600</v>
      </c>
      <c r="AT49" s="1059">
        <f t="shared" si="30"/>
        <v>1600</v>
      </c>
      <c r="AU49" s="1059">
        <f t="shared" si="30"/>
        <v>1600</v>
      </c>
      <c r="AV49" s="1059">
        <f t="shared" si="30"/>
        <v>1600</v>
      </c>
      <c r="AW49" s="1059">
        <f t="shared" si="30"/>
        <v>9275</v>
      </c>
      <c r="AX49" s="1059">
        <f t="shared" si="30"/>
        <v>1775</v>
      </c>
      <c r="AY49" s="1059">
        <f t="shared" si="30"/>
        <v>1775</v>
      </c>
      <c r="AZ49" s="1059">
        <f t="shared" si="30"/>
        <v>11150</v>
      </c>
      <c r="BA49" s="1059">
        <f t="shared" si="30"/>
        <v>1950</v>
      </c>
      <c r="BB49" s="1059">
        <f t="shared" si="30"/>
        <v>2125</v>
      </c>
      <c r="BC49" s="1059">
        <f t="shared" si="30"/>
        <v>2125</v>
      </c>
      <c r="BD49" s="1060">
        <f t="shared" si="30"/>
        <v>11500</v>
      </c>
      <c r="BE49" s="1059">
        <f t="shared" si="30"/>
        <v>2060</v>
      </c>
      <c r="BF49" s="1059">
        <f t="shared" si="30"/>
        <v>9717.8571428571431</v>
      </c>
      <c r="BG49" s="1059">
        <f t="shared" si="30"/>
        <v>2217.8571428571431</v>
      </c>
      <c r="BH49" s="1059">
        <f t="shared" si="30"/>
        <v>2375.7142857142858</v>
      </c>
      <c r="BI49" s="1059">
        <f t="shared" si="30"/>
        <v>9875.7142857142862</v>
      </c>
      <c r="BJ49" s="1059">
        <f t="shared" si="30"/>
        <v>4233.5714285714284</v>
      </c>
      <c r="BK49" s="1059">
        <f t="shared" si="30"/>
        <v>10191.428571428572</v>
      </c>
      <c r="BL49" s="1059">
        <f t="shared" si="30"/>
        <v>2691.4285714285716</v>
      </c>
      <c r="BM49" s="1059">
        <f t="shared" si="30"/>
        <v>12049.285714285714</v>
      </c>
      <c r="BN49" s="1059">
        <f t="shared" si="30"/>
        <v>3007.1428571428573</v>
      </c>
      <c r="BO49" s="1059">
        <f t="shared" si="30"/>
        <v>10507.142857142857</v>
      </c>
      <c r="BP49" s="1060">
        <f t="shared" si="30"/>
        <v>3165</v>
      </c>
    </row>
    <row r="50" spans="1:68">
      <c r="A50" s="625" t="s">
        <v>88</v>
      </c>
      <c r="B50" s="1023"/>
      <c r="C50" s="1024"/>
      <c r="D50" s="991"/>
      <c r="E50" s="1025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4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4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4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4"/>
    </row>
    <row r="51" spans="1:68" s="639" customFormat="1">
      <c r="A51" s="657"/>
      <c r="B51" s="1026"/>
      <c r="C51" s="1027" t="s">
        <v>374</v>
      </c>
      <c r="D51" s="1028"/>
      <c r="E51" s="1029"/>
      <c r="F51" s="639" t="s">
        <v>73</v>
      </c>
      <c r="G51" s="1030" t="e">
        <f>HR!#REF!</f>
        <v>#REF!</v>
      </c>
      <c r="H51" s="640"/>
      <c r="I51" s="1031">
        <f>HR!D31</f>
        <v>1</v>
      </c>
      <c r="J51" s="1031">
        <f>HR!E31</f>
        <v>1</v>
      </c>
      <c r="K51" s="1031">
        <f>HR!F31</f>
        <v>1</v>
      </c>
      <c r="L51" s="1031">
        <f>HR!G31</f>
        <v>1</v>
      </c>
      <c r="M51" s="1031">
        <f>HR!H31</f>
        <v>1</v>
      </c>
      <c r="N51" s="1031">
        <f>HR!I31</f>
        <v>1</v>
      </c>
      <c r="O51" s="1031">
        <f>HR!J31</f>
        <v>1</v>
      </c>
      <c r="P51" s="1031">
        <f>HR!K31</f>
        <v>1</v>
      </c>
      <c r="Q51" s="1031">
        <f>HR!L31</f>
        <v>1</v>
      </c>
      <c r="R51" s="1031">
        <f>HR!M31</f>
        <v>1</v>
      </c>
      <c r="S51" s="1031">
        <f>HR!N31</f>
        <v>1</v>
      </c>
      <c r="T51" s="1032">
        <f>HR!O31</f>
        <v>1</v>
      </c>
      <c r="U51" s="1031">
        <f>HR!P31</f>
        <v>1</v>
      </c>
      <c r="V51" s="1031">
        <f>HR!Q31</f>
        <v>1</v>
      </c>
      <c r="W51" s="1031">
        <f>HR!R31</f>
        <v>1</v>
      </c>
      <c r="X51" s="1031">
        <f>HR!S31</f>
        <v>1</v>
      </c>
      <c r="Y51" s="1031">
        <f>HR!T31</f>
        <v>1.0424847737506902</v>
      </c>
      <c r="Z51" s="1031">
        <f>HR!U31</f>
        <v>1.0964699427499942</v>
      </c>
      <c r="AA51" s="1031">
        <f>HR!V31</f>
        <v>1.1536421845770319</v>
      </c>
      <c r="AB51" s="1031">
        <f>HR!W31</f>
        <v>1.2141763171995008</v>
      </c>
      <c r="AC51" s="1031">
        <f>HR!X31</f>
        <v>1.2782522336575668</v>
      </c>
      <c r="AD51" s="1031">
        <f>HR!Y31</f>
        <v>1.3460546874933135</v>
      </c>
      <c r="AE51" s="1031">
        <f>HR!Z31</f>
        <v>1.4177731112571581</v>
      </c>
      <c r="AF51" s="1032">
        <f>HR!AA31</f>
        <v>1.4936014801960069</v>
      </c>
      <c r="AG51" s="1031">
        <f>HR!AB31</f>
        <v>1.259065293004431</v>
      </c>
      <c r="AH51" s="1031">
        <f>HR!AC31</f>
        <v>1.3254769961923902</v>
      </c>
      <c r="AI51" s="1031">
        <f>HR!AD31</f>
        <v>1.3955633575194537</v>
      </c>
      <c r="AJ51" s="1031">
        <f>HR!AE31</f>
        <v>1.46949278775153</v>
      </c>
      <c r="AK51" s="1031">
        <f>HR!AF31</f>
        <v>1.5474377066163703</v>
      </c>
      <c r="AL51" s="1031">
        <f>HR!AG31</f>
        <v>1.6295745906013426</v>
      </c>
      <c r="AM51" s="1031">
        <f>HR!AH31</f>
        <v>1.7160840544499252</v>
      </c>
      <c r="AN51" s="1031">
        <f>HR!AI31</f>
        <v>1.8071509675571147</v>
      </c>
      <c r="AO51" s="1031">
        <f>HR!AJ31</f>
        <v>1.9029646057999976</v>
      </c>
      <c r="AP51" s="1031">
        <f>HR!AK31</f>
        <v>2.0037188387520053</v>
      </c>
      <c r="AQ51" s="1031">
        <f>HR!AL31</f>
        <v>2.109612351736923</v>
      </c>
      <c r="AR51" s="1032">
        <f>HR!AM31</f>
        <v>2.2208489017932131</v>
      </c>
      <c r="AS51" s="1031">
        <f>HR!AN31</f>
        <v>2.3376376063443165</v>
      </c>
      <c r="AT51" s="1031">
        <f>HR!AO31</f>
        <v>2.4541460658133301</v>
      </c>
      <c r="AU51" s="1031">
        <f>HR!AP31</f>
        <v>2.5761271989660961</v>
      </c>
      <c r="AV51" s="1031">
        <f>HR!AQ31</f>
        <v>2.7037900035320042</v>
      </c>
      <c r="AW51" s="1031">
        <f>HR!AR31</f>
        <v>2.837349746690137</v>
      </c>
      <c r="AX51" s="1031">
        <f>HR!AS31</f>
        <v>2.977028256550188</v>
      </c>
      <c r="AY51" s="1031">
        <f>HR!AT31</f>
        <v>3.1230542372062766</v>
      </c>
      <c r="AZ51" s="1031">
        <f>HR!AU31</f>
        <v>3.2756636080359329</v>
      </c>
      <c r="BA51" s="1031">
        <f>HR!AV31</f>
        <v>3.4350998678588867</v>
      </c>
      <c r="BB51" s="1031">
        <f>HR!AW31</f>
        <v>3.6016144845138323</v>
      </c>
      <c r="BC51" s="1031">
        <f>HR!AX31</f>
        <v>3.7754673103564711</v>
      </c>
      <c r="BD51" s="1032">
        <f>HR!AY31</f>
        <v>3.9569270241297962</v>
      </c>
      <c r="BE51" s="1031">
        <f>HR!AZ31</f>
        <v>4.1462715996083759</v>
      </c>
      <c r="BF51" s="1031">
        <f>HR!BA31</f>
        <v>4.3467902005470087</v>
      </c>
      <c r="BG51" s="1031">
        <f>HR!BB31</f>
        <v>4.5561891642034551</v>
      </c>
      <c r="BH51" s="1031">
        <f>HR!BC31</f>
        <v>4.7748080362113194</v>
      </c>
      <c r="BI51" s="1031">
        <f>HR!BD31</f>
        <v>5.0029991091322188</v>
      </c>
      <c r="BJ51" s="1031">
        <f>HR!BE31</f>
        <v>5.2411280667027631</v>
      </c>
      <c r="BK51" s="1031">
        <f>HR!BF31</f>
        <v>5.4895746605107032</v>
      </c>
      <c r="BL51" s="1031">
        <f>HR!BG31</f>
        <v>5.7487334196222015</v>
      </c>
      <c r="BM51" s="1031">
        <f>HR!BH31</f>
        <v>6.0190143936661666</v>
      </c>
      <c r="BN51" s="1031">
        <f>HR!BI31</f>
        <v>6.3008439298721353</v>
      </c>
      <c r="BO51" s="1031">
        <f>HR!BJ31</f>
        <v>6.5946654845562138</v>
      </c>
      <c r="BP51" s="1032">
        <f>HR!BK31</f>
        <v>6.9009404695551284</v>
      </c>
    </row>
    <row r="52" spans="1:68" s="644" customFormat="1">
      <c r="A52" s="629"/>
      <c r="B52" s="33"/>
      <c r="C52" s="34" t="s">
        <v>74</v>
      </c>
      <c r="D52" s="174"/>
      <c r="E52" s="42"/>
      <c r="G52" s="645"/>
      <c r="H52" s="645"/>
      <c r="I52" s="646">
        <f>HR!D33</f>
        <v>3310.0440528634363</v>
      </c>
      <c r="J52" s="646">
        <f>HR!E33</f>
        <v>3340.6565638766519</v>
      </c>
      <c r="K52" s="646">
        <f>HR!F33</f>
        <v>3381.2255363366608</v>
      </c>
      <c r="L52" s="646">
        <f>HR!G33</f>
        <v>3440.7975699567278</v>
      </c>
      <c r="M52" s="646">
        <f>HR!H33</f>
        <v>3491.4070068592937</v>
      </c>
      <c r="N52" s="646">
        <f>HR!I33</f>
        <v>3547.3626151945009</v>
      </c>
      <c r="O52" s="646">
        <f>HR!J33</f>
        <v>3600.1895874640222</v>
      </c>
      <c r="P52" s="646">
        <f>HR!K33</f>
        <v>3658.2274247882024</v>
      </c>
      <c r="Q52" s="646">
        <f>HR!L33</f>
        <v>3721.9743327109672</v>
      </c>
      <c r="R52" s="646">
        <f>HR!M33</f>
        <v>3780.7555092522498</v>
      </c>
      <c r="S52" s="646">
        <f>HR!N33</f>
        <v>3844.6504642717491</v>
      </c>
      <c r="T52" s="647">
        <f>HR!O33</f>
        <v>3914.0511196734719</v>
      </c>
      <c r="U52" s="646">
        <f>HR!P33</f>
        <v>3989.6192603384216</v>
      </c>
      <c r="V52" s="646">
        <f>HR!BO33</f>
        <v>4070.3734540233327</v>
      </c>
      <c r="W52" s="646">
        <f>HR!BP33</f>
        <v>4158.3370641991714</v>
      </c>
      <c r="X52" s="646">
        <f>HR!BQ33</f>
        <v>4254.0610223201238</v>
      </c>
      <c r="Y52" s="646">
        <f>HR!BR33</f>
        <v>4483.0243334917632</v>
      </c>
      <c r="Z52" s="646">
        <f>HR!BS33</f>
        <v>4754.7281332679067</v>
      </c>
      <c r="AA52" s="646">
        <f>HR!BT33</f>
        <v>5045.3463770695134</v>
      </c>
      <c r="AB52" s="646">
        <f>HR!BU33</f>
        <v>5356.0264865691133</v>
      </c>
      <c r="AC52" s="646">
        <f>HR!BV33</f>
        <v>5687.9475672481958</v>
      </c>
      <c r="AD52" s="646">
        <f>HR!BW33</f>
        <v>6042.3182894885231</v>
      </c>
      <c r="AE52" s="646">
        <f>HR!BX33</f>
        <v>6420.3750183939737</v>
      </c>
      <c r="AF52" s="647">
        <f>HR!BY33</f>
        <v>6823.3802910987615</v>
      </c>
      <c r="AG52" s="646">
        <f>HR!BZ33</f>
        <v>7253.3210417589635</v>
      </c>
      <c r="AH52" s="646">
        <f>HR!P33</f>
        <v>3989.6192603384216</v>
      </c>
      <c r="AI52" s="646">
        <f>HR!Q33</f>
        <v>4070.3734540233327</v>
      </c>
      <c r="AJ52" s="646">
        <f>HR!R33</f>
        <v>4158.3370641991714</v>
      </c>
      <c r="AK52" s="646">
        <f>HR!S33</f>
        <v>4254.0610223201238</v>
      </c>
      <c r="AL52" s="646">
        <f>HR!T33</f>
        <v>4483.0243334917632</v>
      </c>
      <c r="AM52" s="646">
        <f>HR!U33</f>
        <v>4754.7281332679067</v>
      </c>
      <c r="AN52" s="646">
        <f>HR!V33</f>
        <v>5045.3463770695134</v>
      </c>
      <c r="AO52" s="646">
        <f>HR!W33</f>
        <v>5356.0264865691133</v>
      </c>
      <c r="AP52" s="646">
        <f>HR!X33</f>
        <v>5687.9475672481958</v>
      </c>
      <c r="AQ52" s="646">
        <f>HR!Y33</f>
        <v>6042.3182894885231</v>
      </c>
      <c r="AR52" s="647">
        <f>HR!Z33</f>
        <v>6420.3750183939737</v>
      </c>
      <c r="AS52" s="646">
        <f>HR!AA33</f>
        <v>6823.3802910987615</v>
      </c>
      <c r="AT52" s="646">
        <f>HR!AB33</f>
        <v>6327.9080514007064</v>
      </c>
      <c r="AU52" s="646">
        <f>HR!AC33</f>
        <v>6722.1662424844071</v>
      </c>
      <c r="AV52" s="646">
        <f>HR!AD33</f>
        <v>7141.4859434940681</v>
      </c>
      <c r="AW52" s="646">
        <f>HR!AE33</f>
        <v>7587.0884247279882</v>
      </c>
      <c r="AX52" s="646">
        <f>HR!AF33</f>
        <v>8060.219694901145</v>
      </c>
      <c r="AY52" s="646">
        <f>HR!AG33</f>
        <v>8562.1503820882372</v>
      </c>
      <c r="AZ52" s="646">
        <f>HR!AH33</f>
        <v>9094.1759045507333</v>
      </c>
      <c r="BA52" s="646">
        <f>HR!AI33</f>
        <v>9657.6169425120061</v>
      </c>
      <c r="BB52" s="646">
        <f>HR!AJ33</f>
        <v>10253.820215588537</v>
      </c>
      <c r="BC52" s="646">
        <f>HR!AK33</f>
        <v>10884.15956493034</v>
      </c>
      <c r="BD52" s="647">
        <f>HR!AL33</f>
        <v>11550.03733435848</v>
      </c>
      <c r="BE52" s="646">
        <f>HR!AM33</f>
        <v>12252.886041027821</v>
      </c>
      <c r="BF52" s="646">
        <f>HR!AN33</f>
        <v>12994.170323431044</v>
      </c>
      <c r="BG52" s="646">
        <f>HR!AO33</f>
        <v>13717.691827719977</v>
      </c>
      <c r="BH52" s="646">
        <f>HR!AP33</f>
        <v>14477.701312637302</v>
      </c>
      <c r="BI52" s="646">
        <f>HR!AQ33</f>
        <v>15275.591577814524</v>
      </c>
      <c r="BJ52" s="646">
        <f>HR!AR33</f>
        <v>16112.792094507364</v>
      </c>
      <c r="BK52" s="646">
        <f>HR!AS33</f>
        <v>16990.770750330797</v>
      </c>
      <c r="BL52" s="646">
        <f>HR!AT33</f>
        <v>17911.035773305895</v>
      </c>
      <c r="BM52" s="646">
        <f>HR!AU33</f>
        <v>18875.137840563384</v>
      </c>
      <c r="BN52" s="646">
        <f>HR!AV33</f>
        <v>19884.67237648138</v>
      </c>
      <c r="BO52" s="646">
        <f>HR!AW33</f>
        <v>20941.282044470114</v>
      </c>
      <c r="BP52" s="647">
        <f>HR!AX33</f>
        <v>22046.659436060261</v>
      </c>
    </row>
    <row r="53" spans="1:68" s="644" customFormat="1">
      <c r="A53" s="629"/>
      <c r="B53" s="33"/>
      <c r="C53" s="34" t="s">
        <v>89</v>
      </c>
      <c r="D53" s="188">
        <v>3.5000000000000003E-2</v>
      </c>
      <c r="E53" s="41" t="s">
        <v>65</v>
      </c>
      <c r="G53" s="645"/>
      <c r="H53" s="645"/>
      <c r="I53" s="646">
        <f>$D53*'Contractor Model'!B29</f>
        <v>370.04405286343615</v>
      </c>
      <c r="J53" s="646">
        <f>$D53*'Contractor Model'!C29</f>
        <v>400.656563876652</v>
      </c>
      <c r="K53" s="646">
        <f>$D53*'Contractor Model'!D29</f>
        <v>441.22553633666081</v>
      </c>
      <c r="L53" s="646">
        <f>$D53*'Contractor Model'!E29</f>
        <v>500.79756995672784</v>
      </c>
      <c r="M53" s="646">
        <f>$D53*'Contractor Model'!F29</f>
        <v>551.40700685929392</v>
      </c>
      <c r="N53" s="646">
        <f>$D53*'Contractor Model'!G29</f>
        <v>607.36261519450079</v>
      </c>
      <c r="O53" s="646">
        <f>$D53*'Contractor Model'!H29</f>
        <v>660.18958746402234</v>
      </c>
      <c r="P53" s="646">
        <f>$D53*'Contractor Model'!I29</f>
        <v>718.2274247882026</v>
      </c>
      <c r="Q53" s="646">
        <f>$D53*'Contractor Model'!J29</f>
        <v>781.97433271096702</v>
      </c>
      <c r="R53" s="646">
        <f>$D53*'Contractor Model'!K29</f>
        <v>840.75550925225002</v>
      </c>
      <c r="S53" s="646">
        <f>$D53*'Contractor Model'!L29</f>
        <v>904.65046427174923</v>
      </c>
      <c r="T53" s="647">
        <f>$D53*'Contractor Model'!M29</f>
        <v>974.05111967347182</v>
      </c>
      <c r="U53" s="646">
        <f>$D53*'Contractor Model'!N29</f>
        <v>1049.6192603384218</v>
      </c>
      <c r="V53" s="646">
        <f>$D53*'Contractor Model'!O29</f>
        <v>1130.3734540233329</v>
      </c>
      <c r="W53" s="646">
        <f>$D53*'Contractor Model'!P29</f>
        <v>1218.3370641991712</v>
      </c>
      <c r="X53" s="646">
        <f>$D53*'Contractor Model'!Q29</f>
        <v>1314.0610223201236</v>
      </c>
      <c r="Y53" s="646">
        <f>$D53*'Contractor Model'!R29</f>
        <v>1418.1190986647346</v>
      </c>
      <c r="Z53" s="646">
        <f>$D53*'Contractor Model'!S29</f>
        <v>1531.1065015829236</v>
      </c>
      <c r="AA53" s="646">
        <f>$D53*'Contractor Model'!T29</f>
        <v>1653.6383544130395</v>
      </c>
      <c r="AB53" s="646">
        <f>$D53*'Contractor Model'!U29</f>
        <v>1786.3481140025815</v>
      </c>
      <c r="AC53" s="646">
        <f>$D53*'Contractor Model'!V29</f>
        <v>1929.8860002949496</v>
      </c>
      <c r="AD53" s="646">
        <f>$D53*'Contractor Model'!W29</f>
        <v>2084.917508258181</v>
      </c>
      <c r="AE53" s="646">
        <f>$D53*'Contractor Model'!X29</f>
        <v>2252.1220712979298</v>
      </c>
      <c r="AF53" s="647">
        <f>$D53*'Contractor Model'!Y29</f>
        <v>2432.1919393225012</v>
      </c>
      <c r="AG53" s="646">
        <f>$D53*'Contractor Model'!Z29</f>
        <v>2626.2560899676791</v>
      </c>
      <c r="AH53" s="646">
        <f>$D53*'Contractor Model'!AA29</f>
        <v>2825.2638736787799</v>
      </c>
      <c r="AI53" s="646">
        <f>$D53*'Contractor Model'!AB29</f>
        <v>3038.5296723868737</v>
      </c>
      <c r="AJ53" s="646">
        <f>$D53*'Contractor Model'!AC29</f>
        <v>3266.7796287384904</v>
      </c>
      <c r="AK53" s="646">
        <f>$D53*'Contractor Model'!AD29</f>
        <v>3510.7528374490162</v>
      </c>
      <c r="AL53" s="646">
        <f>$D53*'Contractor Model'!AE29</f>
        <v>3771.2010857202899</v>
      </c>
      <c r="AM53" s="646">
        <f>$D53*'Contractor Model'!AF29</f>
        <v>4048.888784467953</v>
      </c>
      <c r="AN53" s="646">
        <f>$D53*'Contractor Model'!AG29</f>
        <v>4344.5930978940887</v>
      </c>
      <c r="AO53" s="646">
        <f>$D53*'Contractor Model'!AH29</f>
        <v>4659.1042745365448</v>
      </c>
      <c r="AP53" s="646">
        <f>$D53*'Contractor Model'!AI29</f>
        <v>4993.2261789994445</v>
      </c>
      <c r="AQ53" s="646">
        <f>$D53*'Contractor Model'!AJ29</f>
        <v>5347.7770202519268</v>
      </c>
      <c r="AR53" s="647">
        <f>$D53*'Contractor Model'!AK29</f>
        <v>5723.5902697557749</v>
      </c>
      <c r="AS53" s="646">
        <f>$D53*'Contractor Model'!AL29</f>
        <v>6121.5157607787551</v>
      </c>
      <c r="AT53" s="646">
        <f>$D53*'Contractor Model'!AM29</f>
        <v>6502.5023942287862</v>
      </c>
      <c r="AU53" s="646">
        <f>$D53*'Contractor Model'!AN29</f>
        <v>6903.8873476769786</v>
      </c>
      <c r="AV53" s="646">
        <f>$D53*'Contractor Model'!AO29</f>
        <v>7326.4489674304323</v>
      </c>
      <c r="AW53" s="646">
        <f>$D53*'Contractor Model'!AP29</f>
        <v>7770.9838392383599</v>
      </c>
      <c r="AX53" s="646">
        <f>$D53*'Contractor Model'!AQ29</f>
        <v>8238.3076760732456</v>
      </c>
      <c r="AY53" s="646">
        <f>$D53*'Contractor Model'!AR29</f>
        <v>8729.2563159194415</v>
      </c>
      <c r="AZ53" s="646">
        <f>$D53*'Contractor Model'!AS29</f>
        <v>9244.6868329377412</v>
      </c>
      <c r="BA53" s="646">
        <f>$D53*'Contractor Model'!AT29</f>
        <v>9785.4787649762548</v>
      </c>
      <c r="BB53" s="646">
        <f>$D53*'Contractor Model'!AU29</f>
        <v>10352.535459999444</v>
      </c>
      <c r="BC53" s="646">
        <f>$D53*'Contractor Model'!AV29</f>
        <v>10946.785543612235</v>
      </c>
      <c r="BD53" s="647">
        <f>$D53*'Contractor Model'!AW29</f>
        <v>11569.184509469094</v>
      </c>
      <c r="BE53" s="646">
        <f>$D53*'Contractor Model'!AX29</f>
        <v>12220.716433983549</v>
      </c>
      <c r="BF53" s="646">
        <f>$D53*'Contractor Model'!AY29</f>
        <v>12921.800091151965</v>
      </c>
      <c r="BG53" s="646">
        <f>$D53*'Contractor Model'!AZ29</f>
        <v>13656.794994083637</v>
      </c>
      <c r="BH53" s="646">
        <f>$D53*'Contractor Model'!BA29</f>
        <v>14426.991482402127</v>
      </c>
      <c r="BI53" s="646">
        <f>$D53*'Contractor Model'!BB29</f>
        <v>15233.725934450304</v>
      </c>
      <c r="BJ53" s="646">
        <f>$D53*'Contractor Model'!BC29</f>
        <v>16078.383395747374</v>
      </c>
      <c r="BK53" s="646">
        <f>$D53*'Contractor Model'!BD29</f>
        <v>16962.40036165444</v>
      </c>
      <c r="BL53" s="646">
        <f>$D53*'Contractor Model'!BE29</f>
        <v>17887.267716060062</v>
      </c>
      <c r="BM53" s="646">
        <f>$D53*'Contractor Model'!BF29</f>
        <v>18854.533827681553</v>
      </c>
      <c r="BN53" s="646">
        <f>$D53*'Contractor Model'!BG29</f>
        <v>19865.807805396587</v>
      </c>
      <c r="BO53" s="646">
        <f>$D53*'Contractor Model'!BH29</f>
        <v>20922.762913876297</v>
      </c>
      <c r="BP53" s="647">
        <f>$D53*'Contractor Model'!BI29</f>
        <v>22027.14015068976</v>
      </c>
    </row>
    <row r="54" spans="1:68" s="649" customFormat="1">
      <c r="A54" s="631"/>
      <c r="B54" s="632"/>
      <c r="C54" s="633" t="s">
        <v>62</v>
      </c>
      <c r="D54" s="1081">
        <v>0.18</v>
      </c>
      <c r="E54" s="635" t="s">
        <v>63</v>
      </c>
      <c r="G54" s="650"/>
      <c r="H54" s="650"/>
      <c r="I54" s="651">
        <f>SUM(I52:I53)*$D$54</f>
        <v>662.41585903083705</v>
      </c>
      <c r="J54" s="651">
        <f t="shared" ref="J54:T54" si="31">SUM(J52:J53)*$D$54</f>
        <v>673.43636299559466</v>
      </c>
      <c r="K54" s="651">
        <f t="shared" si="31"/>
        <v>688.04119308119789</v>
      </c>
      <c r="L54" s="651">
        <f t="shared" si="31"/>
        <v>709.48712518442198</v>
      </c>
      <c r="M54" s="651">
        <f t="shared" si="31"/>
        <v>727.70652246934571</v>
      </c>
      <c r="N54" s="651">
        <f t="shared" si="31"/>
        <v>747.85054147002029</v>
      </c>
      <c r="O54" s="651">
        <f t="shared" si="31"/>
        <v>766.86825148704793</v>
      </c>
      <c r="P54" s="651">
        <f t="shared" si="31"/>
        <v>787.76187292375278</v>
      </c>
      <c r="Q54" s="651">
        <f t="shared" si="31"/>
        <v>810.71075977594819</v>
      </c>
      <c r="R54" s="651">
        <f t="shared" si="31"/>
        <v>831.87198333080994</v>
      </c>
      <c r="S54" s="651">
        <f t="shared" si="31"/>
        <v>854.87416713782966</v>
      </c>
      <c r="T54" s="652">
        <f t="shared" si="31"/>
        <v>879.85840308244985</v>
      </c>
      <c r="U54" s="651">
        <f>SUM(U52:U53)*$D$54</f>
        <v>907.06293372183177</v>
      </c>
      <c r="V54" s="651">
        <f t="shared" ref="V54" si="32">SUM(V52:V53)*$D$54</f>
        <v>936.13444344839968</v>
      </c>
      <c r="W54" s="651">
        <f t="shared" ref="W54" si="33">SUM(W52:W53)*$D$54</f>
        <v>967.80134311170173</v>
      </c>
      <c r="X54" s="651">
        <f t="shared" ref="X54" si="34">SUM(X52:X53)*$D$54</f>
        <v>1002.2619680352445</v>
      </c>
      <c r="Y54" s="651">
        <f t="shared" ref="Y54" si="35">SUM(Y52:Y53)*$D$54</f>
        <v>1062.2058177881695</v>
      </c>
      <c r="Z54" s="651">
        <f t="shared" ref="Z54" si="36">SUM(Z52:Z53)*$D$54</f>
        <v>1131.4502342731494</v>
      </c>
      <c r="AA54" s="651">
        <f t="shared" ref="AA54" si="37">SUM(AA52:AA53)*$D$54</f>
        <v>1205.8172516668594</v>
      </c>
      <c r="AB54" s="651">
        <f t="shared" ref="AB54" si="38">SUM(AB52:AB53)*$D$54</f>
        <v>1285.627428102905</v>
      </c>
      <c r="AC54" s="651">
        <f t="shared" ref="AC54" si="39">SUM(AC52:AC53)*$D$54</f>
        <v>1371.2100421577661</v>
      </c>
      <c r="AD54" s="651">
        <f t="shared" ref="AD54" si="40">SUM(AD52:AD53)*$D$54</f>
        <v>1462.9024435944066</v>
      </c>
      <c r="AE54" s="651">
        <f t="shared" ref="AE54" si="41">SUM(AE52:AE53)*$D$54</f>
        <v>1561.0494761445427</v>
      </c>
      <c r="AF54" s="652">
        <f t="shared" ref="AF54" si="42">SUM(AF52:AF53)*$D$54</f>
        <v>1666.0030014758272</v>
      </c>
      <c r="AG54" s="651">
        <f>SUM(AG52:AG53)*$D$54</f>
        <v>1778.3238837107956</v>
      </c>
      <c r="AH54" s="651">
        <f t="shared" ref="AH54" si="43">SUM(AH52:AH53)*$D$54</f>
        <v>1226.6789641230962</v>
      </c>
      <c r="AI54" s="651">
        <f t="shared" ref="AI54" si="44">SUM(AI52:AI53)*$D$54</f>
        <v>1279.6025627538372</v>
      </c>
      <c r="AJ54" s="651">
        <f t="shared" ref="AJ54" si="45">SUM(AJ52:AJ53)*$D$54</f>
        <v>1336.521004728779</v>
      </c>
      <c r="AK54" s="651">
        <f t="shared" ref="AK54" si="46">SUM(AK52:AK53)*$D$54</f>
        <v>1397.666494758445</v>
      </c>
      <c r="AL54" s="651">
        <f t="shared" ref="AL54" si="47">SUM(AL52:AL53)*$D$54</f>
        <v>1485.7605754581693</v>
      </c>
      <c r="AM54" s="651">
        <f t="shared" ref="AM54" si="48">SUM(AM52:AM53)*$D$54</f>
        <v>1584.6510451924548</v>
      </c>
      <c r="AN54" s="651">
        <f t="shared" ref="AN54" si="49">SUM(AN52:AN53)*$D$54</f>
        <v>1690.1891054934481</v>
      </c>
      <c r="AO54" s="651">
        <f t="shared" ref="AO54" si="50">SUM(AO52:AO53)*$D$54</f>
        <v>1802.7235369990185</v>
      </c>
      <c r="AP54" s="651">
        <f t="shared" ref="AP54" si="51">SUM(AP52:AP53)*$D$54</f>
        <v>1922.6112743245753</v>
      </c>
      <c r="AQ54" s="651">
        <f t="shared" ref="AQ54" si="52">SUM(AQ52:AQ53)*$D$54</f>
        <v>2050.2171557532806</v>
      </c>
      <c r="AR54" s="652">
        <f t="shared" ref="AR54" si="53">SUM(AR52:AR53)*$D$54</f>
        <v>2185.913751866955</v>
      </c>
      <c r="AS54" s="651">
        <f>SUM(AS52:AS53)*$D$54</f>
        <v>2330.081289337953</v>
      </c>
      <c r="AT54" s="651">
        <f t="shared" ref="AT54" si="54">SUM(AT52:AT53)*$D$54</f>
        <v>2309.4738802133083</v>
      </c>
      <c r="AU54" s="651">
        <f t="shared" ref="AU54" si="55">SUM(AU52:AU53)*$D$54</f>
        <v>2452.6896462290492</v>
      </c>
      <c r="AV54" s="651">
        <f t="shared" ref="AV54" si="56">SUM(AV52:AV53)*$D$54</f>
        <v>2604.2282839664103</v>
      </c>
      <c r="AW54" s="651">
        <f t="shared" ref="AW54" si="57">SUM(AW52:AW53)*$D$54</f>
        <v>2764.4530075139423</v>
      </c>
      <c r="AX54" s="651">
        <f t="shared" ref="AX54" si="58">SUM(AX52:AX53)*$D$54</f>
        <v>2933.7349267753902</v>
      </c>
      <c r="AY54" s="651">
        <f t="shared" ref="AY54" si="59">SUM(AY52:AY53)*$D$54</f>
        <v>3112.4532056413818</v>
      </c>
      <c r="AZ54" s="651">
        <f t="shared" ref="AZ54" si="60">SUM(AZ52:AZ53)*$D$54</f>
        <v>3300.9952927479253</v>
      </c>
      <c r="BA54" s="651">
        <f t="shared" ref="BA54" si="61">SUM(BA52:BA53)*$D$54</f>
        <v>3499.7572273478868</v>
      </c>
      <c r="BB54" s="651">
        <f t="shared" ref="BB54" si="62">SUM(BB52:BB53)*$D$54</f>
        <v>3709.1440216058368</v>
      </c>
      <c r="BC54" s="651">
        <f t="shared" ref="BC54" si="63">SUM(BC52:BC53)*$D$54</f>
        <v>3929.5701195376632</v>
      </c>
      <c r="BD54" s="652">
        <f t="shared" ref="BD54" si="64">SUM(BD52:BD53)*$D$54</f>
        <v>4161.4599318889632</v>
      </c>
      <c r="BE54" s="651">
        <f>SUM(BE52:BE53)*$D$54</f>
        <v>4405.2484455020467</v>
      </c>
      <c r="BF54" s="651">
        <f t="shared" ref="BF54" si="65">SUM(BF52:BF53)*$D$54</f>
        <v>4664.8746746249417</v>
      </c>
      <c r="BG54" s="651">
        <f t="shared" ref="BG54" si="66">SUM(BG52:BG53)*$D$54</f>
        <v>4927.4076279246501</v>
      </c>
      <c r="BH54" s="651">
        <f t="shared" ref="BH54" si="67">SUM(BH52:BH53)*$D$54</f>
        <v>5202.8447031070973</v>
      </c>
      <c r="BI54" s="651">
        <f t="shared" ref="BI54" si="68">SUM(BI52:BI53)*$D$54</f>
        <v>5491.6771522076688</v>
      </c>
      <c r="BJ54" s="651">
        <f t="shared" ref="BJ54" si="69">SUM(BJ52:BJ53)*$D$54</f>
        <v>5794.4115882458527</v>
      </c>
      <c r="BK54" s="651">
        <f t="shared" ref="BK54" si="70">SUM(BK52:BK53)*$D$54</f>
        <v>6111.570800157343</v>
      </c>
      <c r="BL54" s="651">
        <f t="shared" ref="BL54" si="71">SUM(BL52:BL53)*$D$54</f>
        <v>6443.694628085872</v>
      </c>
      <c r="BM54" s="651">
        <f t="shared" ref="BM54" si="72">SUM(BM52:BM53)*$D$54</f>
        <v>6791.3409002840881</v>
      </c>
      <c r="BN54" s="651">
        <f t="shared" ref="BN54" si="73">SUM(BN52:BN53)*$D$54</f>
        <v>7155.0864327380341</v>
      </c>
      <c r="BO54" s="651">
        <f t="shared" ref="BO54" si="74">SUM(BO52:BO53)*$D$54</f>
        <v>7535.5280925023526</v>
      </c>
      <c r="BP54" s="652">
        <f t="shared" ref="BP54" si="75">SUM(BP52:BP53)*$D$54</f>
        <v>7933.2839256150037</v>
      </c>
    </row>
    <row r="55" spans="1:68" s="160" customFormat="1">
      <c r="A55" s="306"/>
      <c r="B55" s="310"/>
      <c r="C55" s="311"/>
      <c r="D55" s="312"/>
      <c r="E55" s="313"/>
      <c r="G55" s="161"/>
      <c r="H55" s="161"/>
      <c r="I55" s="162"/>
      <c r="J55" s="984"/>
      <c r="K55" s="984"/>
      <c r="L55" s="984"/>
      <c r="M55" s="984"/>
      <c r="N55" s="984"/>
      <c r="O55" s="984"/>
      <c r="P55" s="984"/>
      <c r="Q55" s="984"/>
      <c r="R55" s="984"/>
      <c r="S55" s="984"/>
      <c r="T55" s="985"/>
      <c r="U55" s="162"/>
      <c r="V55" s="984"/>
      <c r="W55" s="984"/>
      <c r="X55" s="984"/>
      <c r="Y55" s="984"/>
      <c r="Z55" s="984"/>
      <c r="AA55" s="984"/>
      <c r="AB55" s="984"/>
      <c r="AC55" s="984"/>
      <c r="AD55" s="984"/>
      <c r="AE55" s="984"/>
      <c r="AF55" s="985"/>
      <c r="AG55" s="162"/>
      <c r="AH55" s="984"/>
      <c r="AI55" s="984"/>
      <c r="AJ55" s="984"/>
      <c r="AK55" s="984"/>
      <c r="AL55" s="984"/>
      <c r="AM55" s="984"/>
      <c r="AN55" s="984"/>
      <c r="AO55" s="984"/>
      <c r="AP55" s="984"/>
      <c r="AQ55" s="984"/>
      <c r="AR55" s="985"/>
      <c r="AS55" s="162"/>
      <c r="AT55" s="984"/>
      <c r="AU55" s="984"/>
      <c r="AV55" s="984"/>
      <c r="AW55" s="984"/>
      <c r="AX55" s="984"/>
      <c r="AY55" s="984"/>
      <c r="AZ55" s="984"/>
      <c r="BA55" s="984"/>
      <c r="BB55" s="984"/>
      <c r="BC55" s="984"/>
      <c r="BD55" s="985"/>
      <c r="BE55" s="162"/>
      <c r="BF55" s="984"/>
      <c r="BG55" s="984"/>
      <c r="BH55" s="984"/>
      <c r="BI55" s="984"/>
      <c r="BJ55" s="984"/>
      <c r="BK55" s="984"/>
      <c r="BL55" s="984"/>
      <c r="BM55" s="984"/>
      <c r="BN55" s="984"/>
      <c r="BO55" s="984"/>
      <c r="BP55" s="985"/>
    </row>
    <row r="56" spans="1:68" s="160" customFormat="1">
      <c r="A56" s="625" t="s">
        <v>248</v>
      </c>
      <c r="B56" s="653"/>
      <c r="C56" s="654"/>
      <c r="D56" s="655"/>
      <c r="E56" s="656"/>
      <c r="F56" s="160" t="s">
        <v>75</v>
      </c>
      <c r="G56" s="1033">
        <v>2</v>
      </c>
      <c r="H56" s="161"/>
      <c r="I56" s="154">
        <f>HR!D31</f>
        <v>1</v>
      </c>
      <c r="J56" s="154">
        <f>HR!E31</f>
        <v>1</v>
      </c>
      <c r="K56" s="154">
        <f>HR!F31</f>
        <v>1</v>
      </c>
      <c r="L56" s="154">
        <f>HR!G31</f>
        <v>1</v>
      </c>
      <c r="M56" s="154">
        <f>HR!H31</f>
        <v>1</v>
      </c>
      <c r="N56" s="154">
        <f>HR!I31</f>
        <v>1</v>
      </c>
      <c r="O56" s="154">
        <f>HR!J31</f>
        <v>1</v>
      </c>
      <c r="P56" s="154">
        <f>HR!K31</f>
        <v>1</v>
      </c>
      <c r="Q56" s="154">
        <f>HR!L31</f>
        <v>1</v>
      </c>
      <c r="R56" s="154">
        <f>HR!M31</f>
        <v>1</v>
      </c>
      <c r="S56" s="154">
        <f>HR!N31</f>
        <v>1</v>
      </c>
      <c r="T56" s="155">
        <f>HR!O31</f>
        <v>1</v>
      </c>
      <c r="U56" s="154">
        <f>HR!P31</f>
        <v>1</v>
      </c>
      <c r="V56" s="154">
        <f>HR!Q31</f>
        <v>1</v>
      </c>
      <c r="W56" s="154">
        <f>HR!R31</f>
        <v>1</v>
      </c>
      <c r="X56" s="154">
        <f>HR!S31</f>
        <v>1</v>
      </c>
      <c r="Y56" s="154">
        <f>HR!T31</f>
        <v>1.0424847737506902</v>
      </c>
      <c r="Z56" s="154">
        <f>HR!U31</f>
        <v>1.0964699427499942</v>
      </c>
      <c r="AA56" s="154">
        <f>HR!V31</f>
        <v>1.1536421845770319</v>
      </c>
      <c r="AB56" s="154">
        <f>HR!W31</f>
        <v>1.2141763171995008</v>
      </c>
      <c r="AC56" s="154">
        <f>HR!X31</f>
        <v>1.2782522336575668</v>
      </c>
      <c r="AD56" s="154">
        <f>HR!Y31</f>
        <v>1.3460546874933135</v>
      </c>
      <c r="AE56" s="154">
        <f>HR!Z31</f>
        <v>1.4177731112571581</v>
      </c>
      <c r="AF56" s="155">
        <f>HR!AA31</f>
        <v>1.4936014801960069</v>
      </c>
      <c r="AG56" s="154">
        <f>HR!AB31</f>
        <v>1.259065293004431</v>
      </c>
      <c r="AH56" s="154">
        <f>HR!AC31</f>
        <v>1.3254769961923902</v>
      </c>
      <c r="AI56" s="154">
        <f>HR!AD31</f>
        <v>1.3955633575194537</v>
      </c>
      <c r="AJ56" s="154">
        <f>HR!AE31</f>
        <v>1.46949278775153</v>
      </c>
      <c r="AK56" s="154">
        <f>HR!AF31</f>
        <v>1.5474377066163703</v>
      </c>
      <c r="AL56" s="154">
        <f>HR!AG31</f>
        <v>1.6295745906013426</v>
      </c>
      <c r="AM56" s="154">
        <f>HR!AH31</f>
        <v>1.7160840544499252</v>
      </c>
      <c r="AN56" s="154">
        <f>HR!AI31</f>
        <v>1.8071509675571147</v>
      </c>
      <c r="AO56" s="154">
        <f>HR!AJ31</f>
        <v>1.9029646057999976</v>
      </c>
      <c r="AP56" s="154">
        <f>HR!AK31</f>
        <v>2.0037188387520053</v>
      </c>
      <c r="AQ56" s="154">
        <f>HR!AL31</f>
        <v>2.109612351736923</v>
      </c>
      <c r="AR56" s="155">
        <f>HR!AM31</f>
        <v>2.2208489017932131</v>
      </c>
      <c r="AS56" s="154">
        <f>HR!AN31</f>
        <v>2.3376376063443165</v>
      </c>
      <c r="AT56" s="154">
        <f>HR!AO31</f>
        <v>2.4541460658133301</v>
      </c>
      <c r="AU56" s="154">
        <f>HR!AP31</f>
        <v>2.5761271989660961</v>
      </c>
      <c r="AV56" s="154">
        <f>HR!AQ31</f>
        <v>2.7037900035320042</v>
      </c>
      <c r="AW56" s="154">
        <f>HR!AR31</f>
        <v>2.837349746690137</v>
      </c>
      <c r="AX56" s="154">
        <f>HR!AS31</f>
        <v>2.977028256550188</v>
      </c>
      <c r="AY56" s="154">
        <f>HR!AT31</f>
        <v>3.1230542372062766</v>
      </c>
      <c r="AZ56" s="154">
        <f>HR!AU31</f>
        <v>3.2756636080359329</v>
      </c>
      <c r="BA56" s="154">
        <f>HR!AV31</f>
        <v>3.4350998678588867</v>
      </c>
      <c r="BB56" s="154">
        <f>HR!AW31</f>
        <v>3.6016144845138323</v>
      </c>
      <c r="BC56" s="154">
        <f>HR!AX31</f>
        <v>3.7754673103564711</v>
      </c>
      <c r="BD56" s="155">
        <f>HR!AY31</f>
        <v>3.9569270241297962</v>
      </c>
      <c r="BE56" s="154">
        <f>HR!AZ31</f>
        <v>4.1462715996083759</v>
      </c>
      <c r="BF56" s="154">
        <f>HR!BA31</f>
        <v>4.3467902005470087</v>
      </c>
      <c r="BG56" s="154">
        <f>HR!BB31</f>
        <v>4.5561891642034551</v>
      </c>
      <c r="BH56" s="154">
        <f>HR!BC31</f>
        <v>4.7748080362113194</v>
      </c>
      <c r="BI56" s="154">
        <f>HR!BD31</f>
        <v>5.0029991091322188</v>
      </c>
      <c r="BJ56" s="154">
        <f>HR!BE31</f>
        <v>5.2411280667027631</v>
      </c>
      <c r="BK56" s="154">
        <f>HR!BF31</f>
        <v>5.4895746605107032</v>
      </c>
      <c r="BL56" s="154">
        <f>HR!BG31</f>
        <v>5.7487334196222015</v>
      </c>
      <c r="BM56" s="154">
        <f>HR!BH31</f>
        <v>6.0190143936661666</v>
      </c>
      <c r="BN56" s="154">
        <f>HR!BI31</f>
        <v>6.3008439298721353</v>
      </c>
      <c r="BO56" s="154">
        <f>HR!BJ31</f>
        <v>6.5946654845562138</v>
      </c>
      <c r="BP56" s="155">
        <f>HR!BK31</f>
        <v>6.9009404695551284</v>
      </c>
    </row>
    <row r="57" spans="1:68" s="641" customFormat="1">
      <c r="A57" s="1331" t="s">
        <v>200</v>
      </c>
      <c r="B57" s="1332"/>
      <c r="C57" s="1037" t="s">
        <v>76</v>
      </c>
      <c r="D57" s="1187">
        <v>350</v>
      </c>
      <c r="E57" s="1038" t="s">
        <v>199</v>
      </c>
      <c r="G57" s="1003">
        <v>959.4</v>
      </c>
      <c r="H57" s="1003"/>
      <c r="I57" s="641">
        <f>$D$57*I56</f>
        <v>350</v>
      </c>
      <c r="J57" s="641">
        <f t="shared" ref="J57:BP57" si="76">$D$57*J56</f>
        <v>350</v>
      </c>
      <c r="K57" s="641">
        <f t="shared" si="76"/>
        <v>350</v>
      </c>
      <c r="L57" s="641">
        <f t="shared" si="76"/>
        <v>350</v>
      </c>
      <c r="M57" s="641">
        <f t="shared" si="76"/>
        <v>350</v>
      </c>
      <c r="N57" s="641">
        <f t="shared" si="76"/>
        <v>350</v>
      </c>
      <c r="O57" s="641">
        <f t="shared" si="76"/>
        <v>350</v>
      </c>
      <c r="P57" s="641">
        <f t="shared" si="76"/>
        <v>350</v>
      </c>
      <c r="Q57" s="641">
        <f t="shared" si="76"/>
        <v>350</v>
      </c>
      <c r="R57" s="641">
        <f t="shared" si="76"/>
        <v>350</v>
      </c>
      <c r="S57" s="641">
        <f t="shared" si="76"/>
        <v>350</v>
      </c>
      <c r="T57" s="642">
        <f t="shared" si="76"/>
        <v>350</v>
      </c>
      <c r="U57" s="641">
        <f t="shared" si="76"/>
        <v>350</v>
      </c>
      <c r="V57" s="641">
        <f t="shared" si="76"/>
        <v>350</v>
      </c>
      <c r="W57" s="641">
        <f t="shared" si="76"/>
        <v>350</v>
      </c>
      <c r="X57" s="641">
        <f t="shared" si="76"/>
        <v>350</v>
      </c>
      <c r="Y57" s="641">
        <f t="shared" si="76"/>
        <v>364.86967081274156</v>
      </c>
      <c r="Z57" s="641">
        <f t="shared" si="76"/>
        <v>383.764479962498</v>
      </c>
      <c r="AA57" s="641">
        <f t="shared" si="76"/>
        <v>403.77476460196118</v>
      </c>
      <c r="AB57" s="641">
        <f t="shared" si="76"/>
        <v>424.96171101982526</v>
      </c>
      <c r="AC57" s="641">
        <f t="shared" si="76"/>
        <v>447.38828178014836</v>
      </c>
      <c r="AD57" s="641">
        <f t="shared" si="76"/>
        <v>471.1191406226597</v>
      </c>
      <c r="AE57" s="641">
        <f t="shared" si="76"/>
        <v>496.22058894000531</v>
      </c>
      <c r="AF57" s="642">
        <f t="shared" si="76"/>
        <v>522.76051806860244</v>
      </c>
      <c r="AG57" s="641">
        <f t="shared" si="76"/>
        <v>440.67285255155087</v>
      </c>
      <c r="AH57" s="641">
        <f t="shared" si="76"/>
        <v>463.91694866733656</v>
      </c>
      <c r="AI57" s="641">
        <f t="shared" si="76"/>
        <v>488.44717513180882</v>
      </c>
      <c r="AJ57" s="641">
        <f t="shared" si="76"/>
        <v>514.32247571303549</v>
      </c>
      <c r="AK57" s="641">
        <f t="shared" si="76"/>
        <v>541.60319731572963</v>
      </c>
      <c r="AL57" s="641">
        <f t="shared" si="76"/>
        <v>570.35110671046994</v>
      </c>
      <c r="AM57" s="641">
        <f t="shared" si="76"/>
        <v>600.6294190574738</v>
      </c>
      <c r="AN57" s="641">
        <f t="shared" si="76"/>
        <v>632.50283864499011</v>
      </c>
      <c r="AO57" s="641">
        <f t="shared" si="76"/>
        <v>666.0376120299992</v>
      </c>
      <c r="AP57" s="641">
        <f t="shared" si="76"/>
        <v>701.30159356320189</v>
      </c>
      <c r="AQ57" s="641">
        <f t="shared" si="76"/>
        <v>738.36432310792304</v>
      </c>
      <c r="AR57" s="642">
        <f t="shared" si="76"/>
        <v>777.29711562762463</v>
      </c>
      <c r="AS57" s="641">
        <f t="shared" si="76"/>
        <v>818.17316222051079</v>
      </c>
      <c r="AT57" s="641">
        <f t="shared" si="76"/>
        <v>858.95112303466556</v>
      </c>
      <c r="AU57" s="641">
        <f t="shared" si="76"/>
        <v>901.6445196381336</v>
      </c>
      <c r="AV57" s="641">
        <f t="shared" si="76"/>
        <v>946.32650123620147</v>
      </c>
      <c r="AW57" s="641">
        <f t="shared" si="76"/>
        <v>993.07241134154788</v>
      </c>
      <c r="AX57" s="641">
        <f t="shared" si="76"/>
        <v>1041.9598897925657</v>
      </c>
      <c r="AY57" s="641">
        <f t="shared" si="76"/>
        <v>1093.0689830221968</v>
      </c>
      <c r="AZ57" s="641">
        <f t="shared" si="76"/>
        <v>1146.4822628125764</v>
      </c>
      <c r="BA57" s="641">
        <f t="shared" si="76"/>
        <v>1202.2849537506104</v>
      </c>
      <c r="BB57" s="641">
        <f t="shared" si="76"/>
        <v>1260.5650695798413</v>
      </c>
      <c r="BC57" s="641">
        <f t="shared" si="76"/>
        <v>1321.4135586247648</v>
      </c>
      <c r="BD57" s="642">
        <f t="shared" si="76"/>
        <v>1384.9244584454286</v>
      </c>
      <c r="BE57" s="641">
        <f t="shared" si="76"/>
        <v>1451.1950598629317</v>
      </c>
      <c r="BF57" s="641">
        <f t="shared" si="76"/>
        <v>1521.3765701914531</v>
      </c>
      <c r="BG57" s="641">
        <f t="shared" si="76"/>
        <v>1594.6662074712092</v>
      </c>
      <c r="BH57" s="641">
        <f t="shared" si="76"/>
        <v>1671.1828126739617</v>
      </c>
      <c r="BI57" s="641">
        <f t="shared" si="76"/>
        <v>1751.0496881962765</v>
      </c>
      <c r="BJ57" s="641">
        <f t="shared" si="76"/>
        <v>1834.3948233459671</v>
      </c>
      <c r="BK57" s="641">
        <f t="shared" si="76"/>
        <v>1921.3511311787461</v>
      </c>
      <c r="BL57" s="641">
        <f t="shared" si="76"/>
        <v>2012.0566968677706</v>
      </c>
      <c r="BM57" s="641">
        <f t="shared" si="76"/>
        <v>2106.6550377831581</v>
      </c>
      <c r="BN57" s="641">
        <f t="shared" si="76"/>
        <v>2205.2953754552473</v>
      </c>
      <c r="BO57" s="641">
        <f t="shared" si="76"/>
        <v>2308.1329195946751</v>
      </c>
      <c r="BP57" s="642">
        <f t="shared" si="76"/>
        <v>2415.3291643442949</v>
      </c>
    </row>
    <row r="58" spans="1:68" s="646" customFormat="1">
      <c r="A58" s="1333" t="s">
        <v>201</v>
      </c>
      <c r="B58" s="1334"/>
      <c r="C58" s="1039" t="s">
        <v>76</v>
      </c>
      <c r="D58" s="1188">
        <v>0</v>
      </c>
      <c r="E58" s="1040" t="s">
        <v>77</v>
      </c>
      <c r="G58" s="1006"/>
      <c r="H58" s="1006"/>
      <c r="J58" s="646">
        <f>IF(J56&gt;I56,(J56-I56)*$D$58,0)</f>
        <v>0</v>
      </c>
      <c r="K58" s="646">
        <f t="shared" ref="K58:BP58" si="77">IF(K56&gt;J56,(K56-J56)*$D$58,0)</f>
        <v>0</v>
      </c>
      <c r="L58" s="646">
        <f t="shared" si="77"/>
        <v>0</v>
      </c>
      <c r="M58" s="646">
        <f t="shared" si="77"/>
        <v>0</v>
      </c>
      <c r="N58" s="646">
        <f t="shared" si="77"/>
        <v>0</v>
      </c>
      <c r="O58" s="646">
        <f t="shared" si="77"/>
        <v>0</v>
      </c>
      <c r="P58" s="646">
        <f t="shared" si="77"/>
        <v>0</v>
      </c>
      <c r="Q58" s="646">
        <f t="shared" si="77"/>
        <v>0</v>
      </c>
      <c r="R58" s="646">
        <f t="shared" si="77"/>
        <v>0</v>
      </c>
      <c r="S58" s="646">
        <f t="shared" si="77"/>
        <v>0</v>
      </c>
      <c r="T58" s="647">
        <f t="shared" si="77"/>
        <v>0</v>
      </c>
      <c r="U58" s="646">
        <f t="shared" si="77"/>
        <v>0</v>
      </c>
      <c r="V58" s="646">
        <f t="shared" si="77"/>
        <v>0</v>
      </c>
      <c r="W58" s="646">
        <f t="shared" si="77"/>
        <v>0</v>
      </c>
      <c r="X58" s="646">
        <f t="shared" si="77"/>
        <v>0</v>
      </c>
      <c r="Y58" s="646">
        <f t="shared" si="77"/>
        <v>0</v>
      </c>
      <c r="Z58" s="646">
        <f t="shared" si="77"/>
        <v>0</v>
      </c>
      <c r="AA58" s="646">
        <f t="shared" si="77"/>
        <v>0</v>
      </c>
      <c r="AB58" s="646">
        <f t="shared" si="77"/>
        <v>0</v>
      </c>
      <c r="AC58" s="646">
        <f t="shared" si="77"/>
        <v>0</v>
      </c>
      <c r="AD58" s="646">
        <f t="shared" si="77"/>
        <v>0</v>
      </c>
      <c r="AE58" s="646">
        <f t="shared" si="77"/>
        <v>0</v>
      </c>
      <c r="AF58" s="647">
        <f t="shared" si="77"/>
        <v>0</v>
      </c>
      <c r="AG58" s="646">
        <f t="shared" si="77"/>
        <v>0</v>
      </c>
      <c r="AH58" s="646">
        <f t="shared" si="77"/>
        <v>0</v>
      </c>
      <c r="AI58" s="646">
        <f t="shared" si="77"/>
        <v>0</v>
      </c>
      <c r="AJ58" s="646">
        <f t="shared" si="77"/>
        <v>0</v>
      </c>
      <c r="AK58" s="646">
        <f t="shared" si="77"/>
        <v>0</v>
      </c>
      <c r="AL58" s="646">
        <f t="shared" si="77"/>
        <v>0</v>
      </c>
      <c r="AM58" s="646">
        <f t="shared" si="77"/>
        <v>0</v>
      </c>
      <c r="AN58" s="646">
        <f t="shared" si="77"/>
        <v>0</v>
      </c>
      <c r="AO58" s="646">
        <f t="shared" si="77"/>
        <v>0</v>
      </c>
      <c r="AP58" s="646">
        <f t="shared" si="77"/>
        <v>0</v>
      </c>
      <c r="AQ58" s="646">
        <f t="shared" si="77"/>
        <v>0</v>
      </c>
      <c r="AR58" s="647">
        <f t="shared" si="77"/>
        <v>0</v>
      </c>
      <c r="AS58" s="646">
        <f t="shared" si="77"/>
        <v>0</v>
      </c>
      <c r="AT58" s="646">
        <f t="shared" si="77"/>
        <v>0</v>
      </c>
      <c r="AU58" s="646">
        <f t="shared" si="77"/>
        <v>0</v>
      </c>
      <c r="AV58" s="646">
        <f t="shared" si="77"/>
        <v>0</v>
      </c>
      <c r="AW58" s="646">
        <f t="shared" si="77"/>
        <v>0</v>
      </c>
      <c r="AX58" s="646">
        <f t="shared" si="77"/>
        <v>0</v>
      </c>
      <c r="AY58" s="646">
        <f t="shared" si="77"/>
        <v>0</v>
      </c>
      <c r="AZ58" s="646">
        <f t="shared" si="77"/>
        <v>0</v>
      </c>
      <c r="BA58" s="646">
        <f t="shared" si="77"/>
        <v>0</v>
      </c>
      <c r="BB58" s="646">
        <f t="shared" si="77"/>
        <v>0</v>
      </c>
      <c r="BC58" s="646">
        <f t="shared" si="77"/>
        <v>0</v>
      </c>
      <c r="BD58" s="647">
        <f t="shared" si="77"/>
        <v>0</v>
      </c>
      <c r="BE58" s="646">
        <f t="shared" si="77"/>
        <v>0</v>
      </c>
      <c r="BF58" s="646">
        <f t="shared" si="77"/>
        <v>0</v>
      </c>
      <c r="BG58" s="646">
        <f t="shared" si="77"/>
        <v>0</v>
      </c>
      <c r="BH58" s="646">
        <f t="shared" si="77"/>
        <v>0</v>
      </c>
      <c r="BI58" s="646">
        <f t="shared" si="77"/>
        <v>0</v>
      </c>
      <c r="BJ58" s="646">
        <f t="shared" si="77"/>
        <v>0</v>
      </c>
      <c r="BK58" s="646">
        <f t="shared" si="77"/>
        <v>0</v>
      </c>
      <c r="BL58" s="646">
        <f t="shared" si="77"/>
        <v>0</v>
      </c>
      <c r="BM58" s="646">
        <f t="shared" si="77"/>
        <v>0</v>
      </c>
      <c r="BN58" s="646">
        <f t="shared" si="77"/>
        <v>0</v>
      </c>
      <c r="BO58" s="646">
        <f t="shared" si="77"/>
        <v>0</v>
      </c>
      <c r="BP58" s="647">
        <f t="shared" si="77"/>
        <v>0</v>
      </c>
    </row>
    <row r="59" spans="1:68" s="646" customFormat="1">
      <c r="A59" s="1041"/>
      <c r="B59" s="1042"/>
      <c r="C59" s="1043" t="s">
        <v>79</v>
      </c>
      <c r="D59" s="1189">
        <v>300</v>
      </c>
      <c r="E59" s="1044" t="s">
        <v>77</v>
      </c>
      <c r="G59" s="1006">
        <f>$G$56*D59</f>
        <v>600</v>
      </c>
      <c r="H59" s="1006"/>
      <c r="I59" s="646">
        <f>I56*$D$59</f>
        <v>300</v>
      </c>
      <c r="J59" s="646">
        <f t="shared" ref="J59:T59" si="78">J56*$D$59</f>
        <v>300</v>
      </c>
      <c r="K59" s="646">
        <f t="shared" si="78"/>
        <v>300</v>
      </c>
      <c r="L59" s="646">
        <f t="shared" si="78"/>
        <v>300</v>
      </c>
      <c r="M59" s="646">
        <f t="shared" si="78"/>
        <v>300</v>
      </c>
      <c r="N59" s="646">
        <f t="shared" si="78"/>
        <v>300</v>
      </c>
      <c r="O59" s="646">
        <f t="shared" si="78"/>
        <v>300</v>
      </c>
      <c r="P59" s="646">
        <f t="shared" si="78"/>
        <v>300</v>
      </c>
      <c r="Q59" s="646">
        <f t="shared" si="78"/>
        <v>300</v>
      </c>
      <c r="R59" s="646">
        <f t="shared" si="78"/>
        <v>300</v>
      </c>
      <c r="S59" s="646">
        <f t="shared" si="78"/>
        <v>300</v>
      </c>
      <c r="T59" s="647">
        <f t="shared" si="78"/>
        <v>300</v>
      </c>
      <c r="U59" s="646">
        <f>U56*$D$59</f>
        <v>300</v>
      </c>
      <c r="V59" s="646">
        <f t="shared" ref="V59:AF59" si="79">V56*$D$59</f>
        <v>300</v>
      </c>
      <c r="W59" s="646">
        <f t="shared" si="79"/>
        <v>300</v>
      </c>
      <c r="X59" s="646">
        <f t="shared" si="79"/>
        <v>300</v>
      </c>
      <c r="Y59" s="646">
        <f t="shared" si="79"/>
        <v>312.74543212520706</v>
      </c>
      <c r="Z59" s="646">
        <f t="shared" si="79"/>
        <v>328.94098282499829</v>
      </c>
      <c r="AA59" s="646">
        <f t="shared" si="79"/>
        <v>346.09265537310961</v>
      </c>
      <c r="AB59" s="646">
        <f t="shared" si="79"/>
        <v>364.25289515985025</v>
      </c>
      <c r="AC59" s="646">
        <f t="shared" si="79"/>
        <v>383.47567009727004</v>
      </c>
      <c r="AD59" s="646">
        <f t="shared" si="79"/>
        <v>403.81640624799405</v>
      </c>
      <c r="AE59" s="646">
        <f t="shared" si="79"/>
        <v>425.33193337714744</v>
      </c>
      <c r="AF59" s="647">
        <f t="shared" si="79"/>
        <v>448.08044405880207</v>
      </c>
      <c r="AG59" s="646">
        <f>AG56*$D$59</f>
        <v>377.71958790132931</v>
      </c>
      <c r="AH59" s="646">
        <f t="shared" ref="AH59:AR59" si="80">AH56*$D$59</f>
        <v>397.64309885771706</v>
      </c>
      <c r="AI59" s="646">
        <f t="shared" si="80"/>
        <v>418.66900725583611</v>
      </c>
      <c r="AJ59" s="646">
        <f t="shared" si="80"/>
        <v>440.84783632545901</v>
      </c>
      <c r="AK59" s="646">
        <f t="shared" si="80"/>
        <v>464.23131198491109</v>
      </c>
      <c r="AL59" s="646">
        <f t="shared" si="80"/>
        <v>488.87237718040279</v>
      </c>
      <c r="AM59" s="646">
        <f t="shared" si="80"/>
        <v>514.82521633497754</v>
      </c>
      <c r="AN59" s="646">
        <f t="shared" si="80"/>
        <v>542.14529026713444</v>
      </c>
      <c r="AO59" s="646">
        <f t="shared" si="80"/>
        <v>570.88938173999929</v>
      </c>
      <c r="AP59" s="646">
        <f t="shared" si="80"/>
        <v>601.11565162560157</v>
      </c>
      <c r="AQ59" s="646">
        <f t="shared" si="80"/>
        <v>632.88370552107688</v>
      </c>
      <c r="AR59" s="647">
        <f t="shared" si="80"/>
        <v>666.25467053796399</v>
      </c>
      <c r="AS59" s="646">
        <f>AS56*$D$59</f>
        <v>701.29128190329493</v>
      </c>
      <c r="AT59" s="646">
        <f t="shared" ref="AT59:BD59" si="81">AT56*$D$59</f>
        <v>736.24381974399898</v>
      </c>
      <c r="AU59" s="646">
        <f t="shared" si="81"/>
        <v>772.83815968982879</v>
      </c>
      <c r="AV59" s="646">
        <f t="shared" si="81"/>
        <v>811.13700105960129</v>
      </c>
      <c r="AW59" s="646">
        <f t="shared" si="81"/>
        <v>851.20492400704109</v>
      </c>
      <c r="AX59" s="646">
        <f t="shared" si="81"/>
        <v>893.10847696505641</v>
      </c>
      <c r="AY59" s="646">
        <f t="shared" si="81"/>
        <v>936.91627116188295</v>
      </c>
      <c r="AZ59" s="646">
        <f t="shared" si="81"/>
        <v>982.69908241077985</v>
      </c>
      <c r="BA59" s="646">
        <f t="shared" si="81"/>
        <v>1030.5299603576659</v>
      </c>
      <c r="BB59" s="646">
        <f t="shared" si="81"/>
        <v>1080.4843453541496</v>
      </c>
      <c r="BC59" s="646">
        <f t="shared" si="81"/>
        <v>1132.6401931069413</v>
      </c>
      <c r="BD59" s="647">
        <f t="shared" si="81"/>
        <v>1187.0781072389389</v>
      </c>
      <c r="BE59" s="646">
        <f>BE56*$D$59</f>
        <v>1243.8814798825128</v>
      </c>
      <c r="BF59" s="646">
        <f t="shared" ref="BF59:BP59" si="82">BF56*$D$59</f>
        <v>1304.0370601641025</v>
      </c>
      <c r="BG59" s="646">
        <f t="shared" si="82"/>
        <v>1366.8567492610366</v>
      </c>
      <c r="BH59" s="646">
        <f t="shared" si="82"/>
        <v>1432.4424108633959</v>
      </c>
      <c r="BI59" s="646">
        <f t="shared" si="82"/>
        <v>1500.8997327396655</v>
      </c>
      <c r="BJ59" s="646">
        <f t="shared" si="82"/>
        <v>1572.3384200108289</v>
      </c>
      <c r="BK59" s="646">
        <f t="shared" si="82"/>
        <v>1646.872398153211</v>
      </c>
      <c r="BL59" s="646">
        <f t="shared" si="82"/>
        <v>1724.6200258866604</v>
      </c>
      <c r="BM59" s="646">
        <f t="shared" si="82"/>
        <v>1805.7043180998501</v>
      </c>
      <c r="BN59" s="646">
        <f t="shared" si="82"/>
        <v>1890.2531789616405</v>
      </c>
      <c r="BO59" s="646">
        <f t="shared" si="82"/>
        <v>1978.3996453668642</v>
      </c>
      <c r="BP59" s="647">
        <f t="shared" si="82"/>
        <v>2070.2821408665386</v>
      </c>
    </row>
    <row r="60" spans="1:68" s="646" customFormat="1">
      <c r="A60" s="1045"/>
      <c r="B60" s="1046"/>
      <c r="C60" s="1039" t="s">
        <v>80</v>
      </c>
      <c r="D60" s="1188">
        <v>250</v>
      </c>
      <c r="E60" s="1040" t="s">
        <v>100</v>
      </c>
      <c r="G60" s="1006">
        <f t="shared" ref="G60:G61" si="83">$G$56*D60</f>
        <v>500</v>
      </c>
      <c r="H60" s="1006"/>
      <c r="I60" s="646">
        <f>(I56*$D$60)/12</f>
        <v>20.833333333333332</v>
      </c>
      <c r="J60" s="646">
        <f t="shared" ref="J60:T69" si="84">I60</f>
        <v>20.833333333333332</v>
      </c>
      <c r="K60" s="646">
        <f t="shared" si="84"/>
        <v>20.833333333333332</v>
      </c>
      <c r="L60" s="646">
        <f t="shared" si="84"/>
        <v>20.833333333333332</v>
      </c>
      <c r="M60" s="646">
        <f t="shared" si="84"/>
        <v>20.833333333333332</v>
      </c>
      <c r="N60" s="646">
        <f t="shared" si="84"/>
        <v>20.833333333333332</v>
      </c>
      <c r="O60" s="646">
        <f t="shared" si="84"/>
        <v>20.833333333333332</v>
      </c>
      <c r="P60" s="646">
        <f t="shared" si="84"/>
        <v>20.833333333333332</v>
      </c>
      <c r="Q60" s="646">
        <f t="shared" si="84"/>
        <v>20.833333333333332</v>
      </c>
      <c r="R60" s="646">
        <f t="shared" si="84"/>
        <v>20.833333333333332</v>
      </c>
      <c r="S60" s="646">
        <f t="shared" si="84"/>
        <v>20.833333333333332</v>
      </c>
      <c r="T60" s="647">
        <f t="shared" si="84"/>
        <v>20.833333333333332</v>
      </c>
      <c r="U60" s="646">
        <f>(U56*$D$60)/12</f>
        <v>20.833333333333332</v>
      </c>
      <c r="V60" s="646" t="s">
        <v>167</v>
      </c>
      <c r="W60" s="646" t="str">
        <f t="shared" ref="W60" si="85">V60</f>
        <v>`</v>
      </c>
      <c r="X60" s="646" t="str">
        <f t="shared" ref="X60" si="86">W60</f>
        <v>`</v>
      </c>
      <c r="Y60" s="646" t="str">
        <f t="shared" ref="Y60" si="87">X60</f>
        <v>`</v>
      </c>
      <c r="Z60" s="646" t="str">
        <f t="shared" ref="Z60" si="88">Y60</f>
        <v>`</v>
      </c>
      <c r="AA60" s="646" t="str">
        <f t="shared" ref="AA60" si="89">Z60</f>
        <v>`</v>
      </c>
      <c r="AB60" s="646" t="str">
        <f t="shared" ref="AB60" si="90">AA60</f>
        <v>`</v>
      </c>
      <c r="AC60" s="646" t="str">
        <f t="shared" ref="AC60" si="91">AB60</f>
        <v>`</v>
      </c>
      <c r="AD60" s="646" t="str">
        <f t="shared" ref="AD60" si="92">AC60</f>
        <v>`</v>
      </c>
      <c r="AE60" s="646" t="str">
        <f t="shared" ref="AE60" si="93">AD60</f>
        <v>`</v>
      </c>
      <c r="AF60" s="647" t="str">
        <f t="shared" ref="AF60" si="94">AE60</f>
        <v>`</v>
      </c>
      <c r="AG60" s="646">
        <f>(AG56*$D$60)/12</f>
        <v>26.230526937592312</v>
      </c>
      <c r="AH60" s="646">
        <f t="shared" ref="AH60" si="95">AG60</f>
        <v>26.230526937592312</v>
      </c>
      <c r="AI60" s="646">
        <f t="shared" ref="AI60" si="96">AH60</f>
        <v>26.230526937592312</v>
      </c>
      <c r="AJ60" s="646">
        <f t="shared" ref="AJ60" si="97">AI60</f>
        <v>26.230526937592312</v>
      </c>
      <c r="AK60" s="646">
        <f t="shared" ref="AK60" si="98">AJ60</f>
        <v>26.230526937592312</v>
      </c>
      <c r="AL60" s="646">
        <f t="shared" ref="AL60" si="99">AK60</f>
        <v>26.230526937592312</v>
      </c>
      <c r="AM60" s="646">
        <f t="shared" ref="AM60" si="100">AL60</f>
        <v>26.230526937592312</v>
      </c>
      <c r="AN60" s="646">
        <f t="shared" ref="AN60" si="101">AM60</f>
        <v>26.230526937592312</v>
      </c>
      <c r="AO60" s="646">
        <f t="shared" ref="AO60" si="102">AN60</f>
        <v>26.230526937592312</v>
      </c>
      <c r="AP60" s="646">
        <f t="shared" ref="AP60" si="103">AO60</f>
        <v>26.230526937592312</v>
      </c>
      <c r="AQ60" s="646">
        <f t="shared" ref="AQ60" si="104">AP60</f>
        <v>26.230526937592312</v>
      </c>
      <c r="AR60" s="647">
        <f t="shared" ref="AR60" si="105">AQ60</f>
        <v>26.230526937592312</v>
      </c>
      <c r="AS60" s="646">
        <f>(AS56*$D$60)/12</f>
        <v>48.700783465506589</v>
      </c>
      <c r="AT60" s="646">
        <f t="shared" ref="AT60" si="106">AS60</f>
        <v>48.700783465506589</v>
      </c>
      <c r="AU60" s="646">
        <f t="shared" ref="AU60" si="107">AT60</f>
        <v>48.700783465506589</v>
      </c>
      <c r="AV60" s="646">
        <f t="shared" ref="AV60" si="108">AU60</f>
        <v>48.700783465506589</v>
      </c>
      <c r="AW60" s="646">
        <f t="shared" ref="AW60" si="109">AV60</f>
        <v>48.700783465506589</v>
      </c>
      <c r="AX60" s="646">
        <f t="shared" ref="AX60" si="110">AW60</f>
        <v>48.700783465506589</v>
      </c>
      <c r="AY60" s="646">
        <f t="shared" ref="AY60" si="111">AX60</f>
        <v>48.700783465506589</v>
      </c>
      <c r="AZ60" s="646">
        <f t="shared" ref="AZ60" si="112">AY60</f>
        <v>48.700783465506589</v>
      </c>
      <c r="BA60" s="646">
        <f t="shared" ref="BA60" si="113">AZ60</f>
        <v>48.700783465506589</v>
      </c>
      <c r="BB60" s="646">
        <f t="shared" ref="BB60" si="114">BA60</f>
        <v>48.700783465506589</v>
      </c>
      <c r="BC60" s="646">
        <f t="shared" ref="BC60" si="115">BB60</f>
        <v>48.700783465506589</v>
      </c>
      <c r="BD60" s="647">
        <f t="shared" ref="BD60" si="116">BC60</f>
        <v>48.700783465506589</v>
      </c>
      <c r="BE60" s="646">
        <f>(BE56*$D$60)/12</f>
        <v>86.380658325174508</v>
      </c>
      <c r="BF60" s="646">
        <f t="shared" ref="BF60" si="117">BE60</f>
        <v>86.380658325174508</v>
      </c>
      <c r="BG60" s="646">
        <f t="shared" ref="BG60" si="118">BF60</f>
        <v>86.380658325174508</v>
      </c>
      <c r="BH60" s="646">
        <f t="shared" ref="BH60" si="119">BG60</f>
        <v>86.380658325174508</v>
      </c>
      <c r="BI60" s="646">
        <f t="shared" ref="BI60" si="120">BH60</f>
        <v>86.380658325174508</v>
      </c>
      <c r="BJ60" s="646">
        <f t="shared" ref="BJ60" si="121">BI60</f>
        <v>86.380658325174508</v>
      </c>
      <c r="BK60" s="646">
        <f t="shared" ref="BK60" si="122">BJ60</f>
        <v>86.380658325174508</v>
      </c>
      <c r="BL60" s="646">
        <f t="shared" ref="BL60" si="123">BK60</f>
        <v>86.380658325174508</v>
      </c>
      <c r="BM60" s="646">
        <f t="shared" ref="BM60" si="124">BL60</f>
        <v>86.380658325174508</v>
      </c>
      <c r="BN60" s="646">
        <f t="shared" ref="BN60" si="125">BM60</f>
        <v>86.380658325174508</v>
      </c>
      <c r="BO60" s="646">
        <f t="shared" ref="BO60" si="126">BN60</f>
        <v>86.380658325174508</v>
      </c>
      <c r="BP60" s="647">
        <f t="shared" ref="BP60" si="127">BO60</f>
        <v>86.380658325174508</v>
      </c>
    </row>
    <row r="61" spans="1:68" s="651" customFormat="1">
      <c r="A61" s="1047"/>
      <c r="B61" s="1048"/>
      <c r="C61" s="1049" t="s">
        <v>81</v>
      </c>
      <c r="D61" s="1190">
        <v>20</v>
      </c>
      <c r="E61" s="1050" t="s">
        <v>77</v>
      </c>
      <c r="G61" s="1017">
        <f t="shared" si="83"/>
        <v>40</v>
      </c>
      <c r="H61" s="1017"/>
      <c r="I61" s="651">
        <f>I56*$D$61</f>
        <v>20</v>
      </c>
      <c r="J61" s="651">
        <f t="shared" ref="J61:T61" si="128">J56*$D$61</f>
        <v>20</v>
      </c>
      <c r="K61" s="651">
        <f t="shared" si="128"/>
        <v>20</v>
      </c>
      <c r="L61" s="651">
        <f t="shared" si="128"/>
        <v>20</v>
      </c>
      <c r="M61" s="651">
        <f t="shared" si="128"/>
        <v>20</v>
      </c>
      <c r="N61" s="651">
        <f t="shared" si="128"/>
        <v>20</v>
      </c>
      <c r="O61" s="651">
        <f t="shared" si="128"/>
        <v>20</v>
      </c>
      <c r="P61" s="651">
        <f t="shared" si="128"/>
        <v>20</v>
      </c>
      <c r="Q61" s="651">
        <f t="shared" si="128"/>
        <v>20</v>
      </c>
      <c r="R61" s="651">
        <f t="shared" si="128"/>
        <v>20</v>
      </c>
      <c r="S61" s="651">
        <f t="shared" si="128"/>
        <v>20</v>
      </c>
      <c r="T61" s="652">
        <f t="shared" si="128"/>
        <v>20</v>
      </c>
      <c r="U61" s="651">
        <f>U56*$D$61</f>
        <v>20</v>
      </c>
      <c r="V61" s="651">
        <f t="shared" ref="V61:AF61" si="129">V56*$D$61</f>
        <v>20</v>
      </c>
      <c r="W61" s="651">
        <f t="shared" si="129"/>
        <v>20</v>
      </c>
      <c r="X61" s="651">
        <f t="shared" si="129"/>
        <v>20</v>
      </c>
      <c r="Y61" s="651">
        <f t="shared" si="129"/>
        <v>20.849695475013803</v>
      </c>
      <c r="Z61" s="651">
        <f t="shared" si="129"/>
        <v>21.929398854999885</v>
      </c>
      <c r="AA61" s="651">
        <f t="shared" si="129"/>
        <v>23.072843691540641</v>
      </c>
      <c r="AB61" s="651">
        <f t="shared" si="129"/>
        <v>24.283526343990015</v>
      </c>
      <c r="AC61" s="651">
        <f t="shared" si="129"/>
        <v>25.565044673151334</v>
      </c>
      <c r="AD61" s="651">
        <f t="shared" si="129"/>
        <v>26.921093749866269</v>
      </c>
      <c r="AE61" s="651">
        <f t="shared" si="129"/>
        <v>28.355462225143164</v>
      </c>
      <c r="AF61" s="652">
        <f t="shared" si="129"/>
        <v>29.87202960392014</v>
      </c>
      <c r="AG61" s="651">
        <f>AG56*$D$61</f>
        <v>25.181305860088621</v>
      </c>
      <c r="AH61" s="651">
        <f t="shared" ref="AH61:AR61" si="130">AH56*$D$61</f>
        <v>26.509539923847804</v>
      </c>
      <c r="AI61" s="651">
        <f t="shared" si="130"/>
        <v>27.911267150389072</v>
      </c>
      <c r="AJ61" s="651">
        <f t="shared" si="130"/>
        <v>29.389855755030602</v>
      </c>
      <c r="AK61" s="651">
        <f t="shared" si="130"/>
        <v>30.948754132327405</v>
      </c>
      <c r="AL61" s="651">
        <f t="shared" si="130"/>
        <v>32.591491812026852</v>
      </c>
      <c r="AM61" s="651">
        <f t="shared" si="130"/>
        <v>34.321681088998503</v>
      </c>
      <c r="AN61" s="651">
        <f t="shared" si="130"/>
        <v>36.143019351142293</v>
      </c>
      <c r="AO61" s="651">
        <f t="shared" si="130"/>
        <v>38.059292115999952</v>
      </c>
      <c r="AP61" s="651">
        <f t="shared" si="130"/>
        <v>40.074376775040108</v>
      </c>
      <c r="AQ61" s="651">
        <f t="shared" si="130"/>
        <v>42.192247034738458</v>
      </c>
      <c r="AR61" s="652">
        <f t="shared" si="130"/>
        <v>44.416978035864261</v>
      </c>
      <c r="AS61" s="651">
        <f>AS56*$D$61</f>
        <v>46.752752126886328</v>
      </c>
      <c r="AT61" s="651">
        <f t="shared" ref="AT61:BD61" si="131">AT56*$D$61</f>
        <v>49.082921316266599</v>
      </c>
      <c r="AU61" s="651">
        <f t="shared" si="131"/>
        <v>51.522543979321924</v>
      </c>
      <c r="AV61" s="651">
        <f t="shared" si="131"/>
        <v>54.075800070640085</v>
      </c>
      <c r="AW61" s="651">
        <f t="shared" si="131"/>
        <v>56.746994933802739</v>
      </c>
      <c r="AX61" s="651">
        <f t="shared" si="131"/>
        <v>59.54056513100376</v>
      </c>
      <c r="AY61" s="651">
        <f t="shared" si="131"/>
        <v>62.461084744125529</v>
      </c>
      <c r="AZ61" s="651">
        <f t="shared" si="131"/>
        <v>65.513272160718657</v>
      </c>
      <c r="BA61" s="651">
        <f t="shared" si="131"/>
        <v>68.701997357177731</v>
      </c>
      <c r="BB61" s="651">
        <f t="shared" si="131"/>
        <v>72.032289690276642</v>
      </c>
      <c r="BC61" s="651">
        <f t="shared" si="131"/>
        <v>75.509346207129425</v>
      </c>
      <c r="BD61" s="652">
        <f t="shared" si="131"/>
        <v>79.138540482595928</v>
      </c>
      <c r="BE61" s="651">
        <f>BE56*$D$61</f>
        <v>82.925431992167518</v>
      </c>
      <c r="BF61" s="651">
        <f t="shared" ref="BF61:BP61" si="132">BF56*$D$61</f>
        <v>86.935804010940174</v>
      </c>
      <c r="BG61" s="651">
        <f t="shared" si="132"/>
        <v>91.123783284069106</v>
      </c>
      <c r="BH61" s="651">
        <f t="shared" si="132"/>
        <v>95.496160724226385</v>
      </c>
      <c r="BI61" s="651">
        <f t="shared" si="132"/>
        <v>100.05998218264438</v>
      </c>
      <c r="BJ61" s="651">
        <f t="shared" si="132"/>
        <v>104.82256133405527</v>
      </c>
      <c r="BK61" s="651">
        <f t="shared" si="132"/>
        <v>109.79149321021407</v>
      </c>
      <c r="BL61" s="651">
        <f t="shared" si="132"/>
        <v>114.97466839244403</v>
      </c>
      <c r="BM61" s="651">
        <f t="shared" si="132"/>
        <v>120.38028787332334</v>
      </c>
      <c r="BN61" s="651">
        <f t="shared" si="132"/>
        <v>126.01687859744271</v>
      </c>
      <c r="BO61" s="651">
        <f t="shared" si="132"/>
        <v>131.89330969112427</v>
      </c>
      <c r="BP61" s="652">
        <f t="shared" si="132"/>
        <v>138.01880939110256</v>
      </c>
    </row>
    <row r="62" spans="1:68" s="327" customFormat="1">
      <c r="A62" s="297"/>
      <c r="B62" s="298"/>
      <c r="C62" s="299"/>
      <c r="D62" s="300"/>
      <c r="E62" s="300"/>
      <c r="G62" s="328">
        <f>SUM(G57:G61)</f>
        <v>2099.4</v>
      </c>
      <c r="H62" s="328">
        <f t="shared" ref="H62:T62" si="133">SUM(H57:H61)</f>
        <v>0</v>
      </c>
      <c r="I62" s="1059">
        <f t="shared" si="133"/>
        <v>690.83333333333337</v>
      </c>
      <c r="J62" s="1059">
        <f t="shared" si="133"/>
        <v>690.83333333333337</v>
      </c>
      <c r="K62" s="1059">
        <f t="shared" si="133"/>
        <v>690.83333333333337</v>
      </c>
      <c r="L62" s="1059">
        <f t="shared" si="133"/>
        <v>690.83333333333337</v>
      </c>
      <c r="M62" s="1059">
        <f t="shared" si="133"/>
        <v>690.83333333333337</v>
      </c>
      <c r="N62" s="1059">
        <f t="shared" si="133"/>
        <v>690.83333333333337</v>
      </c>
      <c r="O62" s="1059">
        <f t="shared" si="133"/>
        <v>690.83333333333337</v>
      </c>
      <c r="P62" s="1059">
        <f t="shared" si="133"/>
        <v>690.83333333333337</v>
      </c>
      <c r="Q62" s="1059">
        <f t="shared" si="133"/>
        <v>690.83333333333337</v>
      </c>
      <c r="R62" s="1059">
        <f t="shared" si="133"/>
        <v>690.83333333333337</v>
      </c>
      <c r="S62" s="1059">
        <f t="shared" si="133"/>
        <v>690.83333333333337</v>
      </c>
      <c r="T62" s="1060">
        <f t="shared" si="133"/>
        <v>690.83333333333337</v>
      </c>
      <c r="U62" s="1059">
        <f t="shared" ref="U62:AF62" si="134">SUM(U57:U61)</f>
        <v>690.83333333333337</v>
      </c>
      <c r="V62" s="1059">
        <f t="shared" si="134"/>
        <v>670</v>
      </c>
      <c r="W62" s="1059">
        <f t="shared" si="134"/>
        <v>670</v>
      </c>
      <c r="X62" s="1059">
        <f t="shared" si="134"/>
        <v>670</v>
      </c>
      <c r="Y62" s="1059">
        <f t="shared" si="134"/>
        <v>698.46479841296252</v>
      </c>
      <c r="Z62" s="1059">
        <f t="shared" si="134"/>
        <v>734.63486164249628</v>
      </c>
      <c r="AA62" s="1059">
        <f t="shared" si="134"/>
        <v>772.94026366661137</v>
      </c>
      <c r="AB62" s="1059">
        <f t="shared" si="134"/>
        <v>813.4981325236655</v>
      </c>
      <c r="AC62" s="1059">
        <f t="shared" si="134"/>
        <v>856.42899655056976</v>
      </c>
      <c r="AD62" s="1059">
        <f t="shared" si="134"/>
        <v>901.85664062052001</v>
      </c>
      <c r="AE62" s="1059">
        <f t="shared" si="134"/>
        <v>949.90798454229594</v>
      </c>
      <c r="AF62" s="1060">
        <f t="shared" si="134"/>
        <v>1000.7129917313247</v>
      </c>
      <c r="AG62" s="1059">
        <f t="shared" ref="AG62:AR62" si="135">SUM(AG57:AG61)</f>
        <v>869.80427325056121</v>
      </c>
      <c r="AH62" s="1059">
        <f t="shared" si="135"/>
        <v>914.30011438649376</v>
      </c>
      <c r="AI62" s="1059">
        <f t="shared" si="135"/>
        <v>961.25797647562638</v>
      </c>
      <c r="AJ62" s="1059">
        <f t="shared" si="135"/>
        <v>1010.7906947311175</v>
      </c>
      <c r="AK62" s="1059">
        <f t="shared" si="135"/>
        <v>1063.0137903705604</v>
      </c>
      <c r="AL62" s="1059">
        <f t="shared" si="135"/>
        <v>1118.0455026404918</v>
      </c>
      <c r="AM62" s="1059">
        <f t="shared" si="135"/>
        <v>1176.0068434190421</v>
      </c>
      <c r="AN62" s="1059">
        <f t="shared" si="135"/>
        <v>1237.0216752008591</v>
      </c>
      <c r="AO62" s="1059">
        <f t="shared" si="135"/>
        <v>1301.2168128235908</v>
      </c>
      <c r="AP62" s="1059">
        <f t="shared" si="135"/>
        <v>1368.7221489014357</v>
      </c>
      <c r="AQ62" s="1059">
        <f t="shared" si="135"/>
        <v>1439.6708026013307</v>
      </c>
      <c r="AR62" s="1060">
        <f t="shared" si="135"/>
        <v>1514.199291139045</v>
      </c>
      <c r="AS62" s="1059">
        <f t="shared" ref="AS62:BD62" si="136">SUM(AS57:AS61)</f>
        <v>1614.9179797161987</v>
      </c>
      <c r="AT62" s="1059">
        <f t="shared" si="136"/>
        <v>1692.9786475604376</v>
      </c>
      <c r="AU62" s="1059">
        <f t="shared" si="136"/>
        <v>1774.7060067727909</v>
      </c>
      <c r="AV62" s="1059">
        <f t="shared" si="136"/>
        <v>1860.2400858319495</v>
      </c>
      <c r="AW62" s="1059">
        <f t="shared" si="136"/>
        <v>1949.7251137478984</v>
      </c>
      <c r="AX62" s="1059">
        <f t="shared" si="136"/>
        <v>2043.3097153541328</v>
      </c>
      <c r="AY62" s="1059">
        <f t="shared" si="136"/>
        <v>2141.1471223937115</v>
      </c>
      <c r="AZ62" s="1059">
        <f t="shared" si="136"/>
        <v>2243.3954008495816</v>
      </c>
      <c r="BA62" s="1059">
        <f t="shared" si="136"/>
        <v>2350.2176949309605</v>
      </c>
      <c r="BB62" s="1059">
        <f t="shared" si="136"/>
        <v>2461.7824880897742</v>
      </c>
      <c r="BC62" s="1059">
        <f t="shared" si="136"/>
        <v>2578.2638814043421</v>
      </c>
      <c r="BD62" s="1060">
        <f t="shared" si="136"/>
        <v>2699.8418896324697</v>
      </c>
      <c r="BE62" s="1059">
        <f t="shared" ref="BE62:BP62" si="137">SUM(BE57:BE61)</f>
        <v>2864.3826300627861</v>
      </c>
      <c r="BF62" s="1059">
        <f t="shared" si="137"/>
        <v>2998.7300926916701</v>
      </c>
      <c r="BG62" s="1059">
        <f t="shared" si="137"/>
        <v>3139.0273983414895</v>
      </c>
      <c r="BH62" s="1059">
        <f t="shared" si="137"/>
        <v>3285.5020425867583</v>
      </c>
      <c r="BI62" s="1059">
        <f t="shared" si="137"/>
        <v>3438.3900614437607</v>
      </c>
      <c r="BJ62" s="1059">
        <f t="shared" si="137"/>
        <v>3597.9364630160258</v>
      </c>
      <c r="BK62" s="1059">
        <f t="shared" si="137"/>
        <v>3764.3956808673456</v>
      </c>
      <c r="BL62" s="1059">
        <f t="shared" si="137"/>
        <v>3938.0320494720495</v>
      </c>
      <c r="BM62" s="1059">
        <f t="shared" si="137"/>
        <v>4119.1203020815055</v>
      </c>
      <c r="BN62" s="1059">
        <f t="shared" si="137"/>
        <v>4307.9460913395051</v>
      </c>
      <c r="BO62" s="1059">
        <f t="shared" si="137"/>
        <v>4504.8065329778374</v>
      </c>
      <c r="BP62" s="1060">
        <f t="shared" si="137"/>
        <v>4710.0107729271112</v>
      </c>
    </row>
    <row r="63" spans="1:68">
      <c r="A63" s="625" t="s">
        <v>82</v>
      </c>
      <c r="B63" s="653"/>
      <c r="C63" s="654"/>
      <c r="D63" s="655"/>
      <c r="E63" s="656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4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4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4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4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4"/>
    </row>
    <row r="64" spans="1:68" s="641" customFormat="1">
      <c r="A64" s="1018"/>
      <c r="B64" s="1019"/>
      <c r="C64" s="1001" t="s">
        <v>90</v>
      </c>
      <c r="D64" s="627">
        <v>60</v>
      </c>
      <c r="E64" s="1002" t="s">
        <v>84</v>
      </c>
      <c r="G64" s="1003" t="e">
        <f>($G$51-2)*$D$64</f>
        <v>#REF!</v>
      </c>
      <c r="H64" s="1003"/>
      <c r="I64" s="1003">
        <f t="shared" ref="I64:AN64" si="138">I51*$D64</f>
        <v>60</v>
      </c>
      <c r="J64" s="1003">
        <f t="shared" si="138"/>
        <v>60</v>
      </c>
      <c r="K64" s="1003">
        <f t="shared" si="138"/>
        <v>60</v>
      </c>
      <c r="L64" s="1003">
        <f t="shared" si="138"/>
        <v>60</v>
      </c>
      <c r="M64" s="1003">
        <f t="shared" si="138"/>
        <v>60</v>
      </c>
      <c r="N64" s="1003">
        <f t="shared" si="138"/>
        <v>60</v>
      </c>
      <c r="O64" s="1003">
        <f t="shared" si="138"/>
        <v>60</v>
      </c>
      <c r="P64" s="1003">
        <f t="shared" si="138"/>
        <v>60</v>
      </c>
      <c r="Q64" s="1003">
        <f t="shared" si="138"/>
        <v>60</v>
      </c>
      <c r="R64" s="1003">
        <f t="shared" si="138"/>
        <v>60</v>
      </c>
      <c r="S64" s="1003">
        <f t="shared" si="138"/>
        <v>60</v>
      </c>
      <c r="T64" s="1034">
        <f t="shared" si="138"/>
        <v>60</v>
      </c>
      <c r="U64" s="1003">
        <f t="shared" si="138"/>
        <v>60</v>
      </c>
      <c r="V64" s="1003">
        <f t="shared" si="138"/>
        <v>60</v>
      </c>
      <c r="W64" s="1003">
        <f t="shared" si="138"/>
        <v>60</v>
      </c>
      <c r="X64" s="1003">
        <f t="shared" si="138"/>
        <v>60</v>
      </c>
      <c r="Y64" s="1003">
        <f t="shared" si="138"/>
        <v>62.549086425041409</v>
      </c>
      <c r="Z64" s="1003">
        <f t="shared" si="138"/>
        <v>65.788196564999652</v>
      </c>
      <c r="AA64" s="1003">
        <f t="shared" si="138"/>
        <v>69.218531074621922</v>
      </c>
      <c r="AB64" s="1003">
        <f t="shared" si="138"/>
        <v>72.850579031970042</v>
      </c>
      <c r="AC64" s="1003">
        <f t="shared" si="138"/>
        <v>76.695134019454002</v>
      </c>
      <c r="AD64" s="1003">
        <f t="shared" si="138"/>
        <v>80.763281249598805</v>
      </c>
      <c r="AE64" s="1003">
        <f t="shared" si="138"/>
        <v>85.066386675429484</v>
      </c>
      <c r="AF64" s="1034">
        <f t="shared" si="138"/>
        <v>89.61608881176042</v>
      </c>
      <c r="AG64" s="1003">
        <f t="shared" si="138"/>
        <v>75.543917580265855</v>
      </c>
      <c r="AH64" s="1003">
        <f t="shared" si="138"/>
        <v>79.528619771543418</v>
      </c>
      <c r="AI64" s="1003">
        <f t="shared" si="138"/>
        <v>83.733801451167224</v>
      </c>
      <c r="AJ64" s="1003">
        <f t="shared" si="138"/>
        <v>88.1695672650918</v>
      </c>
      <c r="AK64" s="1003">
        <f t="shared" si="138"/>
        <v>92.846262396982212</v>
      </c>
      <c r="AL64" s="1003">
        <f t="shared" si="138"/>
        <v>97.77447543608055</v>
      </c>
      <c r="AM64" s="1003">
        <f t="shared" si="138"/>
        <v>102.96504326699551</v>
      </c>
      <c r="AN64" s="1003">
        <f t="shared" si="138"/>
        <v>108.42905805342689</v>
      </c>
      <c r="AO64" s="1003">
        <f t="shared" ref="AO64:BP64" si="139">AO51*$D64</f>
        <v>114.17787634799986</v>
      </c>
      <c r="AP64" s="1003">
        <f t="shared" si="139"/>
        <v>120.22313032512032</v>
      </c>
      <c r="AQ64" s="1003">
        <f t="shared" si="139"/>
        <v>126.57674110421537</v>
      </c>
      <c r="AR64" s="1034">
        <f t="shared" si="139"/>
        <v>133.2509341075928</v>
      </c>
      <c r="AS64" s="1003">
        <f t="shared" si="139"/>
        <v>140.25825638065899</v>
      </c>
      <c r="AT64" s="1003">
        <f t="shared" si="139"/>
        <v>147.24876394879979</v>
      </c>
      <c r="AU64" s="1003">
        <f t="shared" si="139"/>
        <v>154.56763193796576</v>
      </c>
      <c r="AV64" s="1003">
        <f t="shared" si="139"/>
        <v>162.22740021192024</v>
      </c>
      <c r="AW64" s="1003">
        <f t="shared" si="139"/>
        <v>170.24098480140822</v>
      </c>
      <c r="AX64" s="1003">
        <f t="shared" si="139"/>
        <v>178.62169539301129</v>
      </c>
      <c r="AY64" s="1003">
        <f t="shared" si="139"/>
        <v>187.3832542323766</v>
      </c>
      <c r="AZ64" s="1003">
        <f t="shared" si="139"/>
        <v>196.53981648215597</v>
      </c>
      <c r="BA64" s="1003">
        <f t="shared" si="139"/>
        <v>206.10599207153319</v>
      </c>
      <c r="BB64" s="1003">
        <f t="shared" si="139"/>
        <v>216.09686907082994</v>
      </c>
      <c r="BC64" s="1003">
        <f t="shared" si="139"/>
        <v>226.52803862138828</v>
      </c>
      <c r="BD64" s="1034">
        <f t="shared" si="139"/>
        <v>237.41562144778777</v>
      </c>
      <c r="BE64" s="1003">
        <f t="shared" si="139"/>
        <v>248.77629597650255</v>
      </c>
      <c r="BF64" s="1003">
        <f t="shared" si="139"/>
        <v>260.80741203282054</v>
      </c>
      <c r="BG64" s="1003">
        <f t="shared" si="139"/>
        <v>273.37134985220729</v>
      </c>
      <c r="BH64" s="1003">
        <f t="shared" si="139"/>
        <v>286.48848217267914</v>
      </c>
      <c r="BI64" s="1003">
        <f t="shared" si="139"/>
        <v>300.17994654793313</v>
      </c>
      <c r="BJ64" s="1003">
        <f t="shared" si="139"/>
        <v>314.46768400216581</v>
      </c>
      <c r="BK64" s="1003">
        <f t="shared" si="139"/>
        <v>329.37447963064221</v>
      </c>
      <c r="BL64" s="1003">
        <f t="shared" si="139"/>
        <v>344.92400517733211</v>
      </c>
      <c r="BM64" s="1003">
        <f t="shared" si="139"/>
        <v>361.14086361996999</v>
      </c>
      <c r="BN64" s="1003">
        <f t="shared" si="139"/>
        <v>378.05063579232814</v>
      </c>
      <c r="BO64" s="1003">
        <f t="shared" si="139"/>
        <v>395.67992907337282</v>
      </c>
      <c r="BP64" s="1034">
        <f t="shared" si="139"/>
        <v>414.05642817330772</v>
      </c>
    </row>
    <row r="65" spans="1:68" s="646" customFormat="1">
      <c r="A65" s="1011"/>
      <c r="B65" s="1012"/>
      <c r="C65" s="1004" t="s">
        <v>183</v>
      </c>
      <c r="D65" s="176">
        <v>2000</v>
      </c>
      <c r="E65" s="1005" t="s">
        <v>182</v>
      </c>
      <c r="G65" s="1006"/>
      <c r="H65" s="1006"/>
      <c r="I65" s="1006"/>
      <c r="J65" s="1006">
        <f>(J56-I56)*$D$65</f>
        <v>0</v>
      </c>
      <c r="K65" s="1006">
        <f t="shared" ref="K65:T65" si="140">(K56-J56)*$D$65</f>
        <v>0</v>
      </c>
      <c r="L65" s="1006">
        <f t="shared" si="140"/>
        <v>0</v>
      </c>
      <c r="M65" s="1006">
        <f t="shared" si="140"/>
        <v>0</v>
      </c>
      <c r="N65" s="1006">
        <f>(N56-M56)*$D$65</f>
        <v>0</v>
      </c>
      <c r="O65" s="1006">
        <f t="shared" si="140"/>
        <v>0</v>
      </c>
      <c r="P65" s="1006">
        <f t="shared" si="140"/>
        <v>0</v>
      </c>
      <c r="Q65" s="1006">
        <f t="shared" si="140"/>
        <v>0</v>
      </c>
      <c r="R65" s="1006">
        <f t="shared" si="140"/>
        <v>0</v>
      </c>
      <c r="S65" s="1006">
        <f t="shared" si="140"/>
        <v>0</v>
      </c>
      <c r="T65" s="1035">
        <f t="shared" si="140"/>
        <v>0</v>
      </c>
      <c r="U65" s="1006"/>
      <c r="V65" s="1006">
        <f>(V56-U56)*$D$65</f>
        <v>0</v>
      </c>
      <c r="W65" s="1006">
        <f t="shared" ref="W65:AF65" si="141">(W56-V56)*$D$65</f>
        <v>0</v>
      </c>
      <c r="X65" s="1006">
        <f t="shared" si="141"/>
        <v>0</v>
      </c>
      <c r="Y65" s="1006">
        <f t="shared" si="141"/>
        <v>84.969547501380305</v>
      </c>
      <c r="Z65" s="1006">
        <f t="shared" si="141"/>
        <v>107.97033799860812</v>
      </c>
      <c r="AA65" s="1006">
        <f t="shared" si="141"/>
        <v>114.34448365407546</v>
      </c>
      <c r="AB65" s="1006">
        <f t="shared" si="141"/>
        <v>121.06826524493775</v>
      </c>
      <c r="AC65" s="1006">
        <f t="shared" si="141"/>
        <v>128.15183291613198</v>
      </c>
      <c r="AD65" s="1006">
        <f t="shared" si="141"/>
        <v>135.60490767149335</v>
      </c>
      <c r="AE65" s="1006">
        <f t="shared" si="141"/>
        <v>143.43684752768925</v>
      </c>
      <c r="AF65" s="1035">
        <f t="shared" si="141"/>
        <v>151.65673787769762</v>
      </c>
      <c r="AG65" s="1006"/>
      <c r="AH65" s="1006">
        <f>(AH56-AG56)*$D$65</f>
        <v>132.82340637591838</v>
      </c>
      <c r="AI65" s="1006">
        <f t="shared" ref="AI65:AR65" si="142">(AI56-AH56)*$D$65</f>
        <v>140.17272265412694</v>
      </c>
      <c r="AJ65" s="1006">
        <f t="shared" si="142"/>
        <v>147.85886046415266</v>
      </c>
      <c r="AK65" s="1006">
        <f t="shared" si="142"/>
        <v>155.88983772968047</v>
      </c>
      <c r="AL65" s="1006">
        <f t="shared" si="142"/>
        <v>164.27376796994463</v>
      </c>
      <c r="AM65" s="1006">
        <f t="shared" si="142"/>
        <v>173.0189276971652</v>
      </c>
      <c r="AN65" s="1006">
        <f t="shared" si="142"/>
        <v>182.13382621437901</v>
      </c>
      <c r="AO65" s="1006">
        <f t="shared" si="142"/>
        <v>191.62727648576583</v>
      </c>
      <c r="AP65" s="1006">
        <f t="shared" si="142"/>
        <v>201.5084659040154</v>
      </c>
      <c r="AQ65" s="1006">
        <f t="shared" si="142"/>
        <v>211.78702596983533</v>
      </c>
      <c r="AR65" s="1035">
        <f t="shared" si="142"/>
        <v>222.47310011258037</v>
      </c>
      <c r="AS65" s="1006"/>
      <c r="AT65" s="1006">
        <f>(AT56-AS56)*$D$65</f>
        <v>233.01691893802712</v>
      </c>
      <c r="AU65" s="1006">
        <f t="shared" ref="AU65:BD65" si="143">(AU56-AT56)*$D$65</f>
        <v>243.96226630553207</v>
      </c>
      <c r="AV65" s="1006">
        <f t="shared" si="143"/>
        <v>255.32560913181612</v>
      </c>
      <c r="AW65" s="1006">
        <f t="shared" si="143"/>
        <v>267.11948631626558</v>
      </c>
      <c r="AX65" s="1006">
        <f t="shared" si="143"/>
        <v>279.35701972010207</v>
      </c>
      <c r="AY65" s="1006">
        <f t="shared" si="143"/>
        <v>292.05196131217724</v>
      </c>
      <c r="AZ65" s="1006">
        <f t="shared" si="143"/>
        <v>305.21874165931263</v>
      </c>
      <c r="BA65" s="1006">
        <f t="shared" si="143"/>
        <v>318.87251964590746</v>
      </c>
      <c r="BB65" s="1006">
        <f t="shared" si="143"/>
        <v>333.0292333098912</v>
      </c>
      <c r="BC65" s="1006">
        <f t="shared" si="143"/>
        <v>347.70565168527764</v>
      </c>
      <c r="BD65" s="1035">
        <f t="shared" si="143"/>
        <v>362.9194275466503</v>
      </c>
      <c r="BE65" s="1006"/>
      <c r="BF65" s="1006">
        <f>(BF56-BE56)*$D$65</f>
        <v>401.03720187726566</v>
      </c>
      <c r="BG65" s="1006">
        <f t="shared" ref="BG65:BP65" si="144">(BG56-BF56)*$D$65</f>
        <v>418.7979273128928</v>
      </c>
      <c r="BH65" s="1006">
        <f t="shared" si="144"/>
        <v>437.23774401572871</v>
      </c>
      <c r="BI65" s="1006">
        <f t="shared" si="144"/>
        <v>456.38214584179872</v>
      </c>
      <c r="BJ65" s="1006">
        <f t="shared" si="144"/>
        <v>476.25791514108863</v>
      </c>
      <c r="BK65" s="1006">
        <f t="shared" si="144"/>
        <v>496.89318761588021</v>
      </c>
      <c r="BL65" s="1006">
        <f t="shared" si="144"/>
        <v>518.31751822299668</v>
      </c>
      <c r="BM65" s="1006">
        <f t="shared" si="144"/>
        <v>540.5619480879302</v>
      </c>
      <c r="BN65" s="1006">
        <f t="shared" si="144"/>
        <v>563.65907241193725</v>
      </c>
      <c r="BO65" s="1006">
        <f t="shared" si="144"/>
        <v>587.64310936815707</v>
      </c>
      <c r="BP65" s="1035">
        <f t="shared" si="144"/>
        <v>612.54996999782918</v>
      </c>
    </row>
    <row r="66" spans="1:68" s="646" customFormat="1">
      <c r="A66" s="1011"/>
      <c r="B66" s="1012"/>
      <c r="C66" s="1004" t="s">
        <v>184</v>
      </c>
      <c r="D66" s="176">
        <v>1200</v>
      </c>
      <c r="E66" s="1005" t="s">
        <v>182</v>
      </c>
      <c r="G66" s="1006"/>
      <c r="H66" s="1006"/>
      <c r="I66" s="1006"/>
      <c r="J66" s="1006">
        <f>(J56-I56)*$D$66</f>
        <v>0</v>
      </c>
      <c r="K66" s="1006">
        <f t="shared" ref="K66:T66" si="145">(K56-J56)*$D$66</f>
        <v>0</v>
      </c>
      <c r="L66" s="1006">
        <f t="shared" si="145"/>
        <v>0</v>
      </c>
      <c r="M66" s="1006">
        <f t="shared" si="145"/>
        <v>0</v>
      </c>
      <c r="N66" s="1006">
        <f t="shared" si="145"/>
        <v>0</v>
      </c>
      <c r="O66" s="1006">
        <f t="shared" si="145"/>
        <v>0</v>
      </c>
      <c r="P66" s="1006">
        <f t="shared" si="145"/>
        <v>0</v>
      </c>
      <c r="Q66" s="1006">
        <f t="shared" si="145"/>
        <v>0</v>
      </c>
      <c r="R66" s="1006">
        <f t="shared" si="145"/>
        <v>0</v>
      </c>
      <c r="S66" s="1006">
        <f t="shared" si="145"/>
        <v>0</v>
      </c>
      <c r="T66" s="1035">
        <f t="shared" si="145"/>
        <v>0</v>
      </c>
      <c r="U66" s="1006"/>
      <c r="V66" s="1006">
        <f>(V56-U56)*$D$66</f>
        <v>0</v>
      </c>
      <c r="W66" s="1006">
        <f t="shared" ref="W66:AF66" si="146">(W56-V56)*$D$66</f>
        <v>0</v>
      </c>
      <c r="X66" s="1006">
        <f t="shared" si="146"/>
        <v>0</v>
      </c>
      <c r="Y66" s="1006">
        <f t="shared" si="146"/>
        <v>50.981728500828183</v>
      </c>
      <c r="Z66" s="1006">
        <f t="shared" si="146"/>
        <v>64.782202799164864</v>
      </c>
      <c r="AA66" s="1006">
        <f t="shared" si="146"/>
        <v>68.606690192445271</v>
      </c>
      <c r="AB66" s="1006">
        <f t="shared" si="146"/>
        <v>72.640959146962643</v>
      </c>
      <c r="AC66" s="1006">
        <f t="shared" si="146"/>
        <v>76.891099749679185</v>
      </c>
      <c r="AD66" s="1006">
        <f t="shared" si="146"/>
        <v>81.362944602896022</v>
      </c>
      <c r="AE66" s="1006">
        <f t="shared" si="146"/>
        <v>86.062108516613563</v>
      </c>
      <c r="AF66" s="1035">
        <f t="shared" si="146"/>
        <v>90.994042726618574</v>
      </c>
      <c r="AG66" s="1006"/>
      <c r="AH66" s="1006">
        <f>(AH56-AG56)*$D$66</f>
        <v>79.694043825551034</v>
      </c>
      <c r="AI66" s="1006">
        <f t="shared" ref="AI66:AR66" si="147">(AI56-AH56)*$D$66</f>
        <v>84.103633592476172</v>
      </c>
      <c r="AJ66" s="1006">
        <f t="shared" si="147"/>
        <v>88.715316278491585</v>
      </c>
      <c r="AK66" s="1006">
        <f t="shared" si="147"/>
        <v>93.533902637808268</v>
      </c>
      <c r="AL66" s="1006">
        <f t="shared" si="147"/>
        <v>98.56426078196678</v>
      </c>
      <c r="AM66" s="1006">
        <f t="shared" si="147"/>
        <v>103.81135661829913</v>
      </c>
      <c r="AN66" s="1006">
        <f t="shared" si="147"/>
        <v>109.28029572862741</v>
      </c>
      <c r="AO66" s="1006">
        <f t="shared" si="147"/>
        <v>114.97636589145949</v>
      </c>
      <c r="AP66" s="1006">
        <f t="shared" si="147"/>
        <v>120.90507954240923</v>
      </c>
      <c r="AQ66" s="1006">
        <f t="shared" si="147"/>
        <v>127.0722155819012</v>
      </c>
      <c r="AR66" s="1035">
        <f t="shared" si="147"/>
        <v>133.48386006754822</v>
      </c>
      <c r="AS66" s="1006"/>
      <c r="AT66" s="1006">
        <f>(AT56-AS56)*$D$66</f>
        <v>139.81015136281627</v>
      </c>
      <c r="AU66" s="1006">
        <f t="shared" ref="AU66:BD66" si="148">(AU56-AT56)*$D$66</f>
        <v>146.37735978331926</v>
      </c>
      <c r="AV66" s="1006">
        <f t="shared" si="148"/>
        <v>153.19536547908967</v>
      </c>
      <c r="AW66" s="1006">
        <f t="shared" si="148"/>
        <v>160.27169178975936</v>
      </c>
      <c r="AX66" s="1006">
        <f t="shared" si="148"/>
        <v>167.61421183206124</v>
      </c>
      <c r="AY66" s="1006">
        <f t="shared" si="148"/>
        <v>175.23117678730637</v>
      </c>
      <c r="AZ66" s="1006">
        <f t="shared" si="148"/>
        <v>183.13124499558756</v>
      </c>
      <c r="BA66" s="1006">
        <f t="shared" si="148"/>
        <v>191.32351178754448</v>
      </c>
      <c r="BB66" s="1006">
        <f t="shared" si="148"/>
        <v>199.81753998593473</v>
      </c>
      <c r="BC66" s="1006">
        <f t="shared" si="148"/>
        <v>208.6233910111666</v>
      </c>
      <c r="BD66" s="1035">
        <f t="shared" si="148"/>
        <v>217.75165652799018</v>
      </c>
      <c r="BE66" s="1006"/>
      <c r="BF66" s="1006">
        <f>(BF56-BE56)*$D$66</f>
        <v>240.6223211263594</v>
      </c>
      <c r="BG66" s="1006">
        <f t="shared" ref="BG66:BP66" si="149">(BG56-BF56)*$D$66</f>
        <v>251.27875638773565</v>
      </c>
      <c r="BH66" s="1006">
        <f t="shared" si="149"/>
        <v>262.34264640943718</v>
      </c>
      <c r="BI66" s="1006">
        <f t="shared" si="149"/>
        <v>273.82928750507921</v>
      </c>
      <c r="BJ66" s="1006">
        <f t="shared" si="149"/>
        <v>285.75474908465316</v>
      </c>
      <c r="BK66" s="1006">
        <f t="shared" si="149"/>
        <v>298.1359125695281</v>
      </c>
      <c r="BL66" s="1006">
        <f t="shared" si="149"/>
        <v>310.99051093379796</v>
      </c>
      <c r="BM66" s="1006">
        <f t="shared" si="149"/>
        <v>324.33716885275817</v>
      </c>
      <c r="BN66" s="1006">
        <f t="shared" si="149"/>
        <v>338.19544344716235</v>
      </c>
      <c r="BO66" s="1006">
        <f t="shared" si="149"/>
        <v>352.58586562089425</v>
      </c>
      <c r="BP66" s="1035">
        <f t="shared" si="149"/>
        <v>367.52998199869751</v>
      </c>
    </row>
    <row r="67" spans="1:68" s="646" customFormat="1">
      <c r="A67" s="1011"/>
      <c r="B67" s="1012"/>
      <c r="C67" s="1004" t="s">
        <v>85</v>
      </c>
      <c r="D67" s="176">
        <v>40</v>
      </c>
      <c r="E67" s="1005" t="s">
        <v>84</v>
      </c>
      <c r="G67" s="1006" t="e">
        <f>G51*$D$67</f>
        <v>#REF!</v>
      </c>
      <c r="H67" s="1006"/>
      <c r="I67" s="1006">
        <f>I51*$D$67</f>
        <v>40</v>
      </c>
      <c r="J67" s="1006">
        <f t="shared" ref="J67:T67" si="150">J51*$D$67</f>
        <v>40</v>
      </c>
      <c r="K67" s="1006">
        <f t="shared" si="150"/>
        <v>40</v>
      </c>
      <c r="L67" s="1006">
        <f t="shared" si="150"/>
        <v>40</v>
      </c>
      <c r="M67" s="1006">
        <f t="shared" si="150"/>
        <v>40</v>
      </c>
      <c r="N67" s="1006">
        <f t="shared" si="150"/>
        <v>40</v>
      </c>
      <c r="O67" s="1006">
        <f t="shared" si="150"/>
        <v>40</v>
      </c>
      <c r="P67" s="1006">
        <f t="shared" si="150"/>
        <v>40</v>
      </c>
      <c r="Q67" s="1006">
        <f t="shared" si="150"/>
        <v>40</v>
      </c>
      <c r="R67" s="1006">
        <f t="shared" si="150"/>
        <v>40</v>
      </c>
      <c r="S67" s="1006">
        <f t="shared" si="150"/>
        <v>40</v>
      </c>
      <c r="T67" s="1035">
        <f t="shared" si="150"/>
        <v>40</v>
      </c>
      <c r="U67" s="1006">
        <f>U51*$D$67</f>
        <v>40</v>
      </c>
      <c r="V67" s="1006">
        <f t="shared" ref="V67:AF67" si="151">V51*$D$67</f>
        <v>40</v>
      </c>
      <c r="W67" s="1006">
        <f t="shared" si="151"/>
        <v>40</v>
      </c>
      <c r="X67" s="1006">
        <f t="shared" si="151"/>
        <v>40</v>
      </c>
      <c r="Y67" s="1006">
        <f t="shared" si="151"/>
        <v>41.699390950027606</v>
      </c>
      <c r="Z67" s="1006">
        <f t="shared" si="151"/>
        <v>43.85879770999977</v>
      </c>
      <c r="AA67" s="1006">
        <f t="shared" si="151"/>
        <v>46.145687383081281</v>
      </c>
      <c r="AB67" s="1006">
        <f t="shared" si="151"/>
        <v>48.567052687980031</v>
      </c>
      <c r="AC67" s="1006">
        <f t="shared" si="151"/>
        <v>51.130089346302668</v>
      </c>
      <c r="AD67" s="1006">
        <f t="shared" si="151"/>
        <v>53.842187499732539</v>
      </c>
      <c r="AE67" s="1006">
        <f t="shared" si="151"/>
        <v>56.710924450286328</v>
      </c>
      <c r="AF67" s="1035">
        <f t="shared" si="151"/>
        <v>59.74405920784028</v>
      </c>
      <c r="AG67" s="1006">
        <f>AG51*$D$67</f>
        <v>50.362611720177242</v>
      </c>
      <c r="AH67" s="1006">
        <f t="shared" ref="AH67:AR67" si="152">AH51*$D$67</f>
        <v>53.019079847695608</v>
      </c>
      <c r="AI67" s="1006">
        <f t="shared" si="152"/>
        <v>55.822534300778145</v>
      </c>
      <c r="AJ67" s="1006">
        <f t="shared" si="152"/>
        <v>58.779711510061205</v>
      </c>
      <c r="AK67" s="1006">
        <f t="shared" si="152"/>
        <v>61.89750826465481</v>
      </c>
      <c r="AL67" s="1006">
        <f t="shared" si="152"/>
        <v>65.182983624053705</v>
      </c>
      <c r="AM67" s="1006">
        <f t="shared" si="152"/>
        <v>68.643362177997005</v>
      </c>
      <c r="AN67" s="1006">
        <f t="shared" si="152"/>
        <v>72.286038702284586</v>
      </c>
      <c r="AO67" s="1006">
        <f t="shared" si="152"/>
        <v>76.118584231999904</v>
      </c>
      <c r="AP67" s="1006">
        <f t="shared" si="152"/>
        <v>80.148753550080215</v>
      </c>
      <c r="AQ67" s="1006">
        <f t="shared" si="152"/>
        <v>84.384494069476915</v>
      </c>
      <c r="AR67" s="1035">
        <f t="shared" si="152"/>
        <v>88.833956071728522</v>
      </c>
      <c r="AS67" s="1006">
        <f>AS51*$D$67</f>
        <v>93.505504253772656</v>
      </c>
      <c r="AT67" s="1006">
        <f t="shared" ref="AT67:BD67" si="153">AT51*$D$67</f>
        <v>98.165842632533199</v>
      </c>
      <c r="AU67" s="1006">
        <f t="shared" si="153"/>
        <v>103.04508795864385</v>
      </c>
      <c r="AV67" s="1006">
        <f t="shared" si="153"/>
        <v>108.15160014128017</v>
      </c>
      <c r="AW67" s="1006">
        <f t="shared" si="153"/>
        <v>113.49398986760548</v>
      </c>
      <c r="AX67" s="1006">
        <f t="shared" si="153"/>
        <v>119.08113026200752</v>
      </c>
      <c r="AY67" s="1006">
        <f t="shared" si="153"/>
        <v>124.92216948825106</v>
      </c>
      <c r="AZ67" s="1006">
        <f t="shared" si="153"/>
        <v>131.02654432143731</v>
      </c>
      <c r="BA67" s="1006">
        <f t="shared" si="153"/>
        <v>137.40399471435546</v>
      </c>
      <c r="BB67" s="1006">
        <f t="shared" si="153"/>
        <v>144.06457938055328</v>
      </c>
      <c r="BC67" s="1006">
        <f t="shared" si="153"/>
        <v>151.01869241425885</v>
      </c>
      <c r="BD67" s="1035">
        <f t="shared" si="153"/>
        <v>158.27708096519186</v>
      </c>
      <c r="BE67" s="1006">
        <f>BE51*$D$67</f>
        <v>165.85086398433504</v>
      </c>
      <c r="BF67" s="1006">
        <f t="shared" ref="BF67:BP67" si="154">BF51*$D$67</f>
        <v>173.87160802188035</v>
      </c>
      <c r="BG67" s="1006">
        <f t="shared" si="154"/>
        <v>182.24756656813821</v>
      </c>
      <c r="BH67" s="1006">
        <f t="shared" si="154"/>
        <v>190.99232144845277</v>
      </c>
      <c r="BI67" s="1006">
        <f t="shared" si="154"/>
        <v>200.11996436528875</v>
      </c>
      <c r="BJ67" s="1006">
        <f t="shared" si="154"/>
        <v>209.64512266811053</v>
      </c>
      <c r="BK67" s="1006">
        <f t="shared" si="154"/>
        <v>219.58298642042814</v>
      </c>
      <c r="BL67" s="1006">
        <f t="shared" si="154"/>
        <v>229.94933678488806</v>
      </c>
      <c r="BM67" s="1006">
        <f t="shared" si="154"/>
        <v>240.76057574664668</v>
      </c>
      <c r="BN67" s="1006">
        <f t="shared" si="154"/>
        <v>252.03375719488542</v>
      </c>
      <c r="BO67" s="1006">
        <f t="shared" si="154"/>
        <v>263.78661938224855</v>
      </c>
      <c r="BP67" s="1035">
        <f t="shared" si="154"/>
        <v>276.03761878220513</v>
      </c>
    </row>
    <row r="68" spans="1:68" s="646" customFormat="1">
      <c r="A68" s="1007"/>
      <c r="B68" s="1008"/>
      <c r="C68" s="1009" t="s">
        <v>86</v>
      </c>
      <c r="D68" s="177">
        <v>10</v>
      </c>
      <c r="E68" s="1010" t="s">
        <v>84</v>
      </c>
      <c r="G68" s="1006" t="e">
        <f>G51*$D$68</f>
        <v>#REF!</v>
      </c>
      <c r="H68" s="1006"/>
      <c r="I68" s="1006">
        <f>I51*$D$68</f>
        <v>10</v>
      </c>
      <c r="J68" s="1006">
        <f t="shared" ref="J68:T68" si="155">J51*$D$68</f>
        <v>10</v>
      </c>
      <c r="K68" s="1006">
        <f t="shared" si="155"/>
        <v>10</v>
      </c>
      <c r="L68" s="1006">
        <f t="shared" si="155"/>
        <v>10</v>
      </c>
      <c r="M68" s="1006">
        <f t="shared" si="155"/>
        <v>10</v>
      </c>
      <c r="N68" s="1006">
        <f t="shared" si="155"/>
        <v>10</v>
      </c>
      <c r="O68" s="1006">
        <f t="shared" si="155"/>
        <v>10</v>
      </c>
      <c r="P68" s="1006">
        <f t="shared" si="155"/>
        <v>10</v>
      </c>
      <c r="Q68" s="1006">
        <f t="shared" si="155"/>
        <v>10</v>
      </c>
      <c r="R68" s="1006">
        <f t="shared" si="155"/>
        <v>10</v>
      </c>
      <c r="S68" s="1006">
        <f t="shared" si="155"/>
        <v>10</v>
      </c>
      <c r="T68" s="1035">
        <f t="shared" si="155"/>
        <v>10</v>
      </c>
      <c r="U68" s="1006">
        <f>U51*$D$68</f>
        <v>10</v>
      </c>
      <c r="V68" s="1006">
        <f t="shared" ref="V68:AF68" si="156">V51*$D$68</f>
        <v>10</v>
      </c>
      <c r="W68" s="1006">
        <f t="shared" si="156"/>
        <v>10</v>
      </c>
      <c r="X68" s="1006">
        <f t="shared" si="156"/>
        <v>10</v>
      </c>
      <c r="Y68" s="1006">
        <f t="shared" si="156"/>
        <v>10.424847737506902</v>
      </c>
      <c r="Z68" s="1006">
        <f t="shared" si="156"/>
        <v>10.964699427499943</v>
      </c>
      <c r="AA68" s="1006">
        <f t="shared" si="156"/>
        <v>11.53642184577032</v>
      </c>
      <c r="AB68" s="1006">
        <f t="shared" si="156"/>
        <v>12.141763171995008</v>
      </c>
      <c r="AC68" s="1006">
        <f t="shared" si="156"/>
        <v>12.782522336575667</v>
      </c>
      <c r="AD68" s="1006">
        <f t="shared" si="156"/>
        <v>13.460546874933135</v>
      </c>
      <c r="AE68" s="1006">
        <f t="shared" si="156"/>
        <v>14.177731112571582</v>
      </c>
      <c r="AF68" s="1035">
        <f t="shared" si="156"/>
        <v>14.93601480196007</v>
      </c>
      <c r="AG68" s="1006">
        <f>AG51*$D$68</f>
        <v>12.59065293004431</v>
      </c>
      <c r="AH68" s="1006">
        <f t="shared" ref="AH68:AR68" si="157">AH51*$D$68</f>
        <v>13.254769961923902</v>
      </c>
      <c r="AI68" s="1006">
        <f t="shared" si="157"/>
        <v>13.955633575194536</v>
      </c>
      <c r="AJ68" s="1006">
        <f t="shared" si="157"/>
        <v>14.694927877515301</v>
      </c>
      <c r="AK68" s="1006">
        <f t="shared" si="157"/>
        <v>15.474377066163703</v>
      </c>
      <c r="AL68" s="1006">
        <f t="shared" si="157"/>
        <v>16.295745906013426</v>
      </c>
      <c r="AM68" s="1006">
        <f t="shared" si="157"/>
        <v>17.160840544499251</v>
      </c>
      <c r="AN68" s="1006">
        <f t="shared" si="157"/>
        <v>18.071509675571146</v>
      </c>
      <c r="AO68" s="1006">
        <f t="shared" si="157"/>
        <v>19.029646057999976</v>
      </c>
      <c r="AP68" s="1006">
        <f t="shared" si="157"/>
        <v>20.037188387520054</v>
      </c>
      <c r="AQ68" s="1006">
        <f t="shared" si="157"/>
        <v>21.096123517369229</v>
      </c>
      <c r="AR68" s="1035">
        <f t="shared" si="157"/>
        <v>22.208489017932131</v>
      </c>
      <c r="AS68" s="1006">
        <f>AS51*$D$68</f>
        <v>23.376376063443164</v>
      </c>
      <c r="AT68" s="1006">
        <f t="shared" ref="AT68:BD68" si="158">AT51*$D$68</f>
        <v>24.5414606581333</v>
      </c>
      <c r="AU68" s="1006">
        <f t="shared" si="158"/>
        <v>25.761271989660962</v>
      </c>
      <c r="AV68" s="1006">
        <f t="shared" si="158"/>
        <v>27.037900035320042</v>
      </c>
      <c r="AW68" s="1006">
        <f t="shared" si="158"/>
        <v>28.37349746690137</v>
      </c>
      <c r="AX68" s="1006">
        <f t="shared" si="158"/>
        <v>29.77028256550188</v>
      </c>
      <c r="AY68" s="1006">
        <f t="shared" si="158"/>
        <v>31.230542372062764</v>
      </c>
      <c r="AZ68" s="1006">
        <f t="shared" si="158"/>
        <v>32.756636080359328</v>
      </c>
      <c r="BA68" s="1006">
        <f t="shared" si="158"/>
        <v>34.350998678588866</v>
      </c>
      <c r="BB68" s="1006">
        <f t="shared" si="158"/>
        <v>36.016144845138321</v>
      </c>
      <c r="BC68" s="1006">
        <f t="shared" si="158"/>
        <v>37.754673103564713</v>
      </c>
      <c r="BD68" s="1035">
        <f t="shared" si="158"/>
        <v>39.569270241297964</v>
      </c>
      <c r="BE68" s="1006">
        <f>BE51*$D$68</f>
        <v>41.462715996083759</v>
      </c>
      <c r="BF68" s="1006">
        <f t="shared" ref="BF68:BP68" si="159">BF51*$D$68</f>
        <v>43.467902005470087</v>
      </c>
      <c r="BG68" s="1006">
        <f t="shared" si="159"/>
        <v>45.561891642034553</v>
      </c>
      <c r="BH68" s="1006">
        <f t="shared" si="159"/>
        <v>47.748080362113193</v>
      </c>
      <c r="BI68" s="1006">
        <f t="shared" si="159"/>
        <v>50.029991091322188</v>
      </c>
      <c r="BJ68" s="1006">
        <f t="shared" si="159"/>
        <v>52.411280667027633</v>
      </c>
      <c r="BK68" s="1006">
        <f t="shared" si="159"/>
        <v>54.895746605107036</v>
      </c>
      <c r="BL68" s="1006">
        <f t="shared" si="159"/>
        <v>57.487334196222015</v>
      </c>
      <c r="BM68" s="1006">
        <f t="shared" si="159"/>
        <v>60.19014393666167</v>
      </c>
      <c r="BN68" s="1006">
        <f t="shared" si="159"/>
        <v>63.008439298721356</v>
      </c>
      <c r="BO68" s="1006">
        <f t="shared" si="159"/>
        <v>65.946654845562136</v>
      </c>
      <c r="BP68" s="1035">
        <f t="shared" si="159"/>
        <v>69.009404695551282</v>
      </c>
    </row>
    <row r="69" spans="1:68" s="651" customFormat="1">
      <c r="A69" s="1020"/>
      <c r="B69" s="1021"/>
      <c r="C69" s="1022" t="s">
        <v>87</v>
      </c>
      <c r="D69" s="634">
        <v>15</v>
      </c>
      <c r="E69" s="1036" t="s">
        <v>67</v>
      </c>
      <c r="G69" s="1017">
        <f>D69</f>
        <v>15</v>
      </c>
      <c r="H69" s="1017"/>
      <c r="I69" s="651">
        <f>SUM(G69:H69)</f>
        <v>15</v>
      </c>
      <c r="J69" s="651">
        <f t="shared" si="84"/>
        <v>15</v>
      </c>
      <c r="K69" s="651">
        <f t="shared" si="84"/>
        <v>15</v>
      </c>
      <c r="L69" s="651">
        <f t="shared" si="84"/>
        <v>15</v>
      </c>
      <c r="M69" s="651">
        <f t="shared" si="84"/>
        <v>15</v>
      </c>
      <c r="N69" s="651">
        <f t="shared" si="84"/>
        <v>15</v>
      </c>
      <c r="O69" s="651">
        <f t="shared" si="84"/>
        <v>15</v>
      </c>
      <c r="P69" s="651">
        <f t="shared" si="84"/>
        <v>15</v>
      </c>
      <c r="Q69" s="651">
        <f t="shared" si="84"/>
        <v>15</v>
      </c>
      <c r="R69" s="651">
        <f t="shared" si="84"/>
        <v>15</v>
      </c>
      <c r="S69" s="651">
        <f t="shared" si="84"/>
        <v>15</v>
      </c>
      <c r="T69" s="652">
        <f t="shared" si="84"/>
        <v>15</v>
      </c>
      <c r="U69" s="651">
        <f>SUM(S69:T69)</f>
        <v>30</v>
      </c>
      <c r="V69" s="651">
        <f t="shared" ref="V69" si="160">U69</f>
        <v>30</v>
      </c>
      <c r="W69" s="651">
        <f t="shared" ref="W69" si="161">V69</f>
        <v>30</v>
      </c>
      <c r="X69" s="651">
        <f t="shared" ref="X69" si="162">W69</f>
        <v>30</v>
      </c>
      <c r="Y69" s="651">
        <f t="shared" ref="Y69" si="163">X69</f>
        <v>30</v>
      </c>
      <c r="Z69" s="651">
        <f t="shared" ref="Z69" si="164">Y69</f>
        <v>30</v>
      </c>
      <c r="AA69" s="651">
        <f t="shared" ref="AA69" si="165">Z69</f>
        <v>30</v>
      </c>
      <c r="AB69" s="651">
        <f t="shared" ref="AB69" si="166">AA69</f>
        <v>30</v>
      </c>
      <c r="AC69" s="651">
        <f t="shared" ref="AC69" si="167">AB69</f>
        <v>30</v>
      </c>
      <c r="AD69" s="651">
        <f t="shared" ref="AD69" si="168">AC69</f>
        <v>30</v>
      </c>
      <c r="AE69" s="651">
        <f t="shared" ref="AE69" si="169">AD69</f>
        <v>30</v>
      </c>
      <c r="AF69" s="652">
        <f t="shared" ref="AF69" si="170">AE69</f>
        <v>30</v>
      </c>
      <c r="AG69" s="651">
        <f>SUM(AE69:AF69)</f>
        <v>60</v>
      </c>
      <c r="AH69" s="651">
        <f t="shared" ref="AH69" si="171">AG69</f>
        <v>60</v>
      </c>
      <c r="AI69" s="651">
        <f t="shared" ref="AI69" si="172">AH69</f>
        <v>60</v>
      </c>
      <c r="AJ69" s="651">
        <f t="shared" ref="AJ69" si="173">AI69</f>
        <v>60</v>
      </c>
      <c r="AK69" s="651">
        <f t="shared" ref="AK69" si="174">AJ69</f>
        <v>60</v>
      </c>
      <c r="AL69" s="651">
        <f t="shared" ref="AL69" si="175">AK69</f>
        <v>60</v>
      </c>
      <c r="AM69" s="651">
        <f t="shared" ref="AM69" si="176">AL69</f>
        <v>60</v>
      </c>
      <c r="AN69" s="651">
        <f t="shared" ref="AN69" si="177">AM69</f>
        <v>60</v>
      </c>
      <c r="AO69" s="651">
        <f t="shared" ref="AO69" si="178">AN69</f>
        <v>60</v>
      </c>
      <c r="AP69" s="651">
        <f t="shared" ref="AP69" si="179">AO69</f>
        <v>60</v>
      </c>
      <c r="AQ69" s="651">
        <f t="shared" ref="AQ69" si="180">AP69</f>
        <v>60</v>
      </c>
      <c r="AR69" s="652">
        <f t="shared" ref="AR69" si="181">AQ69</f>
        <v>60</v>
      </c>
      <c r="AS69" s="651">
        <f>SUM(AQ69:AR69)</f>
        <v>120</v>
      </c>
      <c r="AT69" s="651">
        <f t="shared" ref="AT69" si="182">AS69</f>
        <v>120</v>
      </c>
      <c r="AU69" s="651">
        <f t="shared" ref="AU69" si="183">AT69</f>
        <v>120</v>
      </c>
      <c r="AV69" s="651">
        <f t="shared" ref="AV69" si="184">AU69</f>
        <v>120</v>
      </c>
      <c r="AW69" s="651">
        <f t="shared" ref="AW69" si="185">AV69</f>
        <v>120</v>
      </c>
      <c r="AX69" s="651">
        <f t="shared" ref="AX69" si="186">AW69</f>
        <v>120</v>
      </c>
      <c r="AY69" s="651">
        <f t="shared" ref="AY69" si="187">AX69</f>
        <v>120</v>
      </c>
      <c r="AZ69" s="651">
        <f t="shared" ref="AZ69" si="188">AY69</f>
        <v>120</v>
      </c>
      <c r="BA69" s="651">
        <f t="shared" ref="BA69" si="189">AZ69</f>
        <v>120</v>
      </c>
      <c r="BB69" s="651">
        <f t="shared" ref="BB69" si="190">BA69</f>
        <v>120</v>
      </c>
      <c r="BC69" s="651">
        <f t="shared" ref="BC69" si="191">BB69</f>
        <v>120</v>
      </c>
      <c r="BD69" s="652">
        <f t="shared" ref="BD69" si="192">BC69</f>
        <v>120</v>
      </c>
      <c r="BE69" s="651">
        <f>SUM(BC69:BD69)</f>
        <v>240</v>
      </c>
      <c r="BF69" s="651">
        <f t="shared" ref="BF69" si="193">BE69</f>
        <v>240</v>
      </c>
      <c r="BG69" s="651">
        <f t="shared" ref="BG69" si="194">BF69</f>
        <v>240</v>
      </c>
      <c r="BH69" s="651">
        <f t="shared" ref="BH69" si="195">BG69</f>
        <v>240</v>
      </c>
      <c r="BI69" s="651">
        <f t="shared" ref="BI69" si="196">BH69</f>
        <v>240</v>
      </c>
      <c r="BJ69" s="651">
        <f t="shared" ref="BJ69" si="197">BI69</f>
        <v>240</v>
      </c>
      <c r="BK69" s="651">
        <f t="shared" ref="BK69" si="198">BJ69</f>
        <v>240</v>
      </c>
      <c r="BL69" s="651">
        <f t="shared" ref="BL69" si="199">BK69</f>
        <v>240</v>
      </c>
      <c r="BM69" s="651">
        <f t="shared" ref="BM69" si="200">BL69</f>
        <v>240</v>
      </c>
      <c r="BN69" s="651">
        <f t="shared" ref="BN69" si="201">BM69</f>
        <v>240</v>
      </c>
      <c r="BO69" s="651">
        <f t="shared" ref="BO69" si="202">BN69</f>
        <v>240</v>
      </c>
      <c r="BP69" s="652">
        <f t="shared" ref="BP69" si="203">BO69</f>
        <v>240</v>
      </c>
    </row>
    <row r="70" spans="1:68" s="1070" customFormat="1">
      <c r="A70" s="992"/>
      <c r="B70" s="1088"/>
      <c r="C70" s="1089"/>
      <c r="D70" s="318"/>
      <c r="E70" s="1090"/>
      <c r="G70" s="1071" t="e">
        <f>SUM(G64:G69)</f>
        <v>#REF!</v>
      </c>
      <c r="H70" s="1071">
        <f t="shared" ref="H70:T70" si="204">SUM(H64:H69)</f>
        <v>0</v>
      </c>
      <c r="I70" s="1091">
        <f t="shared" si="204"/>
        <v>125</v>
      </c>
      <c r="J70" s="1091">
        <f t="shared" si="204"/>
        <v>125</v>
      </c>
      <c r="K70" s="1091">
        <f t="shared" si="204"/>
        <v>125</v>
      </c>
      <c r="L70" s="1091">
        <f t="shared" si="204"/>
        <v>125</v>
      </c>
      <c r="M70" s="1091">
        <f t="shared" si="204"/>
        <v>125</v>
      </c>
      <c r="N70" s="1091">
        <f t="shared" si="204"/>
        <v>125</v>
      </c>
      <c r="O70" s="1091">
        <f t="shared" si="204"/>
        <v>125</v>
      </c>
      <c r="P70" s="1091">
        <f t="shared" si="204"/>
        <v>125</v>
      </c>
      <c r="Q70" s="1091">
        <f t="shared" si="204"/>
        <v>125</v>
      </c>
      <c r="R70" s="1091">
        <f t="shared" si="204"/>
        <v>125</v>
      </c>
      <c r="S70" s="1091">
        <f t="shared" si="204"/>
        <v>125</v>
      </c>
      <c r="T70" s="1092">
        <f t="shared" si="204"/>
        <v>125</v>
      </c>
      <c r="U70" s="1091">
        <f t="shared" ref="U70:AF70" si="205">SUM(U64:U69)</f>
        <v>140</v>
      </c>
      <c r="V70" s="1091">
        <f t="shared" si="205"/>
        <v>140</v>
      </c>
      <c r="W70" s="1091">
        <f t="shared" si="205"/>
        <v>140</v>
      </c>
      <c r="X70" s="1091">
        <f t="shared" si="205"/>
        <v>140</v>
      </c>
      <c r="Y70" s="1091">
        <f t="shared" si="205"/>
        <v>280.62460111478441</v>
      </c>
      <c r="Z70" s="1091">
        <f t="shared" si="205"/>
        <v>323.36423450027235</v>
      </c>
      <c r="AA70" s="1091">
        <f t="shared" si="205"/>
        <v>339.85181414999431</v>
      </c>
      <c r="AB70" s="1091">
        <f t="shared" si="205"/>
        <v>357.26861928384551</v>
      </c>
      <c r="AC70" s="1091">
        <f t="shared" si="205"/>
        <v>375.65067836814347</v>
      </c>
      <c r="AD70" s="1091">
        <f t="shared" si="205"/>
        <v>395.03386789865385</v>
      </c>
      <c r="AE70" s="1091">
        <f t="shared" si="205"/>
        <v>415.45399828259013</v>
      </c>
      <c r="AF70" s="1092">
        <f t="shared" si="205"/>
        <v>436.94694342587695</v>
      </c>
      <c r="AG70" s="1091">
        <f t="shared" ref="AG70:AR70" si="206">SUM(AG64:AG69)</f>
        <v>198.4971822304874</v>
      </c>
      <c r="AH70" s="1091">
        <f t="shared" si="206"/>
        <v>418.31991978263233</v>
      </c>
      <c r="AI70" s="1091">
        <f t="shared" si="206"/>
        <v>437.78832557374307</v>
      </c>
      <c r="AJ70" s="1091">
        <f t="shared" si="206"/>
        <v>458.21838339531251</v>
      </c>
      <c r="AK70" s="1091">
        <f t="shared" si="206"/>
        <v>479.64188809528946</v>
      </c>
      <c r="AL70" s="1091">
        <f t="shared" si="206"/>
        <v>502.09123371805907</v>
      </c>
      <c r="AM70" s="1091">
        <f t="shared" si="206"/>
        <v>525.59953030495603</v>
      </c>
      <c r="AN70" s="1091">
        <f t="shared" si="206"/>
        <v>550.20072837428893</v>
      </c>
      <c r="AO70" s="1091">
        <f t="shared" si="206"/>
        <v>575.92974901522507</v>
      </c>
      <c r="AP70" s="1091">
        <f t="shared" si="206"/>
        <v>602.82261770914522</v>
      </c>
      <c r="AQ70" s="1091">
        <f t="shared" si="206"/>
        <v>630.91660024279815</v>
      </c>
      <c r="AR70" s="1092">
        <f t="shared" si="206"/>
        <v>660.25033937738203</v>
      </c>
      <c r="AS70" s="1091">
        <f t="shared" ref="AS70:BD70" si="207">SUM(AS64:AS69)</f>
        <v>377.14013669787482</v>
      </c>
      <c r="AT70" s="1091">
        <f t="shared" si="207"/>
        <v>762.78313754030955</v>
      </c>
      <c r="AU70" s="1091">
        <f t="shared" si="207"/>
        <v>793.71361797512191</v>
      </c>
      <c r="AV70" s="1091">
        <f t="shared" si="207"/>
        <v>825.93787499942619</v>
      </c>
      <c r="AW70" s="1091">
        <f t="shared" si="207"/>
        <v>859.49965024194012</v>
      </c>
      <c r="AX70" s="1091">
        <f t="shared" si="207"/>
        <v>894.44433977268409</v>
      </c>
      <c r="AY70" s="1091">
        <f t="shared" si="207"/>
        <v>930.819104192174</v>
      </c>
      <c r="AZ70" s="1091">
        <f t="shared" si="207"/>
        <v>968.6729835388528</v>
      </c>
      <c r="BA70" s="1091">
        <f t="shared" si="207"/>
        <v>1008.0570168979294</v>
      </c>
      <c r="BB70" s="1091">
        <f t="shared" si="207"/>
        <v>1049.0243665923476</v>
      </c>
      <c r="BC70" s="1091">
        <f t="shared" si="207"/>
        <v>1091.6304468356561</v>
      </c>
      <c r="BD70" s="1092">
        <f t="shared" si="207"/>
        <v>1135.933056728918</v>
      </c>
      <c r="BE70" s="1091">
        <f t="shared" ref="BE70:BP70" si="208">SUM(BE64:BE69)</f>
        <v>696.08987595692133</v>
      </c>
      <c r="BF70" s="1091">
        <f t="shared" si="208"/>
        <v>1359.806445063796</v>
      </c>
      <c r="BG70" s="1091">
        <f t="shared" si="208"/>
        <v>1411.2574917630086</v>
      </c>
      <c r="BH70" s="1091">
        <f t="shared" si="208"/>
        <v>1464.8092744084108</v>
      </c>
      <c r="BI70" s="1091">
        <f t="shared" si="208"/>
        <v>1520.541335351422</v>
      </c>
      <c r="BJ70" s="1091">
        <f t="shared" si="208"/>
        <v>1578.5367515630458</v>
      </c>
      <c r="BK70" s="1091">
        <f t="shared" si="208"/>
        <v>1638.8823128415856</v>
      </c>
      <c r="BL70" s="1091">
        <f t="shared" si="208"/>
        <v>1701.6687053152368</v>
      </c>
      <c r="BM70" s="1091">
        <f t="shared" si="208"/>
        <v>1766.9907002439668</v>
      </c>
      <c r="BN70" s="1091">
        <f t="shared" si="208"/>
        <v>1834.9473481450345</v>
      </c>
      <c r="BO70" s="1091">
        <f t="shared" si="208"/>
        <v>1905.6421782902348</v>
      </c>
      <c r="BP70" s="1092">
        <f t="shared" si="208"/>
        <v>1979.1834036475907</v>
      </c>
    </row>
    <row r="71" spans="1:68" s="1070" customFormat="1">
      <c r="A71" s="1052" t="s">
        <v>240</v>
      </c>
      <c r="B71" s="1053"/>
      <c r="C71" s="1054"/>
      <c r="D71" s="1087" t="s">
        <v>375</v>
      </c>
      <c r="T71" s="1073"/>
      <c r="AF71" s="1073"/>
      <c r="AR71" s="1073"/>
      <c r="BD71" s="1073"/>
      <c r="BP71" s="1073"/>
    </row>
    <row r="72" spans="1:68" s="639" customFormat="1">
      <c r="A72" s="657"/>
      <c r="B72" s="1266">
        <v>0.26</v>
      </c>
      <c r="C72" s="626" t="s">
        <v>229</v>
      </c>
      <c r="D72" s="627">
        <v>68</v>
      </c>
      <c r="E72" s="628" t="s">
        <v>228</v>
      </c>
      <c r="G72" s="640"/>
      <c r="H72" s="640"/>
      <c r="I72" s="1267">
        <f t="shared" ref="I72:R77" si="209">I$78*$B72*$D72</f>
        <v>212.16</v>
      </c>
      <c r="J72" s="639">
        <f t="shared" si="209"/>
        <v>219.54316800000004</v>
      </c>
      <c r="K72" s="989">
        <f t="shared" si="209"/>
        <v>227.04627530956802</v>
      </c>
      <c r="L72" s="989">
        <f t="shared" si="209"/>
        <v>234.66413193875468</v>
      </c>
      <c r="M72" s="989">
        <f t="shared" si="209"/>
        <v>242.39115247523401</v>
      </c>
      <c r="N72" s="989">
        <f t="shared" si="209"/>
        <v>250.22135626479394</v>
      </c>
      <c r="O72" s="989">
        <f t="shared" si="209"/>
        <v>258.14836883126264</v>
      </c>
      <c r="P72" s="989">
        <f t="shared" si="209"/>
        <v>266.16542457368638</v>
      </c>
      <c r="Q72" s="989">
        <f t="shared" si="209"/>
        <v>274.26537077431277</v>
      </c>
      <c r="R72" s="989">
        <f t="shared" si="209"/>
        <v>282.44067294635352</v>
      </c>
      <c r="S72" s="989">
        <f t="shared" ref="S72:AB77" si="210">S$78*$B72*$D72</f>
        <v>290.68342154561992</v>
      </c>
      <c r="T72" s="990">
        <f t="shared" si="210"/>
        <v>298.98534006496283</v>
      </c>
      <c r="U72" s="639">
        <f t="shared" si="210"/>
        <v>307.2756055742841</v>
      </c>
      <c r="V72" s="989">
        <f t="shared" si="210"/>
        <v>315.54009026181006</v>
      </c>
      <c r="W72" s="989">
        <f t="shared" si="210"/>
        <v>323.76432717439388</v>
      </c>
      <c r="X72" s="989">
        <f t="shared" si="210"/>
        <v>331.93354867765822</v>
      </c>
      <c r="Y72" s="989">
        <f t="shared" si="210"/>
        <v>340.03272726539308</v>
      </c>
      <c r="Z72" s="989">
        <f t="shared" si="210"/>
        <v>348.04661858158386</v>
      </c>
      <c r="AA72" s="989">
        <f t="shared" si="210"/>
        <v>355.95980650165478</v>
      </c>
      <c r="AB72" s="989">
        <f t="shared" si="210"/>
        <v>363.75675010326711</v>
      </c>
      <c r="AC72" s="989">
        <f t="shared" ref="AC72:AL77" si="211">AC$78*$B72*$D72</f>
        <v>371.42183234144312</v>
      </c>
      <c r="AD72" s="989">
        <f t="shared" si="211"/>
        <v>378.93941022803392</v>
      </c>
      <c r="AE72" s="989">
        <f t="shared" si="211"/>
        <v>386.29386630173963</v>
      </c>
      <c r="AF72" s="990">
        <f t="shared" si="211"/>
        <v>393.46966116216083</v>
      </c>
      <c r="AG72" s="639">
        <f t="shared" si="211"/>
        <v>400.36954514030049</v>
      </c>
      <c r="AH72" s="989">
        <f t="shared" si="211"/>
        <v>406.9740411569349</v>
      </c>
      <c r="AI72" s="989">
        <f t="shared" si="211"/>
        <v>413.26423193705659</v>
      </c>
      <c r="AJ72" s="989">
        <f t="shared" si="211"/>
        <v>419.22184910466115</v>
      </c>
      <c r="AK72" s="989">
        <f t="shared" si="211"/>
        <v>424.8293605582852</v>
      </c>
      <c r="AL72" s="989">
        <f t="shared" si="211"/>
        <v>430.07005555013228</v>
      </c>
      <c r="AM72" s="989">
        <f t="shared" ref="AM72:AV77" si="212">AM$78*$B72*$D72</f>
        <v>434.9281268976265</v>
      </c>
      <c r="AN72" s="989">
        <f t="shared" si="212"/>
        <v>439.3887497670886</v>
      </c>
      <c r="AO72" s="989">
        <f t="shared" si="212"/>
        <v>443.43815648494217</v>
      </c>
      <c r="AP72" s="989">
        <f t="shared" si="212"/>
        <v>447.06370685236311</v>
      </c>
      <c r="AQ72" s="989">
        <f t="shared" si="212"/>
        <v>450.25395346446163</v>
      </c>
      <c r="AR72" s="990">
        <f t="shared" si="212"/>
        <v>452.99870156478107</v>
      </c>
      <c r="AS72" s="639">
        <f t="shared" si="212"/>
        <v>455.28906299989256</v>
      </c>
      <c r="AT72" s="989">
        <f t="shared" si="212"/>
        <v>457.11750387690023</v>
      </c>
      <c r="AU72" s="989">
        <f t="shared" si="212"/>
        <v>458.4778855684379</v>
      </c>
      <c r="AV72" s="989">
        <f t="shared" si="212"/>
        <v>459.36549875489845</v>
      </c>
      <c r="AW72" s="989">
        <f t="shared" ref="AW72:BF77" si="213">AW$78*$B72*$D72</f>
        <v>459.77709024178284</v>
      </c>
      <c r="AX72" s="989">
        <f t="shared" si="213"/>
        <v>459.71088234078803</v>
      </c>
      <c r="AY72" s="989">
        <f t="shared" si="213"/>
        <v>459.16658465609657</v>
      </c>
      <c r="AZ72" s="989">
        <f t="shared" si="213"/>
        <v>458.1453981718214</v>
      </c>
      <c r="BA72" s="989">
        <f t="shared" si="213"/>
        <v>456.6500115921886</v>
      </c>
      <c r="BB72" s="989">
        <f t="shared" si="213"/>
        <v>454.68458994229587</v>
      </c>
      <c r="BC72" s="989">
        <f t="shared" si="213"/>
        <v>452.25475549364427</v>
      </c>
      <c r="BD72" s="990">
        <f t="shared" si="213"/>
        <v>449.36756113457284</v>
      </c>
      <c r="BE72" s="639">
        <f t="shared" si="213"/>
        <v>446.03145636070985</v>
      </c>
      <c r="BF72" s="989">
        <f t="shared" si="213"/>
        <v>442.25624611407284</v>
      </c>
      <c r="BG72" s="989">
        <f t="shared" ref="BG72:BP77" si="214">BG$78*$B72*$D72</f>
        <v>438.05304275100474</v>
      </c>
      <c r="BH72" s="989">
        <f t="shared" si="214"/>
        <v>433.43421146823817</v>
      </c>
      <c r="BI72" s="989">
        <f t="shared" si="214"/>
        <v>428.41330956259014</v>
      </c>
      <c r="BJ72" s="989">
        <f t="shared" si="214"/>
        <v>423.00501994267211</v>
      </c>
      <c r="BK72" s="989">
        <f t="shared" si="214"/>
        <v>417.22507935017546</v>
      </c>
      <c r="BL72" s="989">
        <f t="shared" si="214"/>
        <v>411.09020178341052</v>
      </c>
      <c r="BM72" s="989">
        <f t="shared" si="214"/>
        <v>404.6179976465325</v>
      </c>
      <c r="BN72" s="989">
        <f t="shared" si="214"/>
        <v>397.82688917403311</v>
      </c>
      <c r="BO72" s="989">
        <f t="shared" si="214"/>
        <v>390.73602270139509</v>
      </c>
      <c r="BP72" s="990">
        <f t="shared" si="214"/>
        <v>383.36517836915601</v>
      </c>
    </row>
    <row r="73" spans="1:68" s="644" customFormat="1">
      <c r="A73" s="630"/>
      <c r="B73" s="1066">
        <v>0.1</v>
      </c>
      <c r="C73" s="314" t="s">
        <v>230</v>
      </c>
      <c r="D73" s="176">
        <v>120</v>
      </c>
      <c r="E73" s="315" t="s">
        <v>228</v>
      </c>
      <c r="G73" s="645"/>
      <c r="H73" s="645"/>
      <c r="I73" s="644">
        <f t="shared" si="209"/>
        <v>144.00000000000003</v>
      </c>
      <c r="J73" s="981">
        <f t="shared" si="209"/>
        <v>149.01120000000003</v>
      </c>
      <c r="K73" s="981">
        <f t="shared" si="209"/>
        <v>154.10380677120003</v>
      </c>
      <c r="L73" s="981">
        <f t="shared" si="209"/>
        <v>159.27429769598734</v>
      </c>
      <c r="M73" s="981">
        <f t="shared" si="209"/>
        <v>164.51888177052081</v>
      </c>
      <c r="N73" s="981">
        <f t="shared" si="209"/>
        <v>169.83349972723573</v>
      </c>
      <c r="O73" s="981">
        <f t="shared" si="209"/>
        <v>175.21382499859456</v>
      </c>
      <c r="P73" s="981">
        <f t="shared" si="209"/>
        <v>180.65526554775093</v>
      </c>
      <c r="Q73" s="981">
        <f t="shared" si="209"/>
        <v>186.15296658890009</v>
      </c>
      <c r="R73" s="981">
        <f t="shared" si="209"/>
        <v>191.70181421698203</v>
      </c>
      <c r="S73" s="981">
        <f t="shared" si="210"/>
        <v>197.29643996309042</v>
      </c>
      <c r="T73" s="982">
        <f t="shared" si="210"/>
        <v>202.93122628843631</v>
      </c>
      <c r="U73" s="644">
        <f t="shared" si="210"/>
        <v>208.55810333096207</v>
      </c>
      <c r="V73" s="981">
        <f t="shared" si="210"/>
        <v>214.16748207815161</v>
      </c>
      <c r="W73" s="981">
        <f t="shared" si="210"/>
        <v>219.74954333103659</v>
      </c>
      <c r="X73" s="981">
        <f t="shared" si="210"/>
        <v>225.29426380836532</v>
      </c>
      <c r="Y73" s="981">
        <f t="shared" si="210"/>
        <v>230.79144384528942</v>
      </c>
      <c r="Z73" s="981">
        <f t="shared" si="210"/>
        <v>236.23073659383522</v>
      </c>
      <c r="AA73" s="981">
        <f t="shared" si="210"/>
        <v>241.60167862103268</v>
      </c>
      <c r="AB73" s="981">
        <f t="shared" si="210"/>
        <v>246.89372178954781</v>
      </c>
      <c r="AC73" s="981">
        <f t="shared" si="211"/>
        <v>252.09626629509711</v>
      </c>
      <c r="AD73" s="981">
        <f t="shared" si="211"/>
        <v>257.19869472490996</v>
      </c>
      <c r="AE73" s="981">
        <f t="shared" si="211"/>
        <v>262.19040699213099</v>
      </c>
      <c r="AF73" s="982">
        <f t="shared" si="211"/>
        <v>267.0608559924168</v>
      </c>
      <c r="AG73" s="644">
        <f t="shared" si="211"/>
        <v>271.74403516309985</v>
      </c>
      <c r="AH73" s="981">
        <f t="shared" si="211"/>
        <v>276.22672476715036</v>
      </c>
      <c r="AI73" s="981">
        <f t="shared" si="211"/>
        <v>280.4960850251515</v>
      </c>
      <c r="AJ73" s="981">
        <f t="shared" si="211"/>
        <v>284.53971658687408</v>
      </c>
      <c r="AK73" s="981">
        <f t="shared" si="211"/>
        <v>288.34571983594014</v>
      </c>
      <c r="AL73" s="981">
        <f t="shared" si="211"/>
        <v>291.90275263583641</v>
      </c>
      <c r="AM73" s="981">
        <f t="shared" si="212"/>
        <v>295.20008612961078</v>
      </c>
      <c r="AN73" s="981">
        <f t="shared" si="212"/>
        <v>298.2276582129561</v>
      </c>
      <c r="AO73" s="981">
        <f t="shared" si="212"/>
        <v>300.97612431104676</v>
      </c>
      <c r="AP73" s="981">
        <f t="shared" si="212"/>
        <v>303.43690510341389</v>
      </c>
      <c r="AQ73" s="981">
        <f t="shared" si="212"/>
        <v>305.60223085823185</v>
      </c>
      <c r="AR73" s="982">
        <f t="shared" si="212"/>
        <v>307.4651820575437</v>
      </c>
      <c r="AS73" s="644">
        <f t="shared" si="212"/>
        <v>309.01972601802663</v>
      </c>
      <c r="AT73" s="981">
        <f t="shared" si="212"/>
        <v>310.26074923771506</v>
      </c>
      <c r="AU73" s="981">
        <f t="shared" si="212"/>
        <v>311.18408522744653</v>
      </c>
      <c r="AV73" s="981">
        <f t="shared" si="212"/>
        <v>311.78653761644694</v>
      </c>
      <c r="AW73" s="981">
        <f t="shared" si="213"/>
        <v>312.06589835415127</v>
      </c>
      <c r="AX73" s="981">
        <f t="shared" si="213"/>
        <v>312.02096086478826</v>
      </c>
      <c r="AY73" s="981">
        <f t="shared" si="213"/>
        <v>311.65152804712443</v>
      </c>
      <c r="AZ73" s="981">
        <f t="shared" si="213"/>
        <v>310.95841504874761</v>
      </c>
      <c r="BA73" s="981">
        <f t="shared" si="213"/>
        <v>309.9434467820285</v>
      </c>
      <c r="BB73" s="981">
        <f t="shared" si="213"/>
        <v>308.60945018707866</v>
      </c>
      <c r="BC73" s="981">
        <f t="shared" si="213"/>
        <v>306.96024128527887</v>
      </c>
      <c r="BD73" s="982">
        <f t="shared" si="213"/>
        <v>305.00060710491368</v>
      </c>
      <c r="BE73" s="644">
        <f t="shared" si="213"/>
        <v>302.73628259776683</v>
      </c>
      <c r="BF73" s="981">
        <f t="shared" si="213"/>
        <v>300.17392270185945</v>
      </c>
      <c r="BG73" s="981">
        <f t="shared" si="214"/>
        <v>297.32106974050095</v>
      </c>
      <c r="BH73" s="981">
        <f t="shared" si="214"/>
        <v>294.18611638115715</v>
      </c>
      <c r="BI73" s="981">
        <f t="shared" si="214"/>
        <v>290.77826440899787</v>
      </c>
      <c r="BJ73" s="981">
        <f t="shared" si="214"/>
        <v>287.10747959909872</v>
      </c>
      <c r="BK73" s="981">
        <f t="shared" si="214"/>
        <v>283.18444299785665</v>
      </c>
      <c r="BL73" s="981">
        <f t="shared" si="214"/>
        <v>279.02049894801621</v>
      </c>
      <c r="BM73" s="981">
        <f t="shared" si="214"/>
        <v>274.62760021257861</v>
      </c>
      <c r="BN73" s="981">
        <f t="shared" si="214"/>
        <v>270.01825057061075</v>
      </c>
      <c r="BO73" s="981">
        <f t="shared" si="214"/>
        <v>265.20544527244016</v>
      </c>
      <c r="BP73" s="982">
        <f t="shared" si="214"/>
        <v>260.20260975282088</v>
      </c>
    </row>
    <row r="74" spans="1:68" s="644" customFormat="1">
      <c r="A74" s="630"/>
      <c r="B74" s="1066">
        <v>0.18</v>
      </c>
      <c r="C74" s="314" t="s">
        <v>91</v>
      </c>
      <c r="D74" s="176">
        <v>60</v>
      </c>
      <c r="E74" s="315" t="s">
        <v>228</v>
      </c>
      <c r="G74" s="645"/>
      <c r="H74" s="645"/>
      <c r="I74" s="644">
        <f t="shared" si="209"/>
        <v>129.60000000000002</v>
      </c>
      <c r="J74" s="981">
        <f t="shared" si="209"/>
        <v>134.11007999999998</v>
      </c>
      <c r="K74" s="981">
        <f t="shared" si="209"/>
        <v>138.69342609408</v>
      </c>
      <c r="L74" s="981">
        <f t="shared" si="209"/>
        <v>143.34686792638857</v>
      </c>
      <c r="M74" s="981">
        <f t="shared" si="209"/>
        <v>148.06699359346871</v>
      </c>
      <c r="N74" s="981">
        <f t="shared" si="209"/>
        <v>152.85014975451213</v>
      </c>
      <c r="O74" s="981">
        <f t="shared" si="209"/>
        <v>157.69244249873509</v>
      </c>
      <c r="P74" s="981">
        <f t="shared" si="209"/>
        <v>162.58973899297581</v>
      </c>
      <c r="Q74" s="981">
        <f t="shared" si="209"/>
        <v>167.53766993001005</v>
      </c>
      <c r="R74" s="981">
        <f t="shared" si="209"/>
        <v>172.53163279528383</v>
      </c>
      <c r="S74" s="981">
        <f t="shared" si="210"/>
        <v>177.56679596678137</v>
      </c>
      <c r="T74" s="982">
        <f t="shared" si="210"/>
        <v>182.63810365959267</v>
      </c>
      <c r="U74" s="644">
        <f t="shared" si="210"/>
        <v>187.70229299786587</v>
      </c>
      <c r="V74" s="981">
        <f t="shared" si="210"/>
        <v>192.7507338703364</v>
      </c>
      <c r="W74" s="981">
        <f t="shared" si="210"/>
        <v>197.77458899793291</v>
      </c>
      <c r="X74" s="981">
        <f t="shared" si="210"/>
        <v>202.76483742752879</v>
      </c>
      <c r="Y74" s="981">
        <f t="shared" si="210"/>
        <v>207.71229946076048</v>
      </c>
      <c r="Z74" s="981">
        <f t="shared" si="210"/>
        <v>212.60766293445167</v>
      </c>
      <c r="AA74" s="981">
        <f t="shared" si="210"/>
        <v>217.44151075892935</v>
      </c>
      <c r="AB74" s="981">
        <f t="shared" si="210"/>
        <v>222.204349610593</v>
      </c>
      <c r="AC74" s="981">
        <f t="shared" si="211"/>
        <v>226.88663966558741</v>
      </c>
      <c r="AD74" s="981">
        <f t="shared" si="211"/>
        <v>231.47882525241891</v>
      </c>
      <c r="AE74" s="981">
        <f t="shared" si="211"/>
        <v>235.97136629291785</v>
      </c>
      <c r="AF74" s="982">
        <f t="shared" si="211"/>
        <v>240.35477039317516</v>
      </c>
      <c r="AG74" s="644">
        <f t="shared" si="211"/>
        <v>244.56963164678987</v>
      </c>
      <c r="AH74" s="981">
        <f t="shared" si="211"/>
        <v>248.60405229043533</v>
      </c>
      <c r="AI74" s="981">
        <f t="shared" si="211"/>
        <v>252.44647652263635</v>
      </c>
      <c r="AJ74" s="981">
        <f t="shared" si="211"/>
        <v>256.08574492818673</v>
      </c>
      <c r="AK74" s="981">
        <f t="shared" si="211"/>
        <v>259.51114785234614</v>
      </c>
      <c r="AL74" s="981">
        <f t="shared" si="211"/>
        <v>262.71247737225269</v>
      </c>
      <c r="AM74" s="981">
        <f t="shared" si="212"/>
        <v>265.6800775166497</v>
      </c>
      <c r="AN74" s="981">
        <f t="shared" si="212"/>
        <v>268.40489239166044</v>
      </c>
      <c r="AO74" s="981">
        <f t="shared" si="212"/>
        <v>270.87851187994198</v>
      </c>
      <c r="AP74" s="981">
        <f t="shared" si="212"/>
        <v>273.09321459307245</v>
      </c>
      <c r="AQ74" s="981">
        <f t="shared" si="212"/>
        <v>275.04200777240868</v>
      </c>
      <c r="AR74" s="982">
        <f t="shared" si="212"/>
        <v>276.7186638517893</v>
      </c>
      <c r="AS74" s="644">
        <f t="shared" si="212"/>
        <v>278.11775341622393</v>
      </c>
      <c r="AT74" s="981">
        <f t="shared" si="212"/>
        <v>279.23467431394357</v>
      </c>
      <c r="AU74" s="981">
        <f t="shared" si="212"/>
        <v>280.06567670470184</v>
      </c>
      <c r="AV74" s="981">
        <f t="shared" si="212"/>
        <v>280.60788385480225</v>
      </c>
      <c r="AW74" s="981">
        <f t="shared" si="213"/>
        <v>280.85930851873616</v>
      </c>
      <c r="AX74" s="981">
        <f t="shared" si="213"/>
        <v>280.81886477830943</v>
      </c>
      <c r="AY74" s="981">
        <f t="shared" si="213"/>
        <v>280.4863752424119</v>
      </c>
      <c r="AZ74" s="981">
        <f t="shared" si="213"/>
        <v>279.86257354387277</v>
      </c>
      <c r="BA74" s="981">
        <f t="shared" si="213"/>
        <v>278.94910210382562</v>
      </c>
      <c r="BB74" s="981">
        <f t="shared" si="213"/>
        <v>277.7485051683708</v>
      </c>
      <c r="BC74" s="981">
        <f t="shared" si="213"/>
        <v>276.26421715675099</v>
      </c>
      <c r="BD74" s="982">
        <f t="shared" si="213"/>
        <v>274.50054639442232</v>
      </c>
      <c r="BE74" s="644">
        <f t="shared" si="213"/>
        <v>272.46265433799016</v>
      </c>
      <c r="BF74" s="981">
        <f t="shared" si="213"/>
        <v>270.15653043167345</v>
      </c>
      <c r="BG74" s="981">
        <f t="shared" si="214"/>
        <v>267.58896276645083</v>
      </c>
      <c r="BH74" s="981">
        <f t="shared" si="214"/>
        <v>264.7675047430414</v>
      </c>
      <c r="BI74" s="981">
        <f t="shared" si="214"/>
        <v>261.70043796809802</v>
      </c>
      <c r="BJ74" s="981">
        <f t="shared" si="214"/>
        <v>258.39673163918877</v>
      </c>
      <c r="BK74" s="981">
        <f t="shared" si="214"/>
        <v>254.86599869807097</v>
      </c>
      <c r="BL74" s="981">
        <f t="shared" si="214"/>
        <v>251.11844905321453</v>
      </c>
      <c r="BM74" s="981">
        <f t="shared" si="214"/>
        <v>247.16484019132071</v>
      </c>
      <c r="BN74" s="981">
        <f t="shared" si="214"/>
        <v>243.01642551354962</v>
      </c>
      <c r="BO74" s="981">
        <f t="shared" si="214"/>
        <v>238.6849007451961</v>
      </c>
      <c r="BP74" s="982">
        <f t="shared" si="214"/>
        <v>234.18234877753875</v>
      </c>
    </row>
    <row r="75" spans="1:68" s="644" customFormat="1">
      <c r="A75" s="630"/>
      <c r="B75" s="1066">
        <v>0.22</v>
      </c>
      <c r="C75" s="314" t="s">
        <v>231</v>
      </c>
      <c r="D75" s="176">
        <v>10</v>
      </c>
      <c r="E75" s="315" t="s">
        <v>228</v>
      </c>
      <c r="G75" s="645"/>
      <c r="H75" s="645"/>
      <c r="I75" s="644">
        <f t="shared" si="209"/>
        <v>26.400000000000002</v>
      </c>
      <c r="J75" s="981">
        <f t="shared" si="209"/>
        <v>27.318719999999999</v>
      </c>
      <c r="K75" s="981">
        <f t="shared" si="209"/>
        <v>28.252364574720001</v>
      </c>
      <c r="L75" s="981">
        <f t="shared" si="209"/>
        <v>29.20028791093101</v>
      </c>
      <c r="M75" s="981">
        <f t="shared" si="209"/>
        <v>30.161794991262148</v>
      </c>
      <c r="N75" s="981">
        <f t="shared" si="209"/>
        <v>31.136141616659884</v>
      </c>
      <c r="O75" s="981">
        <f t="shared" si="209"/>
        <v>32.122534583075669</v>
      </c>
      <c r="P75" s="981">
        <f t="shared" si="209"/>
        <v>33.12013201708767</v>
      </c>
      <c r="Q75" s="981">
        <f t="shared" si="209"/>
        <v>34.128043874631679</v>
      </c>
      <c r="R75" s="981">
        <f t="shared" si="209"/>
        <v>35.145332606446701</v>
      </c>
      <c r="S75" s="981">
        <f t="shared" si="210"/>
        <v>36.171013993233245</v>
      </c>
      <c r="T75" s="982">
        <f t="shared" si="210"/>
        <v>37.204058152879988</v>
      </c>
      <c r="U75" s="644">
        <f t="shared" si="210"/>
        <v>38.235652277343043</v>
      </c>
      <c r="V75" s="981">
        <f t="shared" si="210"/>
        <v>39.264038380994457</v>
      </c>
      <c r="W75" s="981">
        <f t="shared" si="210"/>
        <v>40.287416277356705</v>
      </c>
      <c r="X75" s="981">
        <f t="shared" si="210"/>
        <v>41.303948364866976</v>
      </c>
      <c r="Y75" s="981">
        <f t="shared" si="210"/>
        <v>42.311764704969725</v>
      </c>
      <c r="Z75" s="981">
        <f t="shared" si="210"/>
        <v>43.308968375536452</v>
      </c>
      <c r="AA75" s="981">
        <f t="shared" si="210"/>
        <v>44.293641080522647</v>
      </c>
      <c r="AB75" s="981">
        <f t="shared" si="210"/>
        <v>45.263848994750433</v>
      </c>
      <c r="AC75" s="981">
        <f t="shared" si="211"/>
        <v>46.217648820767806</v>
      </c>
      <c r="AD75" s="981">
        <f t="shared" si="211"/>
        <v>47.15309403290015</v>
      </c>
      <c r="AE75" s="981">
        <f t="shared" si="211"/>
        <v>48.068241281890671</v>
      </c>
      <c r="AF75" s="982">
        <f t="shared" si="211"/>
        <v>48.96115693194308</v>
      </c>
      <c r="AG75" s="644">
        <f t="shared" si="211"/>
        <v>49.819739779901646</v>
      </c>
      <c r="AH75" s="981">
        <f t="shared" si="211"/>
        <v>50.641566207310902</v>
      </c>
      <c r="AI75" s="981">
        <f t="shared" si="211"/>
        <v>51.424282254611107</v>
      </c>
      <c r="AJ75" s="981">
        <f t="shared" si="211"/>
        <v>52.165614707593591</v>
      </c>
      <c r="AK75" s="981">
        <f t="shared" si="211"/>
        <v>52.863381969922365</v>
      </c>
      <c r="AL75" s="981">
        <f t="shared" si="211"/>
        <v>53.515504649903335</v>
      </c>
      <c r="AM75" s="981">
        <f t="shared" si="212"/>
        <v>54.120015790428646</v>
      </c>
      <c r="AN75" s="981">
        <f t="shared" si="212"/>
        <v>54.675070672375277</v>
      </c>
      <c r="AO75" s="981">
        <f t="shared" si="212"/>
        <v>55.17895612369189</v>
      </c>
      <c r="AP75" s="981">
        <f t="shared" si="212"/>
        <v>55.630099268959214</v>
      </c>
      <c r="AQ75" s="981">
        <f t="shared" si="212"/>
        <v>56.027075657342507</v>
      </c>
      <c r="AR75" s="982">
        <f t="shared" si="212"/>
        <v>56.368616710549674</v>
      </c>
      <c r="AS75" s="644">
        <f t="shared" si="212"/>
        <v>56.653616436638217</v>
      </c>
      <c r="AT75" s="981">
        <f t="shared" si="212"/>
        <v>56.881137360247763</v>
      </c>
      <c r="AU75" s="981">
        <f t="shared" si="212"/>
        <v>57.05041562503186</v>
      </c>
      <c r="AV75" s="981">
        <f t="shared" si="212"/>
        <v>57.160865229681932</v>
      </c>
      <c r="AW75" s="981">
        <f t="shared" si="213"/>
        <v>57.212081364927727</v>
      </c>
      <c r="AX75" s="981">
        <f t="shared" si="213"/>
        <v>57.203842825211176</v>
      </c>
      <c r="AY75" s="981">
        <f t="shared" si="213"/>
        <v>57.136113475306132</v>
      </c>
      <c r="AZ75" s="981">
        <f t="shared" si="213"/>
        <v>57.009042758937056</v>
      </c>
      <c r="BA75" s="981">
        <f t="shared" si="213"/>
        <v>56.82296524337189</v>
      </c>
      <c r="BB75" s="981">
        <f t="shared" si="213"/>
        <v>56.578399200964419</v>
      </c>
      <c r="BC75" s="981">
        <f t="shared" si="213"/>
        <v>56.276044235634465</v>
      </c>
      <c r="BD75" s="982">
        <f t="shared" si="213"/>
        <v>55.916777969234175</v>
      </c>
      <c r="BE75" s="644">
        <f t="shared" si="213"/>
        <v>55.501651809590591</v>
      </c>
      <c r="BF75" s="981">
        <f t="shared" si="213"/>
        <v>55.031885828674227</v>
      </c>
      <c r="BG75" s="981">
        <f t="shared" si="214"/>
        <v>54.50886278575851</v>
      </c>
      <c r="BH75" s="981">
        <f t="shared" si="214"/>
        <v>53.934121336545473</v>
      </c>
      <c r="BI75" s="981">
        <f t="shared" si="214"/>
        <v>53.30934847498294</v>
      </c>
      <c r="BJ75" s="981">
        <f t="shared" si="214"/>
        <v>52.63637125983476</v>
      </c>
      <c r="BK75" s="981">
        <f t="shared" si="214"/>
        <v>51.917147882940384</v>
      </c>
      <c r="BL75" s="981">
        <f t="shared" si="214"/>
        <v>51.153758140469634</v>
      </c>
      <c r="BM75" s="981">
        <f t="shared" si="214"/>
        <v>50.348393372306077</v>
      </c>
      <c r="BN75" s="981">
        <f t="shared" si="214"/>
        <v>49.503345937945298</v>
      </c>
      <c r="BO75" s="981">
        <f t="shared" si="214"/>
        <v>48.62099829994736</v>
      </c>
      <c r="BP75" s="982">
        <f t="shared" si="214"/>
        <v>47.703811788017148</v>
      </c>
    </row>
    <row r="76" spans="1:68" s="644" customFormat="1">
      <c r="A76" s="630"/>
      <c r="B76" s="1066">
        <v>0.08</v>
      </c>
      <c r="C76" s="314" t="s">
        <v>236</v>
      </c>
      <c r="D76" s="176">
        <v>50</v>
      </c>
      <c r="E76" s="315" t="s">
        <v>228</v>
      </c>
      <c r="G76" s="645"/>
      <c r="H76" s="645"/>
      <c r="I76" s="644">
        <f t="shared" si="209"/>
        <v>48</v>
      </c>
      <c r="J76" s="981">
        <f t="shared" si="209"/>
        <v>49.670400000000001</v>
      </c>
      <c r="K76" s="981">
        <f t="shared" si="209"/>
        <v>51.367935590400002</v>
      </c>
      <c r="L76" s="981">
        <f t="shared" si="209"/>
        <v>53.091432565329114</v>
      </c>
      <c r="M76" s="981">
        <f t="shared" si="209"/>
        <v>54.839627256840274</v>
      </c>
      <c r="N76" s="981">
        <f t="shared" si="209"/>
        <v>56.611166575745244</v>
      </c>
      <c r="O76" s="981">
        <f t="shared" si="209"/>
        <v>58.404608332864861</v>
      </c>
      <c r="P76" s="981">
        <f t="shared" si="209"/>
        <v>60.218421849250305</v>
      </c>
      <c r="Q76" s="981">
        <f t="shared" si="209"/>
        <v>62.05098886296669</v>
      </c>
      <c r="R76" s="981">
        <f t="shared" si="209"/>
        <v>63.900604738994005</v>
      </c>
      <c r="S76" s="981">
        <f t="shared" si="210"/>
        <v>65.765479987696807</v>
      </c>
      <c r="T76" s="982">
        <f t="shared" si="210"/>
        <v>67.643742096145431</v>
      </c>
      <c r="U76" s="644">
        <f t="shared" si="210"/>
        <v>69.519367776987352</v>
      </c>
      <c r="V76" s="981">
        <f t="shared" si="210"/>
        <v>71.389160692717198</v>
      </c>
      <c r="W76" s="981">
        <f t="shared" si="210"/>
        <v>73.249847777012192</v>
      </c>
      <c r="X76" s="981">
        <f t="shared" si="210"/>
        <v>75.098087936121772</v>
      </c>
      <c r="Y76" s="981">
        <f t="shared" si="210"/>
        <v>76.930481281763136</v>
      </c>
      <c r="Z76" s="981">
        <f t="shared" si="210"/>
        <v>78.743578864611735</v>
      </c>
      <c r="AA76" s="981">
        <f t="shared" si="210"/>
        <v>80.533892873677544</v>
      </c>
      <c r="AB76" s="981">
        <f t="shared" si="210"/>
        <v>82.297907263182594</v>
      </c>
      <c r="AC76" s="981">
        <f t="shared" si="211"/>
        <v>84.03208876503237</v>
      </c>
      <c r="AD76" s="981">
        <f t="shared" si="211"/>
        <v>85.732898241636633</v>
      </c>
      <c r="AE76" s="981">
        <f t="shared" si="211"/>
        <v>87.396802330710315</v>
      </c>
      <c r="AF76" s="982">
        <f t="shared" si="211"/>
        <v>89.020285330805606</v>
      </c>
      <c r="AG76" s="644">
        <f t="shared" si="211"/>
        <v>90.581345054366622</v>
      </c>
      <c r="AH76" s="981">
        <f t="shared" si="211"/>
        <v>92.075574922383453</v>
      </c>
      <c r="AI76" s="981">
        <f t="shared" si="211"/>
        <v>93.498695008383834</v>
      </c>
      <c r="AJ76" s="981">
        <f t="shared" si="211"/>
        <v>94.846572195624702</v>
      </c>
      <c r="AK76" s="981">
        <f t="shared" si="211"/>
        <v>96.115239945313391</v>
      </c>
      <c r="AL76" s="981">
        <f t="shared" si="211"/>
        <v>97.300917545278793</v>
      </c>
      <c r="AM76" s="981">
        <f t="shared" si="212"/>
        <v>98.400028709870256</v>
      </c>
      <c r="AN76" s="981">
        <f t="shared" si="212"/>
        <v>99.409219404318691</v>
      </c>
      <c r="AO76" s="981">
        <f t="shared" si="212"/>
        <v>100.3253747703489</v>
      </c>
      <c r="AP76" s="981">
        <f t="shared" si="212"/>
        <v>101.1456350344713</v>
      </c>
      <c r="AQ76" s="981">
        <f t="shared" si="212"/>
        <v>101.86741028607729</v>
      </c>
      <c r="AR76" s="982">
        <f t="shared" si="212"/>
        <v>102.48839401918124</v>
      </c>
      <c r="AS76" s="644">
        <f t="shared" si="212"/>
        <v>103.00657533934221</v>
      </c>
      <c r="AT76" s="981">
        <f t="shared" si="212"/>
        <v>103.42024974590502</v>
      </c>
      <c r="AU76" s="981">
        <f t="shared" si="212"/>
        <v>103.72802840914883</v>
      </c>
      <c r="AV76" s="981">
        <f t="shared" si="212"/>
        <v>103.92884587214897</v>
      </c>
      <c r="AW76" s="981">
        <f t="shared" si="213"/>
        <v>104.02196611805041</v>
      </c>
      <c r="AX76" s="981">
        <f t="shared" si="213"/>
        <v>104.00698695492943</v>
      </c>
      <c r="AY76" s="981">
        <f t="shared" si="213"/>
        <v>103.88384268237478</v>
      </c>
      <c r="AZ76" s="981">
        <f t="shared" si="213"/>
        <v>103.65280501624919</v>
      </c>
      <c r="BA76" s="981">
        <f t="shared" si="213"/>
        <v>103.31448226067617</v>
      </c>
      <c r="BB76" s="981">
        <f t="shared" si="213"/>
        <v>102.86981672902623</v>
      </c>
      <c r="BC76" s="981">
        <f t="shared" si="213"/>
        <v>102.32008042842628</v>
      </c>
      <c r="BD76" s="982">
        <f t="shared" si="213"/>
        <v>101.66686903497121</v>
      </c>
      <c r="BE76" s="644">
        <f t="shared" si="213"/>
        <v>100.91209419925562</v>
      </c>
      <c r="BF76" s="981">
        <f t="shared" si="213"/>
        <v>100.05797423395313</v>
      </c>
      <c r="BG76" s="981">
        <f t="shared" si="214"/>
        <v>99.107023246833648</v>
      </c>
      <c r="BH76" s="981">
        <f t="shared" si="214"/>
        <v>98.06203879371904</v>
      </c>
      <c r="BI76" s="981">
        <f t="shared" si="214"/>
        <v>96.926088136332609</v>
      </c>
      <c r="BJ76" s="981">
        <f t="shared" si="214"/>
        <v>95.702493199699575</v>
      </c>
      <c r="BK76" s="981">
        <f t="shared" si="214"/>
        <v>94.394814332618878</v>
      </c>
      <c r="BL76" s="981">
        <f t="shared" si="214"/>
        <v>93.006832982672066</v>
      </c>
      <c r="BM76" s="981">
        <f t="shared" si="214"/>
        <v>91.542533404192866</v>
      </c>
      <c r="BN76" s="981">
        <f t="shared" si="214"/>
        <v>90.006083523536901</v>
      </c>
      <c r="BO76" s="981">
        <f t="shared" si="214"/>
        <v>88.401815090813372</v>
      </c>
      <c r="BP76" s="982">
        <f t="shared" si="214"/>
        <v>86.734203250940283</v>
      </c>
    </row>
    <row r="77" spans="1:68" s="649" customFormat="1">
      <c r="A77" s="659"/>
      <c r="B77" s="1068">
        <v>0.16</v>
      </c>
      <c r="C77" s="661" t="s">
        <v>232</v>
      </c>
      <c r="D77" s="634">
        <v>10</v>
      </c>
      <c r="E77" s="1268" t="s">
        <v>228</v>
      </c>
      <c r="G77" s="650"/>
      <c r="H77" s="650"/>
      <c r="I77" s="649">
        <f t="shared" si="209"/>
        <v>19.2</v>
      </c>
      <c r="J77" s="1269">
        <f t="shared" si="209"/>
        <v>19.868160000000003</v>
      </c>
      <c r="K77" s="1269">
        <f t="shared" si="209"/>
        <v>20.547174236160004</v>
      </c>
      <c r="L77" s="1269">
        <f t="shared" si="209"/>
        <v>21.236573026131644</v>
      </c>
      <c r="M77" s="1269">
        <f t="shared" si="209"/>
        <v>21.93585090273611</v>
      </c>
      <c r="N77" s="1269">
        <f t="shared" si="209"/>
        <v>22.644466630298098</v>
      </c>
      <c r="O77" s="1269">
        <f t="shared" si="209"/>
        <v>23.361843333145945</v>
      </c>
      <c r="P77" s="1269">
        <f t="shared" si="209"/>
        <v>24.087368739700121</v>
      </c>
      <c r="Q77" s="1269">
        <f t="shared" si="209"/>
        <v>24.820395545186678</v>
      </c>
      <c r="R77" s="1269">
        <f t="shared" si="209"/>
        <v>25.560241895597603</v>
      </c>
      <c r="S77" s="1269">
        <f t="shared" si="210"/>
        <v>26.306191995078724</v>
      </c>
      <c r="T77" s="1270">
        <f t="shared" si="210"/>
        <v>27.057496838458171</v>
      </c>
      <c r="U77" s="649">
        <f t="shared" si="210"/>
        <v>27.807747110794942</v>
      </c>
      <c r="V77" s="1269">
        <f t="shared" si="210"/>
        <v>28.55566427708688</v>
      </c>
      <c r="W77" s="1269">
        <f t="shared" si="210"/>
        <v>29.299939110804875</v>
      </c>
      <c r="X77" s="1269">
        <f t="shared" si="210"/>
        <v>30.039235174448709</v>
      </c>
      <c r="Y77" s="1269">
        <f t="shared" si="210"/>
        <v>30.772192512705256</v>
      </c>
      <c r="Z77" s="1269">
        <f t="shared" si="210"/>
        <v>31.497431545844698</v>
      </c>
      <c r="AA77" s="1269">
        <f t="shared" si="210"/>
        <v>32.213557149471022</v>
      </c>
      <c r="AB77" s="1269">
        <f t="shared" si="210"/>
        <v>32.919162905273041</v>
      </c>
      <c r="AC77" s="1269">
        <f t="shared" si="211"/>
        <v>33.612835506012949</v>
      </c>
      <c r="AD77" s="1269">
        <f t="shared" si="211"/>
        <v>34.29315929665465</v>
      </c>
      <c r="AE77" s="1269">
        <f t="shared" si="211"/>
        <v>34.95872093228413</v>
      </c>
      <c r="AF77" s="1270">
        <f t="shared" si="211"/>
        <v>35.608114132322243</v>
      </c>
      <c r="AG77" s="649">
        <f t="shared" si="211"/>
        <v>36.232538021746649</v>
      </c>
      <c r="AH77" s="1269">
        <f t="shared" si="211"/>
        <v>36.830229968953383</v>
      </c>
      <c r="AI77" s="1269">
        <f t="shared" si="211"/>
        <v>37.399478003353536</v>
      </c>
      <c r="AJ77" s="1269">
        <f t="shared" si="211"/>
        <v>37.93862887824988</v>
      </c>
      <c r="AK77" s="1269">
        <f t="shared" si="211"/>
        <v>38.446095978125356</v>
      </c>
      <c r="AL77" s="1269">
        <f t="shared" si="211"/>
        <v>38.92036701811152</v>
      </c>
      <c r="AM77" s="1269">
        <f t="shared" si="212"/>
        <v>39.360011483948099</v>
      </c>
      <c r="AN77" s="1269">
        <f t="shared" si="212"/>
        <v>39.763687761727475</v>
      </c>
      <c r="AO77" s="1269">
        <f t="shared" si="212"/>
        <v>40.130149908139565</v>
      </c>
      <c r="AP77" s="1269">
        <f t="shared" si="212"/>
        <v>40.458254013788519</v>
      </c>
      <c r="AQ77" s="1269">
        <f t="shared" si="212"/>
        <v>40.746964114430916</v>
      </c>
      <c r="AR77" s="1270">
        <f t="shared" si="212"/>
        <v>40.995357607672496</v>
      </c>
      <c r="AS77" s="649">
        <f t="shared" si="212"/>
        <v>41.202630135736882</v>
      </c>
      <c r="AT77" s="1269">
        <f t="shared" si="212"/>
        <v>41.368099898362011</v>
      </c>
      <c r="AU77" s="1269">
        <f t="shared" si="212"/>
        <v>41.491211363659531</v>
      </c>
      <c r="AV77" s="1269">
        <f t="shared" si="212"/>
        <v>41.57153834885959</v>
      </c>
      <c r="AW77" s="1269">
        <f t="shared" si="213"/>
        <v>41.608786447220169</v>
      </c>
      <c r="AX77" s="1269">
        <f t="shared" si="213"/>
        <v>41.602794781971767</v>
      </c>
      <c r="AY77" s="1269">
        <f t="shared" si="213"/>
        <v>41.553537072949915</v>
      </c>
      <c r="AZ77" s="1269">
        <f t="shared" si="213"/>
        <v>41.461122006499671</v>
      </c>
      <c r="BA77" s="1269">
        <f t="shared" si="213"/>
        <v>41.325792904270465</v>
      </c>
      <c r="BB77" s="1269">
        <f t="shared" si="213"/>
        <v>41.147926691610486</v>
      </c>
      <c r="BC77" s="1269">
        <f t="shared" si="213"/>
        <v>40.928032171370518</v>
      </c>
      <c r="BD77" s="1270">
        <f t="shared" si="213"/>
        <v>40.666747613988491</v>
      </c>
      <c r="BE77" s="649">
        <f t="shared" si="213"/>
        <v>40.364837679702248</v>
      </c>
      <c r="BF77" s="1269">
        <f t="shared" si="213"/>
        <v>40.023189693581251</v>
      </c>
      <c r="BG77" s="1269">
        <f t="shared" si="214"/>
        <v>39.642809298733461</v>
      </c>
      <c r="BH77" s="1269">
        <f t="shared" si="214"/>
        <v>39.224815517487613</v>
      </c>
      <c r="BI77" s="1269">
        <f t="shared" si="214"/>
        <v>38.770435254533041</v>
      </c>
      <c r="BJ77" s="1269">
        <f t="shared" si="214"/>
        <v>38.280997279879827</v>
      </c>
      <c r="BK77" s="1269">
        <f t="shared" si="214"/>
        <v>37.75792573304755</v>
      </c>
      <c r="BL77" s="1269">
        <f t="shared" si="214"/>
        <v>37.202733193068831</v>
      </c>
      <c r="BM77" s="1269">
        <f t="shared" si="214"/>
        <v>36.617013361677152</v>
      </c>
      <c r="BN77" s="1269">
        <f t="shared" si="214"/>
        <v>36.002433409414763</v>
      </c>
      <c r="BO77" s="1269">
        <f t="shared" si="214"/>
        <v>35.360726036325346</v>
      </c>
      <c r="BP77" s="1270">
        <f t="shared" si="214"/>
        <v>34.693681300376113</v>
      </c>
    </row>
    <row r="78" spans="1:68" s="141" customFormat="1">
      <c r="A78" s="662"/>
      <c r="B78" s="995">
        <f>SUM(B72:B77)</f>
        <v>1</v>
      </c>
      <c r="C78" s="664"/>
      <c r="D78" s="665"/>
      <c r="E78" s="1055" t="s">
        <v>233</v>
      </c>
      <c r="F78" s="1070"/>
      <c r="G78" s="1071"/>
      <c r="H78" s="1071"/>
      <c r="I78" s="1072">
        <f>'Contractor Model'!B11</f>
        <v>12</v>
      </c>
      <c r="J78" s="1072">
        <f>'Contractor Model'!C11</f>
        <v>12.4176</v>
      </c>
      <c r="K78" s="1072">
        <f>'Contractor Model'!D11</f>
        <v>12.8419838976</v>
      </c>
      <c r="L78" s="1072">
        <f>'Contractor Model'!E11</f>
        <v>13.272858141332277</v>
      </c>
      <c r="M78" s="1072">
        <f>'Contractor Model'!F11</f>
        <v>13.709906814210067</v>
      </c>
      <c r="N78" s="1072">
        <f>'Contractor Model'!G11</f>
        <v>14.152791643936309</v>
      </c>
      <c r="O78" s="1072">
        <f>'Contractor Model'!H11</f>
        <v>14.601152083216213</v>
      </c>
      <c r="P78" s="1072">
        <f>'Contractor Model'!I11</f>
        <v>15.054605462312576</v>
      </c>
      <c r="Q78" s="1072">
        <f>'Contractor Model'!J11</f>
        <v>15.512747215741673</v>
      </c>
      <c r="R78" s="1072">
        <f>'Contractor Model'!K11</f>
        <v>15.975151184748501</v>
      </c>
      <c r="S78" s="1072">
        <f>'Contractor Model'!L11</f>
        <v>16.441369996924202</v>
      </c>
      <c r="T78" s="1073">
        <f>'Contractor Model'!M11</f>
        <v>16.910935524036358</v>
      </c>
      <c r="U78" s="1072">
        <f>'Contractor Model'!N11</f>
        <v>17.379841944246838</v>
      </c>
      <c r="V78" s="1072">
        <f>'Contractor Model'!O11</f>
        <v>17.847290173179299</v>
      </c>
      <c r="W78" s="1072">
        <f>'Contractor Model'!P11</f>
        <v>18.312461944253048</v>
      </c>
      <c r="X78" s="1072">
        <f>'Contractor Model'!Q11</f>
        <v>18.774521984030443</v>
      </c>
      <c r="Y78" s="1072">
        <f>'Contractor Model'!R11</f>
        <v>19.232620320440784</v>
      </c>
      <c r="Z78" s="1072">
        <f>'Contractor Model'!S11</f>
        <v>19.685894716152934</v>
      </c>
      <c r="AA78" s="1072">
        <f>'Contractor Model'!T11</f>
        <v>20.133473218419386</v>
      </c>
      <c r="AB78" s="1072">
        <f>'Contractor Model'!U11</f>
        <v>20.574476815795649</v>
      </c>
      <c r="AC78" s="1072">
        <f>'Contractor Model'!V11</f>
        <v>21.008022191258092</v>
      </c>
      <c r="AD78" s="1072">
        <f>'Contractor Model'!W11</f>
        <v>21.433224560409158</v>
      </c>
      <c r="AE78" s="1072">
        <f>'Contractor Model'!X11</f>
        <v>21.849200582677579</v>
      </c>
      <c r="AF78" s="1073">
        <f>'Contractor Model'!Y11</f>
        <v>22.255071332701402</v>
      </c>
      <c r="AG78" s="1072">
        <f>'Contractor Model'!Z11</f>
        <v>22.645336263591656</v>
      </c>
      <c r="AH78" s="1072">
        <f>'Contractor Model'!AA11</f>
        <v>23.018893730595863</v>
      </c>
      <c r="AI78" s="1072">
        <f>'Contractor Model'!AB11</f>
        <v>23.374673752095958</v>
      </c>
      <c r="AJ78" s="1072">
        <f>'Contractor Model'!AC11</f>
        <v>23.711643048906176</v>
      </c>
      <c r="AK78" s="1072">
        <f>'Contractor Model'!AD11</f>
        <v>24.028809986328348</v>
      </c>
      <c r="AL78" s="1072">
        <f>'Contractor Model'!AE11</f>
        <v>24.325229386319698</v>
      </c>
      <c r="AM78" s="1072">
        <f>'Contractor Model'!AF11</f>
        <v>24.600007177467564</v>
      </c>
      <c r="AN78" s="1072">
        <f>'Contractor Model'!AG11</f>
        <v>24.852304851079673</v>
      </c>
      <c r="AO78" s="1072">
        <f>'Contractor Model'!AH11</f>
        <v>25.081343692587225</v>
      </c>
      <c r="AP78" s="1072">
        <f>'Contractor Model'!AI11</f>
        <v>25.286408758617824</v>
      </c>
      <c r="AQ78" s="1072">
        <f>'Contractor Model'!AJ11</f>
        <v>25.466852571519322</v>
      </c>
      <c r="AR78" s="1073">
        <f>'Contractor Model'!AK11</f>
        <v>25.622098504795307</v>
      </c>
      <c r="AS78" s="1072">
        <f>'Contractor Model'!AL11</f>
        <v>25.751643834835551</v>
      </c>
      <c r="AT78" s="1072">
        <f>'Contractor Model'!AM11</f>
        <v>25.855062436476256</v>
      </c>
      <c r="AU78" s="1072">
        <f>'Contractor Model'!AN11</f>
        <v>25.932007102287209</v>
      </c>
      <c r="AV78" s="1072">
        <f>'Contractor Model'!AO11</f>
        <v>25.982211468037242</v>
      </c>
      <c r="AW78" s="1072">
        <f>'Contractor Model'!AP11</f>
        <v>26.005491529512604</v>
      </c>
      <c r="AX78" s="1072">
        <f>'Contractor Model'!AQ11</f>
        <v>26.001746738732354</v>
      </c>
      <c r="AY78" s="1072">
        <f>'Contractor Model'!AR11</f>
        <v>25.970960670593698</v>
      </c>
      <c r="AZ78" s="1072">
        <f>'Contractor Model'!AS11</f>
        <v>25.913201254062297</v>
      </c>
      <c r="BA78" s="1072">
        <f>'Contractor Model'!AT11</f>
        <v>25.828620565169039</v>
      </c>
      <c r="BB78" s="1072">
        <f>'Contractor Model'!AU11</f>
        <v>25.717454182256553</v>
      </c>
      <c r="BC78" s="1072">
        <f>'Contractor Model'!AV11</f>
        <v>25.580020107106574</v>
      </c>
      <c r="BD78" s="1073">
        <f>'Contractor Model'!AW11</f>
        <v>25.416717258742807</v>
      </c>
      <c r="BE78" s="1072">
        <f>'Contractor Model'!AX11</f>
        <v>25.228023549813905</v>
      </c>
      <c r="BF78" s="1072">
        <f>'Contractor Model'!AY11</f>
        <v>25.014493558488283</v>
      </c>
      <c r="BG78" s="1072">
        <f>'Contractor Model'!AZ11</f>
        <v>24.776755811708412</v>
      </c>
      <c r="BH78" s="1072">
        <f>'Contractor Model'!BA11</f>
        <v>24.51550969842976</v>
      </c>
      <c r="BI78" s="1072">
        <f>'Contractor Model'!BB11</f>
        <v>24.231522034083152</v>
      </c>
      <c r="BJ78" s="1072">
        <f>'Contractor Model'!BC11</f>
        <v>23.92562329992489</v>
      </c>
      <c r="BK78" s="1072">
        <f>'Contractor Model'!BD11</f>
        <v>23.59870358315472</v>
      </c>
      <c r="BL78" s="1072">
        <f>'Contractor Model'!BE11</f>
        <v>23.251708245668016</v>
      </c>
      <c r="BM78" s="1072">
        <f>'Contractor Model'!BF11</f>
        <v>22.885633351048217</v>
      </c>
      <c r="BN78" s="1072">
        <f>'Contractor Model'!BG11</f>
        <v>22.501520880884225</v>
      </c>
      <c r="BO78" s="1072">
        <f>'Contractor Model'!BH11</f>
        <v>22.100453772703343</v>
      </c>
      <c r="BP78" s="1073">
        <f>'Contractor Model'!BI11</f>
        <v>21.683550812735071</v>
      </c>
    </row>
    <row r="79" spans="1:68" s="320" customFormat="1">
      <c r="A79" s="306"/>
      <c r="C79" s="308"/>
      <c r="D79" s="300"/>
      <c r="E79" s="309" t="s">
        <v>235</v>
      </c>
      <c r="G79" s="321"/>
      <c r="H79" s="321"/>
      <c r="I79" s="1056">
        <f>I80/I78</f>
        <v>48.280000000000008</v>
      </c>
      <c r="J79" s="1057">
        <f t="shared" ref="J79:AO79" si="215">SUM(J72:J77)/J78</f>
        <v>48.28</v>
      </c>
      <c r="K79" s="1057">
        <f t="shared" si="215"/>
        <v>48.279999999999994</v>
      </c>
      <c r="L79" s="1057">
        <f t="shared" si="215"/>
        <v>48.28</v>
      </c>
      <c r="M79" s="1057">
        <f t="shared" si="215"/>
        <v>48.279999999999994</v>
      </c>
      <c r="N79" s="1057">
        <f t="shared" si="215"/>
        <v>48.28</v>
      </c>
      <c r="O79" s="1057">
        <f t="shared" si="215"/>
        <v>48.280000000000008</v>
      </c>
      <c r="P79" s="1057">
        <f t="shared" si="215"/>
        <v>48.28</v>
      </c>
      <c r="Q79" s="1057">
        <f t="shared" si="215"/>
        <v>48.28</v>
      </c>
      <c r="R79" s="1057">
        <f t="shared" si="215"/>
        <v>48.280000000000008</v>
      </c>
      <c r="S79" s="1057">
        <f t="shared" si="215"/>
        <v>48.28</v>
      </c>
      <c r="T79" s="1058">
        <f t="shared" si="215"/>
        <v>48.28</v>
      </c>
      <c r="U79" s="1057">
        <f t="shared" si="215"/>
        <v>48.28</v>
      </c>
      <c r="V79" s="1057">
        <f t="shared" si="215"/>
        <v>48.279999999999994</v>
      </c>
      <c r="W79" s="1057">
        <f t="shared" si="215"/>
        <v>48.28</v>
      </c>
      <c r="X79" s="1057">
        <f t="shared" si="215"/>
        <v>48.280000000000008</v>
      </c>
      <c r="Y79" s="1057">
        <f t="shared" si="215"/>
        <v>48.280000000000008</v>
      </c>
      <c r="Z79" s="1057">
        <f t="shared" si="215"/>
        <v>48.28</v>
      </c>
      <c r="AA79" s="1057">
        <f t="shared" si="215"/>
        <v>48.280000000000008</v>
      </c>
      <c r="AB79" s="1057">
        <f t="shared" si="215"/>
        <v>48.280000000000008</v>
      </c>
      <c r="AC79" s="1057">
        <f t="shared" si="215"/>
        <v>48.279999999999994</v>
      </c>
      <c r="AD79" s="1057">
        <f t="shared" si="215"/>
        <v>48.280000000000008</v>
      </c>
      <c r="AE79" s="1057">
        <f t="shared" si="215"/>
        <v>48.280000000000008</v>
      </c>
      <c r="AF79" s="1058">
        <f t="shared" si="215"/>
        <v>48.280000000000008</v>
      </c>
      <c r="AG79" s="1057">
        <f t="shared" si="215"/>
        <v>48.28</v>
      </c>
      <c r="AH79" s="1057">
        <f t="shared" si="215"/>
        <v>48.28</v>
      </c>
      <c r="AI79" s="1057">
        <f t="shared" si="215"/>
        <v>48.28</v>
      </c>
      <c r="AJ79" s="1057">
        <f t="shared" si="215"/>
        <v>48.279999999999994</v>
      </c>
      <c r="AK79" s="1057">
        <f t="shared" si="215"/>
        <v>48.28</v>
      </c>
      <c r="AL79" s="1057">
        <f t="shared" si="215"/>
        <v>48.28</v>
      </c>
      <c r="AM79" s="1057">
        <f t="shared" si="215"/>
        <v>48.28</v>
      </c>
      <c r="AN79" s="1057">
        <f t="shared" si="215"/>
        <v>48.28</v>
      </c>
      <c r="AO79" s="1057">
        <f t="shared" si="215"/>
        <v>48.280000000000008</v>
      </c>
      <c r="AP79" s="1057">
        <f t="shared" ref="AP79:BP79" si="216">SUM(AP72:AP77)/AP78</f>
        <v>48.279999999999994</v>
      </c>
      <c r="AQ79" s="1057">
        <f t="shared" si="216"/>
        <v>48.28</v>
      </c>
      <c r="AR79" s="1058">
        <f t="shared" si="216"/>
        <v>48.28</v>
      </c>
      <c r="AS79" s="1057">
        <f t="shared" si="216"/>
        <v>48.279999999999994</v>
      </c>
      <c r="AT79" s="1057">
        <f t="shared" si="216"/>
        <v>48.28</v>
      </c>
      <c r="AU79" s="1057">
        <f t="shared" si="216"/>
        <v>48.280000000000008</v>
      </c>
      <c r="AV79" s="1057">
        <f t="shared" si="216"/>
        <v>48.280000000000008</v>
      </c>
      <c r="AW79" s="1057">
        <f t="shared" si="216"/>
        <v>48.280000000000008</v>
      </c>
      <c r="AX79" s="1057">
        <f t="shared" si="216"/>
        <v>48.280000000000015</v>
      </c>
      <c r="AY79" s="1057">
        <f t="shared" si="216"/>
        <v>48.279999999999994</v>
      </c>
      <c r="AZ79" s="1057">
        <f t="shared" si="216"/>
        <v>48.279999999999994</v>
      </c>
      <c r="BA79" s="1057">
        <f t="shared" si="216"/>
        <v>48.280000000000008</v>
      </c>
      <c r="BB79" s="1057">
        <f t="shared" si="216"/>
        <v>48.28</v>
      </c>
      <c r="BC79" s="1057">
        <f t="shared" si="216"/>
        <v>48.28</v>
      </c>
      <c r="BD79" s="1058">
        <f t="shared" si="216"/>
        <v>48.279999999999994</v>
      </c>
      <c r="BE79" s="1059">
        <f t="shared" si="216"/>
        <v>48.28</v>
      </c>
      <c r="BF79" s="1059">
        <f t="shared" si="216"/>
        <v>48.280000000000008</v>
      </c>
      <c r="BG79" s="1059">
        <f t="shared" si="216"/>
        <v>48.28</v>
      </c>
      <c r="BH79" s="1059">
        <f t="shared" si="216"/>
        <v>48.28</v>
      </c>
      <c r="BI79" s="1059">
        <f t="shared" si="216"/>
        <v>48.28</v>
      </c>
      <c r="BJ79" s="1059">
        <f t="shared" si="216"/>
        <v>48.28</v>
      </c>
      <c r="BK79" s="1059">
        <f t="shared" si="216"/>
        <v>48.28</v>
      </c>
      <c r="BL79" s="1059">
        <f t="shared" si="216"/>
        <v>48.28</v>
      </c>
      <c r="BM79" s="1059">
        <f t="shared" si="216"/>
        <v>48.28</v>
      </c>
      <c r="BN79" s="1059">
        <f t="shared" si="216"/>
        <v>48.28</v>
      </c>
      <c r="BO79" s="1059">
        <f t="shared" si="216"/>
        <v>48.28</v>
      </c>
      <c r="BP79" s="1059">
        <f t="shared" si="216"/>
        <v>48.279999999999994</v>
      </c>
    </row>
    <row r="80" spans="1:68" s="320" customFormat="1">
      <c r="A80" s="301"/>
      <c r="B80" s="302"/>
      <c r="C80" s="303"/>
      <c r="D80" s="318"/>
      <c r="E80" s="996" t="s">
        <v>237</v>
      </c>
      <c r="G80" s="321" t="e">
        <f>SUM(#REF!)</f>
        <v>#REF!</v>
      </c>
      <c r="H80" s="321" t="e">
        <f>SUM(#REF!)</f>
        <v>#REF!</v>
      </c>
      <c r="I80" s="1059">
        <f>SUM(I72:I77)</f>
        <v>579.36000000000013</v>
      </c>
      <c r="J80" s="1059">
        <f t="shared" ref="J80:BP80" si="217">SUM(J72:J77)</f>
        <v>599.52172800000005</v>
      </c>
      <c r="K80" s="1059">
        <f t="shared" si="217"/>
        <v>620.01098257612796</v>
      </c>
      <c r="L80" s="1059">
        <f t="shared" si="217"/>
        <v>640.81359106352238</v>
      </c>
      <c r="M80" s="1059">
        <f t="shared" si="217"/>
        <v>661.91430099006197</v>
      </c>
      <c r="N80" s="1059">
        <f t="shared" si="217"/>
        <v>683.29678056924502</v>
      </c>
      <c r="O80" s="1059">
        <f t="shared" si="217"/>
        <v>704.94362257767887</v>
      </c>
      <c r="P80" s="1059">
        <f t="shared" si="217"/>
        <v>726.83635172045115</v>
      </c>
      <c r="Q80" s="1059">
        <f t="shared" si="217"/>
        <v>748.95543557600797</v>
      </c>
      <c r="R80" s="1059">
        <f t="shared" si="217"/>
        <v>771.28029919965775</v>
      </c>
      <c r="S80" s="1059">
        <f t="shared" si="217"/>
        <v>793.78934345150049</v>
      </c>
      <c r="T80" s="1060">
        <f t="shared" si="217"/>
        <v>816.45996710047541</v>
      </c>
      <c r="U80" s="1059">
        <f t="shared" si="217"/>
        <v>839.0987690682374</v>
      </c>
      <c r="V80" s="1059">
        <f t="shared" si="217"/>
        <v>861.66716956109644</v>
      </c>
      <c r="W80" s="1059">
        <f t="shared" si="217"/>
        <v>884.12566266853719</v>
      </c>
      <c r="X80" s="1059">
        <f t="shared" si="217"/>
        <v>906.43392138898992</v>
      </c>
      <c r="Y80" s="1059">
        <f t="shared" si="217"/>
        <v>928.55090907088118</v>
      </c>
      <c r="Z80" s="1059">
        <f t="shared" si="217"/>
        <v>950.43499689586372</v>
      </c>
      <c r="AA80" s="1059">
        <f t="shared" si="217"/>
        <v>972.04408698528812</v>
      </c>
      <c r="AB80" s="1059">
        <f t="shared" si="217"/>
        <v>993.33574066661402</v>
      </c>
      <c r="AC80" s="1059">
        <f t="shared" si="217"/>
        <v>1014.2673113939406</v>
      </c>
      <c r="AD80" s="1059">
        <f t="shared" si="217"/>
        <v>1034.7960817765543</v>
      </c>
      <c r="AE80" s="1059">
        <f t="shared" si="217"/>
        <v>1054.8794041316737</v>
      </c>
      <c r="AF80" s="1060">
        <f t="shared" si="217"/>
        <v>1074.4748439428238</v>
      </c>
      <c r="AG80" s="1059">
        <f t="shared" si="217"/>
        <v>1093.3168348062052</v>
      </c>
      <c r="AH80" s="1059">
        <f t="shared" si="217"/>
        <v>1111.3521893131683</v>
      </c>
      <c r="AI80" s="1059">
        <f t="shared" si="217"/>
        <v>1128.5292487511929</v>
      </c>
      <c r="AJ80" s="1059">
        <f t="shared" si="217"/>
        <v>1144.7981264011901</v>
      </c>
      <c r="AK80" s="1059">
        <f t="shared" si="217"/>
        <v>1160.1109461399326</v>
      </c>
      <c r="AL80" s="1059">
        <f t="shared" si="217"/>
        <v>1174.4220747715151</v>
      </c>
      <c r="AM80" s="1059">
        <f t="shared" si="217"/>
        <v>1187.6883465281339</v>
      </c>
      <c r="AN80" s="1059">
        <f t="shared" si="217"/>
        <v>1199.8692782101266</v>
      </c>
      <c r="AO80" s="1059">
        <f t="shared" si="217"/>
        <v>1210.9272734781114</v>
      </c>
      <c r="AP80" s="1059">
        <f t="shared" si="217"/>
        <v>1220.8278148660684</v>
      </c>
      <c r="AQ80" s="1059">
        <f t="shared" si="217"/>
        <v>1229.5396421529529</v>
      </c>
      <c r="AR80" s="1060">
        <f t="shared" si="217"/>
        <v>1237.0349158115175</v>
      </c>
      <c r="AS80" s="1059">
        <f t="shared" si="217"/>
        <v>1243.2893643458603</v>
      </c>
      <c r="AT80" s="1059">
        <f t="shared" si="217"/>
        <v>1248.2824144330737</v>
      </c>
      <c r="AU80" s="1059">
        <f t="shared" si="217"/>
        <v>1251.9973028984266</v>
      </c>
      <c r="AV80" s="1059">
        <f t="shared" si="217"/>
        <v>1254.4211696768382</v>
      </c>
      <c r="AW80" s="1059">
        <f t="shared" si="217"/>
        <v>1255.5451310448686</v>
      </c>
      <c r="AX80" s="1059">
        <f t="shared" si="217"/>
        <v>1255.3643325459984</v>
      </c>
      <c r="AY80" s="1059">
        <f t="shared" si="217"/>
        <v>1253.8779811762636</v>
      </c>
      <c r="AZ80" s="1059">
        <f t="shared" si="217"/>
        <v>1251.0893565461276</v>
      </c>
      <c r="BA80" s="1059">
        <f t="shared" si="217"/>
        <v>1247.0058008863614</v>
      </c>
      <c r="BB80" s="1059">
        <f t="shared" si="217"/>
        <v>1241.6386879193465</v>
      </c>
      <c r="BC80" s="1059">
        <f t="shared" si="217"/>
        <v>1235.0033707711054</v>
      </c>
      <c r="BD80" s="1060">
        <f t="shared" si="217"/>
        <v>1227.1191092521026</v>
      </c>
      <c r="BE80" s="1059">
        <f t="shared" si="217"/>
        <v>1218.0089769850154</v>
      </c>
      <c r="BF80" s="1059">
        <f t="shared" si="217"/>
        <v>1207.6997490038145</v>
      </c>
      <c r="BG80" s="1059">
        <f t="shared" si="217"/>
        <v>1196.2217705892822</v>
      </c>
      <c r="BH80" s="1059">
        <f t="shared" si="217"/>
        <v>1183.6088082401889</v>
      </c>
      <c r="BI80" s="1059">
        <f t="shared" si="217"/>
        <v>1169.8978838055345</v>
      </c>
      <c r="BJ80" s="1059">
        <f t="shared" si="217"/>
        <v>1155.1290929203738</v>
      </c>
      <c r="BK80" s="1059">
        <f t="shared" si="217"/>
        <v>1139.3454089947099</v>
      </c>
      <c r="BL80" s="1059">
        <f t="shared" si="217"/>
        <v>1122.5924741008519</v>
      </c>
      <c r="BM80" s="1059">
        <f t="shared" si="217"/>
        <v>1104.9183781886079</v>
      </c>
      <c r="BN80" s="1059">
        <f t="shared" si="217"/>
        <v>1086.3734281290904</v>
      </c>
      <c r="BO80" s="1059">
        <f t="shared" si="217"/>
        <v>1067.0099081461174</v>
      </c>
      <c r="BP80" s="1060">
        <f t="shared" si="217"/>
        <v>1046.8818332388491</v>
      </c>
    </row>
    <row r="81" spans="1:68" s="160" customFormat="1">
      <c r="A81" s="306"/>
      <c r="B81" s="310"/>
      <c r="C81" s="311"/>
      <c r="D81" s="312"/>
      <c r="E81" s="313"/>
      <c r="G81" s="161"/>
      <c r="H81" s="161"/>
      <c r="I81" s="162"/>
      <c r="J81" s="984"/>
      <c r="K81" s="984"/>
      <c r="L81" s="984"/>
      <c r="M81" s="984"/>
      <c r="N81" s="984"/>
      <c r="O81" s="984"/>
      <c r="P81" s="984"/>
      <c r="Q81" s="984"/>
      <c r="R81" s="984"/>
      <c r="S81" s="984"/>
      <c r="T81" s="985"/>
      <c r="U81" s="162"/>
      <c r="V81" s="984"/>
      <c r="W81" s="984"/>
      <c r="X81" s="984"/>
      <c r="Y81" s="984"/>
      <c r="Z81" s="984"/>
      <c r="AA81" s="984"/>
      <c r="AB81" s="984"/>
      <c r="AC81" s="984"/>
      <c r="AD81" s="984"/>
      <c r="AE81" s="984"/>
      <c r="AF81" s="985"/>
      <c r="AG81" s="162"/>
      <c r="AH81" s="984"/>
      <c r="AI81" s="984"/>
      <c r="AJ81" s="984"/>
      <c r="AK81" s="984"/>
      <c r="AL81" s="984"/>
      <c r="AM81" s="984"/>
      <c r="AN81" s="984"/>
      <c r="AO81" s="984"/>
      <c r="AP81" s="984"/>
      <c r="AQ81" s="984"/>
      <c r="AR81" s="985"/>
      <c r="AS81" s="162"/>
      <c r="AT81" s="984"/>
      <c r="AU81" s="984"/>
      <c r="AV81" s="984"/>
      <c r="AW81" s="984"/>
      <c r="AX81" s="984"/>
      <c r="AY81" s="984"/>
      <c r="AZ81" s="984"/>
      <c r="BA81" s="984"/>
      <c r="BB81" s="984"/>
      <c r="BC81" s="984"/>
      <c r="BD81" s="985"/>
      <c r="BE81" s="162"/>
      <c r="BF81" s="984"/>
      <c r="BG81" s="984"/>
      <c r="BH81" s="984"/>
      <c r="BI81" s="984"/>
      <c r="BJ81" s="984"/>
      <c r="BK81" s="984"/>
      <c r="BL81" s="984"/>
      <c r="BM81" s="984"/>
      <c r="BN81" s="984"/>
      <c r="BO81" s="984"/>
      <c r="BP81" s="985"/>
    </row>
    <row r="82" spans="1:68" s="304" customFormat="1" hidden="1">
      <c r="C82" s="304" t="s">
        <v>92</v>
      </c>
      <c r="F82" s="304" t="s">
        <v>92</v>
      </c>
      <c r="G82" s="304" t="e">
        <f>HR!#REF!</f>
        <v>#REF!</v>
      </c>
      <c r="I82" s="304">
        <f>COUNT(HR!D35:D43)+I9+I27+I51</f>
        <v>16</v>
      </c>
      <c r="J82" s="304">
        <f>COUNT(HR!E35:E43)+J9+J27+J51</f>
        <v>16</v>
      </c>
      <c r="K82" s="304">
        <f>COUNT(HR!F35:F43)+K9+K27+K51</f>
        <v>16</v>
      </c>
      <c r="L82" s="304">
        <f>COUNT(HR!G35:G43)+L9+L27+L51</f>
        <v>16</v>
      </c>
      <c r="M82" s="304">
        <f>COUNT(HR!H35:H43)+M9+M27+M51</f>
        <v>16</v>
      </c>
      <c r="N82" s="304">
        <f>COUNT(HR!I35:I43)+N9+N27+N51</f>
        <v>17</v>
      </c>
      <c r="O82" s="304">
        <f>COUNT(HR!J35:J43)+O9+O27+O51</f>
        <v>17</v>
      </c>
      <c r="P82" s="304">
        <f>COUNT(HR!K35:K43)+P9+P27+P51</f>
        <v>17</v>
      </c>
      <c r="Q82" s="304">
        <f>COUNT(HR!L35:L43)+Q9+Q27+Q51</f>
        <v>17</v>
      </c>
      <c r="R82" s="304">
        <f>COUNT(HR!M35:M43)+R9+R27+R51</f>
        <v>17</v>
      </c>
      <c r="S82" s="304">
        <f>COUNT(HR!N35:N43)+S9+S27+S51</f>
        <v>17</v>
      </c>
      <c r="T82" s="1061">
        <f>COUNT(HR!O35:O43)+T9+T27+T51</f>
        <v>17</v>
      </c>
      <c r="U82" s="304">
        <f>COUNT(HR!BN35:BN43)+U9+U27+U51</f>
        <v>15</v>
      </c>
      <c r="V82" s="304">
        <f>COUNT(HR!BO35:BO43)+V9+V27+V51</f>
        <v>11</v>
      </c>
      <c r="W82" s="304">
        <f>COUNT(HR!BP35:BP43)+W9+W27+W51</f>
        <v>11</v>
      </c>
      <c r="X82" s="304">
        <f>COUNT(HR!BQ35:BQ43)+X9+X27+X51</f>
        <v>11</v>
      </c>
      <c r="Y82" s="304">
        <f>COUNT(HR!BR35:BR43)+Y9+Y27+Y51</f>
        <v>11.04248477375069</v>
      </c>
      <c r="Z82" s="304">
        <f>COUNT(HR!BS35:BS43)+Z9+Z27+Z51</f>
        <v>11.096469942749994</v>
      </c>
      <c r="AA82" s="304">
        <f>COUNT(HR!BT35:BT43)+AA9+AA27+AA51</f>
        <v>11.153642184577032</v>
      </c>
      <c r="AB82" s="304">
        <f>COUNT(HR!BU35:BU43)+AB9+AB27+AB51</f>
        <v>11.214176317199501</v>
      </c>
      <c r="AC82" s="304">
        <f>COUNT(HR!BV35:BV43)+AC9+AC27+AC51</f>
        <v>11.278252233657566</v>
      </c>
      <c r="AD82" s="304">
        <f>COUNT(HR!BW35:BW43)+AD9+AD27+AD51</f>
        <v>11.346054687493314</v>
      </c>
      <c r="AE82" s="304">
        <f>COUNT(HR!BX35:BX43)+AE9+AE27+AE51</f>
        <v>11.417773111257159</v>
      </c>
      <c r="AF82" s="1061">
        <f>COUNT(HR!BY35:BY43)+AF9+AF27+AF51</f>
        <v>11.493601480196007</v>
      </c>
      <c r="AG82" s="304">
        <f>COUNT(HR!BZ35:BZ43)+AG9+AG27+AG51</f>
        <v>11.259065293004431</v>
      </c>
      <c r="AH82" s="304">
        <f>COUNT(HR!P35:P43)+AH9+AH27+AH51</f>
        <v>17.325476996192389</v>
      </c>
      <c r="AI82" s="304">
        <f>COUNT(HR!Q35:Q43)+AI9+AI27+AI51</f>
        <v>17.395563357519453</v>
      </c>
      <c r="AJ82" s="304">
        <f>COUNT(HR!R35:R43)+AJ9+AJ27+AJ51</f>
        <v>18.46949278775153</v>
      </c>
      <c r="AK82" s="304">
        <f>COUNT(HR!S35:S43)+AK9+AK27+AK51</f>
        <v>18.547437706616371</v>
      </c>
      <c r="AL82" s="304">
        <f>COUNT(HR!T35:T43)+AL9+AL27+AL51</f>
        <v>18.629574590601344</v>
      </c>
      <c r="AM82" s="304">
        <f>COUNT(HR!U35:U43)+AM9+AM27+AM51</f>
        <v>18.716084054449926</v>
      </c>
      <c r="AN82" s="304">
        <f>COUNT(HR!V35:V43)+AN9+AN27+AN51</f>
        <v>18.807150967557114</v>
      </c>
      <c r="AO82" s="304">
        <f>COUNT(HR!W35:W43)+AO9+AO27+AO51</f>
        <v>18.902964605799998</v>
      </c>
      <c r="AP82" s="304">
        <f>COUNT(HR!X35:X43)+AP9+AP27+AP51</f>
        <v>20.003718838752004</v>
      </c>
      <c r="AQ82" s="304">
        <f>COUNT(HR!Y35:Y43)+AQ9+AQ27+AQ51</f>
        <v>20.109612351736924</v>
      </c>
      <c r="AR82" s="1061">
        <f>COUNT(HR!Z35:Z43)+AR9+AR27+AR51</f>
        <v>20.220848901793214</v>
      </c>
      <c r="AS82" s="304">
        <f>COUNT(HR!AA35:AA43)+AS9+AS27+AS51</f>
        <v>21.337637606344316</v>
      </c>
      <c r="AT82" s="304">
        <f>COUNT(HR!AB35:AB43)+AT9+AT27+AT51</f>
        <v>21.45414606581333</v>
      </c>
      <c r="AU82" s="304">
        <f>COUNT(HR!AC35:AC43)+AU9+AU27+AU51</f>
        <v>21.576127198966095</v>
      </c>
      <c r="AV82" s="304">
        <f>COUNT(HR!AD35:AD43)+AV9+AV27+AV51</f>
        <v>21.703790003532003</v>
      </c>
      <c r="AW82" s="304">
        <f>COUNT(HR!AE35:AE43)+AW9+AW27+AW51</f>
        <v>22.837349746690137</v>
      </c>
      <c r="AX82" s="304">
        <f>COUNT(HR!AF35:AF43)+AX9+AX27+AX51</f>
        <v>22.977028256550188</v>
      </c>
      <c r="AY82" s="304">
        <f>COUNT(HR!AG35:AG43)+AY9+AY27+AY51</f>
        <v>23.123054237206276</v>
      </c>
      <c r="AZ82" s="304">
        <f>COUNT(HR!AH35:AH43)+AZ9+AZ27+AZ51</f>
        <v>24.275663608035934</v>
      </c>
      <c r="BA82" s="304">
        <f>COUNT(HR!AI35:AI43)+BA9+BA27+BA51</f>
        <v>24.435099867858888</v>
      </c>
      <c r="BB82" s="304">
        <f>COUNT(HR!AJ35:AJ43)+BB9+BB27+BB51</f>
        <v>25.601614484513831</v>
      </c>
      <c r="BC82" s="304">
        <f>COUNT(HR!AK35:AK43)+BC9+BC27+BC51</f>
        <v>25.775467310356472</v>
      </c>
      <c r="BD82" s="1061">
        <f>COUNT(HR!AL35:AL43)+BD9+BD27+BD51</f>
        <v>26.956927024129797</v>
      </c>
      <c r="BE82" s="304">
        <f>COUNT(HR!AM35:AM43)+BE9+BE27+BE51</f>
        <v>27.146271599608376</v>
      </c>
      <c r="BF82" s="304">
        <f>COUNT(HR!AN35:AN43)+BF9+BF27+BF51</f>
        <v>28.346790200547009</v>
      </c>
      <c r="BG82" s="304">
        <f>COUNT(HR!AO35:AO43)+BG9+BG27+BG51</f>
        <v>28.556189164203456</v>
      </c>
      <c r="BH82" s="304">
        <f>COUNT(HR!AP35:AP43)+BH9+BH27+BH51</f>
        <v>29.774808036211319</v>
      </c>
      <c r="BI82" s="304">
        <f>COUNT(HR!AQ35:AQ43)+BI9+BI27+BI51</f>
        <v>30.002999109132219</v>
      </c>
      <c r="BJ82" s="304">
        <f>COUNT(HR!AR35:AR43)+BJ9+BJ27+BJ51</f>
        <v>31.241128066702764</v>
      </c>
      <c r="BK82" s="304">
        <f>COUNT(HR!AS35:AS43)+BK9+BK27+BK51</f>
        <v>32.489574660510705</v>
      </c>
      <c r="BL82" s="304">
        <f>COUNT(HR!AT35:AT43)+BL9+BL27+BL51</f>
        <v>32.748733419622198</v>
      </c>
      <c r="BM82" s="304">
        <f>COUNT(HR!AU35:AU43)+BM9+BM27+BM51</f>
        <v>34.019014393666168</v>
      </c>
      <c r="BN82" s="304">
        <f>COUNT(HR!AV35:AV43)+BN9+BN27+BN51</f>
        <v>35.300843929872137</v>
      </c>
      <c r="BO82" s="304">
        <f>COUNT(HR!AW35:AW43)+BO9+BO27+BO51</f>
        <v>35.594665484556216</v>
      </c>
      <c r="BP82" s="1061">
        <f>COUNT(HR!AX35:AX43)+BP9+BP27+BP51</f>
        <v>36.900940469555131</v>
      </c>
    </row>
    <row r="83" spans="1:68" s="160" customFormat="1" hidden="1">
      <c r="A83" s="306"/>
      <c r="B83" s="310"/>
      <c r="C83" s="311" t="s">
        <v>93</v>
      </c>
      <c r="D83" s="312"/>
      <c r="E83" s="313"/>
      <c r="G83" s="161">
        <v>14</v>
      </c>
      <c r="H83" s="161"/>
      <c r="I83" s="984">
        <f>SUM(G83:H83)</f>
        <v>14</v>
      </c>
      <c r="J83" s="984">
        <f t="shared" ref="J83:T83" si="218">I83</f>
        <v>14</v>
      </c>
      <c r="K83" s="984">
        <f t="shared" si="218"/>
        <v>14</v>
      </c>
      <c r="L83" s="984">
        <f>K83+1</f>
        <v>15</v>
      </c>
      <c r="M83" s="984">
        <f t="shared" si="218"/>
        <v>15</v>
      </c>
      <c r="N83" s="984">
        <f t="shared" si="218"/>
        <v>15</v>
      </c>
      <c r="O83" s="984">
        <f>N83+1</f>
        <v>16</v>
      </c>
      <c r="P83" s="984">
        <f t="shared" si="218"/>
        <v>16</v>
      </c>
      <c r="Q83" s="984">
        <f t="shared" si="218"/>
        <v>16</v>
      </c>
      <c r="R83" s="984">
        <f>Q83+1</f>
        <v>17</v>
      </c>
      <c r="S83" s="984">
        <f t="shared" si="218"/>
        <v>17</v>
      </c>
      <c r="T83" s="985">
        <f t="shared" si="218"/>
        <v>17</v>
      </c>
      <c r="U83" s="984">
        <f>SUM(S83:T83)</f>
        <v>34</v>
      </c>
      <c r="V83" s="984">
        <f t="shared" ref="V83" si="219">U83</f>
        <v>34</v>
      </c>
      <c r="W83" s="984">
        <f t="shared" ref="W83" si="220">V83</f>
        <v>34</v>
      </c>
      <c r="X83" s="984">
        <f>W83+1</f>
        <v>35</v>
      </c>
      <c r="Y83" s="984">
        <f t="shared" ref="Y83" si="221">X83</f>
        <v>35</v>
      </c>
      <c r="Z83" s="984">
        <f t="shared" ref="Z83" si="222">Y83</f>
        <v>35</v>
      </c>
      <c r="AA83" s="984">
        <f>Z83+1</f>
        <v>36</v>
      </c>
      <c r="AB83" s="984">
        <f t="shared" ref="AB83" si="223">AA83</f>
        <v>36</v>
      </c>
      <c r="AC83" s="984">
        <f t="shared" ref="AC83" si="224">AB83</f>
        <v>36</v>
      </c>
      <c r="AD83" s="984">
        <f>AC83+1</f>
        <v>37</v>
      </c>
      <c r="AE83" s="984">
        <f t="shared" ref="AE83" si="225">AD83</f>
        <v>37</v>
      </c>
      <c r="AF83" s="985">
        <f t="shared" ref="AF83" si="226">AE83</f>
        <v>37</v>
      </c>
      <c r="AG83" s="984">
        <f>SUM(AE83:AF83)</f>
        <v>74</v>
      </c>
      <c r="AH83" s="984">
        <f t="shared" ref="AH83" si="227">AG83</f>
        <v>74</v>
      </c>
      <c r="AI83" s="984">
        <f t="shared" ref="AI83" si="228">AH83</f>
        <v>74</v>
      </c>
      <c r="AJ83" s="984">
        <f>AI83+1</f>
        <v>75</v>
      </c>
      <c r="AK83" s="984">
        <f t="shared" ref="AK83" si="229">AJ83</f>
        <v>75</v>
      </c>
      <c r="AL83" s="984">
        <f t="shared" ref="AL83" si="230">AK83</f>
        <v>75</v>
      </c>
      <c r="AM83" s="984">
        <f>AL83+1</f>
        <v>76</v>
      </c>
      <c r="AN83" s="984">
        <f t="shared" ref="AN83" si="231">AM83</f>
        <v>76</v>
      </c>
      <c r="AO83" s="984">
        <f t="shared" ref="AO83" si="232">AN83</f>
        <v>76</v>
      </c>
      <c r="AP83" s="984">
        <f>AO83+1</f>
        <v>77</v>
      </c>
      <c r="AQ83" s="984">
        <f t="shared" ref="AQ83" si="233">AP83</f>
        <v>77</v>
      </c>
      <c r="AR83" s="985">
        <f t="shared" ref="AR83" si="234">AQ83</f>
        <v>77</v>
      </c>
      <c r="AS83" s="984">
        <f>SUM(AQ83:AR83)</f>
        <v>154</v>
      </c>
      <c r="AT83" s="984">
        <f t="shared" ref="AT83" si="235">AS83</f>
        <v>154</v>
      </c>
      <c r="AU83" s="984">
        <f t="shared" ref="AU83" si="236">AT83</f>
        <v>154</v>
      </c>
      <c r="AV83" s="984">
        <f>AU83+1</f>
        <v>155</v>
      </c>
      <c r="AW83" s="984">
        <f t="shared" ref="AW83" si="237">AV83</f>
        <v>155</v>
      </c>
      <c r="AX83" s="984">
        <f t="shared" ref="AX83" si="238">AW83</f>
        <v>155</v>
      </c>
      <c r="AY83" s="984">
        <f>AX83+1</f>
        <v>156</v>
      </c>
      <c r="AZ83" s="984">
        <f t="shared" ref="AZ83" si="239">AY83</f>
        <v>156</v>
      </c>
      <c r="BA83" s="984">
        <f t="shared" ref="BA83" si="240">AZ83</f>
        <v>156</v>
      </c>
      <c r="BB83" s="984">
        <f>BA83+1</f>
        <v>157</v>
      </c>
      <c r="BC83" s="984">
        <f t="shared" ref="BC83" si="241">BB83</f>
        <v>157</v>
      </c>
      <c r="BD83" s="985">
        <f t="shared" ref="BD83" si="242">BC83</f>
        <v>157</v>
      </c>
      <c r="BE83" s="984">
        <f>SUM(BC83:BD83)</f>
        <v>314</v>
      </c>
      <c r="BF83" s="984">
        <f t="shared" ref="BF83" si="243">BE83</f>
        <v>314</v>
      </c>
      <c r="BG83" s="984">
        <f t="shared" ref="BG83" si="244">BF83</f>
        <v>314</v>
      </c>
      <c r="BH83" s="984">
        <f>BG83+1</f>
        <v>315</v>
      </c>
      <c r="BI83" s="984">
        <f t="shared" ref="BI83" si="245">BH83</f>
        <v>315</v>
      </c>
      <c r="BJ83" s="984">
        <f t="shared" ref="BJ83" si="246">BI83</f>
        <v>315</v>
      </c>
      <c r="BK83" s="984">
        <f>BJ83+1</f>
        <v>316</v>
      </c>
      <c r="BL83" s="984">
        <f t="shared" ref="BL83" si="247">BK83</f>
        <v>316</v>
      </c>
      <c r="BM83" s="984">
        <f t="shared" ref="BM83" si="248">BL83</f>
        <v>316</v>
      </c>
      <c r="BN83" s="984">
        <f>BM83+1</f>
        <v>317</v>
      </c>
      <c r="BO83" s="984">
        <f t="shared" ref="BO83" si="249">BN83</f>
        <v>317</v>
      </c>
      <c r="BP83" s="985">
        <f t="shared" ref="BP83" si="250">BO83</f>
        <v>317</v>
      </c>
    </row>
    <row r="84" spans="1:68" s="160" customFormat="1" hidden="1">
      <c r="A84" s="306"/>
      <c r="B84" s="310"/>
      <c r="C84" s="311"/>
      <c r="D84" s="312"/>
      <c r="E84" s="313"/>
      <c r="G84" s="161"/>
      <c r="H84" s="161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5"/>
      <c r="U84" s="984"/>
      <c r="V84" s="984"/>
      <c r="W84" s="984"/>
      <c r="X84" s="984"/>
      <c r="Y84" s="984"/>
      <c r="Z84" s="984"/>
      <c r="AA84" s="984"/>
      <c r="AB84" s="984"/>
      <c r="AC84" s="984"/>
      <c r="AD84" s="984"/>
      <c r="AE84" s="984"/>
      <c r="AF84" s="985"/>
      <c r="AG84" s="984"/>
      <c r="AH84" s="984"/>
      <c r="AI84" s="984"/>
      <c r="AJ84" s="984"/>
      <c r="AK84" s="984"/>
      <c r="AL84" s="984"/>
      <c r="AM84" s="984"/>
      <c r="AN84" s="984"/>
      <c r="AO84" s="984"/>
      <c r="AP84" s="984"/>
      <c r="AQ84" s="984"/>
      <c r="AR84" s="985"/>
      <c r="AS84" s="984"/>
      <c r="AT84" s="984"/>
      <c r="AU84" s="984"/>
      <c r="AV84" s="984"/>
      <c r="AW84" s="984"/>
      <c r="AX84" s="984"/>
      <c r="AY84" s="984"/>
      <c r="AZ84" s="984"/>
      <c r="BA84" s="984"/>
      <c r="BB84" s="984"/>
      <c r="BC84" s="984"/>
      <c r="BD84" s="985"/>
      <c r="BE84" s="984"/>
      <c r="BF84" s="984"/>
      <c r="BG84" s="984"/>
      <c r="BH84" s="984"/>
      <c r="BI84" s="984"/>
      <c r="BJ84" s="984"/>
      <c r="BK84" s="984"/>
      <c r="BL84" s="984"/>
      <c r="BM84" s="984"/>
      <c r="BN84" s="984"/>
      <c r="BO84" s="984"/>
      <c r="BP84" s="985"/>
    </row>
    <row r="85" spans="1:68" s="819" customFormat="1">
      <c r="A85" s="1052" t="s">
        <v>388</v>
      </c>
      <c r="B85" s="292"/>
      <c r="C85" s="293"/>
      <c r="D85" s="294"/>
      <c r="E85" s="1055" t="s">
        <v>226</v>
      </c>
      <c r="F85" s="819">
        <f>'Prg. Expenses'!F30</f>
        <v>0</v>
      </c>
      <c r="G85" s="820">
        <f>'Prg. Expenses'!G30</f>
        <v>0</v>
      </c>
      <c r="H85" s="820">
        <f>'Prg. Expenses'!H30</f>
        <v>0</v>
      </c>
      <c r="I85" s="986">
        <f>'Contractor Model'!B24</f>
        <v>8</v>
      </c>
      <c r="J85" s="986">
        <f>'Contractor Model'!C24</f>
        <v>8.3824000000000005</v>
      </c>
      <c r="K85" s="986">
        <f>'Contractor Model'!D24</f>
        <v>8.790016102400001</v>
      </c>
      <c r="L85" s="986">
        <f>'Contractor Model'!E24</f>
        <v>9.2244218586677267</v>
      </c>
      <c r="M85" s="986">
        <f>'Contractor Model'!F24</f>
        <v>9.6872643857899394</v>
      </c>
      <c r="N85" s="986">
        <f>'Contractor Model'!G24</f>
        <v>10.180266404063699</v>
      </c>
      <c r="O85" s="986">
        <f>'Contractor Model'!H24</f>
        <v>10.705228286703797</v>
      </c>
      <c r="P85" s="986">
        <f>'Contractor Model'!I24</f>
        <v>11.264030122404236</v>
      </c>
      <c r="Q85" s="986">
        <f>'Contractor Model'!J24</f>
        <v>11.858633792363815</v>
      </c>
      <c r="R85" s="986">
        <f>'Contractor Model'!K24</f>
        <v>12.491085063681208</v>
      </c>
      <c r="S85" s="986">
        <f>'Contractor Model'!L24</f>
        <v>13.163515701442698</v>
      </c>
      <c r="T85" s="987">
        <f>'Contractor Model'!M24</f>
        <v>13.878145602265221</v>
      </c>
      <c r="U85" s="986">
        <f>'Contractor Model'!N24</f>
        <v>14.640802427106802</v>
      </c>
      <c r="V85" s="986">
        <f>'Contractor Model'!O24</f>
        <v>15.454179973028484</v>
      </c>
      <c r="W85" s="986">
        <f>'Contractor Model'!P24</f>
        <v>16.321067007803048</v>
      </c>
      <c r="X85" s="986">
        <f>'Contractor Model'!Q24</f>
        <v>17.244348126107901</v>
      </c>
      <c r="Y85" s="986">
        <f>'Contractor Model'!R24</f>
        <v>18.227004594103096</v>
      </c>
      <c r="Z85" s="986">
        <f>'Contractor Model'!S24</f>
        <v>19.272115194972702</v>
      </c>
      <c r="AA85" s="986">
        <f>'Contractor Model'!T24</f>
        <v>20.382857089151276</v>
      </c>
      <c r="AB85" s="986">
        <f>'Contractor Model'!U24</f>
        <v>21.56250670407784</v>
      </c>
      <c r="AC85" s="986">
        <f>'Contractor Model'!V24</f>
        <v>22.814440669410335</v>
      </c>
      <c r="AD85" s="986">
        <f>'Contractor Model'!W24</f>
        <v>24.142136814686012</v>
      </c>
      <c r="AE85" s="986">
        <f>'Contractor Model'!X24</f>
        <v>25.549175247421399</v>
      </c>
      <c r="AF85" s="987">
        <f>'Contractor Model'!Y24</f>
        <v>27.039239530601542</v>
      </c>
      <c r="AG85" s="986">
        <f>'Contractor Model'!Z24</f>
        <v>28.620747034243404</v>
      </c>
      <c r="AH85" s="986">
        <f>'Contractor Model'!AA24</f>
        <v>30.297832899152603</v>
      </c>
      <c r="AI85" s="986">
        <f>'Contractor Model'!AB24</f>
        <v>32.074721942842451</v>
      </c>
      <c r="AJ85" s="986">
        <f>'Contractor Model'!AC24</f>
        <v>33.955728473829772</v>
      </c>
      <c r="AK85" s="986">
        <f>'Contractor Model'!AD24</f>
        <v>35.945256397317038</v>
      </c>
      <c r="AL85" s="986">
        <f>'Contractor Model'!AE24</f>
        <v>38.047799652671507</v>
      </c>
      <c r="AM85" s="986">
        <f>'Contractor Model'!AF24</f>
        <v>40.267943023083284</v>
      </c>
      <c r="AN85" s="986">
        <f>'Contractor Model'!AG24</f>
        <v>42.61036335749322</v>
      </c>
      <c r="AO85" s="986">
        <f>'Contractor Model'!AH24</f>
        <v>45.079831244328588</v>
      </c>
      <c r="AP85" s="986">
        <f>'Contractor Model'!AI24</f>
        <v>47.68121317577463</v>
      </c>
      <c r="AQ85" s="986">
        <f>'Contractor Model'!AJ24</f>
        <v>50.419474240248832</v>
      </c>
      <c r="AR85" s="987">
        <f>'Contractor Model'!AK24</f>
        <v>53.299681379443584</v>
      </c>
      <c r="AS85" s="986">
        <f>'Contractor Model'!AL24</f>
        <v>56.327007244772894</v>
      </c>
      <c r="AT85" s="986">
        <f>'Contractor Model'!AM24</f>
        <v>59.506734686316534</v>
      </c>
      <c r="AU85" s="986">
        <f>'Contractor Model'!AN24</f>
        <v>62.844261905417305</v>
      </c>
      <c r="AV85" s="986">
        <f>'Contractor Model'!AO24</f>
        <v>66.345108299975465</v>
      </c>
      <c r="AW85" s="986">
        <f>'Contractor Model'!AP24</f>
        <v>70.014921029220602</v>
      </c>
      <c r="AX85" s="986">
        <f>'Contractor Model'!AQ24</f>
        <v>73.859482322350189</v>
      </c>
      <c r="AY85" s="986">
        <f>'Contractor Model'!AR24</f>
        <v>77.884717552932145</v>
      </c>
      <c r="AZ85" s="986">
        <f>'Contractor Model'!AS24</f>
        <v>82.096704098404587</v>
      </c>
      <c r="BA85" s="986">
        <f>'Contractor Model'!AT24</f>
        <v>86.50168100139652</v>
      </c>
      <c r="BB85" s="986">
        <f>'Contractor Model'!AU24</f>
        <v>91.106059446971614</v>
      </c>
      <c r="BC85" s="986">
        <f>'Contractor Model'!AV24</f>
        <v>95.916434067290723</v>
      </c>
      <c r="BD85" s="987">
        <f>'Contractor Model'!AW24</f>
        <v>100.93959508263039</v>
      </c>
      <c r="BE85" s="986">
        <f>'Contractor Model'!AX24</f>
        <v>106.18254128521424</v>
      </c>
      <c r="BF85" s="986">
        <f>'Contractor Model'!AY24</f>
        <v>111.652493869941</v>
      </c>
      <c r="BG85" s="986">
        <f>'Contractor Model'!AZ24</f>
        <v>117.35691111385803</v>
      </c>
      <c r="BH85" s="986">
        <f>'Contractor Model'!BA24</f>
        <v>123.30350390415934</v>
      </c>
      <c r="BI85" s="986">
        <f>'Contractor Model'!BB24</f>
        <v>129.50025211260953</v>
      </c>
      <c r="BJ85" s="986">
        <f>'Contractor Model'!BC24</f>
        <v>135.95542181263551</v>
      </c>
      <c r="BK85" s="986">
        <f>'Contractor Model'!BD24</f>
        <v>142.6775833339081</v>
      </c>
      <c r="BL85" s="986">
        <f>'Contractor Model'!BE24</f>
        <v>149.67563014807735</v>
      </c>
      <c r="BM85" s="986">
        <f>'Contractor Model'!BF24</f>
        <v>156.95879857844696</v>
      </c>
      <c r="BN85" s="986">
        <f>'Contractor Model'!BG24</f>
        <v>164.53668832579072</v>
      </c>
      <c r="BO85" s="986">
        <f>'Contractor Model'!BH24</f>
        <v>172.4192838022386</v>
      </c>
      <c r="BP85" s="987">
        <f>'Contractor Model'!BI24</f>
        <v>180.61697626520458</v>
      </c>
    </row>
    <row r="86" spans="1:68" s="641" customFormat="1">
      <c r="A86" s="1018"/>
      <c r="B86" s="1019"/>
      <c r="C86" s="1001"/>
      <c r="D86" s="638"/>
      <c r="E86" s="1002"/>
      <c r="F86" s="641">
        <f>'Prg. Expenses'!F39</f>
        <v>0</v>
      </c>
      <c r="G86" s="1003">
        <f>'Prg. Expenses'!G39</f>
        <v>0</v>
      </c>
      <c r="H86" s="1003">
        <f>'Prg. Expenses'!H39</f>
        <v>0</v>
      </c>
      <c r="I86" s="641">
        <f>I85*'Prg. Expenses'!$L$36</f>
        <v>200</v>
      </c>
      <c r="J86" s="641">
        <f>J85*'Prg. Expenses'!$L$36</f>
        <v>209.56</v>
      </c>
      <c r="K86" s="641">
        <f>K85*'Prg. Expenses'!$L$36</f>
        <v>219.75040256000003</v>
      </c>
      <c r="L86" s="641">
        <f>L85*'Prg. Expenses'!$L$36</f>
        <v>230.61054646669317</v>
      </c>
      <c r="M86" s="641">
        <f>M85*'Prg. Expenses'!$L$36</f>
        <v>242.18160964474848</v>
      </c>
      <c r="N86" s="641">
        <f>N85*'Prg. Expenses'!$L$36</f>
        <v>254.50666010159247</v>
      </c>
      <c r="O86" s="641">
        <f>O85*'Prg. Expenses'!$L$36</f>
        <v>267.63070716759489</v>
      </c>
      <c r="P86" s="641">
        <f>P85*'Prg. Expenses'!$L$36</f>
        <v>281.60075306010589</v>
      </c>
      <c r="Q86" s="641">
        <f>Q85*'Prg. Expenses'!$L$36</f>
        <v>296.46584480909536</v>
      </c>
      <c r="R86" s="641">
        <f>R85*'Prg. Expenses'!$L$36</f>
        <v>312.27712659203019</v>
      </c>
      <c r="S86" s="641">
        <f>S85*'Prg. Expenses'!$L$36</f>
        <v>329.08789253606744</v>
      </c>
      <c r="T86" s="642">
        <f>T85*'Prg. Expenses'!$L$36</f>
        <v>346.95364005663055</v>
      </c>
      <c r="U86" s="641">
        <f>U85*'Prg. Expenses'!$X$36</f>
        <v>366.02006067767007</v>
      </c>
      <c r="V86" s="641">
        <f>V85*'Prg. Expenses'!$X$36</f>
        <v>386.35449932571208</v>
      </c>
      <c r="W86" s="641">
        <f>W85*'Prg. Expenses'!$X$36</f>
        <v>408.02667519507622</v>
      </c>
      <c r="X86" s="641">
        <f>X85*'Prg. Expenses'!$X$36</f>
        <v>431.10870315269756</v>
      </c>
      <c r="Y86" s="641">
        <f>Y85*'Prg. Expenses'!$X$36</f>
        <v>455.67511485257739</v>
      </c>
      <c r="Z86" s="641">
        <f>Z85*'Prg. Expenses'!$X$36</f>
        <v>481.80287987431757</v>
      </c>
      <c r="AA86" s="641">
        <f>AA85*'Prg. Expenses'!$X$36</f>
        <v>509.57142722878189</v>
      </c>
      <c r="AB86" s="641">
        <f>AB85*'Prg. Expenses'!$X$36</f>
        <v>539.06266760194603</v>
      </c>
      <c r="AC86" s="641">
        <f>AC85*'Prg. Expenses'!$X$36</f>
        <v>570.36101673525832</v>
      </c>
      <c r="AD86" s="641">
        <f>AD85*'Prg. Expenses'!$X$36</f>
        <v>603.55342036715024</v>
      </c>
      <c r="AE86" s="641">
        <f>AE85*'Prg. Expenses'!$X$36</f>
        <v>638.72938118553498</v>
      </c>
      <c r="AF86" s="642">
        <f>AF85*'Prg. Expenses'!$X$36</f>
        <v>675.98098826503849</v>
      </c>
      <c r="AG86" s="641">
        <f>AG85*'Prg. Expenses'!$AJ$36</f>
        <v>715.51867585608511</v>
      </c>
      <c r="AH86" s="641">
        <f>AH85*'Prg. Expenses'!$AJ$36</f>
        <v>757.4458224788151</v>
      </c>
      <c r="AI86" s="641">
        <f>AI85*'Prg. Expenses'!$AJ$36</f>
        <v>801.86804857106131</v>
      </c>
      <c r="AJ86" s="641">
        <f>AJ85*'Prg. Expenses'!$AJ$36</f>
        <v>848.8932118457443</v>
      </c>
      <c r="AK86" s="641">
        <f>AK85*'Prg. Expenses'!$AJ$36</f>
        <v>898.63140993292598</v>
      </c>
      <c r="AL86" s="641">
        <f>AL85*'Prg. Expenses'!$AJ$36</f>
        <v>951.19499131678765</v>
      </c>
      <c r="AM86" s="641">
        <f>AM85*'Prg. Expenses'!$AJ$36</f>
        <v>1006.6985755770821</v>
      </c>
      <c r="AN86" s="641">
        <f>AN85*'Prg. Expenses'!$AJ$36</f>
        <v>1065.2590839373306</v>
      </c>
      <c r="AO86" s="641">
        <f>AO85*'Prg. Expenses'!$AJ$36</f>
        <v>1126.9957811082147</v>
      </c>
      <c r="AP86" s="641">
        <f>AP85*'Prg. Expenses'!$AJ$36</f>
        <v>1192.0303293943657</v>
      </c>
      <c r="AQ86" s="641">
        <f>AQ85*'Prg. Expenses'!$AJ$36</f>
        <v>1260.4868560062207</v>
      </c>
      <c r="AR86" s="642">
        <f>AR85*'Prg. Expenses'!$AJ$36</f>
        <v>1332.4920344860896</v>
      </c>
      <c r="AS86" s="641">
        <f>AS85*'Prg. Expenses'!$AV$36</f>
        <v>0</v>
      </c>
      <c r="AT86" s="641">
        <f>AT85*'Prg. Expenses'!$AV$36</f>
        <v>0</v>
      </c>
      <c r="AU86" s="641">
        <f>AU85*'Prg. Expenses'!$AV$36</f>
        <v>0</v>
      </c>
      <c r="AV86" s="641">
        <f>AV85*'Prg. Expenses'!$AV$36</f>
        <v>0</v>
      </c>
      <c r="AW86" s="641">
        <f>AW85*'Prg. Expenses'!$AV$36</f>
        <v>0</v>
      </c>
      <c r="AX86" s="641">
        <f>AX85*'Prg. Expenses'!$AV$36</f>
        <v>0</v>
      </c>
      <c r="AY86" s="641">
        <f>AY85*'Prg. Expenses'!$AV$36</f>
        <v>0</v>
      </c>
      <c r="AZ86" s="641">
        <f>AZ85*'Prg. Expenses'!$AV$36</f>
        <v>0</v>
      </c>
      <c r="BA86" s="641">
        <f>BA85*'Prg. Expenses'!$AV$36</f>
        <v>0</v>
      </c>
      <c r="BB86" s="641">
        <f>BB85*'Prg. Expenses'!$AV$36</f>
        <v>0</v>
      </c>
      <c r="BC86" s="641">
        <f>BC85*'Prg. Expenses'!$AV$36</f>
        <v>0</v>
      </c>
      <c r="BD86" s="642">
        <f>BD85*'Prg. Expenses'!$AV$36</f>
        <v>0</v>
      </c>
      <c r="BE86" s="641">
        <f>BE85*'Prg. Expenses'!$BH$36</f>
        <v>0</v>
      </c>
      <c r="BF86" s="641">
        <f>BF85*'Prg. Expenses'!$BH$36</f>
        <v>0</v>
      </c>
      <c r="BG86" s="641">
        <f>BG85*'Prg. Expenses'!$BH$36</f>
        <v>0</v>
      </c>
      <c r="BH86" s="641">
        <f>BH85*'Prg. Expenses'!$BH$36</f>
        <v>0</v>
      </c>
      <c r="BI86" s="641">
        <f>BI85*'Prg. Expenses'!$BH$36</f>
        <v>0</v>
      </c>
      <c r="BJ86" s="641">
        <f>BJ85*'Prg. Expenses'!$BH$36</f>
        <v>0</v>
      </c>
      <c r="BK86" s="641">
        <f>BK85*'Prg. Expenses'!$BH$36</f>
        <v>0</v>
      </c>
      <c r="BL86" s="641">
        <f>BL85*'Prg. Expenses'!$BH$36</f>
        <v>0</v>
      </c>
      <c r="BM86" s="641">
        <f>BM85*'Prg. Expenses'!$BH$36</f>
        <v>0</v>
      </c>
      <c r="BN86" s="641">
        <f>BN85*'Prg. Expenses'!$BH$36</f>
        <v>0</v>
      </c>
      <c r="BO86" s="641">
        <f>BO85*'Prg. Expenses'!$BH$36</f>
        <v>0</v>
      </c>
      <c r="BP86" s="642">
        <f>BP85*'Prg. Expenses'!$BH$36</f>
        <v>0</v>
      </c>
    </row>
    <row r="87" spans="1:68" s="646" customFormat="1" ht="15">
      <c r="A87" s="1011"/>
      <c r="B87" s="1066"/>
      <c r="C87" s="1303" t="s">
        <v>241</v>
      </c>
      <c r="D87" s="1303"/>
      <c r="E87" s="1005" t="s">
        <v>378</v>
      </c>
      <c r="F87" s="646">
        <f>'Prg. Expenses'!F40</f>
        <v>0</v>
      </c>
      <c r="G87" s="1006">
        <f>'Prg. Expenses'!G40</f>
        <v>0</v>
      </c>
      <c r="H87" s="1006">
        <f>'Prg. Expenses'!H40</f>
        <v>0</v>
      </c>
      <c r="I87" s="1067">
        <f>I85*'Prg. Expenses'!I41*'Prg. Expenses'!$L$37</f>
        <v>750</v>
      </c>
      <c r="J87" s="646">
        <f>J85*'Prg. Expenses'!J41*'Prg. Expenses'!$L$37</f>
        <v>784.089696</v>
      </c>
      <c r="K87" s="646">
        <f>K85*'Prg. Expenses'!K41*'Prg. Expenses'!$L$37</f>
        <v>820.37220283699207</v>
      </c>
      <c r="L87" s="646">
        <f>L85*'Prg. Expenses'!L41*'Prg. Expenses'!$L$37</f>
        <v>858.97816347913863</v>
      </c>
      <c r="M87" s="646">
        <f>M85*'Prg. Expenses'!M41*'Prg. Expenses'!$L$37</f>
        <v>900.04373408374329</v>
      </c>
      <c r="N87" s="646">
        <f>N85*'Prg. Expenses'!N41*'Prg. Expenses'!$L$37</f>
        <v>943.71069565670484</v>
      </c>
      <c r="O87" s="646">
        <f>O85*'Prg. Expenses'!O41*'Prg. Expenses'!$L$37</f>
        <v>990.12656423723411</v>
      </c>
      <c r="P87" s="646">
        <f>P85*'Prg. Expenses'!P41*'Prg. Expenses'!$L$37</f>
        <v>1039.4446996954628</v>
      </c>
      <c r="Q87" s="646">
        <f>Q85*'Prg. Expenses'!Q41*'Prg. Expenses'!$L$37</f>
        <v>1091.8244132629363</v>
      </c>
      <c r="R87" s="646">
        <f>R85*'Prg. Expenses'!R41*'Prg. Expenses'!$L$37</f>
        <v>1147.4310739497555</v>
      </c>
      <c r="S87" s="646">
        <f>S85*'Prg. Expenses'!S41*'Prg. Expenses'!$L$37</f>
        <v>1206.436214037223</v>
      </c>
      <c r="T87" s="647">
        <f>T85*'Prg. Expenses'!T41*'Prg. Expenses'!$L$37</f>
        <v>1269.0176338711315</v>
      </c>
      <c r="U87" s="646">
        <f>U85*'Prg. Expenses'!U41*'Prg. Expenses'!$X$37</f>
        <v>1335.6804054249533</v>
      </c>
      <c r="V87" s="646">
        <f>V85*'Prg. Expenses'!V41*'Prg. Expenses'!$X$37</f>
        <v>1406.6394611450523</v>
      </c>
      <c r="W87" s="646">
        <f>W85*'Prg. Expenses'!W41*'Prg. Expenses'!$X$37</f>
        <v>1482.1160949785944</v>
      </c>
      <c r="X87" s="646">
        <f>X85*'Prg. Expenses'!X41*'Prg. Expenses'!$X$37</f>
        <v>1562.3379402253756</v>
      </c>
      <c r="Y87" s="646">
        <f>Y85*'Prg. Expenses'!Y41*'Prg. Expenses'!$X$37</f>
        <v>1647.5389452609782</v>
      </c>
      <c r="Z87" s="646">
        <f>Z85*'Prg. Expenses'!Z41*'Prg. Expenses'!$X$37</f>
        <v>1737.9593482826378</v>
      </c>
      <c r="AA87" s="646">
        <f>AA85*'Prg. Expenses'!AA41*'Prg. Expenses'!$X$37</f>
        <v>1833.8456523109398</v>
      </c>
      <c r="AB87" s="646">
        <f>AB85*'Prg. Expenses'!AB41*'Prg. Expenses'!$X$37</f>
        <v>1935.4506017580261</v>
      </c>
      <c r="AC87" s="646">
        <f>AC85*'Prg. Expenses'!AC41*'Prg. Expenses'!$X$37</f>
        <v>2043.0331619456947</v>
      </c>
      <c r="AD87" s="646">
        <f>AD85*'Prg. Expenses'!AD41*'Prg. Expenses'!$X$37</f>
        <v>2156.8585030240474</v>
      </c>
      <c r="AE87" s="646">
        <f>AE85*'Prg. Expenses'!AE41*'Prg. Expenses'!$X$37</f>
        <v>2277.197989802668</v>
      </c>
      <c r="AF87" s="647">
        <f>AF85*'Prg. Expenses'!AF41*'Prg. Expenses'!$X$37</f>
        <v>2404.3291790610879</v>
      </c>
      <c r="AG87" s="646">
        <f>AG85*'Prg. Expenses'!AG41*'Prg. Expenses'!$AJ$37</f>
        <v>2538.9464694077315</v>
      </c>
      <c r="AH87" s="646">
        <f>AH85*'Prg. Expenses'!AH41*'Prg. Expenses'!$AJ$37</f>
        <v>2681.3582115750041</v>
      </c>
      <c r="AI87" s="646">
        <f>AI85*'Prg. Expenses'!AI41*'Prg. Expenses'!$AJ$37</f>
        <v>2831.8772003335584</v>
      </c>
      <c r="AJ87" s="646">
        <f>AJ85*'Prg. Expenses'!AJ41*'Prg. Expenses'!$AJ$37</f>
        <v>2990.8205639749244</v>
      </c>
      <c r="AK87" s="646">
        <f>AK85*'Prg. Expenses'!AK41*'Prg. Expenses'!$AJ$37</f>
        <v>3158.5096796322464</v>
      </c>
      <c r="AL87" s="646">
        <f>AL85*'Prg. Expenses'!AL41*'Prg. Expenses'!$AJ$37</f>
        <v>3335.270117553182</v>
      </c>
      <c r="AM87" s="646">
        <f>AM85*'Prg. Expenses'!AM41*'Prg. Expenses'!$AJ$37</f>
        <v>3521.4316173686311</v>
      </c>
      <c r="AN87" s="646">
        <f>AN85*'Prg. Expenses'!AN41*'Prg. Expenses'!$AJ$37</f>
        <v>3717.3280993077065</v>
      </c>
      <c r="AO87" s="646">
        <f>AO85*'Prg. Expenses'!AO41*'Prg. Expenses'!$AJ$37</f>
        <v>3923.2977131939142</v>
      </c>
      <c r="AP87" s="646">
        <f>AP85*'Prg. Expenses'!AP41*'Prg. Expenses'!$AJ$37</f>
        <v>4139.6829279207504</v>
      </c>
      <c r="AQ87" s="646">
        <f>AQ85*'Prg. Expenses'!AQ41*'Prg. Expenses'!$AJ$37</f>
        <v>4366.8306639479479</v>
      </c>
      <c r="AR87" s="647">
        <f>AR85*'Prg. Expenses'!AR41*'Prg. Expenses'!$AJ$37</f>
        <v>4605.0924711839225</v>
      </c>
      <c r="AS87" s="646">
        <f>AS85*'Prg. Expenses'!AS41*'Prg. Expenses'!$AV$37</f>
        <v>4854.8247544269716</v>
      </c>
      <c r="AT87" s="646">
        <f>AT85*'Prg. Expenses'!AT41*'Prg. Expenses'!$AV$37</f>
        <v>5116.3890483294917</v>
      </c>
      <c r="AU87" s="646">
        <f>AU85*'Prg. Expenses'!AU41*'Prg. Expenses'!$AV$37</f>
        <v>5390.1523436276375</v>
      </c>
      <c r="AV87" s="646">
        <f>AV85*'Prg. Expenses'!AV41*'Prg. Expenses'!$AV$37</f>
        <v>5676.4874661458953</v>
      </c>
      <c r="AW87" s="646">
        <f>AW85*'Prg. Expenses'!AW41*'Prg. Expenses'!$AV$37</f>
        <v>5975.7735098439734</v>
      </c>
      <c r="AX87" s="646">
        <f>AX85*'Prg. Expenses'!AX41*'Prg. Expenses'!$AV$37</f>
        <v>6288.3963249248891</v>
      </c>
      <c r="AY87" s="646">
        <f>AY85*'Prg. Expenses'!AY41*'Prg. Expenses'!$AV$37</f>
        <v>6614.7490617705207</v>
      </c>
      <c r="AZ87" s="646">
        <f>AZ85*'Prg. Expenses'!AZ41*'Prg. Expenses'!$AV$37</f>
        <v>6955.2327712168299</v>
      </c>
      <c r="BA87" s="646">
        <f>BA85*'Prg. Expenses'!BA41*'Prg. Expenses'!$AV$37</f>
        <v>7310.257061428013</v>
      </c>
      <c r="BB87" s="646">
        <f>BB85*'Prg. Expenses'!BB41*'Prg. Expenses'!$AV$37</f>
        <v>7680.2408113797001</v>
      </c>
      <c r="BC87" s="646">
        <f>BC85*'Prg. Expenses'!BC41*'Prg. Expenses'!$AV$37</f>
        <v>8065.612940718469</v>
      </c>
      <c r="BD87" s="647">
        <f>BD85*'Prg. Expenses'!BD41*'Prg. Expenses'!$AV$37</f>
        <v>8466.8132355310281</v>
      </c>
      <c r="BE87" s="646">
        <f>BE85*'Prg. Expenses'!BE41*'Prg. Expenses'!$BH$37</f>
        <v>5922.8621528892436</v>
      </c>
      <c r="BF87" s="646">
        <f>BF85*'Prg. Expenses'!BF41*'Prg. Expenses'!$BH$37</f>
        <v>6212.3447589235102</v>
      </c>
      <c r="BG87" s="646">
        <f>BG85*'Prg. Expenses'!BG41*'Prg. Expenses'!$BH$37</f>
        <v>6513.3085668191134</v>
      </c>
      <c r="BH87" s="646">
        <f>BH85*'Prg. Expenses'!BH41*'Prg. Expenses'!$BH$37</f>
        <v>6826.0819761342536</v>
      </c>
      <c r="BI87" s="646">
        <f>BI85*'Prg. Expenses'!BI41*'Prg. Expenses'!$BH$37</f>
        <v>7151.00392165829</v>
      </c>
      <c r="BJ87" s="646">
        <f>BJ85*'Prg. Expenses'!BJ41*'Prg. Expenses'!$BH$37</f>
        <v>7488.424633439955</v>
      </c>
      <c r="BK87" s="646">
        <f>BK85*'Prg. Expenses'!BK41*'Prg. Expenses'!$BH$37</f>
        <v>7838.7064283649015</v>
      </c>
      <c r="BL87" s="646">
        <f>BL85*'Prg. Expenses'!BL41*'Prg. Expenses'!$BH$37</f>
        <v>8202.2245321146293</v>
      </c>
      <c r="BM87" s="646">
        <f>BM85*'Prg. Expenses'!BM41*'Prg. Expenses'!$BH$37</f>
        <v>8579.3679302978999</v>
      </c>
      <c r="BN87" s="646">
        <f>BN85*'Prg. Expenses'!BN41*'Prg. Expenses'!$BH$37</f>
        <v>8970.5402475220981</v>
      </c>
      <c r="BO87" s="646">
        <f>BO85*'Prg. Expenses'!BO41*'Prg. Expenses'!$BH$37</f>
        <v>9376.1606531657235</v>
      </c>
      <c r="BP87" s="647">
        <f>BP85*'Prg. Expenses'!BP41*'Prg. Expenses'!$BH$37</f>
        <v>9796.6647926246842</v>
      </c>
    </row>
    <row r="88" spans="1:68" s="646" customFormat="1" ht="15">
      <c r="A88" s="1011"/>
      <c r="B88" s="1066"/>
      <c r="C88" s="1303" t="s">
        <v>243</v>
      </c>
      <c r="D88" s="1303"/>
      <c r="E88" s="1005" t="s">
        <v>379</v>
      </c>
      <c r="F88" s="646">
        <f>'Prg. Expenses'!F41</f>
        <v>0</v>
      </c>
      <c r="G88" s="1006">
        <f>'Prg. Expenses'!G41</f>
        <v>0</v>
      </c>
      <c r="H88" s="1006">
        <f>'Prg. Expenses'!H41</f>
        <v>0</v>
      </c>
      <c r="I88" s="1067">
        <f>I85*'Prg. Expenses'!I42*'Prg. Expenses'!$L$38</f>
        <v>800</v>
      </c>
      <c r="J88" s="646">
        <f>J85*'Prg. Expenses'!J42*'Prg. Expenses'!$L$38</f>
        <v>838.57529599999998</v>
      </c>
      <c r="K88" s="646">
        <f>K85*'Prg. Expenses'!K42*'Prg. Expenses'!$L$38</f>
        <v>879.70481152819195</v>
      </c>
      <c r="L88" s="646">
        <f>L85*'Prg. Expenses'!L42*'Prg. Expenses'!$L$38</f>
        <v>923.54911648981272</v>
      </c>
      <c r="M88" s="646">
        <f>M85*'Prg. Expenses'!M42*'Prg. Expenses'!$L$38</f>
        <v>970.27640088072019</v>
      </c>
      <c r="N88" s="646">
        <f>N85*'Prg. Expenses'!N42*'Prg. Expenses'!$L$38</f>
        <v>1020.0626936871824</v>
      </c>
      <c r="O88" s="646">
        <f>O85*'Prg. Expenses'!O42*'Prg. Expenses'!$L$38</f>
        <v>1073.0920834591882</v>
      </c>
      <c r="P88" s="646">
        <f>P85*'Prg. Expenses'!P42*'Prg. Expenses'!$L$38</f>
        <v>1129.5569406746963</v>
      </c>
      <c r="Q88" s="646">
        <f>Q85*'Prg. Expenses'!Q42*'Prg. Expenses'!$L$38</f>
        <v>1189.6581420499376</v>
      </c>
      <c r="R88" s="646">
        <f>R85*'Prg. Expenses'!R42*'Prg. Expenses'!$L$38</f>
        <v>1253.6052969910456</v>
      </c>
      <c r="S88" s="646">
        <f>S85*'Prg. Expenses'!S42*'Prg. Expenses'!$L$38</f>
        <v>1321.6169764248461</v>
      </c>
      <c r="T88" s="647">
        <f>T85*'Prg. Expenses'!T42*'Prg. Expenses'!$L$38</f>
        <v>1393.9209442915183</v>
      </c>
      <c r="U88" s="646">
        <f>U85*'Prg. Expenses'!U42*'Prg. Expenses'!$X$38</f>
        <v>1471.1078278756909</v>
      </c>
      <c r="V88" s="646">
        <f>V85*'Prg. Expenses'!V42*'Prg. Expenses'!$X$38</f>
        <v>1553.4541708888223</v>
      </c>
      <c r="W88" s="646">
        <f>W85*'Prg. Expenses'!W42*'Prg. Expenses'!$X$38</f>
        <v>1641.2464983046737</v>
      </c>
      <c r="X88" s="646">
        <f>X85*'Prg. Expenses'!X42*'Prg. Expenses'!$X$38</f>
        <v>1734.7814214864538</v>
      </c>
      <c r="Y88" s="646">
        <f>Y85*'Prg. Expenses'!Y42*'Prg. Expenses'!$X$38</f>
        <v>1834.3657423505344</v>
      </c>
      <c r="Z88" s="646">
        <f>Z85*'Prg. Expenses'!Z42*'Prg. Expenses'!$X$38</f>
        <v>1940.3165578298501</v>
      </c>
      <c r="AA88" s="646">
        <f>AA85*'Prg. Expenses'!AA42*'Prg. Expenses'!$X$38</f>
        <v>2052.9613660193149</v>
      </c>
      <c r="AB88" s="646">
        <f>AB85*'Prg. Expenses'!AB42*'Prg. Expenses'!$X$38</f>
        <v>2172.6381755028815</v>
      </c>
      <c r="AC88" s="646">
        <f>AC85*'Prg. Expenses'!AC42*'Prg. Expenses'!$X$38</f>
        <v>2299.6956194765598</v>
      </c>
      <c r="AD88" s="646">
        <f>AD85*'Prg. Expenses'!AD42*'Prg. Expenses'!$X$38</f>
        <v>2434.4930763929351</v>
      </c>
      <c r="AE88" s="646">
        <f>AE85*'Prg. Expenses'!AE42*'Prg. Expenses'!$X$38</f>
        <v>2577.4007989598681</v>
      </c>
      <c r="AF88" s="647">
        <f>AF85*'Prg. Expenses'!AF42*'Prg. Expenses'!$X$38</f>
        <v>2728.8000534283051</v>
      </c>
      <c r="AG88" s="646">
        <f>AG85*'Prg. Expenses'!AG42*'Prg. Expenses'!$AJ$38</f>
        <v>2889.5506205772112</v>
      </c>
      <c r="AH88" s="646">
        <f>AH85*'Prg. Expenses'!AH42*'Prg. Expenses'!$AJ$38</f>
        <v>3060.0811228144094</v>
      </c>
      <c r="AI88" s="646">
        <f>AI85*'Prg. Expenses'!AI42*'Prg. Expenses'!$AJ$38</f>
        <v>3240.8299051047975</v>
      </c>
      <c r="AJ88" s="646">
        <f>AJ85*'Prg. Expenses'!AJ42*'Prg. Expenses'!$AJ$38</f>
        <v>3432.2450341347094</v>
      </c>
      <c r="AK88" s="646">
        <f>AK85*'Prg. Expenses'!AK42*'Prg. Expenses'!$AJ$38</f>
        <v>3634.7843268966949</v>
      </c>
      <c r="AL88" s="646">
        <f>AL85*'Prg. Expenses'!AL42*'Prg. Expenses'!$AJ$38</f>
        <v>3848.9154128642449</v>
      </c>
      <c r="AM88" s="646">
        <f>AM85*'Prg. Expenses'!AM42*'Prg. Expenses'!$AJ$38</f>
        <v>4075.1158339360231</v>
      </c>
      <c r="AN88" s="646">
        <f>AN85*'Prg. Expenses'!AN42*'Prg. Expenses'!$AJ$38</f>
        <v>4313.8731863126077</v>
      </c>
      <c r="AO88" s="646">
        <f>AO85*'Prg. Expenses'!AO42*'Prg. Expenses'!$AJ$38</f>
        <v>4565.6853084255927</v>
      </c>
      <c r="AP88" s="646">
        <f>AP85*'Prg. Expenses'!AP42*'Prg. Expenses'!$AJ$38</f>
        <v>4831.0605189694779</v>
      </c>
      <c r="AQ88" s="646">
        <f>AQ85*'Prg. Expenses'!AQ42*'Prg. Expenses'!$AJ$38</f>
        <v>5110.5179089916146</v>
      </c>
      <c r="AR88" s="647">
        <f>AR85*'Prg. Expenses'!AR42*'Prg. Expenses'!$AJ$38</f>
        <v>5404.5876918755712</v>
      </c>
      <c r="AS88" s="646">
        <f>AS85*'Prg. Expenses'!AS42*'Prg. Expenses'!$AV$38</f>
        <v>5713.8116149097532</v>
      </c>
      <c r="AT88" s="646">
        <f>AT85*'Prg. Expenses'!AT42*'Prg. Expenses'!$AV$38</f>
        <v>6038.7434359673925</v>
      </c>
      <c r="AU88" s="646">
        <f>AU85*'Prg. Expenses'!AU42*'Prg. Expenses'!$AV$38</f>
        <v>6379.9494686379549</v>
      </c>
      <c r="AV88" s="646">
        <f>AV85*'Prg. Expenses'!AV42*'Prg. Expenses'!$AV$38</f>
        <v>6738.0091989454968</v>
      </c>
      <c r="AW88" s="646">
        <f>AW85*'Prg. Expenses'!AW42*'Prg. Expenses'!$AV$38</f>
        <v>7113.5159765688004</v>
      </c>
      <c r="AX88" s="646">
        <f>AX85*'Prg. Expenses'!AX42*'Prg. Expenses'!$AV$38</f>
        <v>7507.0777832436606</v>
      </c>
      <c r="AY88" s="646">
        <f>AY85*'Prg. Expenses'!AY42*'Prg. Expenses'!$AV$38</f>
        <v>7919.3180807821263</v>
      </c>
      <c r="AZ88" s="646">
        <f>AZ85*'Prg. Expenses'!AZ42*'Prg. Expenses'!$AV$38</f>
        <v>8350.8767408896983</v>
      </c>
      <c r="BA88" s="646">
        <f>BA85*'Prg. Expenses'!BA42*'Prg. Expenses'!$AV$38</f>
        <v>8802.4110587020932</v>
      </c>
      <c r="BB88" s="646">
        <f>BB85*'Prg. Expenses'!BB42*'Prg. Expenses'!$AV$38</f>
        <v>9274.5968517016918</v>
      </c>
      <c r="BC88" s="646">
        <f>BC85*'Prg. Expenses'!BC42*'Prg. Expenses'!$AV$38</f>
        <v>9768.1296454128678</v>
      </c>
      <c r="BD88" s="647">
        <f>BD85*'Prg. Expenses'!BD42*'Prg. Expenses'!$AV$38</f>
        <v>10283.725947018364</v>
      </c>
      <c r="BE88" s="646">
        <f>BE85*'Prg. Expenses'!BE42*'Prg. Expenses'!$BH$38</f>
        <v>5411.0623038945068</v>
      </c>
      <c r="BF88" s="646">
        <f>BF85*'Prg. Expenses'!BF42*'Prg. Expenses'!$BH$38</f>
        <v>5692.04413748958</v>
      </c>
      <c r="BG88" s="646">
        <f>BG85*'Prg. Expenses'!BG42*'Prg. Expenses'!$BH$38</f>
        <v>5985.2024668067461</v>
      </c>
      <c r="BH88" s="646">
        <f>BH85*'Prg. Expenses'!BH42*'Prg. Expenses'!$BH$38</f>
        <v>6290.944769190196</v>
      </c>
      <c r="BI88" s="646">
        <f>BI85*'Prg. Expenses'!BI42*'Prg. Expenses'!$BH$38</f>
        <v>6609.6928678275763</v>
      </c>
      <c r="BJ88" s="646">
        <f>BJ85*'Prg. Expenses'!BJ42*'Prg. Expenses'!$BH$38</f>
        <v>6941.8838377531529</v>
      </c>
      <c r="BK88" s="646">
        <f>BK85*'Prg. Expenses'!BK42*'Prg. Expenses'!$BH$38</f>
        <v>7287.9709566960091</v>
      </c>
      <c r="BL88" s="646">
        <f>BL85*'Prg. Expenses'!BL42*'Prg. Expenses'!$BH$38</f>
        <v>7648.4247005667339</v>
      </c>
      <c r="BM88" s="646">
        <f>BM85*'Prg. Expenses'!BM42*'Prg. Expenses'!$BH$38</f>
        <v>8023.733783330189</v>
      </c>
      <c r="BN88" s="646">
        <f>BN85*'Prg. Expenses'!BN42*'Prg. Expenses'!$BH$38</f>
        <v>8414.4062409809158</v>
      </c>
      <c r="BO88" s="646">
        <f>BO85*'Prg. Expenses'!BO42*'Prg. Expenses'!$BH$38</f>
        <v>8820.9705593225044</v>
      </c>
      <c r="BP88" s="647">
        <f>BP85*'Prg. Expenses'!BP42*'Prg. Expenses'!$BH$38</f>
        <v>9243.9768452531462</v>
      </c>
    </row>
    <row r="89" spans="1:68" s="651" customFormat="1" ht="15">
      <c r="A89" s="1020"/>
      <c r="B89" s="1068"/>
      <c r="C89" s="1304" t="s">
        <v>242</v>
      </c>
      <c r="D89" s="1304"/>
      <c r="E89" s="1036" t="s">
        <v>380</v>
      </c>
      <c r="F89" s="651">
        <f>'Prg. Expenses'!F42</f>
        <v>0</v>
      </c>
      <c r="G89" s="1017">
        <f>'Prg. Expenses'!G42</f>
        <v>0</v>
      </c>
      <c r="H89" s="1017">
        <f>'Prg. Expenses'!H42</f>
        <v>0</v>
      </c>
      <c r="I89" s="1069">
        <f>I85*'Prg. Expenses'!I43*'Prg. Expenses'!$L$39</f>
        <v>100</v>
      </c>
      <c r="J89" s="651">
        <f>J85*'Prg. Expenses'!J43*'Prg. Expenses'!$L$39</f>
        <v>104.93088320000001</v>
      </c>
      <c r="K89" s="651">
        <f>K85*'Prg. Expenses'!K43*'Prg. Expenses'!$L$39</f>
        <v>110.19164185968644</v>
      </c>
      <c r="L89" s="651">
        <f>L85*'Prg. Expenses'!L43*'Prg. Expenses'!$L$39</f>
        <v>115.80339201371469</v>
      </c>
      <c r="M89" s="651">
        <f>M85*'Prg. Expenses'!M43*'Prg. Expenses'!$L$39</f>
        <v>121.78828785815116</v>
      </c>
      <c r="N89" s="651">
        <f>N85*'Prg. Expenses'!N43*'Prg. Expenses'!$L$39</f>
        <v>128.16955402716204</v>
      </c>
      <c r="O89" s="651">
        <f>O85*'Prg. Expenses'!O43*'Prg. Expenses'!$L$39</f>
        <v>134.97151823876155</v>
      </c>
      <c r="P89" s="651">
        <f>P85*'Prg. Expenses'!P43*'Prg. Expenses'!$L$39</f>
        <v>142.21964432547597</v>
      </c>
      <c r="Q89" s="651">
        <f>Q85*'Prg. Expenses'!Q43*'Prg. Expenses'!$L$39</f>
        <v>149.9405656706482</v>
      </c>
      <c r="R89" s="651">
        <f>R85*'Prg. Expenses'!R43*'Prg. Expenses'!$L$39</f>
        <v>158.16211907633161</v>
      </c>
      <c r="S89" s="651">
        <f>S85*'Prg. Expenses'!S43*'Prg. Expenses'!$L$39</f>
        <v>166.91337909429359</v>
      </c>
      <c r="T89" s="652">
        <f>T85*'Prg. Expenses'!T43*'Prg. Expenses'!$L$39</f>
        <v>176.22469285756398</v>
      </c>
      <c r="U89" s="651">
        <f>U85*'Prg. Expenses'!U43*'Prg. Expenses'!$X$39</f>
        <v>186.17244366309035</v>
      </c>
      <c r="V89" s="651">
        <f>V85*'Prg. Expenses'!V43*'Prg. Expenses'!$X$39</f>
        <v>196.79352777654501</v>
      </c>
      <c r="W89" s="651">
        <f>W85*'Prg. Expenses'!W43*'Prg. Expenses'!$X$39</f>
        <v>208.12624648350479</v>
      </c>
      <c r="X89" s="651">
        <f>X85*'Prg. Expenses'!X43*'Prg. Expenses'!$X$39</f>
        <v>220.21032557039825</v>
      </c>
      <c r="Y89" s="651">
        <f>Y85*'Prg. Expenses'!Y43*'Prg. Expenses'!$X$39</f>
        <v>233.08693474939076</v>
      </c>
      <c r="Z89" s="651">
        <f>Z85*'Prg. Expenses'!Z43*'Prg. Expenses'!$X$39</f>
        <v>246.79870718682088</v>
      </c>
      <c r="AA89" s="651">
        <f>AA85*'Prg. Expenses'!AA43*'Prg. Expenses'!$X$39</f>
        <v>261.38975931127646</v>
      </c>
      <c r="AB89" s="651">
        <f>AB85*'Prg. Expenses'!AB43*'Prg. Expenses'!$X$39</f>
        <v>276.90571109376816</v>
      </c>
      <c r="AC89" s="651">
        <f>AC85*'Prg. Expenses'!AC43*'Prg. Expenses'!$X$39</f>
        <v>293.39370700861753</v>
      </c>
      <c r="AD89" s="651">
        <f>AD85*'Prg. Expenses'!AD43*'Prg. Expenses'!$X$39</f>
        <v>310.90243789952711</v>
      </c>
      <c r="AE89" s="651">
        <f>AE85*'Prg. Expenses'!AE43*'Prg. Expenses'!$X$39</f>
        <v>329.4821639907471</v>
      </c>
      <c r="AF89" s="652">
        <f>AF85*'Prg. Expenses'!AF43*'Prg. Expenses'!$X$39</f>
        <v>349.18473929818913</v>
      </c>
      <c r="AG89" s="651">
        <f>AG85*'Prg. Expenses'!AG43*'Prg. Expenses'!$AJ$39</f>
        <v>370.12350064683665</v>
      </c>
      <c r="AH89" s="651">
        <f>AH85*'Prg. Expenses'!AH43*'Prg. Expenses'!$AJ$39</f>
        <v>392.35693604402724</v>
      </c>
      <c r="AI89" s="651">
        <f>AI85*'Prg. Expenses'!AI43*'Prg. Expenses'!$AJ$39</f>
        <v>415.94499415478208</v>
      </c>
      <c r="AJ89" s="651">
        <f>AJ85*'Prg. Expenses'!AJ43*'Prg. Expenses'!$AJ$39</f>
        <v>440.9490899611547</v>
      </c>
      <c r="AK89" s="651">
        <f>AK85*'Prg. Expenses'!AK43*'Prg. Expenses'!$AJ$39</f>
        <v>467.43211419071213</v>
      </c>
      <c r="AL89" s="651">
        <f>AL85*'Prg. Expenses'!AL43*'Prg. Expenses'!$AJ$39</f>
        <v>495.45844707708983</v>
      </c>
      <c r="AM89" s="651">
        <f>AM85*'Prg. Expenses'!AM43*'Prg. Expenses'!$AJ$39</f>
        <v>525.09397702100773</v>
      </c>
      <c r="AN89" s="651">
        <f>AN85*'Prg. Expenses'!AN43*'Prg. Expenses'!$AJ$39</f>
        <v>556.40612472214821</v>
      </c>
      <c r="AO89" s="651">
        <f>AO85*'Prg. Expenses'!AO43*'Prg. Expenses'!$AJ$39</f>
        <v>589.46387335084262</v>
      </c>
      <c r="AP89" s="651">
        <f>AP85*'Prg. Expenses'!AP43*'Prg. Expenses'!$AJ$39</f>
        <v>624.33780532359515</v>
      </c>
      <c r="AQ89" s="651">
        <f>AQ85*'Prg. Expenses'!AQ43*'Prg. Expenses'!$AJ$39</f>
        <v>661.10014623814493</v>
      </c>
      <c r="AR89" s="652">
        <f>AR85*'Prg. Expenses'!AR43*'Prg. Expenses'!$AJ$39</f>
        <v>699.82481651209673</v>
      </c>
      <c r="AS89" s="651">
        <f>AS85*'Prg. Expenses'!AS43*'Prg. Expenses'!$AV$39</f>
        <v>740.58749125427676</v>
      </c>
      <c r="AT89" s="651">
        <f>AT85*'Prg. Expenses'!AT43*'Prg. Expenses'!$AV$39</f>
        <v>783.46566888004645</v>
      </c>
      <c r="AU89" s="651">
        <f>AU85*'Prg. Expenses'!AU43*'Prg. Expenses'!$AV$39</f>
        <v>828.53874896102491</v>
      </c>
      <c r="AV89" s="651">
        <f>AV85*'Prg. Expenses'!AV43*'Prg. Expenses'!$AV$39</f>
        <v>875.8881197762795</v>
      </c>
      <c r="AW89" s="651">
        <f>AW85*'Prg. Expenses'!AW43*'Prg. Expenses'!$AV$39</f>
        <v>925.5972560063002</v>
      </c>
      <c r="AX89" s="651">
        <f>AX85*'Prg. Expenses'!AX43*'Prg. Expenses'!$AV$39</f>
        <v>977.75182698327592</v>
      </c>
      <c r="AY89" s="651">
        <f>AY85*'Prg. Expenses'!AY43*'Prg. Expenses'!$AV$39</f>
        <v>1032.439815881673</v>
      </c>
      <c r="AZ89" s="651">
        <f>AZ85*'Prg. Expenses'!AZ43*'Prg. Expenses'!$AV$39</f>
        <v>1089.7516502022272</v>
      </c>
      <c r="BA89" s="651">
        <f>BA85*'Prg. Expenses'!BA43*'Prg. Expenses'!$AV$39</f>
        <v>1149.7803438705678</v>
      </c>
      <c r="BB89" s="651">
        <f>BB85*'Prg. Expenses'!BB43*'Prg. Expenses'!$AV$39</f>
        <v>1212.6216512391977</v>
      </c>
      <c r="BC89" s="651">
        <f>BC85*'Prg. Expenses'!BC43*'Prg. Expenses'!$AV$39</f>
        <v>1278.3742332488566</v>
      </c>
      <c r="BD89" s="652">
        <f>BD85*'Prg. Expenses'!BD43*'Prg. Expenses'!$AV$39</f>
        <v>1347.1398359727916</v>
      </c>
      <c r="BE89" s="651">
        <f>BE85*'Prg. Expenses'!BE43*'Prg. Expenses'!$BH$39</f>
        <v>1419.0234817356099</v>
      </c>
      <c r="BF89" s="651">
        <f>BF85*'Prg. Expenses'!BF43*'Prg. Expenses'!$BH$39</f>
        <v>1494.1336729675579</v>
      </c>
      <c r="BG89" s="651">
        <f>BG85*'Prg. Expenses'!BG43*'Prg. Expenses'!$BH$39</f>
        <v>1572.5826089257055</v>
      </c>
      <c r="BH89" s="651">
        <f>BH85*'Prg. Expenses'!BH43*'Prg. Expenses'!$BH$39</f>
        <v>1654.4864153860185</v>
      </c>
      <c r="BI89" s="651">
        <f>BI85*'Prg. Expenses'!BI43*'Prg. Expenses'!$BH$39</f>
        <v>1739.9653873850309</v>
      </c>
      <c r="BJ89" s="651">
        <f>BJ85*'Prg. Expenses'!BJ43*'Prg. Expenses'!$BH$39</f>
        <v>1829.144245067208</v>
      </c>
      <c r="BK89" s="651">
        <f>BK85*'Prg. Expenses'!BK43*'Prg. Expenses'!$BH$39</f>
        <v>1922.1524026744203</v>
      </c>
      <c r="BL89" s="651">
        <f>BL85*'Prg. Expenses'!BL43*'Prg. Expenses'!$BH$39</f>
        <v>2019.1242506975743</v>
      </c>
      <c r="BM89" s="651">
        <f>BM85*'Prg. Expenses'!BM43*'Prg. Expenses'!$BH$39</f>
        <v>2120.1994511976732</v>
      </c>
      <c r="BN89" s="651">
        <f>BN85*'Prg. Expenses'!BN43*'Prg. Expenses'!$BH$39</f>
        <v>2225.5232462946578</v>
      </c>
      <c r="BO89" s="651">
        <f>BO85*'Prg. Expenses'!BO43*'Prg. Expenses'!$BH$39</f>
        <v>2335.246779817533</v>
      </c>
      <c r="BP89" s="652">
        <f>BP85*'Prg. Expenses'!BP43*'Prg. Expenses'!$BH$39</f>
        <v>2449.527432108719</v>
      </c>
    </row>
    <row r="90" spans="1:68" s="327" customFormat="1">
      <c r="A90" s="297"/>
      <c r="B90" s="997"/>
      <c r="C90" s="299"/>
      <c r="D90" s="300"/>
      <c r="E90" s="300" t="s">
        <v>319</v>
      </c>
      <c r="F90" s="327" t="e">
        <f>'Prg. Expenses'!#REF!</f>
        <v>#REF!</v>
      </c>
      <c r="G90" s="328" t="e">
        <f>'Prg. Expenses'!#REF!</f>
        <v>#REF!</v>
      </c>
      <c r="H90" s="328" t="e">
        <f>'Prg. Expenses'!#REF!</f>
        <v>#REF!</v>
      </c>
      <c r="I90" s="1056">
        <f>SUM(I86:I89)/I85</f>
        <v>231.25</v>
      </c>
      <c r="J90" s="1062">
        <f t="shared" ref="J90:BP90" si="251">SUM(J86:J89)/J85</f>
        <v>231.09799999999996</v>
      </c>
      <c r="K90" s="1062">
        <f t="shared" si="251"/>
        <v>230.94599999999997</v>
      </c>
      <c r="L90" s="1062">
        <f t="shared" si="251"/>
        <v>230.79399999999995</v>
      </c>
      <c r="M90" s="1062">
        <f t="shared" si="251"/>
        <v>230.642</v>
      </c>
      <c r="N90" s="1062">
        <f t="shared" si="251"/>
        <v>230.48999999999995</v>
      </c>
      <c r="O90" s="1062">
        <f t="shared" si="251"/>
        <v>230.33799999999999</v>
      </c>
      <c r="P90" s="1062">
        <f t="shared" si="251"/>
        <v>230.18599999999995</v>
      </c>
      <c r="Q90" s="1062">
        <f t="shared" si="251"/>
        <v>230.03399999999996</v>
      </c>
      <c r="R90" s="1062">
        <f t="shared" si="251"/>
        <v>229.88199999999995</v>
      </c>
      <c r="S90" s="1062">
        <f t="shared" si="251"/>
        <v>229.72999999999993</v>
      </c>
      <c r="T90" s="1063">
        <f t="shared" si="251"/>
        <v>229.57799999999995</v>
      </c>
      <c r="U90" s="1062">
        <f t="shared" si="251"/>
        <v>229.42599999999996</v>
      </c>
      <c r="V90" s="1062">
        <f t="shared" si="251"/>
        <v>229.27399999999994</v>
      </c>
      <c r="W90" s="1062">
        <f t="shared" si="251"/>
        <v>229.12199999999993</v>
      </c>
      <c r="X90" s="1062">
        <f t="shared" si="251"/>
        <v>228.96999999999994</v>
      </c>
      <c r="Y90" s="1062">
        <f t="shared" si="251"/>
        <v>228.8179999999999</v>
      </c>
      <c r="Z90" s="1062">
        <f t="shared" si="251"/>
        <v>228.66599999999994</v>
      </c>
      <c r="AA90" s="1062">
        <f t="shared" si="251"/>
        <v>228.5139999999999</v>
      </c>
      <c r="AB90" s="1062">
        <f t="shared" si="251"/>
        <v>228.36199999999988</v>
      </c>
      <c r="AC90" s="1062">
        <f t="shared" si="251"/>
        <v>228.20999999999989</v>
      </c>
      <c r="AD90" s="1062">
        <f t="shared" si="251"/>
        <v>228.05799999999991</v>
      </c>
      <c r="AE90" s="1062">
        <f t="shared" si="251"/>
        <v>227.90599999999984</v>
      </c>
      <c r="AF90" s="1063">
        <f t="shared" si="251"/>
        <v>227.75399999999991</v>
      </c>
      <c r="AG90" s="1062">
        <f t="shared" si="251"/>
        <v>227.60199999999992</v>
      </c>
      <c r="AH90" s="1062">
        <f t="shared" si="251"/>
        <v>227.44999999999987</v>
      </c>
      <c r="AI90" s="1062">
        <f t="shared" si="251"/>
        <v>227.29799999999986</v>
      </c>
      <c r="AJ90" s="1062">
        <f t="shared" si="251"/>
        <v>227.14599999999987</v>
      </c>
      <c r="AK90" s="1062">
        <f t="shared" si="251"/>
        <v>226.99399999999986</v>
      </c>
      <c r="AL90" s="1062">
        <f t="shared" si="251"/>
        <v>226.84199999999984</v>
      </c>
      <c r="AM90" s="1062">
        <f t="shared" si="251"/>
        <v>226.68999999999986</v>
      </c>
      <c r="AN90" s="1062">
        <f t="shared" si="251"/>
        <v>226.53799999999987</v>
      </c>
      <c r="AO90" s="1062">
        <f t="shared" si="251"/>
        <v>226.3859999999998</v>
      </c>
      <c r="AP90" s="1062">
        <f t="shared" si="251"/>
        <v>226.23399999999981</v>
      </c>
      <c r="AQ90" s="1062">
        <f t="shared" si="251"/>
        <v>226.08199999999979</v>
      </c>
      <c r="AR90" s="1063">
        <f t="shared" si="251"/>
        <v>225.92999999999984</v>
      </c>
      <c r="AS90" s="1062">
        <f t="shared" si="251"/>
        <v>200.77799999999979</v>
      </c>
      <c r="AT90" s="1062">
        <f t="shared" si="251"/>
        <v>200.62599999999983</v>
      </c>
      <c r="AU90" s="1062">
        <f t="shared" si="251"/>
        <v>200.47399999999982</v>
      </c>
      <c r="AV90" s="1062">
        <f t="shared" si="251"/>
        <v>200.3219999999998</v>
      </c>
      <c r="AW90" s="1062">
        <f t="shared" si="251"/>
        <v>200.16999999999979</v>
      </c>
      <c r="AX90" s="1062">
        <f t="shared" si="251"/>
        <v>200.0179999999998</v>
      </c>
      <c r="AY90" s="1062">
        <f t="shared" si="251"/>
        <v>199.86599999999979</v>
      </c>
      <c r="AZ90" s="1062">
        <f t="shared" si="251"/>
        <v>199.7139999999998</v>
      </c>
      <c r="BA90" s="1062">
        <f t="shared" si="251"/>
        <v>199.56199999999978</v>
      </c>
      <c r="BB90" s="1062">
        <f t="shared" si="251"/>
        <v>199.40999999999977</v>
      </c>
      <c r="BC90" s="1062">
        <f t="shared" si="251"/>
        <v>199.25799999999981</v>
      </c>
      <c r="BD90" s="1063">
        <f t="shared" si="251"/>
        <v>199.10599999999977</v>
      </c>
      <c r="BE90" s="1062">
        <f t="shared" si="251"/>
        <v>120.1039999999999</v>
      </c>
      <c r="BF90" s="1062">
        <f t="shared" si="251"/>
        <v>120.0019999999999</v>
      </c>
      <c r="BG90" s="1062">
        <f t="shared" si="251"/>
        <v>119.89999999999989</v>
      </c>
      <c r="BH90" s="1062">
        <f t="shared" si="251"/>
        <v>119.79799999999989</v>
      </c>
      <c r="BI90" s="1062">
        <f t="shared" si="251"/>
        <v>119.6959999999999</v>
      </c>
      <c r="BJ90" s="1062">
        <f t="shared" si="251"/>
        <v>119.59399999999988</v>
      </c>
      <c r="BK90" s="1062">
        <f t="shared" si="251"/>
        <v>119.49199999999988</v>
      </c>
      <c r="BL90" s="1062">
        <f t="shared" si="251"/>
        <v>119.3899999999999</v>
      </c>
      <c r="BM90" s="1062">
        <f t="shared" si="251"/>
        <v>119.28799999999988</v>
      </c>
      <c r="BN90" s="1062">
        <f t="shared" si="251"/>
        <v>119.18599999999988</v>
      </c>
      <c r="BO90" s="1062">
        <f t="shared" si="251"/>
        <v>119.08399999999988</v>
      </c>
      <c r="BP90" s="1063">
        <f t="shared" si="251"/>
        <v>118.98199999999989</v>
      </c>
    </row>
    <row r="91" spans="1:68" s="327" customFormat="1">
      <c r="A91" s="297"/>
      <c r="B91" s="298"/>
      <c r="C91" s="299"/>
      <c r="D91" s="300"/>
      <c r="E91" s="300" t="s">
        <v>265</v>
      </c>
      <c r="F91" s="327" t="e">
        <f>'Prg. Expenses'!#REF!</f>
        <v>#REF!</v>
      </c>
      <c r="G91" s="328" t="e">
        <f>'Prg. Expenses'!#REF!</f>
        <v>#REF!</v>
      </c>
      <c r="H91" s="328" t="e">
        <f>'Prg. Expenses'!#REF!</f>
        <v>#REF!</v>
      </c>
      <c r="I91" s="1062">
        <f>SUM(I86:I89)</f>
        <v>1850</v>
      </c>
      <c r="J91" s="1062">
        <f t="shared" ref="J91:BP91" si="252">SUM(J86:J89)</f>
        <v>1937.1558751999999</v>
      </c>
      <c r="K91" s="1062">
        <f t="shared" si="252"/>
        <v>2030.0190587848704</v>
      </c>
      <c r="L91" s="1062">
        <f t="shared" si="252"/>
        <v>2128.941218449359</v>
      </c>
      <c r="M91" s="1062">
        <f t="shared" si="252"/>
        <v>2234.2900324673633</v>
      </c>
      <c r="N91" s="1062">
        <f t="shared" si="252"/>
        <v>2346.4496034726417</v>
      </c>
      <c r="O91" s="1062">
        <f t="shared" si="252"/>
        <v>2465.8208731027789</v>
      </c>
      <c r="P91" s="1062">
        <f t="shared" si="252"/>
        <v>2592.8220377557409</v>
      </c>
      <c r="Q91" s="1062">
        <f t="shared" si="252"/>
        <v>2727.8889657926175</v>
      </c>
      <c r="R91" s="1062">
        <f t="shared" si="252"/>
        <v>2871.4756166091629</v>
      </c>
      <c r="S91" s="1062">
        <f t="shared" si="252"/>
        <v>3024.0544620924302</v>
      </c>
      <c r="T91" s="1063">
        <f t="shared" si="252"/>
        <v>3186.1169110768442</v>
      </c>
      <c r="U91" s="1062">
        <f t="shared" si="252"/>
        <v>3358.9807376414046</v>
      </c>
      <c r="V91" s="1062">
        <f t="shared" si="252"/>
        <v>3543.2416591361321</v>
      </c>
      <c r="W91" s="1062">
        <f t="shared" si="252"/>
        <v>3739.515514961849</v>
      </c>
      <c r="X91" s="1062">
        <f t="shared" si="252"/>
        <v>3948.4383904349252</v>
      </c>
      <c r="Y91" s="1062">
        <f t="shared" si="252"/>
        <v>4170.6667372134807</v>
      </c>
      <c r="Z91" s="1062">
        <f t="shared" si="252"/>
        <v>4406.877493173627</v>
      </c>
      <c r="AA91" s="1062">
        <f t="shared" si="252"/>
        <v>4657.7682048703127</v>
      </c>
      <c r="AB91" s="1062">
        <f t="shared" si="252"/>
        <v>4924.0571559566215</v>
      </c>
      <c r="AC91" s="1062">
        <f t="shared" si="252"/>
        <v>5206.4835051661303</v>
      </c>
      <c r="AD91" s="1062">
        <f t="shared" si="252"/>
        <v>5505.8074376836603</v>
      </c>
      <c r="AE91" s="1062">
        <f t="shared" si="252"/>
        <v>5822.8103339388172</v>
      </c>
      <c r="AF91" s="1063">
        <f t="shared" si="252"/>
        <v>6158.2949600526208</v>
      </c>
      <c r="AG91" s="1062">
        <f t="shared" si="252"/>
        <v>6514.1392664878649</v>
      </c>
      <c r="AH91" s="1062">
        <f t="shared" si="252"/>
        <v>6891.2420929122554</v>
      </c>
      <c r="AI91" s="1062">
        <f t="shared" si="252"/>
        <v>7290.5201481641989</v>
      </c>
      <c r="AJ91" s="1062">
        <f t="shared" si="252"/>
        <v>7712.9078999165331</v>
      </c>
      <c r="AK91" s="1062">
        <f t="shared" si="252"/>
        <v>8159.357530652579</v>
      </c>
      <c r="AL91" s="1062">
        <f t="shared" si="252"/>
        <v>8630.8389688113039</v>
      </c>
      <c r="AM91" s="1062">
        <f t="shared" si="252"/>
        <v>9128.3400039027438</v>
      </c>
      <c r="AN91" s="1062">
        <f t="shared" si="252"/>
        <v>9652.8664942797932</v>
      </c>
      <c r="AO91" s="1062">
        <f t="shared" si="252"/>
        <v>10205.442676078563</v>
      </c>
      <c r="AP91" s="1062">
        <f t="shared" si="252"/>
        <v>10787.111581608189</v>
      </c>
      <c r="AQ91" s="1062">
        <f t="shared" si="252"/>
        <v>11398.935575183927</v>
      </c>
      <c r="AR91" s="1063">
        <f t="shared" si="252"/>
        <v>12041.997014057681</v>
      </c>
      <c r="AS91" s="1062">
        <f t="shared" si="252"/>
        <v>11309.223860591001</v>
      </c>
      <c r="AT91" s="1062">
        <f t="shared" si="252"/>
        <v>11938.59815317693</v>
      </c>
      <c r="AU91" s="1062">
        <f t="shared" si="252"/>
        <v>12598.640561226617</v>
      </c>
      <c r="AV91" s="1062">
        <f t="shared" si="252"/>
        <v>13290.384784867672</v>
      </c>
      <c r="AW91" s="1062">
        <f t="shared" si="252"/>
        <v>14014.886742419074</v>
      </c>
      <c r="AX91" s="1062">
        <f t="shared" si="252"/>
        <v>14773.225935151826</v>
      </c>
      <c r="AY91" s="1062">
        <f t="shared" si="252"/>
        <v>15566.50695843432</v>
      </c>
      <c r="AZ91" s="1062">
        <f t="shared" si="252"/>
        <v>16395.861162308756</v>
      </c>
      <c r="BA91" s="1062">
        <f t="shared" si="252"/>
        <v>17262.448464000674</v>
      </c>
      <c r="BB91" s="1062">
        <f t="shared" si="252"/>
        <v>18167.459314320589</v>
      </c>
      <c r="BC91" s="1062">
        <f t="shared" si="252"/>
        <v>19112.116819380197</v>
      </c>
      <c r="BD91" s="1063">
        <f t="shared" si="252"/>
        <v>20097.679018522183</v>
      </c>
      <c r="BE91" s="1062">
        <f t="shared" si="252"/>
        <v>12752.947938519361</v>
      </c>
      <c r="BF91" s="1062">
        <f t="shared" si="252"/>
        <v>13398.522569380648</v>
      </c>
      <c r="BG91" s="1062">
        <f t="shared" si="252"/>
        <v>14071.093642551565</v>
      </c>
      <c r="BH91" s="1062">
        <f t="shared" si="252"/>
        <v>14771.513160710467</v>
      </c>
      <c r="BI91" s="1062">
        <f t="shared" si="252"/>
        <v>15500.662176870897</v>
      </c>
      <c r="BJ91" s="1062">
        <f t="shared" si="252"/>
        <v>16259.452716260315</v>
      </c>
      <c r="BK91" s="1062">
        <f t="shared" si="252"/>
        <v>17048.829787735329</v>
      </c>
      <c r="BL91" s="1062">
        <f t="shared" si="252"/>
        <v>17869.77348337894</v>
      </c>
      <c r="BM91" s="1062">
        <f t="shared" si="252"/>
        <v>18723.301164825763</v>
      </c>
      <c r="BN91" s="1062">
        <f t="shared" si="252"/>
        <v>19610.469734797673</v>
      </c>
      <c r="BO91" s="1062">
        <f t="shared" si="252"/>
        <v>20532.377992305759</v>
      </c>
      <c r="BP91" s="1063">
        <f t="shared" si="252"/>
        <v>21490.16906998655</v>
      </c>
    </row>
    <row r="92" spans="1:68" s="327" customFormat="1">
      <c r="A92" s="1074"/>
      <c r="B92" s="1075"/>
      <c r="C92" s="1076"/>
      <c r="D92" s="1077"/>
      <c r="E92" s="1077"/>
      <c r="G92" s="328"/>
      <c r="H92" s="328"/>
      <c r="I92" s="1062"/>
      <c r="J92" s="1062"/>
      <c r="K92" s="1062"/>
      <c r="L92" s="1062"/>
      <c r="M92" s="1062"/>
      <c r="N92" s="1062"/>
      <c r="O92" s="1062"/>
      <c r="P92" s="1062"/>
      <c r="Q92" s="1062"/>
      <c r="R92" s="1062"/>
      <c r="S92" s="1062"/>
      <c r="T92" s="1063"/>
      <c r="U92" s="1062"/>
      <c r="V92" s="1062"/>
      <c r="W92" s="1062"/>
      <c r="X92" s="1062"/>
      <c r="Y92" s="1062"/>
      <c r="Z92" s="1062"/>
      <c r="AA92" s="1062"/>
      <c r="AB92" s="1062"/>
      <c r="AC92" s="1062"/>
      <c r="AD92" s="1062"/>
      <c r="AE92" s="1062"/>
      <c r="AF92" s="1063"/>
      <c r="AG92" s="1062"/>
      <c r="AH92" s="1062"/>
      <c r="AI92" s="1062"/>
      <c r="AJ92" s="1062"/>
      <c r="AK92" s="1062"/>
      <c r="AL92" s="1062"/>
      <c r="AM92" s="1062"/>
      <c r="AN92" s="1062"/>
      <c r="AO92" s="1062"/>
      <c r="AP92" s="1062"/>
      <c r="AQ92" s="1062"/>
      <c r="AR92" s="1063"/>
      <c r="AS92" s="1062"/>
      <c r="AT92" s="1062"/>
      <c r="AU92" s="1062"/>
      <c r="AV92" s="1062"/>
      <c r="AW92" s="1062"/>
      <c r="AX92" s="1062"/>
      <c r="AY92" s="1062"/>
      <c r="AZ92" s="1062"/>
      <c r="BA92" s="1062"/>
      <c r="BB92" s="1062"/>
      <c r="BC92" s="1062"/>
      <c r="BD92" s="1063"/>
      <c r="BE92" s="1062"/>
      <c r="BF92" s="1062"/>
      <c r="BG92" s="1062"/>
      <c r="BH92" s="1062"/>
      <c r="BI92" s="1062"/>
      <c r="BJ92" s="1062"/>
      <c r="BK92" s="1062"/>
      <c r="BL92" s="1062"/>
      <c r="BM92" s="1062"/>
      <c r="BN92" s="1062"/>
      <c r="BO92" s="1062"/>
      <c r="BP92" s="1063"/>
    </row>
    <row r="93" spans="1:68" s="671" customFormat="1">
      <c r="A93" s="667" t="s">
        <v>246</v>
      </c>
      <c r="B93" s="668"/>
      <c r="C93" s="669"/>
      <c r="D93" s="670"/>
      <c r="E93" s="670" t="s">
        <v>234</v>
      </c>
      <c r="G93" s="672"/>
      <c r="H93" s="672"/>
      <c r="I93" s="671">
        <f>I91+I80</f>
        <v>2429.36</v>
      </c>
      <c r="J93" s="671">
        <f t="shared" ref="J93:BP93" si="253">J91+J80</f>
        <v>2536.6776031999998</v>
      </c>
      <c r="K93" s="671">
        <f t="shared" si="253"/>
        <v>2650.0300413609984</v>
      </c>
      <c r="L93" s="671">
        <f t="shared" si="253"/>
        <v>2769.7548095128814</v>
      </c>
      <c r="M93" s="671">
        <f t="shared" si="253"/>
        <v>2896.2043334574255</v>
      </c>
      <c r="N93" s="671">
        <f t="shared" si="253"/>
        <v>3029.7463840418868</v>
      </c>
      <c r="O93" s="671">
        <f t="shared" si="253"/>
        <v>3170.7644956804579</v>
      </c>
      <c r="P93" s="671">
        <f t="shared" si="253"/>
        <v>3319.658389476192</v>
      </c>
      <c r="Q93" s="671">
        <f t="shared" si="253"/>
        <v>3476.8444013686253</v>
      </c>
      <c r="R93" s="671">
        <f t="shared" si="253"/>
        <v>3642.7559158088206</v>
      </c>
      <c r="S93" s="671">
        <f t="shared" si="253"/>
        <v>3817.8438055439306</v>
      </c>
      <c r="T93" s="1078">
        <f t="shared" si="253"/>
        <v>4002.5768781773195</v>
      </c>
      <c r="U93" s="671">
        <f t="shared" si="253"/>
        <v>4198.0795067096424</v>
      </c>
      <c r="V93" s="671">
        <f t="shared" si="253"/>
        <v>4404.9088286972283</v>
      </c>
      <c r="W93" s="671">
        <f t="shared" si="253"/>
        <v>4623.6411776303867</v>
      </c>
      <c r="X93" s="671">
        <f t="shared" si="253"/>
        <v>4854.872311823915</v>
      </c>
      <c r="Y93" s="671">
        <f t="shared" si="253"/>
        <v>5099.2176462843618</v>
      </c>
      <c r="Z93" s="671">
        <f t="shared" si="253"/>
        <v>5357.3124900694911</v>
      </c>
      <c r="AA93" s="671">
        <f t="shared" si="253"/>
        <v>5629.812291855601</v>
      </c>
      <c r="AB93" s="671">
        <f t="shared" si="253"/>
        <v>5917.3928966232352</v>
      </c>
      <c r="AC93" s="671">
        <f t="shared" si="253"/>
        <v>6220.7508165600711</v>
      </c>
      <c r="AD93" s="671">
        <f t="shared" si="253"/>
        <v>6540.6035194602146</v>
      </c>
      <c r="AE93" s="671">
        <f t="shared" si="253"/>
        <v>6877.6897380704904</v>
      </c>
      <c r="AF93" s="1078">
        <f t="shared" si="253"/>
        <v>7232.7698039954448</v>
      </c>
      <c r="AG93" s="671">
        <f t="shared" si="253"/>
        <v>7607.4561012940703</v>
      </c>
      <c r="AH93" s="671">
        <f t="shared" si="253"/>
        <v>8002.5942822254237</v>
      </c>
      <c r="AI93" s="671">
        <f t="shared" si="253"/>
        <v>8419.0493969153922</v>
      </c>
      <c r="AJ93" s="671">
        <f t="shared" si="253"/>
        <v>8857.7060263177227</v>
      </c>
      <c r="AK93" s="671">
        <f t="shared" si="253"/>
        <v>9319.4684767925119</v>
      </c>
      <c r="AL93" s="671">
        <f t="shared" si="253"/>
        <v>9805.2610435828192</v>
      </c>
      <c r="AM93" s="671">
        <f t="shared" si="253"/>
        <v>10316.028350430877</v>
      </c>
      <c r="AN93" s="671">
        <f t="shared" si="253"/>
        <v>10852.735772489919</v>
      </c>
      <c r="AO93" s="671">
        <f t="shared" si="253"/>
        <v>11416.369949556674</v>
      </c>
      <c r="AP93" s="671">
        <f t="shared" si="253"/>
        <v>12007.939396474258</v>
      </c>
      <c r="AQ93" s="671">
        <f t="shared" si="253"/>
        <v>12628.47521733688</v>
      </c>
      <c r="AR93" s="1078">
        <f t="shared" si="253"/>
        <v>13279.031929869197</v>
      </c>
      <c r="AS93" s="671">
        <f t="shared" si="253"/>
        <v>12552.513224936862</v>
      </c>
      <c r="AT93" s="671">
        <f t="shared" si="253"/>
        <v>13186.880567610004</v>
      </c>
      <c r="AU93" s="671">
        <f t="shared" si="253"/>
        <v>13850.637864125043</v>
      </c>
      <c r="AV93" s="671">
        <f t="shared" si="253"/>
        <v>14544.80595454451</v>
      </c>
      <c r="AW93" s="671">
        <f t="shared" si="253"/>
        <v>15270.431873463942</v>
      </c>
      <c r="AX93" s="671">
        <f t="shared" si="253"/>
        <v>16028.590267697824</v>
      </c>
      <c r="AY93" s="671">
        <f t="shared" si="253"/>
        <v>16820.384939610583</v>
      </c>
      <c r="AZ93" s="671">
        <f t="shared" si="253"/>
        <v>17646.950518854883</v>
      </c>
      <c r="BA93" s="671">
        <f t="shared" si="253"/>
        <v>18509.454264887034</v>
      </c>
      <c r="BB93" s="671">
        <f t="shared" si="253"/>
        <v>19409.098002239934</v>
      </c>
      <c r="BC93" s="671">
        <f t="shared" si="253"/>
        <v>20347.120190151301</v>
      </c>
      <c r="BD93" s="1078">
        <f t="shared" si="253"/>
        <v>21324.798127774287</v>
      </c>
      <c r="BE93" s="671">
        <f t="shared" si="253"/>
        <v>13970.956915504376</v>
      </c>
      <c r="BF93" s="671">
        <f t="shared" si="253"/>
        <v>14606.222318384462</v>
      </c>
      <c r="BG93" s="671">
        <f t="shared" si="253"/>
        <v>15267.315413140846</v>
      </c>
      <c r="BH93" s="671">
        <f t="shared" si="253"/>
        <v>15955.121968950656</v>
      </c>
      <c r="BI93" s="671">
        <f t="shared" si="253"/>
        <v>16670.560060676431</v>
      </c>
      <c r="BJ93" s="671">
        <f t="shared" si="253"/>
        <v>17414.58180918069</v>
      </c>
      <c r="BK93" s="671">
        <f t="shared" si="253"/>
        <v>18188.175196730037</v>
      </c>
      <c r="BL93" s="671">
        <f t="shared" si="253"/>
        <v>18992.365957479793</v>
      </c>
      <c r="BM93" s="671">
        <f t="shared" si="253"/>
        <v>19828.219543014373</v>
      </c>
      <c r="BN93" s="671">
        <f t="shared" si="253"/>
        <v>20696.843162926762</v>
      </c>
      <c r="BO93" s="671">
        <f t="shared" si="253"/>
        <v>21599.387900451875</v>
      </c>
      <c r="BP93" s="1078">
        <f t="shared" si="253"/>
        <v>22537.050903225398</v>
      </c>
    </row>
    <row r="94" spans="1:68" s="320" customFormat="1" ht="21.75" customHeight="1">
      <c r="A94" s="680" t="s">
        <v>36</v>
      </c>
      <c r="B94" s="680"/>
      <c r="C94" s="681"/>
      <c r="D94" s="682"/>
      <c r="E94" s="683"/>
      <c r="G94" s="321"/>
      <c r="H94" s="321"/>
      <c r="I94" s="1064"/>
      <c r="J94" s="1064"/>
      <c r="K94" s="1064"/>
      <c r="L94" s="1064"/>
      <c r="M94" s="1064"/>
      <c r="N94" s="1064"/>
      <c r="O94" s="1064"/>
      <c r="P94" s="1064"/>
      <c r="Q94" s="1064"/>
      <c r="R94" s="1064"/>
      <c r="S94" s="1064"/>
      <c r="T94" s="1065"/>
      <c r="U94" s="1064"/>
      <c r="V94" s="1064"/>
      <c r="W94" s="1064"/>
      <c r="X94" s="1064"/>
      <c r="Y94" s="1064"/>
      <c r="Z94" s="1064"/>
      <c r="AA94" s="1064"/>
      <c r="AB94" s="1064"/>
      <c r="AC94" s="1064"/>
      <c r="AD94" s="1064"/>
      <c r="AE94" s="1064"/>
      <c r="AF94" s="1065"/>
      <c r="AG94" s="1064"/>
      <c r="AH94" s="1064"/>
      <c r="AI94" s="1064"/>
      <c r="AJ94" s="1064"/>
      <c r="AK94" s="1064"/>
      <c r="AL94" s="1064"/>
      <c r="AM94" s="1064"/>
      <c r="AN94" s="1064"/>
      <c r="AO94" s="1064"/>
      <c r="AP94" s="1064"/>
      <c r="AQ94" s="1064"/>
      <c r="AR94" s="1065"/>
      <c r="AS94" s="1064"/>
      <c r="AT94" s="1064"/>
      <c r="AU94" s="1064"/>
      <c r="AV94" s="1064"/>
      <c r="AW94" s="1064"/>
      <c r="AX94" s="1064"/>
      <c r="AY94" s="1064"/>
      <c r="AZ94" s="1064"/>
      <c r="BA94" s="1064"/>
      <c r="BB94" s="1064"/>
      <c r="BC94" s="1064"/>
      <c r="BD94" s="1065"/>
      <c r="BE94" s="1064"/>
      <c r="BF94" s="1064"/>
      <c r="BG94" s="1064"/>
      <c r="BH94" s="1064"/>
      <c r="BI94" s="1064"/>
      <c r="BJ94" s="1064"/>
      <c r="BK94" s="1064"/>
      <c r="BL94" s="1064"/>
      <c r="BM94" s="1064"/>
      <c r="BN94" s="1064"/>
      <c r="BO94" s="1064"/>
      <c r="BP94" s="1065"/>
    </row>
    <row r="95" spans="1:68" s="639" customFormat="1">
      <c r="A95" s="657"/>
      <c r="B95" s="658"/>
      <c r="C95" s="626" t="s">
        <v>24</v>
      </c>
      <c r="D95" s="1079"/>
      <c r="E95" s="684"/>
      <c r="G95" s="640"/>
      <c r="H95" s="640"/>
      <c r="I95" s="989">
        <f>HR!D44</f>
        <v>0</v>
      </c>
      <c r="J95" s="989">
        <f>HR!E44</f>
        <v>0</v>
      </c>
      <c r="K95" s="989">
        <f>HR!F44</f>
        <v>0</v>
      </c>
      <c r="L95" s="989">
        <f>HR!G44</f>
        <v>0</v>
      </c>
      <c r="M95" s="989">
        <f>HR!H44</f>
        <v>0</v>
      </c>
      <c r="N95" s="989">
        <f>HR!I44</f>
        <v>0</v>
      </c>
      <c r="O95" s="989">
        <f>HR!J44</f>
        <v>0</v>
      </c>
      <c r="P95" s="989">
        <f>HR!K44</f>
        <v>0</v>
      </c>
      <c r="Q95" s="989">
        <f>HR!L44</f>
        <v>0</v>
      </c>
      <c r="R95" s="989">
        <f>HR!M44</f>
        <v>0</v>
      </c>
      <c r="S95" s="989">
        <f>HR!N44</f>
        <v>0</v>
      </c>
      <c r="T95" s="990">
        <f>HR!O44</f>
        <v>0</v>
      </c>
      <c r="U95" s="989">
        <f>HR!BN44</f>
        <v>0</v>
      </c>
      <c r="V95" s="989">
        <f>HR!BO44</f>
        <v>0</v>
      </c>
      <c r="W95" s="989">
        <f>HR!BP44</f>
        <v>0</v>
      </c>
      <c r="X95" s="989">
        <f>HR!BQ44</f>
        <v>0</v>
      </c>
      <c r="Y95" s="989">
        <f>HR!BR44</f>
        <v>0</v>
      </c>
      <c r="Z95" s="989">
        <f>HR!BS44</f>
        <v>0</v>
      </c>
      <c r="AA95" s="989">
        <f>HR!BT44</f>
        <v>0</v>
      </c>
      <c r="AB95" s="989">
        <f>HR!BU44</f>
        <v>0</v>
      </c>
      <c r="AC95" s="989">
        <f>HR!BV44</f>
        <v>0</v>
      </c>
      <c r="AD95" s="989">
        <f>HR!BW44</f>
        <v>9451</v>
      </c>
      <c r="AE95" s="989">
        <f>HR!BX44</f>
        <v>9451</v>
      </c>
      <c r="AF95" s="990">
        <f>HR!BY44</f>
        <v>9451</v>
      </c>
      <c r="AG95" s="989">
        <f>HR!BZ44</f>
        <v>15139.666666666666</v>
      </c>
      <c r="AH95" s="989">
        <f>HR!P44</f>
        <v>0</v>
      </c>
      <c r="AI95" s="989">
        <f>HR!Q44</f>
        <v>0</v>
      </c>
      <c r="AJ95" s="989">
        <f>HR!R44</f>
        <v>0</v>
      </c>
      <c r="AK95" s="989">
        <f>HR!S44</f>
        <v>0</v>
      </c>
      <c r="AL95" s="989">
        <f>HR!T44</f>
        <v>0</v>
      </c>
      <c r="AM95" s="989">
        <f>HR!U44</f>
        <v>0</v>
      </c>
      <c r="AN95" s="989">
        <f>HR!V44</f>
        <v>0</v>
      </c>
      <c r="AO95" s="989">
        <f>HR!W44</f>
        <v>0</v>
      </c>
      <c r="AP95" s="989">
        <f>HR!X44</f>
        <v>0</v>
      </c>
      <c r="AQ95" s="989">
        <f>HR!Y44</f>
        <v>9451</v>
      </c>
      <c r="AR95" s="990">
        <f>HR!Z44</f>
        <v>9451</v>
      </c>
      <c r="AS95" s="989">
        <f>HR!AA44</f>
        <v>9451</v>
      </c>
      <c r="AT95" s="989">
        <f>HR!AB44</f>
        <v>15139.666666666666</v>
      </c>
      <c r="AU95" s="989">
        <f>HR!AC44</f>
        <v>15139.666666666666</v>
      </c>
      <c r="AV95" s="989">
        <f>HR!AD44</f>
        <v>15139.666666666666</v>
      </c>
      <c r="AW95" s="989">
        <f>HR!AE44</f>
        <v>15139.666666666666</v>
      </c>
      <c r="AX95" s="989">
        <f>HR!AF44</f>
        <v>15139.666666666666</v>
      </c>
      <c r="AY95" s="989">
        <f>HR!AG44</f>
        <v>15139.666666666666</v>
      </c>
      <c r="AZ95" s="989">
        <f>HR!AH44</f>
        <v>15139.666666666666</v>
      </c>
      <c r="BA95" s="989">
        <f>HR!AI44</f>
        <v>15139.666666666666</v>
      </c>
      <c r="BB95" s="989">
        <f>HR!AJ44</f>
        <v>17141.666666666664</v>
      </c>
      <c r="BC95" s="989">
        <f>HR!AK44</f>
        <v>17308.333333333332</v>
      </c>
      <c r="BD95" s="990">
        <f>HR!AL44</f>
        <v>19842.222222222223</v>
      </c>
      <c r="BE95" s="989">
        <f>HR!AM44</f>
        <v>19843.379629629631</v>
      </c>
      <c r="BF95" s="989">
        <f>HR!AN44</f>
        <v>19843.476080246914</v>
      </c>
      <c r="BG95" s="989">
        <f>HR!AO44</f>
        <v>19843.484117798354</v>
      </c>
      <c r="BH95" s="989">
        <f>HR!AP44</f>
        <v>19843.484787594309</v>
      </c>
      <c r="BI95" s="989">
        <f>HR!AQ44</f>
        <v>19843.484843410639</v>
      </c>
      <c r="BJ95" s="989">
        <f>HR!AR44</f>
        <v>19843.484848061998</v>
      </c>
      <c r="BK95" s="989">
        <f>HR!AS44</f>
        <v>19843.484848449611</v>
      </c>
      <c r="BL95" s="989">
        <f>HR!AT44</f>
        <v>19843.484848481912</v>
      </c>
      <c r="BM95" s="989">
        <f>HR!AU44</f>
        <v>19843.484848484604</v>
      </c>
      <c r="BN95" s="989">
        <f>HR!AV44</f>
        <v>25303.48484848483</v>
      </c>
      <c r="BO95" s="989">
        <f>HR!AW44</f>
        <v>25303.484848484848</v>
      </c>
      <c r="BP95" s="990">
        <f>HR!AX44</f>
        <v>25303.484848484848</v>
      </c>
    </row>
    <row r="96" spans="1:68" s="644" customFormat="1">
      <c r="A96" s="630"/>
      <c r="B96" s="316"/>
      <c r="C96" s="314" t="s">
        <v>37</v>
      </c>
      <c r="D96" s="643">
        <v>50</v>
      </c>
      <c r="E96" s="317" t="s">
        <v>185</v>
      </c>
      <c r="G96" s="645">
        <f>$D$96</f>
        <v>50</v>
      </c>
      <c r="H96" s="645"/>
      <c r="I96" s="981">
        <f>(HR!D31+HR!D25+HR!D22+HR!D19+4)*$D96</f>
        <v>250</v>
      </c>
      <c r="J96" s="981">
        <f>(HR!E31+HR!E25+HR!E22+HR!E19+4)*$D96</f>
        <v>250</v>
      </c>
      <c r="K96" s="981">
        <f>(HR!F31+HR!F25+HR!F22+HR!F19+4)*$D96</f>
        <v>250</v>
      </c>
      <c r="L96" s="981">
        <f>(HR!G31+HR!G25+HR!G22+HR!G19+4)*$D96</f>
        <v>250</v>
      </c>
      <c r="M96" s="981">
        <f>(HR!H31+HR!H25+HR!H22+HR!H19+4)*$D96</f>
        <v>250</v>
      </c>
      <c r="N96" s="981">
        <f>(HR!I31+HR!I25+HR!I22+HR!I19+4)*$D96</f>
        <v>250</v>
      </c>
      <c r="O96" s="981">
        <f>(HR!J31+HR!J25+HR!J22+HR!J19+4)*$D96</f>
        <v>250</v>
      </c>
      <c r="P96" s="981">
        <f>(HR!K31+HR!K25+HR!K22+HR!K19+4)*$D96</f>
        <v>250</v>
      </c>
      <c r="Q96" s="981">
        <f>(HR!L31+HR!L25+HR!L22+HR!L19+4)*$D96</f>
        <v>250</v>
      </c>
      <c r="R96" s="981">
        <f>(HR!M31+HR!M25+HR!M22+HR!M19+4)*$D96</f>
        <v>250</v>
      </c>
      <c r="S96" s="981">
        <f>(HR!N31+HR!N25+HR!N22+HR!N19+4)*$D96</f>
        <v>250</v>
      </c>
      <c r="T96" s="982">
        <f>(HR!O31+HR!O25+HR!O22+HR!O19+4)*$D96</f>
        <v>250</v>
      </c>
      <c r="U96" s="981">
        <f>(HR!BN31+HR!BN25+HR!BN22+HR!BN19+4)*$D96</f>
        <v>250</v>
      </c>
      <c r="V96" s="981">
        <f>(HR!BO31+HR!BO25+HR!BO22+HR!BO19+4)*$D96</f>
        <v>250</v>
      </c>
      <c r="W96" s="981">
        <f>(HR!BP31+HR!BP25+HR!BP22+HR!BP19+4)*$D96</f>
        <v>250</v>
      </c>
      <c r="X96" s="981">
        <f>(HR!BQ31+HR!BQ25+HR!BQ22+HR!BQ19+4)*$D96</f>
        <v>250</v>
      </c>
      <c r="Y96" s="981">
        <f>(HR!BR31+HR!BR25+HR!BR22+HR!BR19+4)*$D96</f>
        <v>252.1242386875345</v>
      </c>
      <c r="Z96" s="981">
        <f>(HR!BS31+HR!BS25+HR!BS22+HR!BS19+4)*$D96</f>
        <v>254.82349713749971</v>
      </c>
      <c r="AA96" s="981">
        <f>(HR!BT31+HR!BT25+HR!BT22+HR!BT19+4)*$D96</f>
        <v>257.68210922885163</v>
      </c>
      <c r="AB96" s="981">
        <f>(HR!BU31+HR!BU25+HR!BU22+HR!BU19+4)*$D96</f>
        <v>260.708815859975</v>
      </c>
      <c r="AC96" s="981">
        <f>(HR!BV31+HR!BV25+HR!BV22+HR!BV19+4)*$D96</f>
        <v>263.91261168287832</v>
      </c>
      <c r="AD96" s="981">
        <f>(HR!BW31+HR!BW25+HR!BW22+HR!BW19+4)*$D96</f>
        <v>267.30273437466565</v>
      </c>
      <c r="AE96" s="981">
        <f>(HR!BX31+HR!BX25+HR!BX22+HR!BX19+4)*$D96</f>
        <v>270.88865556285793</v>
      </c>
      <c r="AF96" s="982">
        <f>(HR!BY31+HR!BY25+HR!BY22+HR!BY19+4)*$D96</f>
        <v>274.68007400980036</v>
      </c>
      <c r="AG96" s="981">
        <f>(HR!BZ31+HR!BZ25+HR!BZ22+HR!BZ19+4)*$D96</f>
        <v>278.69158081277698</v>
      </c>
      <c r="AH96" s="981">
        <f>(HR!P31+HR!P25+HR!P22+HR!P19+4)*$D96</f>
        <v>250</v>
      </c>
      <c r="AI96" s="981">
        <f>(HR!Q31+HR!Q25+HR!Q22+HR!Q19+4)*$D96</f>
        <v>250</v>
      </c>
      <c r="AJ96" s="981">
        <f>(HR!R31+HR!R25+HR!R22+HR!R19+4)*$D96</f>
        <v>250</v>
      </c>
      <c r="AK96" s="981">
        <f>(HR!S31+HR!S25+HR!S22+HR!S19+4)*$D96</f>
        <v>250</v>
      </c>
      <c r="AL96" s="981">
        <f>(HR!T31+HR!T25+HR!T22+HR!T19+4)*$D96</f>
        <v>252.1242386875345</v>
      </c>
      <c r="AM96" s="981">
        <f>(HR!U31+HR!U25+HR!U22+HR!U19+4)*$D96</f>
        <v>254.82349713749971</v>
      </c>
      <c r="AN96" s="981">
        <f>(HR!V31+HR!V25+HR!V22+HR!V19+4)*$D96</f>
        <v>257.68210922885163</v>
      </c>
      <c r="AO96" s="981">
        <f>(HR!W31+HR!W25+HR!W22+HR!W19+4)*$D96</f>
        <v>260.708815859975</v>
      </c>
      <c r="AP96" s="981">
        <f>(HR!X31+HR!X25+HR!X22+HR!X19+4)*$D96</f>
        <v>263.91261168287832</v>
      </c>
      <c r="AQ96" s="981">
        <f>(HR!Y31+HR!Y25+HR!Y22+HR!Y19+4)*$D96</f>
        <v>267.30273437466565</v>
      </c>
      <c r="AR96" s="982">
        <f>(HR!Z31+HR!Z25+HR!Z22+HR!Z19+4)*$D96</f>
        <v>270.88865556285793</v>
      </c>
      <c r="AS96" s="981">
        <f>(HR!AA31+HR!AA25+HR!AA22+HR!AA19+4)*$D96</f>
        <v>324.68007400980036</v>
      </c>
      <c r="AT96" s="981">
        <f>(HR!AB31+HR!AB25+HR!AB22+HR!AB19+4)*$D96</f>
        <v>312.95326465022157</v>
      </c>
      <c r="AU96" s="981">
        <f>(HR!AC31+HR!AC25+HR!AC22+HR!AC19+4)*$D96</f>
        <v>316.27384980961949</v>
      </c>
      <c r="AV96" s="981">
        <f>(HR!AD31+HR!AD25+HR!AD22+HR!AD19+4)*$D96</f>
        <v>319.77816787597266</v>
      </c>
      <c r="AW96" s="981">
        <f>(HR!AE31+HR!AE25+HR!AE22+HR!AE19+4)*$D96</f>
        <v>323.47463938757653</v>
      </c>
      <c r="AX96" s="981">
        <f>(HR!AF31+HR!AF25+HR!AF22+HR!AF19+4)*$D96</f>
        <v>327.37188533081849</v>
      </c>
      <c r="AY96" s="981">
        <f>(HR!AG31+HR!AG25+HR!AG22+HR!AG19+4)*$D96</f>
        <v>331.47872953006714</v>
      </c>
      <c r="AZ96" s="981">
        <f>(HR!AH31+HR!AH25+HR!AH22+HR!AH19+4)*$D96</f>
        <v>335.80420272249626</v>
      </c>
      <c r="BA96" s="981">
        <f>(HR!AI31+HR!AI25+HR!AI22+HR!AI19+4)*$D96</f>
        <v>340.35754837785572</v>
      </c>
      <c r="BB96" s="981">
        <f>(HR!AJ31+HR!AJ25+HR!AJ22+HR!AJ19+4)*$D96</f>
        <v>345.1482302899999</v>
      </c>
      <c r="BC96" s="981">
        <f>(HR!AK31+HR!AK25+HR!AK22+HR!AK19+4)*$D96</f>
        <v>350.18594193760026</v>
      </c>
      <c r="BD96" s="982">
        <f>(HR!AL31+HR!AL25+HR!AL22+HR!AL19+4)*$D96</f>
        <v>380.48061758684611</v>
      </c>
      <c r="BE96" s="981">
        <f>(HR!AM31+HR!AM25+HR!AM22+HR!AM19+4)*$D96</f>
        <v>386.04244508966065</v>
      </c>
      <c r="BF96" s="981">
        <f>(HR!AN31+HR!AN25+HR!AN22+HR!AN19+4)*$D96</f>
        <v>441.8818803172158</v>
      </c>
      <c r="BG96" s="981">
        <f>(HR!AO31+HR!AO25+HR!AO22+HR!AO19+4)*$D96</f>
        <v>447.70730329066646</v>
      </c>
      <c r="BH96" s="981">
        <f>(HR!AP31+HR!AP25+HR!AP22+HR!AP19+4)*$D96</f>
        <v>453.80635994830482</v>
      </c>
      <c r="BI96" s="981">
        <f>(HR!AQ31+HR!AQ25+HR!AQ22+HR!AQ19+4)*$D96</f>
        <v>460.18950017660023</v>
      </c>
      <c r="BJ96" s="981">
        <f>(HR!AR31+HR!AR25+HR!AR22+HR!AR19+4)*$D96</f>
        <v>466.86748733450685</v>
      </c>
      <c r="BK96" s="981">
        <f>(HR!AS31+HR!AS25+HR!AS22+HR!AS19+4)*$D96</f>
        <v>473.85141282750942</v>
      </c>
      <c r="BL96" s="981">
        <f>(HR!AT31+HR!AT25+HR!AT22+HR!AT19+4)*$D96</f>
        <v>481.15271186031379</v>
      </c>
      <c r="BM96" s="981">
        <f>(HR!AU31+HR!AU25+HR!AU22+HR!AU19+4)*$D96</f>
        <v>488.78318040179664</v>
      </c>
      <c r="BN96" s="981">
        <f>(HR!AV31+HR!AV25+HR!AV22+HR!AV19+4)*$D96</f>
        <v>546.75499339294436</v>
      </c>
      <c r="BO96" s="981">
        <f>(HR!AW31+HR!AW25+HR!AW22+HR!AW19+4)*$D96</f>
        <v>555.0807242256916</v>
      </c>
      <c r="BP96" s="982">
        <f>(HR!AX31+HR!AX25+HR!AX22+HR!AX19+4)*$D96</f>
        <v>588.77336551782355</v>
      </c>
    </row>
    <row r="97" spans="1:68" s="644" customFormat="1">
      <c r="A97" s="630"/>
      <c r="B97" s="316"/>
      <c r="C97" s="314" t="s">
        <v>38</v>
      </c>
      <c r="D97" s="643">
        <v>15</v>
      </c>
      <c r="E97" s="317" t="s">
        <v>94</v>
      </c>
      <c r="G97" s="645" t="e">
        <f>G82*$D$97</f>
        <v>#REF!</v>
      </c>
      <c r="H97" s="645"/>
      <c r="I97" s="645">
        <f t="shared" ref="I97:AN97" si="254">I82*$D$97</f>
        <v>240</v>
      </c>
      <c r="J97" s="645">
        <f t="shared" si="254"/>
        <v>240</v>
      </c>
      <c r="K97" s="645">
        <f t="shared" si="254"/>
        <v>240</v>
      </c>
      <c r="L97" s="645">
        <f t="shared" si="254"/>
        <v>240</v>
      </c>
      <c r="M97" s="645">
        <f t="shared" si="254"/>
        <v>240</v>
      </c>
      <c r="N97" s="645">
        <f t="shared" si="254"/>
        <v>255</v>
      </c>
      <c r="O97" s="645">
        <f t="shared" si="254"/>
        <v>255</v>
      </c>
      <c r="P97" s="645">
        <f t="shared" si="254"/>
        <v>255</v>
      </c>
      <c r="Q97" s="645">
        <f t="shared" si="254"/>
        <v>255</v>
      </c>
      <c r="R97" s="645">
        <f t="shared" si="254"/>
        <v>255</v>
      </c>
      <c r="S97" s="645">
        <f t="shared" si="254"/>
        <v>255</v>
      </c>
      <c r="T97" s="983">
        <f t="shared" si="254"/>
        <v>255</v>
      </c>
      <c r="U97" s="645">
        <f t="shared" si="254"/>
        <v>225</v>
      </c>
      <c r="V97" s="645">
        <f t="shared" si="254"/>
        <v>165</v>
      </c>
      <c r="W97" s="645">
        <f t="shared" si="254"/>
        <v>165</v>
      </c>
      <c r="X97" s="645">
        <f t="shared" si="254"/>
        <v>165</v>
      </c>
      <c r="Y97" s="645">
        <f t="shared" si="254"/>
        <v>165.63727160626036</v>
      </c>
      <c r="Z97" s="645">
        <f t="shared" si="254"/>
        <v>166.44704914124992</v>
      </c>
      <c r="AA97" s="645">
        <f t="shared" si="254"/>
        <v>167.30463276865549</v>
      </c>
      <c r="AB97" s="645">
        <f t="shared" si="254"/>
        <v>168.21264475799251</v>
      </c>
      <c r="AC97" s="645">
        <f t="shared" si="254"/>
        <v>169.17378350486351</v>
      </c>
      <c r="AD97" s="645">
        <f t="shared" si="254"/>
        <v>170.19082031239972</v>
      </c>
      <c r="AE97" s="645">
        <f t="shared" si="254"/>
        <v>171.26659666885737</v>
      </c>
      <c r="AF97" s="983">
        <f t="shared" si="254"/>
        <v>172.4040222029401</v>
      </c>
      <c r="AG97" s="645">
        <f t="shared" si="254"/>
        <v>168.88597939506647</v>
      </c>
      <c r="AH97" s="645">
        <f t="shared" si="254"/>
        <v>259.88215494288585</v>
      </c>
      <c r="AI97" s="645">
        <f t="shared" si="254"/>
        <v>260.9334503627918</v>
      </c>
      <c r="AJ97" s="645">
        <f t="shared" si="254"/>
        <v>277.04239181627298</v>
      </c>
      <c r="AK97" s="645">
        <f t="shared" si="254"/>
        <v>278.21156559924555</v>
      </c>
      <c r="AL97" s="645">
        <f t="shared" si="254"/>
        <v>279.44361885902015</v>
      </c>
      <c r="AM97" s="645">
        <f t="shared" si="254"/>
        <v>280.74126081674888</v>
      </c>
      <c r="AN97" s="645">
        <f t="shared" si="254"/>
        <v>282.10726451335671</v>
      </c>
      <c r="AO97" s="645">
        <f t="shared" ref="AO97:BP97" si="255">AO82*$D$97</f>
        <v>283.54446908699998</v>
      </c>
      <c r="AP97" s="645">
        <f t="shared" si="255"/>
        <v>300.05578258128008</v>
      </c>
      <c r="AQ97" s="645">
        <f t="shared" si="255"/>
        <v>301.64418527605386</v>
      </c>
      <c r="AR97" s="983">
        <f t="shared" si="255"/>
        <v>303.31273352689823</v>
      </c>
      <c r="AS97" s="645">
        <f t="shared" si="255"/>
        <v>320.06456409516477</v>
      </c>
      <c r="AT97" s="645">
        <f t="shared" si="255"/>
        <v>321.81219098719993</v>
      </c>
      <c r="AU97" s="645">
        <f t="shared" si="255"/>
        <v>323.64190798449141</v>
      </c>
      <c r="AV97" s="645">
        <f t="shared" si="255"/>
        <v>325.55685005298005</v>
      </c>
      <c r="AW97" s="645">
        <f t="shared" si="255"/>
        <v>342.56024620035203</v>
      </c>
      <c r="AX97" s="645">
        <f t="shared" si="255"/>
        <v>344.65542384825284</v>
      </c>
      <c r="AY97" s="645">
        <f t="shared" si="255"/>
        <v>346.84581355809416</v>
      </c>
      <c r="AZ97" s="645">
        <f t="shared" si="255"/>
        <v>364.13495412053902</v>
      </c>
      <c r="BA97" s="645">
        <f t="shared" si="255"/>
        <v>366.52649801788334</v>
      </c>
      <c r="BB97" s="645">
        <f t="shared" si="255"/>
        <v>384.02421726770746</v>
      </c>
      <c r="BC97" s="645">
        <f t="shared" si="255"/>
        <v>386.63200965534708</v>
      </c>
      <c r="BD97" s="983">
        <f t="shared" si="255"/>
        <v>404.35390536194694</v>
      </c>
      <c r="BE97" s="645">
        <f t="shared" si="255"/>
        <v>407.19407399412563</v>
      </c>
      <c r="BF97" s="645">
        <f t="shared" si="255"/>
        <v>425.20185300820515</v>
      </c>
      <c r="BG97" s="645">
        <f t="shared" si="255"/>
        <v>428.34283746305186</v>
      </c>
      <c r="BH97" s="645">
        <f t="shared" si="255"/>
        <v>446.62212054316979</v>
      </c>
      <c r="BI97" s="645">
        <f t="shared" si="255"/>
        <v>450.04498663698325</v>
      </c>
      <c r="BJ97" s="645">
        <f t="shared" si="255"/>
        <v>468.61692100054148</v>
      </c>
      <c r="BK97" s="645">
        <f t="shared" si="255"/>
        <v>487.34361990766058</v>
      </c>
      <c r="BL97" s="645">
        <f t="shared" si="255"/>
        <v>491.23100129433294</v>
      </c>
      <c r="BM97" s="645">
        <f t="shared" si="255"/>
        <v>510.28521590499253</v>
      </c>
      <c r="BN97" s="645">
        <f t="shared" si="255"/>
        <v>529.51265894808205</v>
      </c>
      <c r="BO97" s="645">
        <f t="shared" si="255"/>
        <v>533.91998226834323</v>
      </c>
      <c r="BP97" s="983">
        <f t="shared" si="255"/>
        <v>553.51410704332693</v>
      </c>
    </row>
    <row r="98" spans="1:68" s="644" customFormat="1">
      <c r="A98" s="630"/>
      <c r="B98" s="316"/>
      <c r="C98" s="314" t="s">
        <v>95</v>
      </c>
      <c r="D98" s="643">
        <v>10</v>
      </c>
      <c r="E98" s="317" t="s">
        <v>94</v>
      </c>
      <c r="G98" s="645" t="e">
        <f>$D$98*G82</f>
        <v>#REF!</v>
      </c>
      <c r="H98" s="645"/>
      <c r="I98" s="645">
        <f t="shared" ref="I98:AN98" si="256">$D$98*I82</f>
        <v>160</v>
      </c>
      <c r="J98" s="645">
        <f t="shared" si="256"/>
        <v>160</v>
      </c>
      <c r="K98" s="645">
        <f t="shared" si="256"/>
        <v>160</v>
      </c>
      <c r="L98" s="645">
        <f t="shared" si="256"/>
        <v>160</v>
      </c>
      <c r="M98" s="645">
        <f t="shared" si="256"/>
        <v>160</v>
      </c>
      <c r="N98" s="645">
        <f t="shared" si="256"/>
        <v>170</v>
      </c>
      <c r="O98" s="645">
        <f t="shared" si="256"/>
        <v>170</v>
      </c>
      <c r="P98" s="645">
        <f t="shared" si="256"/>
        <v>170</v>
      </c>
      <c r="Q98" s="645">
        <f t="shared" si="256"/>
        <v>170</v>
      </c>
      <c r="R98" s="645">
        <f t="shared" si="256"/>
        <v>170</v>
      </c>
      <c r="S98" s="645">
        <f t="shared" si="256"/>
        <v>170</v>
      </c>
      <c r="T98" s="983">
        <f t="shared" si="256"/>
        <v>170</v>
      </c>
      <c r="U98" s="645">
        <f t="shared" si="256"/>
        <v>150</v>
      </c>
      <c r="V98" s="645">
        <f t="shared" si="256"/>
        <v>110</v>
      </c>
      <c r="W98" s="645">
        <f t="shared" si="256"/>
        <v>110</v>
      </c>
      <c r="X98" s="645">
        <f t="shared" si="256"/>
        <v>110</v>
      </c>
      <c r="Y98" s="645">
        <f t="shared" si="256"/>
        <v>110.42484773750689</v>
      </c>
      <c r="Z98" s="645">
        <f t="shared" si="256"/>
        <v>110.96469942749994</v>
      </c>
      <c r="AA98" s="645">
        <f t="shared" si="256"/>
        <v>111.53642184577032</v>
      </c>
      <c r="AB98" s="645">
        <f t="shared" si="256"/>
        <v>112.14176317199501</v>
      </c>
      <c r="AC98" s="645">
        <f t="shared" si="256"/>
        <v>112.78252233657567</v>
      </c>
      <c r="AD98" s="645">
        <f t="shared" si="256"/>
        <v>113.46054687493314</v>
      </c>
      <c r="AE98" s="645">
        <f t="shared" si="256"/>
        <v>114.17773111257159</v>
      </c>
      <c r="AF98" s="983">
        <f t="shared" si="256"/>
        <v>114.93601480196007</v>
      </c>
      <c r="AG98" s="645">
        <f t="shared" si="256"/>
        <v>112.59065293004431</v>
      </c>
      <c r="AH98" s="645">
        <f t="shared" si="256"/>
        <v>173.2547699619239</v>
      </c>
      <c r="AI98" s="645">
        <f t="shared" si="256"/>
        <v>173.95563357519453</v>
      </c>
      <c r="AJ98" s="645">
        <f t="shared" si="256"/>
        <v>184.69492787751531</v>
      </c>
      <c r="AK98" s="645">
        <f t="shared" si="256"/>
        <v>185.4743770661637</v>
      </c>
      <c r="AL98" s="645">
        <f t="shared" si="256"/>
        <v>186.29574590601345</v>
      </c>
      <c r="AM98" s="645">
        <f t="shared" si="256"/>
        <v>187.16084054449925</v>
      </c>
      <c r="AN98" s="645">
        <f t="shared" si="256"/>
        <v>188.07150967557112</v>
      </c>
      <c r="AO98" s="645">
        <f t="shared" ref="AO98:BP98" si="257">$D$98*AO82</f>
        <v>189.02964605799997</v>
      </c>
      <c r="AP98" s="645">
        <f t="shared" si="257"/>
        <v>200.03718838752005</v>
      </c>
      <c r="AQ98" s="645">
        <f t="shared" si="257"/>
        <v>201.09612351736925</v>
      </c>
      <c r="AR98" s="983">
        <f t="shared" si="257"/>
        <v>202.20848901793215</v>
      </c>
      <c r="AS98" s="645">
        <f t="shared" si="257"/>
        <v>213.37637606344316</v>
      </c>
      <c r="AT98" s="645">
        <f t="shared" si="257"/>
        <v>214.5414606581333</v>
      </c>
      <c r="AU98" s="645">
        <f t="shared" si="257"/>
        <v>215.76127198966094</v>
      </c>
      <c r="AV98" s="645">
        <f t="shared" si="257"/>
        <v>217.03790003532004</v>
      </c>
      <c r="AW98" s="645">
        <f t="shared" si="257"/>
        <v>228.37349746690137</v>
      </c>
      <c r="AX98" s="645">
        <f t="shared" si="257"/>
        <v>229.77028256550187</v>
      </c>
      <c r="AY98" s="645">
        <f t="shared" si="257"/>
        <v>231.23054237206276</v>
      </c>
      <c r="AZ98" s="645">
        <f t="shared" si="257"/>
        <v>242.75663608035933</v>
      </c>
      <c r="BA98" s="645">
        <f t="shared" si="257"/>
        <v>244.35099867858889</v>
      </c>
      <c r="BB98" s="645">
        <f t="shared" si="257"/>
        <v>256.01614484513834</v>
      </c>
      <c r="BC98" s="645">
        <f t="shared" si="257"/>
        <v>257.7546731035647</v>
      </c>
      <c r="BD98" s="983">
        <f t="shared" si="257"/>
        <v>269.569270241298</v>
      </c>
      <c r="BE98" s="645">
        <f t="shared" si="257"/>
        <v>271.46271599608377</v>
      </c>
      <c r="BF98" s="645">
        <f t="shared" si="257"/>
        <v>283.46790200547008</v>
      </c>
      <c r="BG98" s="645">
        <f t="shared" si="257"/>
        <v>285.56189164203454</v>
      </c>
      <c r="BH98" s="645">
        <f t="shared" si="257"/>
        <v>297.74808036211317</v>
      </c>
      <c r="BI98" s="645">
        <f t="shared" si="257"/>
        <v>300.02999109132219</v>
      </c>
      <c r="BJ98" s="645">
        <f t="shared" si="257"/>
        <v>312.41128066702765</v>
      </c>
      <c r="BK98" s="645">
        <f t="shared" si="257"/>
        <v>324.89574660510704</v>
      </c>
      <c r="BL98" s="645">
        <f t="shared" si="257"/>
        <v>327.48733419622198</v>
      </c>
      <c r="BM98" s="645">
        <f t="shared" si="257"/>
        <v>340.19014393666168</v>
      </c>
      <c r="BN98" s="645">
        <f t="shared" si="257"/>
        <v>353.00843929872138</v>
      </c>
      <c r="BO98" s="645">
        <f t="shared" si="257"/>
        <v>355.94665484556219</v>
      </c>
      <c r="BP98" s="983">
        <f t="shared" si="257"/>
        <v>369.00940469555132</v>
      </c>
    </row>
    <row r="99" spans="1:68" s="644" customFormat="1">
      <c r="A99" s="630"/>
      <c r="B99" s="316"/>
      <c r="C99" s="314" t="s">
        <v>39</v>
      </c>
      <c r="D99" s="643">
        <v>6.6500000000000004E-2</v>
      </c>
      <c r="E99" s="317" t="s">
        <v>96</v>
      </c>
      <c r="G99" s="645"/>
      <c r="H99" s="645"/>
      <c r="I99" s="981">
        <f>$D99*'Pro Forma'!E6</f>
        <v>787.80528634361235</v>
      </c>
      <c r="J99" s="981">
        <f>$D99*'Pro Forma'!F6</f>
        <v>850.01874907488991</v>
      </c>
      <c r="K99" s="981">
        <f>$D99*'Pro Forma'!G6</f>
        <v>931.93384953298562</v>
      </c>
      <c r="L99" s="981">
        <f>$D99*'Pro Forma'!H6</f>
        <v>1050.3177534601007</v>
      </c>
      <c r="M99" s="981">
        <f>$D99*'Pro Forma'!I6</f>
        <v>1152.0631506565196</v>
      </c>
      <c r="N99" s="981">
        <f>$D99*'Pro Forma'!J6</f>
        <v>1264.3858222972688</v>
      </c>
      <c r="O99" s="981">
        <f>$D99*'Pro Forma'!K6</f>
        <v>1371.2144728760977</v>
      </c>
      <c r="P99" s="981">
        <f>$D99*'Pro Forma'!L6</f>
        <v>1488.4267359341602</v>
      </c>
      <c r="Q99" s="981">
        <f>$D99*'Pro Forma'!M6</f>
        <v>1617.0035418197654</v>
      </c>
      <c r="R99" s="981">
        <f>$D99*'Pro Forma'!N6</f>
        <v>1736.6988708966237</v>
      </c>
      <c r="S99" s="981">
        <f>$D99*'Pro Forma'!O6</f>
        <v>1866.7016569947205</v>
      </c>
      <c r="T99" s="982">
        <f>$D99*'Pro Forma'!P6</f>
        <v>2007.796166307633</v>
      </c>
      <c r="U99" s="981">
        <f>$D99*'Pro Forma'!Q6</f>
        <v>2105.6397107881335</v>
      </c>
      <c r="V99" s="981">
        <f>$D99*'Pro Forma'!R6</f>
        <v>2266.1888230290097</v>
      </c>
      <c r="W99" s="981">
        <f>$D99*'Pro Forma'!S6</f>
        <v>2440.9804416621787</v>
      </c>
      <c r="X99" s="981">
        <f>$D99*'Pro Forma'!T6</f>
        <v>2631.0971574325763</v>
      </c>
      <c r="Y99" s="981">
        <f>$D99*'Pro Forma'!U6</f>
        <v>2837.666311470115</v>
      </c>
      <c r="Z99" s="981">
        <f>$D99*'Pro Forma'!V6</f>
        <v>3061.8572790383</v>
      </c>
      <c r="AA99" s="981">
        <f>$D99*'Pro Forma'!W6</f>
        <v>3304.8785160827524</v>
      </c>
      <c r="AB99" s="981">
        <f>$D99*'Pro Forma'!X6</f>
        <v>3567.9744927290426</v>
      </c>
      <c r="AC99" s="981">
        <f>$D99*'Pro Forma'!Y6</f>
        <v>3852.4226486036141</v>
      </c>
      <c r="AD99" s="981">
        <f>$D99*'Pro Forma'!Z6</f>
        <v>4159.5305083659168</v>
      </c>
      <c r="AE99" s="981">
        <f>$D99*'Pro Forma'!AA6</f>
        <v>4490.6330916940142</v>
      </c>
      <c r="AF99" s="982">
        <f>$D99*'Pro Forma'!AB6</f>
        <v>4847.0907403676338</v>
      </c>
      <c r="AG99" s="981">
        <f>$D99*'Pro Forma'!AC6</f>
        <v>5231.1335385932653</v>
      </c>
      <c r="AH99" s="981">
        <f>$D99*'Pro Forma'!AD6</f>
        <v>5625.2259385129137</v>
      </c>
      <c r="AI99" s="981">
        <f>$D99*'Pro Forma'!AE6</f>
        <v>6047.4549238829313</v>
      </c>
      <c r="AJ99" s="981">
        <f>$D99*'Pro Forma'!AF6</f>
        <v>6499.2495771669282</v>
      </c>
      <c r="AK99" s="981">
        <f>$D99*'Pro Forma'!AG6</f>
        <v>6982.0645095923228</v>
      </c>
      <c r="AL99" s="981">
        <f>$D99*'Pro Forma'!AH6</f>
        <v>7497.3793594038434</v>
      </c>
      <c r="AM99" s="981">
        <f>$D99*'Pro Forma'!AI6</f>
        <v>8046.6986621103133</v>
      </c>
      <c r="AN99" s="981">
        <f>$D99*'Pro Forma'!AJ6</f>
        <v>8631.5521075000652</v>
      </c>
      <c r="AO99" s="981">
        <f>$D99*'Pro Forma'!AK6</f>
        <v>9253.4951896538041</v>
      </c>
      <c r="AP99" s="981">
        <f>$D99*'Pro Forma'!AL6</f>
        <v>9914.1102485630418</v>
      </c>
      <c r="AQ99" s="981">
        <f>$D99*'Pro Forma'!AM6</f>
        <v>10615.007895523559</v>
      </c>
      <c r="AR99" s="982">
        <f>$D99*'Pro Forma'!AN6</f>
        <v>11357.828809375225</v>
      </c>
      <c r="AS99" s="981">
        <f>$D99*'Pro Forma'!AO6</f>
        <v>12144.245886962248</v>
      </c>
      <c r="AT99" s="981">
        <f>$D99*'Pro Forma'!AP6</f>
        <v>12898.512901188884</v>
      </c>
      <c r="AU99" s="981">
        <f>$D99*'Pro Forma'!AQ6</f>
        <v>13693.10272419638</v>
      </c>
      <c r="AV99" s="981">
        <f>$D99*'Pro Forma'!AR6</f>
        <v>14529.551434025396</v>
      </c>
      <c r="AW99" s="981">
        <f>$D99*'Pro Forma'!AS6</f>
        <v>15409.431090672726</v>
      </c>
      <c r="AX99" s="981">
        <f>$D99*'Pro Forma'!AT6</f>
        <v>16334.351493170507</v>
      </c>
      <c r="AY99" s="981">
        <f>$D99*'Pro Forma'!AU6</f>
        <v>17305.962153721746</v>
      </c>
      <c r="AZ99" s="981">
        <f>$D99*'Pro Forma'!AV6</f>
        <v>18325.954495515172</v>
      </c>
      <c r="BA99" s="981">
        <f>$D99*'Pro Forma'!AW6</f>
        <v>19396.064280057479</v>
      </c>
      <c r="BB99" s="981">
        <f>$D99*'Pro Forma'!AX6</f>
        <v>20518.074269075598</v>
      </c>
      <c r="BC99" s="981">
        <f>$D99*'Pro Forma'!AY6</f>
        <v>21693.817125263064</v>
      </c>
      <c r="BD99" s="982">
        <f>$D99*'Pro Forma'!AZ6</f>
        <v>22925.178555381804</v>
      </c>
      <c r="BE99" s="981">
        <f>$D99*'Pro Forma'!BA6</f>
        <v>24214.100698492461</v>
      </c>
      <c r="BF99" s="981">
        <f>$D99*'Pro Forma'!BB6</f>
        <v>25600.25225559808</v>
      </c>
      <c r="BG99" s="981">
        <f>$D99*'Pro Forma'!BC6</f>
        <v>27053.303969340373</v>
      </c>
      <c r="BH99" s="981">
        <f>$D99*'Pro Forma'!BD6</f>
        <v>28575.795266197965</v>
      </c>
      <c r="BI99" s="981">
        <f>$D99*'Pro Forma'!BE6</f>
        <v>30170.356129403626</v>
      </c>
      <c r="BJ99" s="981">
        <f>$D99*'Pro Forma'!BF6</f>
        <v>31839.71227838238</v>
      </c>
      <c r="BK99" s="981">
        <f>$D99*'Pro Forma'!BG6</f>
        <v>33586.690651242803</v>
      </c>
      <c r="BL99" s="981">
        <f>$D99*'Pro Forma'!BH6</f>
        <v>35414.225193795726</v>
      </c>
      <c r="BM99" s="981">
        <f>$D99*'Pro Forma'!BI6</f>
        <v>37325.362958151411</v>
      </c>
      <c r="BN99" s="981">
        <f>$D99*'Pro Forma'!BJ6</f>
        <v>39323.270513591786</v>
      </c>
      <c r="BO99" s="981">
        <f>$D99*'Pro Forma'!BK6</f>
        <v>41411.240672134591</v>
      </c>
      <c r="BP99" s="982">
        <f>$D99*'Pro Forma'!BL6</f>
        <v>43592.699531009348</v>
      </c>
    </row>
    <row r="100" spans="1:68" s="644" customFormat="1">
      <c r="A100" s="630"/>
      <c r="B100" s="316"/>
      <c r="C100" s="314" t="s">
        <v>97</v>
      </c>
      <c r="D100" s="643">
        <v>180</v>
      </c>
      <c r="E100" s="317" t="s">
        <v>77</v>
      </c>
      <c r="G100" s="645">
        <f>G83*$D$100</f>
        <v>2520</v>
      </c>
      <c r="H100" s="645">
        <f>H83*D100</f>
        <v>0</v>
      </c>
      <c r="I100" s="645">
        <f t="shared" ref="I100:AN100" si="258">(I83+I56)*$D$100</f>
        <v>2700</v>
      </c>
      <c r="J100" s="645">
        <f t="shared" si="258"/>
        <v>2700</v>
      </c>
      <c r="K100" s="645">
        <f t="shared" si="258"/>
        <v>2700</v>
      </c>
      <c r="L100" s="645">
        <f t="shared" si="258"/>
        <v>2880</v>
      </c>
      <c r="M100" s="645">
        <f t="shared" si="258"/>
        <v>2880</v>
      </c>
      <c r="N100" s="645">
        <f t="shared" si="258"/>
        <v>2880</v>
      </c>
      <c r="O100" s="645">
        <f t="shared" si="258"/>
        <v>3060</v>
      </c>
      <c r="P100" s="645">
        <f t="shared" si="258"/>
        <v>3060</v>
      </c>
      <c r="Q100" s="645">
        <f t="shared" si="258"/>
        <v>3060</v>
      </c>
      <c r="R100" s="645">
        <f t="shared" si="258"/>
        <v>3240</v>
      </c>
      <c r="S100" s="645">
        <f t="shared" si="258"/>
        <v>3240</v>
      </c>
      <c r="T100" s="983">
        <f t="shared" si="258"/>
        <v>3240</v>
      </c>
      <c r="U100" s="645">
        <f t="shared" si="258"/>
        <v>6300</v>
      </c>
      <c r="V100" s="645">
        <f t="shared" si="258"/>
        <v>6300</v>
      </c>
      <c r="W100" s="645">
        <f t="shared" si="258"/>
        <v>6300</v>
      </c>
      <c r="X100" s="645">
        <f t="shared" si="258"/>
        <v>6480</v>
      </c>
      <c r="Y100" s="645">
        <f t="shared" si="258"/>
        <v>6487.6472592751234</v>
      </c>
      <c r="Z100" s="645">
        <f t="shared" si="258"/>
        <v>6497.3645896949984</v>
      </c>
      <c r="AA100" s="645">
        <f t="shared" si="258"/>
        <v>6687.6555932238653</v>
      </c>
      <c r="AB100" s="645">
        <f t="shared" si="258"/>
        <v>6698.5517370959105</v>
      </c>
      <c r="AC100" s="645">
        <f t="shared" si="258"/>
        <v>6710.085402058362</v>
      </c>
      <c r="AD100" s="645">
        <f t="shared" si="258"/>
        <v>6902.2898437487966</v>
      </c>
      <c r="AE100" s="645">
        <f t="shared" si="258"/>
        <v>6915.1991600262882</v>
      </c>
      <c r="AF100" s="983">
        <f t="shared" si="258"/>
        <v>6928.8482664352814</v>
      </c>
      <c r="AG100" s="645">
        <f t="shared" si="258"/>
        <v>13546.631752740797</v>
      </c>
      <c r="AH100" s="645">
        <f t="shared" si="258"/>
        <v>13558.585859314631</v>
      </c>
      <c r="AI100" s="645">
        <f t="shared" si="258"/>
        <v>13571.201404353502</v>
      </c>
      <c r="AJ100" s="645">
        <f t="shared" si="258"/>
        <v>13764.508701795276</v>
      </c>
      <c r="AK100" s="645">
        <f t="shared" si="258"/>
        <v>13778.538787190946</v>
      </c>
      <c r="AL100" s="645">
        <f t="shared" si="258"/>
        <v>13793.323426308241</v>
      </c>
      <c r="AM100" s="645">
        <f t="shared" si="258"/>
        <v>13988.895129800985</v>
      </c>
      <c r="AN100" s="645">
        <f t="shared" si="258"/>
        <v>14005.287174160281</v>
      </c>
      <c r="AO100" s="645">
        <f t="shared" ref="AO100:BP100" si="259">(AO83+AO56)*$D$100</f>
        <v>14022.533629043999</v>
      </c>
      <c r="AP100" s="645">
        <f t="shared" si="259"/>
        <v>14220.669390975361</v>
      </c>
      <c r="AQ100" s="645">
        <f t="shared" si="259"/>
        <v>14239.730223312647</v>
      </c>
      <c r="AR100" s="983">
        <f t="shared" si="259"/>
        <v>14259.752802322779</v>
      </c>
      <c r="AS100" s="645">
        <f t="shared" si="259"/>
        <v>28140.774769141975</v>
      </c>
      <c r="AT100" s="645">
        <f t="shared" si="259"/>
        <v>28161.746291846397</v>
      </c>
      <c r="AU100" s="645">
        <f t="shared" si="259"/>
        <v>28183.702895813898</v>
      </c>
      <c r="AV100" s="645">
        <f t="shared" si="259"/>
        <v>28386.682200635758</v>
      </c>
      <c r="AW100" s="645">
        <f t="shared" si="259"/>
        <v>28410.722954404224</v>
      </c>
      <c r="AX100" s="645">
        <f t="shared" si="259"/>
        <v>28435.865086179037</v>
      </c>
      <c r="AY100" s="645">
        <f t="shared" si="259"/>
        <v>28642.149762697129</v>
      </c>
      <c r="AZ100" s="645">
        <f t="shared" si="259"/>
        <v>28669.619449446465</v>
      </c>
      <c r="BA100" s="645">
        <f t="shared" si="259"/>
        <v>28698.317976214603</v>
      </c>
      <c r="BB100" s="645">
        <f t="shared" si="259"/>
        <v>28908.290607212493</v>
      </c>
      <c r="BC100" s="645">
        <f t="shared" si="259"/>
        <v>28939.584115864167</v>
      </c>
      <c r="BD100" s="983">
        <f t="shared" si="259"/>
        <v>28972.24686434336</v>
      </c>
      <c r="BE100" s="645">
        <f t="shared" si="259"/>
        <v>57266.328887929507</v>
      </c>
      <c r="BF100" s="645">
        <f t="shared" si="259"/>
        <v>57302.422236098457</v>
      </c>
      <c r="BG100" s="645">
        <f t="shared" si="259"/>
        <v>57340.114049556614</v>
      </c>
      <c r="BH100" s="645">
        <f t="shared" si="259"/>
        <v>57559.465446518036</v>
      </c>
      <c r="BI100" s="645">
        <f t="shared" si="259"/>
        <v>57600.539839643803</v>
      </c>
      <c r="BJ100" s="645">
        <f t="shared" si="259"/>
        <v>57643.403052006492</v>
      </c>
      <c r="BK100" s="645">
        <f t="shared" si="259"/>
        <v>57868.123438891926</v>
      </c>
      <c r="BL100" s="645">
        <f t="shared" si="259"/>
        <v>57914.772015531998</v>
      </c>
      <c r="BM100" s="645">
        <f t="shared" si="259"/>
        <v>57963.422590859911</v>
      </c>
      <c r="BN100" s="645">
        <f t="shared" si="259"/>
        <v>58194.151907376989</v>
      </c>
      <c r="BO100" s="645">
        <f t="shared" si="259"/>
        <v>58247.039787220121</v>
      </c>
      <c r="BP100" s="983">
        <f t="shared" si="259"/>
        <v>58302.169284519921</v>
      </c>
    </row>
    <row r="101" spans="1:68" s="644" customFormat="1">
      <c r="A101" s="630"/>
      <c r="B101" s="316"/>
      <c r="C101" s="314" t="s">
        <v>98</v>
      </c>
      <c r="D101" s="643">
        <v>800</v>
      </c>
      <c r="E101" s="317" t="s">
        <v>99</v>
      </c>
      <c r="G101" s="645">
        <f>$D$101/12</f>
        <v>66.666666666666671</v>
      </c>
      <c r="H101" s="645"/>
      <c r="I101" s="645">
        <f>$D$101/12</f>
        <v>66.666666666666671</v>
      </c>
      <c r="J101" s="645">
        <f t="shared" ref="J101:BP101" si="260">$D$101/12</f>
        <v>66.666666666666671</v>
      </c>
      <c r="K101" s="645">
        <f t="shared" si="260"/>
        <v>66.666666666666671</v>
      </c>
      <c r="L101" s="645">
        <f t="shared" si="260"/>
        <v>66.666666666666671</v>
      </c>
      <c r="M101" s="645">
        <f t="shared" si="260"/>
        <v>66.666666666666671</v>
      </c>
      <c r="N101" s="645">
        <f t="shared" si="260"/>
        <v>66.666666666666671</v>
      </c>
      <c r="O101" s="645">
        <f t="shared" si="260"/>
        <v>66.666666666666671</v>
      </c>
      <c r="P101" s="645">
        <f t="shared" si="260"/>
        <v>66.666666666666671</v>
      </c>
      <c r="Q101" s="645">
        <f t="shared" si="260"/>
        <v>66.666666666666671</v>
      </c>
      <c r="R101" s="645">
        <f t="shared" si="260"/>
        <v>66.666666666666671</v>
      </c>
      <c r="S101" s="645">
        <f t="shared" si="260"/>
        <v>66.666666666666671</v>
      </c>
      <c r="T101" s="983">
        <f t="shared" si="260"/>
        <v>66.666666666666671</v>
      </c>
      <c r="U101" s="645">
        <f>$D$101/12</f>
        <v>66.666666666666671</v>
      </c>
      <c r="V101" s="645">
        <f t="shared" si="260"/>
        <v>66.666666666666671</v>
      </c>
      <c r="W101" s="645">
        <f t="shared" si="260"/>
        <v>66.666666666666671</v>
      </c>
      <c r="X101" s="645">
        <f t="shared" si="260"/>
        <v>66.666666666666671</v>
      </c>
      <c r="Y101" s="645">
        <f t="shared" si="260"/>
        <v>66.666666666666671</v>
      </c>
      <c r="Z101" s="645">
        <f t="shared" si="260"/>
        <v>66.666666666666671</v>
      </c>
      <c r="AA101" s="645">
        <f t="shared" si="260"/>
        <v>66.666666666666671</v>
      </c>
      <c r="AB101" s="645">
        <f t="shared" si="260"/>
        <v>66.666666666666671</v>
      </c>
      <c r="AC101" s="645">
        <f t="shared" si="260"/>
        <v>66.666666666666671</v>
      </c>
      <c r="AD101" s="645">
        <f t="shared" si="260"/>
        <v>66.666666666666671</v>
      </c>
      <c r="AE101" s="645">
        <f t="shared" si="260"/>
        <v>66.666666666666671</v>
      </c>
      <c r="AF101" s="983">
        <f t="shared" si="260"/>
        <v>66.666666666666671</v>
      </c>
      <c r="AG101" s="645">
        <f>$D$101/12</f>
        <v>66.666666666666671</v>
      </c>
      <c r="AH101" s="645">
        <f t="shared" si="260"/>
        <v>66.666666666666671</v>
      </c>
      <c r="AI101" s="645">
        <f t="shared" si="260"/>
        <v>66.666666666666671</v>
      </c>
      <c r="AJ101" s="645">
        <f t="shared" si="260"/>
        <v>66.666666666666671</v>
      </c>
      <c r="AK101" s="645">
        <f t="shared" si="260"/>
        <v>66.666666666666671</v>
      </c>
      <c r="AL101" s="645">
        <f t="shared" si="260"/>
        <v>66.666666666666671</v>
      </c>
      <c r="AM101" s="645">
        <f t="shared" si="260"/>
        <v>66.666666666666671</v>
      </c>
      <c r="AN101" s="645">
        <f t="shared" si="260"/>
        <v>66.666666666666671</v>
      </c>
      <c r="AO101" s="645">
        <f t="shared" si="260"/>
        <v>66.666666666666671</v>
      </c>
      <c r="AP101" s="645">
        <f t="shared" si="260"/>
        <v>66.666666666666671</v>
      </c>
      <c r="AQ101" s="645">
        <f t="shared" si="260"/>
        <v>66.666666666666671</v>
      </c>
      <c r="AR101" s="983">
        <f t="shared" si="260"/>
        <v>66.666666666666671</v>
      </c>
      <c r="AS101" s="645">
        <f>$D$101/12</f>
        <v>66.666666666666671</v>
      </c>
      <c r="AT101" s="645">
        <f t="shared" si="260"/>
        <v>66.666666666666671</v>
      </c>
      <c r="AU101" s="645">
        <f t="shared" si="260"/>
        <v>66.666666666666671</v>
      </c>
      <c r="AV101" s="645">
        <f t="shared" si="260"/>
        <v>66.666666666666671</v>
      </c>
      <c r="AW101" s="645">
        <f t="shared" si="260"/>
        <v>66.666666666666671</v>
      </c>
      <c r="AX101" s="645">
        <f t="shared" si="260"/>
        <v>66.666666666666671</v>
      </c>
      <c r="AY101" s="645">
        <f t="shared" si="260"/>
        <v>66.666666666666671</v>
      </c>
      <c r="AZ101" s="645">
        <f t="shared" si="260"/>
        <v>66.666666666666671</v>
      </c>
      <c r="BA101" s="645">
        <f t="shared" si="260"/>
        <v>66.666666666666671</v>
      </c>
      <c r="BB101" s="645">
        <f t="shared" si="260"/>
        <v>66.666666666666671</v>
      </c>
      <c r="BC101" s="645">
        <f t="shared" si="260"/>
        <v>66.666666666666671</v>
      </c>
      <c r="BD101" s="983">
        <f t="shared" si="260"/>
        <v>66.666666666666671</v>
      </c>
      <c r="BE101" s="645">
        <f>$D$101/12</f>
        <v>66.666666666666671</v>
      </c>
      <c r="BF101" s="645">
        <f t="shared" si="260"/>
        <v>66.666666666666671</v>
      </c>
      <c r="BG101" s="645">
        <f t="shared" si="260"/>
        <v>66.666666666666671</v>
      </c>
      <c r="BH101" s="645">
        <f t="shared" si="260"/>
        <v>66.666666666666671</v>
      </c>
      <c r="BI101" s="645">
        <f t="shared" si="260"/>
        <v>66.666666666666671</v>
      </c>
      <c r="BJ101" s="645">
        <f t="shared" si="260"/>
        <v>66.666666666666671</v>
      </c>
      <c r="BK101" s="645">
        <f t="shared" si="260"/>
        <v>66.666666666666671</v>
      </c>
      <c r="BL101" s="645">
        <f t="shared" si="260"/>
        <v>66.666666666666671</v>
      </c>
      <c r="BM101" s="645">
        <f t="shared" si="260"/>
        <v>66.666666666666671</v>
      </c>
      <c r="BN101" s="645">
        <f t="shared" si="260"/>
        <v>66.666666666666671</v>
      </c>
      <c r="BO101" s="645">
        <f t="shared" si="260"/>
        <v>66.666666666666671</v>
      </c>
      <c r="BP101" s="983">
        <f t="shared" si="260"/>
        <v>66.666666666666671</v>
      </c>
    </row>
    <row r="102" spans="1:68" s="644" customFormat="1">
      <c r="A102" s="630"/>
      <c r="B102" s="316"/>
      <c r="C102" s="314" t="s">
        <v>40</v>
      </c>
      <c r="D102" s="643">
        <v>3600</v>
      </c>
      <c r="E102" s="317" t="s">
        <v>186</v>
      </c>
      <c r="G102" s="645">
        <f>$D$102</f>
        <v>3600</v>
      </c>
      <c r="H102" s="645"/>
      <c r="I102" s="645">
        <f>IF(HR!D45&gt;22,1.8*Expenses!$D102,Expenses!$D102)</f>
        <v>3600</v>
      </c>
      <c r="J102" s="645">
        <f>IF(HR!E45&gt;22,1.8*Expenses!$D102,Expenses!$D102)</f>
        <v>3600</v>
      </c>
      <c r="K102" s="645">
        <f>IF(HR!F45&gt;22,1.8*Expenses!$D102,Expenses!$D102)</f>
        <v>3600</v>
      </c>
      <c r="L102" s="645">
        <f>IF(HR!G45&gt;22,1.8*Expenses!$D102,Expenses!$D102)</f>
        <v>3600</v>
      </c>
      <c r="M102" s="645">
        <f>IF(HR!H45&gt;22,1.8*Expenses!$D102,Expenses!$D102)</f>
        <v>3600</v>
      </c>
      <c r="N102" s="645">
        <f>IF(HR!I45&gt;22,1.8*Expenses!$D102,Expenses!$D102)</f>
        <v>3600</v>
      </c>
      <c r="O102" s="645">
        <f>IF(HR!J45&gt;22,1.8*Expenses!$D102,Expenses!$D102)</f>
        <v>3600</v>
      </c>
      <c r="P102" s="645">
        <f>IF(HR!K45&gt;22,1.8*Expenses!$D102,Expenses!$D102)</f>
        <v>3600</v>
      </c>
      <c r="Q102" s="645">
        <f>IF(HR!L45&gt;22,1.8*Expenses!$D102,Expenses!$D102)</f>
        <v>3600</v>
      </c>
      <c r="R102" s="645">
        <f>IF(HR!M45&gt;22,1.8*Expenses!$D102,Expenses!$D102)</f>
        <v>3600</v>
      </c>
      <c r="S102" s="645">
        <f>IF(HR!N45&gt;22,1.8*Expenses!$D102,Expenses!$D102)</f>
        <v>3600</v>
      </c>
      <c r="T102" s="983">
        <f>IF(HR!O45&gt;22,1.8*Expenses!$D102,Expenses!$D102)</f>
        <v>3600</v>
      </c>
      <c r="U102" s="645">
        <f>IF(HR!P45&gt;22,1.8*Expenses!$D102,Expenses!$D102)</f>
        <v>3600</v>
      </c>
      <c r="V102" s="645">
        <f>IF(HR!Q45&gt;22,1.8*Expenses!$D102,Expenses!$D102)</f>
        <v>3600</v>
      </c>
      <c r="W102" s="645">
        <f>IF(HR!R45&gt;22,1.8*Expenses!$D102,Expenses!$D102)</f>
        <v>3600</v>
      </c>
      <c r="X102" s="645">
        <f>IF(HR!S45&gt;22,1.8*Expenses!$D102,Expenses!$D102)</f>
        <v>3600</v>
      </c>
      <c r="Y102" s="645">
        <f>IF(HR!T45&gt;22,1.8*Expenses!$D102,Expenses!$D102)</f>
        <v>3600</v>
      </c>
      <c r="Z102" s="645">
        <f>IF(HR!U45&gt;22,1.8*Expenses!$D102,Expenses!$D102)</f>
        <v>3600</v>
      </c>
      <c r="AA102" s="645">
        <f>IF(HR!V45&gt;22,1.8*Expenses!$D102,Expenses!$D102)</f>
        <v>3600</v>
      </c>
      <c r="AB102" s="645">
        <f>IF(HR!W45&gt;22,1.8*Expenses!$D102,Expenses!$D102)</f>
        <v>3600</v>
      </c>
      <c r="AC102" s="645">
        <f>IF(HR!X45&gt;22,1.8*Expenses!$D102,Expenses!$D102)</f>
        <v>3600</v>
      </c>
      <c r="AD102" s="645">
        <f>IF(HR!Y45&gt;22,1.8*Expenses!$D102,Expenses!$D102)</f>
        <v>3600</v>
      </c>
      <c r="AE102" s="645">
        <f>IF(HR!Z45&gt;22,1.8*Expenses!$D102,Expenses!$D102)</f>
        <v>3600</v>
      </c>
      <c r="AF102" s="983">
        <f>IF(HR!AA45&gt;22,1.8*Expenses!$D102,Expenses!$D102)</f>
        <v>3600</v>
      </c>
      <c r="AG102" s="645">
        <f>IF(HR!AB45&gt;22,1.8*Expenses!$D102,Expenses!$D102)</f>
        <v>3600</v>
      </c>
      <c r="AH102" s="645">
        <f>IF(HR!AC45&gt;22,1.8*Expenses!$D102,Expenses!$D102)</f>
        <v>3600</v>
      </c>
      <c r="AI102" s="645">
        <f>IF(HR!AD45&gt;22,1.8*Expenses!$D102,Expenses!$D102)</f>
        <v>3600</v>
      </c>
      <c r="AJ102" s="645">
        <f>IF(HR!AE45&gt;22,1.8*Expenses!$D102,Expenses!$D102)</f>
        <v>3600</v>
      </c>
      <c r="AK102" s="645">
        <f>IF(HR!AF45&gt;22,1.8*Expenses!$D102,Expenses!$D102)</f>
        <v>3600</v>
      </c>
      <c r="AL102" s="645">
        <f>IF(HR!AG45&gt;22,1.8*Expenses!$D102,Expenses!$D102)</f>
        <v>3600</v>
      </c>
      <c r="AM102" s="645">
        <f>IF(HR!AH45&gt;22,1.8*Expenses!$D102,Expenses!$D102)</f>
        <v>3600</v>
      </c>
      <c r="AN102" s="645">
        <f>IF(HR!AI45&gt;22,1.8*Expenses!$D102,Expenses!$D102)</f>
        <v>3600</v>
      </c>
      <c r="AO102" s="645">
        <f>IF(HR!AJ45&gt;22,1.8*Expenses!$D102,Expenses!$D102)</f>
        <v>3600</v>
      </c>
      <c r="AP102" s="645">
        <f>IF(HR!AK45&gt;22,1.8*Expenses!$D102,Expenses!$D102)</f>
        <v>3600</v>
      </c>
      <c r="AQ102" s="645">
        <f>IF(HR!AL45&gt;22,1.8*Expenses!$D102,Expenses!$D102)</f>
        <v>3600</v>
      </c>
      <c r="AR102" s="983">
        <f>IF(HR!AM45&gt;22,1.8*Expenses!$D102,Expenses!$D102)</f>
        <v>3600</v>
      </c>
      <c r="AS102" s="645">
        <f>IF(HR!AN45&gt;22,1.8*Expenses!$D102,Expenses!$D102)</f>
        <v>3600</v>
      </c>
      <c r="AT102" s="645">
        <f>IF(HR!AO45&gt;22,1.8*Expenses!$D102,Expenses!$D102)</f>
        <v>3600</v>
      </c>
      <c r="AU102" s="645">
        <f>IF(HR!AP45&gt;22,1.8*Expenses!$D102,Expenses!$D102)</f>
        <v>3600</v>
      </c>
      <c r="AV102" s="645">
        <f>IF(HR!AQ45&gt;22,1.8*Expenses!$D102,Expenses!$D102)</f>
        <v>3600</v>
      </c>
      <c r="AW102" s="645">
        <f>IF(HR!AR45&gt;22,1.8*Expenses!$D102,Expenses!$D102)</f>
        <v>3600</v>
      </c>
      <c r="AX102" s="645">
        <f>IF(HR!AS45&gt;22,1.8*Expenses!$D102,Expenses!$D102)</f>
        <v>6480</v>
      </c>
      <c r="AY102" s="645">
        <f>IF(HR!AT45&gt;22,1.8*Expenses!$D102,Expenses!$D102)</f>
        <v>6480</v>
      </c>
      <c r="AZ102" s="645">
        <f>IF(HR!AU45&gt;22,1.8*Expenses!$D102,Expenses!$D102)</f>
        <v>6480</v>
      </c>
      <c r="BA102" s="645">
        <f>IF(HR!AV45&gt;22,1.8*Expenses!$D102,Expenses!$D102)</f>
        <v>6480</v>
      </c>
      <c r="BB102" s="645">
        <f>IF(HR!AW45&gt;22,1.8*Expenses!$D102,Expenses!$D102)</f>
        <v>6480</v>
      </c>
      <c r="BC102" s="645">
        <f>IF(HR!AX45&gt;22,1.8*Expenses!$D102,Expenses!$D102)</f>
        <v>6480</v>
      </c>
      <c r="BD102" s="983">
        <f>IF(HR!AY45&gt;22,1.8*Expenses!$D102,Expenses!$D102)</f>
        <v>6480</v>
      </c>
      <c r="BE102" s="645">
        <f>IF(HR!AZ45&gt;22,1.8*Expenses!$D102,Expenses!$D102)</f>
        <v>6480</v>
      </c>
      <c r="BF102" s="645">
        <f>IF(HR!BA45&gt;22,1.8*Expenses!$D102,Expenses!$D102)</f>
        <v>6480</v>
      </c>
      <c r="BG102" s="645">
        <f>IF(HR!BB45&gt;22,1.8*Expenses!$D102,Expenses!$D102)</f>
        <v>6480</v>
      </c>
      <c r="BH102" s="645">
        <f>IF(HR!BC45&gt;22,1.8*Expenses!$D102,Expenses!$D102)</f>
        <v>6480</v>
      </c>
      <c r="BI102" s="645">
        <f>IF(HR!BD45&gt;22,1.8*Expenses!$D102,Expenses!$D102)</f>
        <v>6480</v>
      </c>
      <c r="BJ102" s="645">
        <f>IF(HR!BE45&gt;22,1.8*Expenses!$D102,Expenses!$D102)</f>
        <v>6480</v>
      </c>
      <c r="BK102" s="645">
        <f>IF(HR!BF45&gt;22,1.8*Expenses!$D102,Expenses!$D102)</f>
        <v>6480</v>
      </c>
      <c r="BL102" s="645">
        <f>IF(HR!BG45&gt;22,1.8*Expenses!$D102,Expenses!$D102)</f>
        <v>6480</v>
      </c>
      <c r="BM102" s="645">
        <f>IF(HR!BH45&gt;22,1.8*Expenses!$D102,Expenses!$D102)</f>
        <v>6480</v>
      </c>
      <c r="BN102" s="645">
        <f>IF(HR!BI45&gt;22,1.8*Expenses!$D102,Expenses!$D102)</f>
        <v>6480</v>
      </c>
      <c r="BO102" s="645">
        <f>IF(HR!BJ45&gt;22,1.8*Expenses!$D102,Expenses!$D102)</f>
        <v>6480</v>
      </c>
      <c r="BP102" s="983">
        <f>IF(HR!BK45&gt;22,1.8*Expenses!$D102,Expenses!$D102)</f>
        <v>6480</v>
      </c>
    </row>
    <row r="103" spans="1:68" s="644" customFormat="1">
      <c r="A103" s="630"/>
      <c r="B103" s="316"/>
      <c r="C103" s="314" t="s">
        <v>202</v>
      </c>
      <c r="D103" s="643">
        <v>100</v>
      </c>
      <c r="E103" s="317" t="s">
        <v>67</v>
      </c>
      <c r="G103" s="645">
        <f>$D$103</f>
        <v>100</v>
      </c>
      <c r="H103" s="645"/>
      <c r="I103" s="645">
        <f>$D$103</f>
        <v>100</v>
      </c>
      <c r="J103" s="645">
        <f t="shared" ref="J103:BP103" si="261">$D$103</f>
        <v>100</v>
      </c>
      <c r="K103" s="645">
        <f t="shared" si="261"/>
        <v>100</v>
      </c>
      <c r="L103" s="645">
        <f t="shared" si="261"/>
        <v>100</v>
      </c>
      <c r="M103" s="645">
        <f t="shared" si="261"/>
        <v>100</v>
      </c>
      <c r="N103" s="645">
        <f t="shared" si="261"/>
        <v>100</v>
      </c>
      <c r="O103" s="645">
        <f t="shared" si="261"/>
        <v>100</v>
      </c>
      <c r="P103" s="645">
        <f t="shared" si="261"/>
        <v>100</v>
      </c>
      <c r="Q103" s="645">
        <f t="shared" si="261"/>
        <v>100</v>
      </c>
      <c r="R103" s="645">
        <f t="shared" si="261"/>
        <v>100</v>
      </c>
      <c r="S103" s="645">
        <f t="shared" si="261"/>
        <v>100</v>
      </c>
      <c r="T103" s="983">
        <f t="shared" si="261"/>
        <v>100</v>
      </c>
      <c r="U103" s="645">
        <f>$D$103</f>
        <v>100</v>
      </c>
      <c r="V103" s="645">
        <f t="shared" si="261"/>
        <v>100</v>
      </c>
      <c r="W103" s="645">
        <f t="shared" si="261"/>
        <v>100</v>
      </c>
      <c r="X103" s="645">
        <f t="shared" si="261"/>
        <v>100</v>
      </c>
      <c r="Y103" s="645">
        <f t="shared" si="261"/>
        <v>100</v>
      </c>
      <c r="Z103" s="645">
        <f t="shared" si="261"/>
        <v>100</v>
      </c>
      <c r="AA103" s="645">
        <f t="shared" si="261"/>
        <v>100</v>
      </c>
      <c r="AB103" s="645">
        <f t="shared" si="261"/>
        <v>100</v>
      </c>
      <c r="AC103" s="645">
        <f t="shared" si="261"/>
        <v>100</v>
      </c>
      <c r="AD103" s="645">
        <f t="shared" si="261"/>
        <v>100</v>
      </c>
      <c r="AE103" s="645">
        <f t="shared" si="261"/>
        <v>100</v>
      </c>
      <c r="AF103" s="983">
        <f t="shared" si="261"/>
        <v>100</v>
      </c>
      <c r="AG103" s="645">
        <f>$D$103</f>
        <v>100</v>
      </c>
      <c r="AH103" s="645">
        <f t="shared" si="261"/>
        <v>100</v>
      </c>
      <c r="AI103" s="645">
        <f t="shared" si="261"/>
        <v>100</v>
      </c>
      <c r="AJ103" s="645">
        <f t="shared" si="261"/>
        <v>100</v>
      </c>
      <c r="AK103" s="645">
        <f t="shared" si="261"/>
        <v>100</v>
      </c>
      <c r="AL103" s="645">
        <f t="shared" si="261"/>
        <v>100</v>
      </c>
      <c r="AM103" s="645">
        <f t="shared" si="261"/>
        <v>100</v>
      </c>
      <c r="AN103" s="645">
        <f t="shared" si="261"/>
        <v>100</v>
      </c>
      <c r="AO103" s="645">
        <f t="shared" si="261"/>
        <v>100</v>
      </c>
      <c r="AP103" s="645">
        <f t="shared" si="261"/>
        <v>100</v>
      </c>
      <c r="AQ103" s="645">
        <f t="shared" si="261"/>
        <v>100</v>
      </c>
      <c r="AR103" s="983">
        <f t="shared" si="261"/>
        <v>100</v>
      </c>
      <c r="AS103" s="645">
        <f>$D$103</f>
        <v>100</v>
      </c>
      <c r="AT103" s="645">
        <f t="shared" si="261"/>
        <v>100</v>
      </c>
      <c r="AU103" s="645">
        <f t="shared" si="261"/>
        <v>100</v>
      </c>
      <c r="AV103" s="645">
        <f t="shared" si="261"/>
        <v>100</v>
      </c>
      <c r="AW103" s="645">
        <f t="shared" si="261"/>
        <v>100</v>
      </c>
      <c r="AX103" s="645">
        <f t="shared" si="261"/>
        <v>100</v>
      </c>
      <c r="AY103" s="645">
        <f t="shared" si="261"/>
        <v>100</v>
      </c>
      <c r="AZ103" s="645">
        <f t="shared" si="261"/>
        <v>100</v>
      </c>
      <c r="BA103" s="645">
        <f t="shared" si="261"/>
        <v>100</v>
      </c>
      <c r="BB103" s="645">
        <f t="shared" si="261"/>
        <v>100</v>
      </c>
      <c r="BC103" s="645">
        <f t="shared" si="261"/>
        <v>100</v>
      </c>
      <c r="BD103" s="983">
        <f t="shared" si="261"/>
        <v>100</v>
      </c>
      <c r="BE103" s="645">
        <f>$D$103</f>
        <v>100</v>
      </c>
      <c r="BF103" s="645">
        <f t="shared" si="261"/>
        <v>100</v>
      </c>
      <c r="BG103" s="645">
        <f t="shared" si="261"/>
        <v>100</v>
      </c>
      <c r="BH103" s="645">
        <f t="shared" si="261"/>
        <v>100</v>
      </c>
      <c r="BI103" s="645">
        <f t="shared" si="261"/>
        <v>100</v>
      </c>
      <c r="BJ103" s="645">
        <f t="shared" si="261"/>
        <v>100</v>
      </c>
      <c r="BK103" s="645">
        <f t="shared" si="261"/>
        <v>100</v>
      </c>
      <c r="BL103" s="645">
        <f t="shared" si="261"/>
        <v>100</v>
      </c>
      <c r="BM103" s="645">
        <f t="shared" si="261"/>
        <v>100</v>
      </c>
      <c r="BN103" s="645">
        <f t="shared" si="261"/>
        <v>100</v>
      </c>
      <c r="BO103" s="645">
        <f t="shared" si="261"/>
        <v>100</v>
      </c>
      <c r="BP103" s="983">
        <f t="shared" si="261"/>
        <v>100</v>
      </c>
    </row>
    <row r="104" spans="1:68" s="644" customFormat="1">
      <c r="A104" s="630"/>
      <c r="B104" s="316"/>
      <c r="C104" s="314" t="s">
        <v>195</v>
      </c>
      <c r="D104" s="643">
        <v>800</v>
      </c>
      <c r="E104" s="317" t="s">
        <v>67</v>
      </c>
      <c r="G104" s="645"/>
      <c r="H104" s="645"/>
      <c r="I104" s="645">
        <f>$D$104</f>
        <v>800</v>
      </c>
      <c r="J104" s="645">
        <f t="shared" ref="J104:BP104" si="262">$D$104</f>
        <v>800</v>
      </c>
      <c r="K104" s="645">
        <f t="shared" si="262"/>
        <v>800</v>
      </c>
      <c r="L104" s="645">
        <f t="shared" si="262"/>
        <v>800</v>
      </c>
      <c r="M104" s="645">
        <f t="shared" si="262"/>
        <v>800</v>
      </c>
      <c r="N104" s="645">
        <f t="shared" si="262"/>
        <v>800</v>
      </c>
      <c r="O104" s="645">
        <f t="shared" si="262"/>
        <v>800</v>
      </c>
      <c r="P104" s="645">
        <f t="shared" si="262"/>
        <v>800</v>
      </c>
      <c r="Q104" s="645">
        <f t="shared" si="262"/>
        <v>800</v>
      </c>
      <c r="R104" s="645">
        <f t="shared" si="262"/>
        <v>800</v>
      </c>
      <c r="S104" s="645">
        <f t="shared" si="262"/>
        <v>800</v>
      </c>
      <c r="T104" s="983">
        <f t="shared" si="262"/>
        <v>800</v>
      </c>
      <c r="U104" s="645">
        <f t="shared" si="262"/>
        <v>800</v>
      </c>
      <c r="V104" s="645">
        <f t="shared" si="262"/>
        <v>800</v>
      </c>
      <c r="W104" s="645">
        <f t="shared" si="262"/>
        <v>800</v>
      </c>
      <c r="X104" s="645">
        <f t="shared" si="262"/>
        <v>800</v>
      </c>
      <c r="Y104" s="645">
        <f t="shared" si="262"/>
        <v>800</v>
      </c>
      <c r="Z104" s="645">
        <f t="shared" si="262"/>
        <v>800</v>
      </c>
      <c r="AA104" s="645">
        <f t="shared" si="262"/>
        <v>800</v>
      </c>
      <c r="AB104" s="645">
        <f t="shared" si="262"/>
        <v>800</v>
      </c>
      <c r="AC104" s="645">
        <f t="shared" si="262"/>
        <v>800</v>
      </c>
      <c r="AD104" s="645">
        <f t="shared" si="262"/>
        <v>800</v>
      </c>
      <c r="AE104" s="645">
        <f t="shared" si="262"/>
        <v>800</v>
      </c>
      <c r="AF104" s="983">
        <f t="shared" si="262"/>
        <v>800</v>
      </c>
      <c r="AG104" s="645">
        <f t="shared" si="262"/>
        <v>800</v>
      </c>
      <c r="AH104" s="645">
        <f t="shared" si="262"/>
        <v>800</v>
      </c>
      <c r="AI104" s="645">
        <f t="shared" si="262"/>
        <v>800</v>
      </c>
      <c r="AJ104" s="645">
        <f t="shared" si="262"/>
        <v>800</v>
      </c>
      <c r="AK104" s="645">
        <f t="shared" si="262"/>
        <v>800</v>
      </c>
      <c r="AL104" s="645">
        <f t="shared" si="262"/>
        <v>800</v>
      </c>
      <c r="AM104" s="645">
        <f t="shared" si="262"/>
        <v>800</v>
      </c>
      <c r="AN104" s="645">
        <f t="shared" si="262"/>
        <v>800</v>
      </c>
      <c r="AO104" s="645">
        <f t="shared" si="262"/>
        <v>800</v>
      </c>
      <c r="AP104" s="645">
        <f t="shared" si="262"/>
        <v>800</v>
      </c>
      <c r="AQ104" s="645">
        <f t="shared" si="262"/>
        <v>800</v>
      </c>
      <c r="AR104" s="983">
        <f t="shared" si="262"/>
        <v>800</v>
      </c>
      <c r="AS104" s="645">
        <f t="shared" si="262"/>
        <v>800</v>
      </c>
      <c r="AT104" s="645">
        <f t="shared" si="262"/>
        <v>800</v>
      </c>
      <c r="AU104" s="645">
        <f t="shared" si="262"/>
        <v>800</v>
      </c>
      <c r="AV104" s="645">
        <f t="shared" si="262"/>
        <v>800</v>
      </c>
      <c r="AW104" s="645">
        <f t="shared" si="262"/>
        <v>800</v>
      </c>
      <c r="AX104" s="645">
        <f t="shared" si="262"/>
        <v>800</v>
      </c>
      <c r="AY104" s="645">
        <f t="shared" si="262"/>
        <v>800</v>
      </c>
      <c r="AZ104" s="645">
        <f t="shared" si="262"/>
        <v>800</v>
      </c>
      <c r="BA104" s="645">
        <f t="shared" si="262"/>
        <v>800</v>
      </c>
      <c r="BB104" s="645">
        <f t="shared" si="262"/>
        <v>800</v>
      </c>
      <c r="BC104" s="645">
        <f t="shared" si="262"/>
        <v>800</v>
      </c>
      <c r="BD104" s="983">
        <f t="shared" si="262"/>
        <v>800</v>
      </c>
      <c r="BE104" s="645">
        <f t="shared" si="262"/>
        <v>800</v>
      </c>
      <c r="BF104" s="645">
        <f t="shared" si="262"/>
        <v>800</v>
      </c>
      <c r="BG104" s="645">
        <f t="shared" si="262"/>
        <v>800</v>
      </c>
      <c r="BH104" s="645">
        <f t="shared" si="262"/>
        <v>800</v>
      </c>
      <c r="BI104" s="645">
        <f t="shared" si="262"/>
        <v>800</v>
      </c>
      <c r="BJ104" s="645">
        <f t="shared" si="262"/>
        <v>800</v>
      </c>
      <c r="BK104" s="645">
        <f t="shared" si="262"/>
        <v>800</v>
      </c>
      <c r="BL104" s="645">
        <f t="shared" si="262"/>
        <v>800</v>
      </c>
      <c r="BM104" s="645">
        <f t="shared" si="262"/>
        <v>800</v>
      </c>
      <c r="BN104" s="645">
        <f t="shared" si="262"/>
        <v>800</v>
      </c>
      <c r="BO104" s="645">
        <f t="shared" si="262"/>
        <v>800</v>
      </c>
      <c r="BP104" s="983">
        <f t="shared" si="262"/>
        <v>800</v>
      </c>
    </row>
    <row r="105" spans="1:68" s="649" customFormat="1">
      <c r="A105" s="659"/>
      <c r="B105" s="660"/>
      <c r="C105" s="661" t="s">
        <v>196</v>
      </c>
      <c r="D105" s="648">
        <v>80</v>
      </c>
      <c r="E105" s="685" t="s">
        <v>197</v>
      </c>
      <c r="G105" s="650">
        <f>$D$105</f>
        <v>80</v>
      </c>
      <c r="H105" s="650"/>
      <c r="I105" s="650">
        <f>$D$105*(HR!D3+HR!D5)</f>
        <v>80</v>
      </c>
      <c r="J105" s="650">
        <f>$D$105*(HR!E3+HR!E5)</f>
        <v>80</v>
      </c>
      <c r="K105" s="650">
        <f>$D$105*(HR!F3+HR!F5)</f>
        <v>80</v>
      </c>
      <c r="L105" s="650">
        <f>$D$105*(HR!G3+HR!G5)</f>
        <v>80</v>
      </c>
      <c r="M105" s="650">
        <f>$D$105*(HR!H3+HR!H5)</f>
        <v>80</v>
      </c>
      <c r="N105" s="650">
        <f>$D$105*(HR!I3+HR!I5)</f>
        <v>80</v>
      </c>
      <c r="O105" s="650">
        <f>$D$105*(HR!J3+HR!J5)</f>
        <v>80</v>
      </c>
      <c r="P105" s="650">
        <f>$D$105*(HR!K3+HR!K5)</f>
        <v>80</v>
      </c>
      <c r="Q105" s="650">
        <f>$D$105*(HR!L3+HR!L5)</f>
        <v>80</v>
      </c>
      <c r="R105" s="650">
        <f>$D$105*(HR!M3+HR!M5)</f>
        <v>80</v>
      </c>
      <c r="S105" s="650">
        <f>$D$105*(HR!N3+HR!N5)</f>
        <v>80</v>
      </c>
      <c r="T105" s="1080">
        <f>$D$105*(HR!O3+HR!O5)</f>
        <v>80</v>
      </c>
      <c r="U105" s="650">
        <f>$D$105*(HR!P3+HR!P5)</f>
        <v>80</v>
      </c>
      <c r="V105" s="650">
        <f>$D$105*(HR!Q3+HR!Q5)</f>
        <v>80</v>
      </c>
      <c r="W105" s="650">
        <f>$D$105*(HR!R3+HR!R5)</f>
        <v>80</v>
      </c>
      <c r="X105" s="650">
        <f>$D$105*(HR!S3+HR!S5)</f>
        <v>80</v>
      </c>
      <c r="Y105" s="650">
        <f>$D$105*(HR!T3+HR!T5)</f>
        <v>83.398781900055212</v>
      </c>
      <c r="Z105" s="650">
        <f>$D$105*(HR!U3+HR!U5)</f>
        <v>87.71759541999954</v>
      </c>
      <c r="AA105" s="650">
        <f>$D$105*(HR!V3+HR!V5)</f>
        <v>92.291374766162562</v>
      </c>
      <c r="AB105" s="650">
        <f>$D$105*(HR!W3+HR!W5)</f>
        <v>97.134105375960061</v>
      </c>
      <c r="AC105" s="650">
        <f>$D$105*(HR!X3+HR!X5)</f>
        <v>102.26017869260534</v>
      </c>
      <c r="AD105" s="650">
        <f>$D$105*(HR!Y3+HR!Y5)</f>
        <v>107.68437499946508</v>
      </c>
      <c r="AE105" s="650">
        <f>$D$105*(HR!Z3+HR!Z5)</f>
        <v>113.42184890057266</v>
      </c>
      <c r="AF105" s="1080">
        <f>$D$105*(HR!AA3+HR!AA5)</f>
        <v>199.48811841568056</v>
      </c>
      <c r="AG105" s="650">
        <f>$D$105*(HR!AB3+HR!AB5)</f>
        <v>180.72522344035448</v>
      </c>
      <c r="AH105" s="650">
        <f>$D$105*(HR!AC3+HR!AC5)</f>
        <v>186.03815969539119</v>
      </c>
      <c r="AI105" s="650">
        <f>$D$105*(HR!AD3+HR!AD5)</f>
        <v>191.64506860155629</v>
      </c>
      <c r="AJ105" s="650">
        <f>$D$105*(HR!AE3+HR!AE5)</f>
        <v>197.55942302012241</v>
      </c>
      <c r="AK105" s="650">
        <f>$D$105*(HR!AF3+HR!AF5)</f>
        <v>203.79501652930963</v>
      </c>
      <c r="AL105" s="650">
        <f>$D$105*(HR!AG3+HR!AG5)</f>
        <v>210.36596724810744</v>
      </c>
      <c r="AM105" s="650">
        <f>$D$105*(HR!AH3+HR!AH5)</f>
        <v>217.28672435599401</v>
      </c>
      <c r="AN105" s="650">
        <f>$D$105*(HR!AI3+HR!AI5)</f>
        <v>224.57207740456914</v>
      </c>
      <c r="AO105" s="650">
        <f>$D$105*(HR!AJ3+HR!AJ5)</f>
        <v>232.23716846399981</v>
      </c>
      <c r="AP105" s="650">
        <f>$D$105*(HR!AK3+HR!AK5)</f>
        <v>240.29750710016043</v>
      </c>
      <c r="AQ105" s="650">
        <f>$D$105*(HR!AL3+HR!AL5)</f>
        <v>288.76898813895383</v>
      </c>
      <c r="AR105" s="1080">
        <f>$D$105*(HR!AM3+HR!AM5)</f>
        <v>297.66791214345704</v>
      </c>
      <c r="AS105" s="650">
        <f>$D$105*(HR!AN3+HR!AN5)</f>
        <v>387.01100850754528</v>
      </c>
      <c r="AT105" s="650">
        <f>$D$105*(HR!AO3+HR!AO5)</f>
        <v>396.33168526506637</v>
      </c>
      <c r="AU105" s="650">
        <f>$D$105*(HR!AP3+HR!AP5)</f>
        <v>406.09017591728775</v>
      </c>
      <c r="AV105" s="650">
        <f>$D$105*(HR!AQ3+HR!AQ5)</f>
        <v>416.3032002825604</v>
      </c>
      <c r="AW105" s="650">
        <f>$D$105*(HR!AR3+HR!AR5)</f>
        <v>426.98797973521096</v>
      </c>
      <c r="AX105" s="650">
        <f>$D$105*(HR!AS3+HR!AS5)</f>
        <v>438.16226052401504</v>
      </c>
      <c r="AY105" s="650">
        <f>$D$105*(HR!AT3+HR!AT5)</f>
        <v>449.84433897650212</v>
      </c>
      <c r="AZ105" s="650">
        <f>$D$105*(HR!AU3+HR!AU5)</f>
        <v>462.05308864287463</v>
      </c>
      <c r="BA105" s="650">
        <f>$D$105*(HR!AV3+HR!AV5)</f>
        <v>554.80798942871093</v>
      </c>
      <c r="BB105" s="650">
        <f>$D$105*(HR!AW3+HR!AW5)</f>
        <v>568.12915876110662</v>
      </c>
      <c r="BC105" s="650">
        <f>$D$105*(HR!AX3+HR!AX5)</f>
        <v>622.0373848285177</v>
      </c>
      <c r="BD105" s="1080">
        <f>$D$105*(HR!AY3+HR!AY5)</f>
        <v>636.55416193038366</v>
      </c>
      <c r="BE105" s="650">
        <f>$D$105*(HR!AZ3+HR!AZ5)</f>
        <v>651.70172796867007</v>
      </c>
      <c r="BF105" s="650">
        <f>$D$105*(HR!BA3+HR!BA5)</f>
        <v>667.74321604376064</v>
      </c>
      <c r="BG105" s="650">
        <f>$D$105*(HR!BB3+HR!BB5)</f>
        <v>684.49513313627654</v>
      </c>
      <c r="BH105" s="650">
        <f>$D$105*(HR!BC3+HR!BC5)</f>
        <v>701.98464289690548</v>
      </c>
      <c r="BI105" s="650">
        <f>$D$105*(HR!BD3+HR!BD5)</f>
        <v>720.2399287305775</v>
      </c>
      <c r="BJ105" s="650">
        <f>$D$105*(HR!BE3+HR!BE5)</f>
        <v>739.29024533622112</v>
      </c>
      <c r="BK105" s="650">
        <f>$D$105*(HR!BF3+HR!BF5)</f>
        <v>759.16597284085628</v>
      </c>
      <c r="BL105" s="650">
        <f>$D$105*(HR!BG3+HR!BG5)</f>
        <v>859.89867356977607</v>
      </c>
      <c r="BM105" s="650">
        <f>$D$105*(HR!BH3+HR!BH5)</f>
        <v>881.52115149329336</v>
      </c>
      <c r="BN105" s="650">
        <f>$D$105*(HR!BI3+HR!BI5)</f>
        <v>904.06751438977085</v>
      </c>
      <c r="BO105" s="650">
        <f>$D$105*(HR!BJ3+HR!BJ5)</f>
        <v>927.57323876449709</v>
      </c>
      <c r="BP105" s="1080">
        <f>$D$105*(HR!BK3+HR!BK5)</f>
        <v>1032.0752375644101</v>
      </c>
    </row>
    <row r="106" spans="1:68">
      <c r="A106" s="306"/>
      <c r="B106" s="310"/>
      <c r="C106" s="311"/>
      <c r="D106" s="324"/>
      <c r="E106" s="998"/>
    </row>
    <row r="107" spans="1:68" s="160" customFormat="1">
      <c r="A107" s="156"/>
      <c r="B107" s="157"/>
      <c r="C107" s="158"/>
      <c r="D107" s="178"/>
      <c r="E107" s="159"/>
      <c r="G107" s="161"/>
      <c r="H107" s="161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3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3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3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3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3"/>
    </row>
    <row r="108" spans="1:68" s="160" customFormat="1">
      <c r="A108" s="156"/>
      <c r="B108" s="157"/>
      <c r="C108" s="158"/>
      <c r="D108" s="178"/>
      <c r="E108" s="159"/>
      <c r="G108" s="161"/>
      <c r="H108" s="161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3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3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3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3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3"/>
    </row>
  </sheetData>
  <mergeCells count="12">
    <mergeCell ref="C87:D87"/>
    <mergeCell ref="C88:D88"/>
    <mergeCell ref="C89:D89"/>
    <mergeCell ref="AG1:AR25"/>
    <mergeCell ref="AS1:BD25"/>
    <mergeCell ref="BE1:BP25"/>
    <mergeCell ref="A57:B57"/>
    <mergeCell ref="A58:B58"/>
    <mergeCell ref="A33:B33"/>
    <mergeCell ref="A32:B32"/>
    <mergeCell ref="I1:T25"/>
    <mergeCell ref="U1:AF25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-0.499984740745262"/>
  </sheetPr>
  <dimension ref="A1:CQ47"/>
  <sheetViews>
    <sheetView showGridLines="0" workbookViewId="0">
      <pane xSplit="2" ySplit="2" topLeftCell="AR14" activePane="bottomRight" state="frozen"/>
      <selection activeCell="BI26" sqref="BI26"/>
      <selection pane="topRight" activeCell="BI26" sqref="BI26"/>
      <selection pane="bottomLeft" activeCell="BI26" sqref="BI26"/>
      <selection pane="bottomRight" activeCell="BA24" sqref="BA24"/>
    </sheetView>
  </sheetViews>
  <sheetFormatPr defaultColWidth="8.85546875" defaultRowHeight="15"/>
  <cols>
    <col min="1" max="1" width="3" style="1144" customWidth="1"/>
    <col min="2" max="2" width="25.7109375" style="4" customWidth="1"/>
    <col min="3" max="4" width="10" style="16" hidden="1" customWidth="1"/>
    <col min="5" max="15" width="10" style="134" customWidth="1"/>
    <col min="16" max="16" width="10" style="135" customWidth="1"/>
    <col min="17" max="27" width="10" style="134" customWidth="1"/>
    <col min="28" max="28" width="10" style="135" customWidth="1"/>
    <col min="29" max="39" width="10" style="134" customWidth="1"/>
    <col min="40" max="40" width="10" style="135" customWidth="1"/>
    <col min="41" max="41" width="10" style="140" customWidth="1"/>
    <col min="42" max="51" width="10" style="134" customWidth="1"/>
    <col min="52" max="52" width="10" style="135" customWidth="1"/>
    <col min="53" max="63" width="10" style="134" customWidth="1"/>
    <col min="64" max="64" width="10" style="135" customWidth="1"/>
    <col min="65" max="65" width="2.42578125" style="152" hidden="1" customWidth="1"/>
    <col min="66" max="66" width="10" style="16" hidden="1" customWidth="1"/>
    <col min="67" max="67" width="7.85546875" style="2" hidden="1" customWidth="1"/>
    <col min="68" max="90" width="10" style="16" hidden="1" customWidth="1"/>
    <col min="91" max="95" width="10" style="2" hidden="1" customWidth="1"/>
    <col min="96" max="96" width="0" hidden="1" customWidth="1"/>
  </cols>
  <sheetData>
    <row r="1" spans="1:95" s="109" customFormat="1">
      <c r="A1" s="1137"/>
      <c r="B1" s="1126"/>
      <c r="C1" s="5"/>
      <c r="D1" s="5"/>
      <c r="E1" s="1339" t="s">
        <v>189</v>
      </c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  <c r="Q1" s="1339" t="s">
        <v>190</v>
      </c>
      <c r="R1" s="1339"/>
      <c r="S1" s="1339"/>
      <c r="T1" s="1339"/>
      <c r="U1" s="1339"/>
      <c r="V1" s="1339"/>
      <c r="W1" s="1339"/>
      <c r="X1" s="1339"/>
      <c r="Y1" s="1339"/>
      <c r="Z1" s="1339"/>
      <c r="AA1" s="1339"/>
      <c r="AB1" s="1339"/>
      <c r="AC1" s="1339" t="s">
        <v>191</v>
      </c>
      <c r="AD1" s="1339"/>
      <c r="AE1" s="1339"/>
      <c r="AF1" s="1339"/>
      <c r="AG1" s="1339"/>
      <c r="AH1" s="1339"/>
      <c r="AI1" s="1339"/>
      <c r="AJ1" s="1339"/>
      <c r="AK1" s="1339"/>
      <c r="AL1" s="1339"/>
      <c r="AM1" s="1339"/>
      <c r="AN1" s="1339"/>
      <c r="AO1" s="1339" t="s">
        <v>192</v>
      </c>
      <c r="AP1" s="1339"/>
      <c r="AQ1" s="1339"/>
      <c r="AR1" s="1339"/>
      <c r="AS1" s="1339"/>
      <c r="AT1" s="1339"/>
      <c r="AU1" s="1339"/>
      <c r="AV1" s="1339"/>
      <c r="AW1" s="1339"/>
      <c r="AX1" s="1339"/>
      <c r="AY1" s="1339"/>
      <c r="AZ1" s="1339"/>
      <c r="BA1" s="1339" t="s">
        <v>193</v>
      </c>
      <c r="BB1" s="1339"/>
      <c r="BC1" s="1339"/>
      <c r="BD1" s="1339"/>
      <c r="BE1" s="1339"/>
      <c r="BF1" s="1339"/>
      <c r="BG1" s="1339"/>
      <c r="BH1" s="1339"/>
      <c r="BI1" s="1339"/>
      <c r="BJ1" s="1339"/>
      <c r="BK1" s="1339"/>
      <c r="BL1" s="1339"/>
      <c r="BM1" s="1127"/>
      <c r="BN1" s="5"/>
      <c r="BO1" s="6"/>
      <c r="BP1" s="1339" t="s">
        <v>203</v>
      </c>
      <c r="BQ1" s="1339"/>
      <c r="BR1" s="1339"/>
      <c r="BS1" s="1339"/>
      <c r="BT1" s="1339" t="s">
        <v>204</v>
      </c>
      <c r="BU1" s="1339"/>
      <c r="BV1" s="1339"/>
      <c r="BW1" s="1339"/>
      <c r="BX1" s="1339" t="s">
        <v>205</v>
      </c>
      <c r="BY1" s="1339"/>
      <c r="BZ1" s="1339"/>
      <c r="CA1" s="1339"/>
      <c r="CB1" s="1339" t="s">
        <v>206</v>
      </c>
      <c r="CC1" s="1339"/>
      <c r="CD1" s="1339"/>
      <c r="CE1" s="1339"/>
      <c r="CF1" s="1339" t="s">
        <v>207</v>
      </c>
      <c r="CG1" s="1339"/>
      <c r="CH1" s="1339"/>
      <c r="CI1" s="1339"/>
      <c r="CJ1" s="5"/>
      <c r="CK1" s="5"/>
      <c r="CL1" s="5"/>
      <c r="CM1" s="6"/>
      <c r="CN1" s="6"/>
      <c r="CO1" s="6"/>
      <c r="CP1" s="6"/>
      <c r="CQ1" s="6"/>
    </row>
    <row r="2" spans="1:95" s="1129" customFormat="1">
      <c r="A2" s="1138"/>
      <c r="B2" s="431"/>
      <c r="C2" s="1127" t="s">
        <v>0</v>
      </c>
      <c r="D2" s="1127" t="s">
        <v>0</v>
      </c>
      <c r="E2" s="431" t="s">
        <v>1</v>
      </c>
      <c r="F2" s="431" t="s">
        <v>2</v>
      </c>
      <c r="G2" s="431" t="s">
        <v>3</v>
      </c>
      <c r="H2" s="431" t="s">
        <v>4</v>
      </c>
      <c r="I2" s="431" t="s">
        <v>5</v>
      </c>
      <c r="J2" s="431" t="s">
        <v>6</v>
      </c>
      <c r="K2" s="431" t="s">
        <v>7</v>
      </c>
      <c r="L2" s="431" t="s">
        <v>8</v>
      </c>
      <c r="M2" s="431" t="s">
        <v>9</v>
      </c>
      <c r="N2" s="431" t="s">
        <v>10</v>
      </c>
      <c r="O2" s="431" t="s">
        <v>11</v>
      </c>
      <c r="P2" s="432" t="s">
        <v>12</v>
      </c>
      <c r="Q2" s="431" t="s">
        <v>1</v>
      </c>
      <c r="R2" s="431" t="s">
        <v>2</v>
      </c>
      <c r="S2" s="431" t="s">
        <v>3</v>
      </c>
      <c r="T2" s="431" t="s">
        <v>4</v>
      </c>
      <c r="U2" s="431" t="s">
        <v>5</v>
      </c>
      <c r="V2" s="431" t="s">
        <v>6</v>
      </c>
      <c r="W2" s="431" t="s">
        <v>7</v>
      </c>
      <c r="X2" s="431" t="s">
        <v>8</v>
      </c>
      <c r="Y2" s="431" t="s">
        <v>9</v>
      </c>
      <c r="Z2" s="431" t="s">
        <v>10</v>
      </c>
      <c r="AA2" s="431" t="s">
        <v>11</v>
      </c>
      <c r="AB2" s="432" t="s">
        <v>12</v>
      </c>
      <c r="AC2" s="431" t="s">
        <v>1</v>
      </c>
      <c r="AD2" s="431" t="s">
        <v>2</v>
      </c>
      <c r="AE2" s="431" t="s">
        <v>3</v>
      </c>
      <c r="AF2" s="431" t="s">
        <v>4</v>
      </c>
      <c r="AG2" s="431" t="s">
        <v>5</v>
      </c>
      <c r="AH2" s="431" t="s">
        <v>6</v>
      </c>
      <c r="AI2" s="431" t="s">
        <v>7</v>
      </c>
      <c r="AJ2" s="431" t="s">
        <v>8</v>
      </c>
      <c r="AK2" s="431" t="s">
        <v>9</v>
      </c>
      <c r="AL2" s="431" t="s">
        <v>10</v>
      </c>
      <c r="AM2" s="431" t="s">
        <v>11</v>
      </c>
      <c r="AN2" s="431" t="s">
        <v>12</v>
      </c>
      <c r="AO2" s="431" t="s">
        <v>1</v>
      </c>
      <c r="AP2" s="431" t="s">
        <v>2</v>
      </c>
      <c r="AQ2" s="431" t="s">
        <v>3</v>
      </c>
      <c r="AR2" s="431" t="s">
        <v>4</v>
      </c>
      <c r="AS2" s="431" t="s">
        <v>5</v>
      </c>
      <c r="AT2" s="431" t="s">
        <v>6</v>
      </c>
      <c r="AU2" s="431" t="s">
        <v>7</v>
      </c>
      <c r="AV2" s="431" t="s">
        <v>8</v>
      </c>
      <c r="AW2" s="431" t="s">
        <v>9</v>
      </c>
      <c r="AX2" s="431" t="s">
        <v>10</v>
      </c>
      <c r="AY2" s="431" t="s">
        <v>11</v>
      </c>
      <c r="AZ2" s="431" t="s">
        <v>12</v>
      </c>
      <c r="BA2" s="431" t="s">
        <v>1</v>
      </c>
      <c r="BB2" s="431" t="s">
        <v>2</v>
      </c>
      <c r="BC2" s="431" t="s">
        <v>3</v>
      </c>
      <c r="BD2" s="431" t="s">
        <v>4</v>
      </c>
      <c r="BE2" s="431" t="s">
        <v>5</v>
      </c>
      <c r="BF2" s="431" t="s">
        <v>6</v>
      </c>
      <c r="BG2" s="431" t="s">
        <v>7</v>
      </c>
      <c r="BH2" s="431" t="s">
        <v>8</v>
      </c>
      <c r="BI2" s="431" t="s">
        <v>9</v>
      </c>
      <c r="BJ2" s="431" t="s">
        <v>10</v>
      </c>
      <c r="BK2" s="431" t="s">
        <v>11</v>
      </c>
      <c r="BL2" s="431" t="s">
        <v>12</v>
      </c>
      <c r="BM2" s="1127"/>
      <c r="BN2" s="431" t="s">
        <v>13</v>
      </c>
      <c r="BO2" s="1128" t="s">
        <v>14</v>
      </c>
      <c r="BP2" s="431" t="s">
        <v>15</v>
      </c>
      <c r="BQ2" s="431" t="s">
        <v>16</v>
      </c>
      <c r="BR2" s="431" t="s">
        <v>17</v>
      </c>
      <c r="BS2" s="431" t="s">
        <v>18</v>
      </c>
      <c r="BT2" s="431" t="s">
        <v>15</v>
      </c>
      <c r="BU2" s="431" t="s">
        <v>16</v>
      </c>
      <c r="BV2" s="431" t="s">
        <v>17</v>
      </c>
      <c r="BW2" s="431" t="s">
        <v>18</v>
      </c>
      <c r="BX2" s="431" t="s">
        <v>15</v>
      </c>
      <c r="BY2" s="431" t="s">
        <v>16</v>
      </c>
      <c r="BZ2" s="431" t="s">
        <v>17</v>
      </c>
      <c r="CA2" s="431" t="s">
        <v>18</v>
      </c>
      <c r="CB2" s="431" t="s">
        <v>15</v>
      </c>
      <c r="CC2" s="431" t="s">
        <v>16</v>
      </c>
      <c r="CD2" s="431" t="s">
        <v>17</v>
      </c>
      <c r="CE2" s="431" t="s">
        <v>18</v>
      </c>
      <c r="CF2" s="431" t="s">
        <v>18</v>
      </c>
      <c r="CG2" s="431" t="s">
        <v>15</v>
      </c>
      <c r="CH2" s="431" t="s">
        <v>16</v>
      </c>
      <c r="CI2" s="431" t="s">
        <v>17</v>
      </c>
      <c r="CJ2" s="431" t="s">
        <v>18</v>
      </c>
      <c r="CK2" s="431"/>
      <c r="CL2" s="431" t="s">
        <v>13</v>
      </c>
      <c r="CM2" s="1128" t="s">
        <v>15</v>
      </c>
      <c r="CN2" s="431" t="s">
        <v>16</v>
      </c>
      <c r="CO2" s="431" t="s">
        <v>17</v>
      </c>
      <c r="CP2" s="431" t="s">
        <v>18</v>
      </c>
      <c r="CQ2" s="1128" t="s">
        <v>14</v>
      </c>
    </row>
    <row r="3" spans="1:95" s="109" customFormat="1" ht="28.5" customHeight="1">
      <c r="A3" s="1125" t="s">
        <v>19</v>
      </c>
      <c r="B3" s="1109"/>
      <c r="C3" s="1110"/>
      <c r="D3" s="11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2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110"/>
      <c r="BN3" s="14"/>
      <c r="BO3" s="1130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130"/>
      <c r="CN3" s="1130"/>
      <c r="CO3" s="1130"/>
      <c r="CP3" s="1130"/>
      <c r="CQ3" s="1130"/>
    </row>
    <row r="4" spans="1:95" s="576" customFormat="1" ht="21.75" customHeight="1">
      <c r="A4" s="1139"/>
      <c r="B4" s="1093" t="s">
        <v>20</v>
      </c>
      <c r="C4" s="1094">
        <v>2998068.34</v>
      </c>
      <c r="D4" s="1095">
        <v>0.92793999999999999</v>
      </c>
      <c r="E4" s="1094">
        <f>'Contractor Model'!B29</f>
        <v>10572.687224669604</v>
      </c>
      <c r="F4" s="1094">
        <f>'Contractor Model'!C29</f>
        <v>11447.330396475771</v>
      </c>
      <c r="G4" s="1094">
        <f>'Contractor Model'!D29</f>
        <v>12606.443895333165</v>
      </c>
      <c r="H4" s="1094">
        <f>'Contractor Model'!E29</f>
        <v>14308.501998763651</v>
      </c>
      <c r="I4" s="1094">
        <f>'Contractor Model'!F29</f>
        <v>15754.485910265539</v>
      </c>
      <c r="J4" s="1094">
        <f>'Contractor Model'!G29</f>
        <v>17353.217576985735</v>
      </c>
      <c r="K4" s="1094">
        <f>'Contractor Model'!H29</f>
        <v>18862.559641829208</v>
      </c>
      <c r="L4" s="1094">
        <f>'Contractor Model'!I29</f>
        <v>20520.783565377216</v>
      </c>
      <c r="M4" s="1094">
        <f>'Contractor Model'!J29</f>
        <v>22342.123791741913</v>
      </c>
      <c r="N4" s="1094">
        <f>'Contractor Model'!K29</f>
        <v>24021.585978635714</v>
      </c>
      <c r="O4" s="1094">
        <f>'Contractor Model'!L29</f>
        <v>25847.156122049975</v>
      </c>
      <c r="P4" s="1096">
        <f>'Contractor Model'!M29</f>
        <v>27830.031990670621</v>
      </c>
      <c r="Q4" s="1094">
        <f>'Contractor Model'!N29</f>
        <v>29989.121723954904</v>
      </c>
      <c r="R4" s="1094">
        <f>'Contractor Model'!O29</f>
        <v>32296.384400666651</v>
      </c>
      <c r="S4" s="1094">
        <f>'Contractor Model'!P29</f>
        <v>34809.630405690601</v>
      </c>
      <c r="T4" s="1094">
        <f>'Contractor Model'!Q29</f>
        <v>37544.600637717813</v>
      </c>
      <c r="U4" s="1094">
        <f>'Contractor Model'!R29</f>
        <v>40517.688533278124</v>
      </c>
      <c r="V4" s="1094">
        <f>'Contractor Model'!S29</f>
        <v>43745.900045226386</v>
      </c>
      <c r="W4" s="1094">
        <f>'Contractor Model'!T29</f>
        <v>47246.810126086835</v>
      </c>
      <c r="X4" s="1094">
        <f>'Contractor Model'!U29</f>
        <v>51038.517542930895</v>
      </c>
      <c r="Y4" s="1094">
        <f>'Contractor Model'!V29</f>
        <v>55139.600008427122</v>
      </c>
      <c r="Z4" s="1094">
        <f>'Contractor Model'!W29</f>
        <v>59569.071664519448</v>
      </c>
      <c r="AA4" s="1094">
        <f>'Contractor Model'!X29</f>
        <v>64346.344894226553</v>
      </c>
      <c r="AB4" s="1096">
        <f>'Contractor Model'!Y29</f>
        <v>69491.198266357169</v>
      </c>
      <c r="AC4" s="1094">
        <f>'Contractor Model'!Z29</f>
        <v>75035.888284790824</v>
      </c>
      <c r="AD4" s="1094">
        <f>'Contractor Model'!AA29</f>
        <v>80721.824962250845</v>
      </c>
      <c r="AE4" s="1094">
        <f>'Contractor Model'!AB29</f>
        <v>86815.133496767812</v>
      </c>
      <c r="AF4" s="1094">
        <f>'Contractor Model'!AC29</f>
        <v>93336.560821099716</v>
      </c>
      <c r="AG4" s="1094">
        <f>'Contractor Model'!AD29</f>
        <v>100307.22392711474</v>
      </c>
      <c r="AH4" s="1094">
        <f>'Contractor Model'!AE29</f>
        <v>107748.60244915113</v>
      </c>
      <c r="AI4" s="1094">
        <f>'Contractor Model'!AF29</f>
        <v>115682.53669908436</v>
      </c>
      <c r="AJ4" s="1094">
        <f>'Contractor Model'!AG29</f>
        <v>124131.23136840253</v>
      </c>
      <c r="AK4" s="1094">
        <f>'Contractor Model'!AH29</f>
        <v>133117.26498675841</v>
      </c>
      <c r="AL4" s="1094">
        <f>'Contractor Model'!AI29</f>
        <v>142663.60511426983</v>
      </c>
      <c r="AM4" s="1094">
        <f>'Contractor Model'!AJ29</f>
        <v>152793.62915005503</v>
      </c>
      <c r="AN4" s="1096">
        <f>'Contractor Model'!AK29</f>
        <v>163531.15056445068</v>
      </c>
      <c r="AO4" s="1097">
        <f>'Contractor Model'!AL29</f>
        <v>174900.45030796441</v>
      </c>
      <c r="AP4" s="1094">
        <f>'Contractor Model'!AM29</f>
        <v>185785.78269225103</v>
      </c>
      <c r="AQ4" s="1094">
        <f>'Contractor Model'!AN29</f>
        <v>197253.92421934224</v>
      </c>
      <c r="AR4" s="1094">
        <f>'Contractor Model'!AO29</f>
        <v>209327.11335515519</v>
      </c>
      <c r="AS4" s="1094">
        <f>'Contractor Model'!AP29</f>
        <v>222028.10969252454</v>
      </c>
      <c r="AT4" s="1094">
        <f>'Contractor Model'!AQ29</f>
        <v>235380.21931637841</v>
      </c>
      <c r="AU4" s="1094">
        <f>'Contractor Model'!AR29</f>
        <v>249407.32331198402</v>
      </c>
      <c r="AV4" s="1094">
        <f>'Contractor Model'!AS29</f>
        <v>264133.90951250686</v>
      </c>
      <c r="AW4" s="1094">
        <f>'Contractor Model'!AT29</f>
        <v>279585.10757075011</v>
      </c>
      <c r="AX4" s="1094">
        <f>'Contractor Model'!AU29</f>
        <v>295786.72742855555</v>
      </c>
      <c r="AY4" s="1094">
        <f>'Contractor Model'!AV29</f>
        <v>312765.30124606384</v>
      </c>
      <c r="AZ4" s="1096">
        <f>'Contractor Model'!AW29</f>
        <v>330548.12884197407</v>
      </c>
      <c r="BA4" s="1094">
        <f>'Contractor Model'!AX29</f>
        <v>349163.32668524422</v>
      </c>
      <c r="BB4" s="1094">
        <f>'Contractor Model'!AY29</f>
        <v>369194.28831862751</v>
      </c>
      <c r="BC4" s="1094">
        <f>'Contractor Model'!AZ29</f>
        <v>390194.14268810389</v>
      </c>
      <c r="BD4" s="1094">
        <f>'Contractor Model'!BA29</f>
        <v>412199.75664006075</v>
      </c>
      <c r="BE4" s="1094">
        <f>'Contractor Model'!BB29</f>
        <v>435249.31241286575</v>
      </c>
      <c r="BF4" s="1094">
        <f>'Contractor Model'!BC29</f>
        <v>459382.38273563923</v>
      </c>
      <c r="BG4" s="1094">
        <f>'Contractor Model'!BD29</f>
        <v>484640.01033298398</v>
      </c>
      <c r="BH4" s="1094">
        <f>'Contractor Model'!BE29</f>
        <v>511064.79188743024</v>
      </c>
      <c r="BI4" s="1094">
        <f>'Contractor Model'!BF29</f>
        <v>538700.96650518721</v>
      </c>
      <c r="BJ4" s="1094">
        <f>'Contractor Model'!BG29</f>
        <v>567594.50872561673</v>
      </c>
      <c r="BK4" s="1094">
        <f>'Contractor Model'!BH29</f>
        <v>597793.22611075127</v>
      </c>
      <c r="BL4" s="1096">
        <f>'Contractor Model'!BI29</f>
        <v>629346.86144827877</v>
      </c>
      <c r="BM4" s="1098"/>
      <c r="BN4" s="1094">
        <f>SUM(E4:P4)</f>
        <v>221466.90809279811</v>
      </c>
      <c r="BO4" s="1099">
        <f>BN4/BN6</f>
        <v>0.91337230479912745</v>
      </c>
      <c r="BP4" s="1094">
        <f>SUM(E4:G4)</f>
        <v>34626.461516478535</v>
      </c>
      <c r="BQ4" s="1094">
        <f>SUM(H4:J4)</f>
        <v>47416.205486014922</v>
      </c>
      <c r="BR4" s="1094">
        <f>SUM(K4:M4)</f>
        <v>61725.466998948337</v>
      </c>
      <c r="BS4" s="1094">
        <f t="shared" ref="BS4:CI4" si="0">SUM(N4:P4)</f>
        <v>77698.774091356318</v>
      </c>
      <c r="BT4" s="1094">
        <f t="shared" si="0"/>
        <v>83666.3098366755</v>
      </c>
      <c r="BU4" s="1094">
        <f t="shared" si="0"/>
        <v>90115.538115292176</v>
      </c>
      <c r="BV4" s="1094">
        <f t="shared" si="0"/>
        <v>97095.136530312157</v>
      </c>
      <c r="BW4" s="1094">
        <f t="shared" si="0"/>
        <v>104650.61544407507</v>
      </c>
      <c r="BX4" s="1094">
        <f t="shared" si="0"/>
        <v>112871.91957668655</v>
      </c>
      <c r="BY4" s="1094">
        <f t="shared" si="0"/>
        <v>121808.18921622232</v>
      </c>
      <c r="BZ4" s="1094">
        <f t="shared" si="0"/>
        <v>131510.39870459135</v>
      </c>
      <c r="CA4" s="1094">
        <f t="shared" si="0"/>
        <v>142031.22771424413</v>
      </c>
      <c r="CB4" s="1094">
        <f t="shared" si="0"/>
        <v>153424.92767744485</v>
      </c>
      <c r="CC4" s="1094">
        <f t="shared" si="0"/>
        <v>165747.18921587744</v>
      </c>
      <c r="CD4" s="1094">
        <f t="shared" si="0"/>
        <v>179055.01656717312</v>
      </c>
      <c r="CE4" s="1094">
        <f t="shared" si="0"/>
        <v>193406.61482510317</v>
      </c>
      <c r="CF4" s="1094">
        <f t="shared" si="0"/>
        <v>208873.43144537453</v>
      </c>
      <c r="CG4" s="1094">
        <f t="shared" si="0"/>
        <v>225248.91151339881</v>
      </c>
      <c r="CH4" s="1094">
        <f t="shared" si="0"/>
        <v>242572.8467438095</v>
      </c>
      <c r="CI4" s="1094">
        <f t="shared" si="0"/>
        <v>260873.5192801184</v>
      </c>
      <c r="CJ4" s="1094"/>
      <c r="CK4" s="1094"/>
      <c r="CL4" s="1094">
        <f>SUM(BP4:BS4)</f>
        <v>221466.90809279811</v>
      </c>
      <c r="CM4" s="1099">
        <f>BP4/BP6</f>
        <v>0.89606094968331729</v>
      </c>
      <c r="CN4" s="1099">
        <f>BQ4/BQ6</f>
        <v>0.90954422770802346</v>
      </c>
      <c r="CO4" s="1099">
        <f>BR4/BR6</f>
        <v>0.91692412154267566</v>
      </c>
      <c r="CP4" s="1099">
        <f>BS4/BS6</f>
        <v>0.92083182227722671</v>
      </c>
      <c r="CQ4" s="1099">
        <f>CL4/CL6</f>
        <v>0.91337230479912745</v>
      </c>
    </row>
    <row r="5" spans="1:95" s="395" customFormat="1">
      <c r="A5" s="1140"/>
      <c r="B5" s="1100" t="s">
        <v>21</v>
      </c>
      <c r="C5" s="1101">
        <v>224487.5</v>
      </c>
      <c r="D5" s="1102">
        <v>6.948E-2</v>
      </c>
      <c r="E5" s="1101">
        <f>'Contractor Model'!B32</f>
        <v>1274.0088105726873</v>
      </c>
      <c r="F5" s="1101">
        <f>'Contractor Model'!C32</f>
        <v>1334.9064317180619</v>
      </c>
      <c r="G5" s="1101">
        <f>'Contractor Model'!D32</f>
        <v>1407.5989547869187</v>
      </c>
      <c r="H5" s="1101">
        <f>'Contractor Model'!E32</f>
        <v>1485.7499329671846</v>
      </c>
      <c r="I5" s="1101">
        <f>'Contractor Model'!F32</f>
        <v>1569.7719943437753</v>
      </c>
      <c r="J5" s="1101">
        <f>'Contractor Model'!G32</f>
        <v>1660.1030590634168</v>
      </c>
      <c r="K5" s="1101">
        <f>'Contractor Model'!H32</f>
        <v>1757.206867585795</v>
      </c>
      <c r="L5" s="1101">
        <f>'Contractor Model'!I32</f>
        <v>1861.5733659635368</v>
      </c>
      <c r="M5" s="1101">
        <f>'Contractor Model'!J32</f>
        <v>1973.7189423898947</v>
      </c>
      <c r="N5" s="1101">
        <f>'Contractor Model'!K32</f>
        <v>2094.1865160503539</v>
      </c>
      <c r="O5" s="1101">
        <f>'Contractor Model'!L32</f>
        <v>2223.5454868931884</v>
      </c>
      <c r="P5" s="1103">
        <f>'Contractor Model'!M32</f>
        <v>2362.3915628276195</v>
      </c>
      <c r="Q5" s="1101">
        <f>'Contractor Model'!N32</f>
        <v>1674.6333254907079</v>
      </c>
      <c r="R5" s="1101">
        <f>'Contractor Model'!O32</f>
        <v>1781.6430133034171</v>
      </c>
      <c r="S5" s="1101">
        <f>'Contractor Model'!P32</f>
        <v>1896.8424012594533</v>
      </c>
      <c r="T5" s="1101">
        <f>'Contractor Model'!Q32</f>
        <v>2020.7701507419799</v>
      </c>
      <c r="U5" s="1101">
        <f>'Contractor Model'!R32</f>
        <v>2153.9853234153356</v>
      </c>
      <c r="V5" s="1101">
        <f>'Contractor Model'!S32</f>
        <v>2297.0665568533045</v>
      </c>
      <c r="W5" s="1101">
        <f>'Contractor Model'!T32</f>
        <v>2450.6111683906452</v>
      </c>
      <c r="X5" s="1101">
        <f>'Contractor Model'!U32</f>
        <v>2615.2342274306448</v>
      </c>
      <c r="Y5" s="1101">
        <f>'Contractor Model'!V32</f>
        <v>2791.5676397475249</v>
      </c>
      <c r="Z5" s="1101">
        <f>'Contractor Model'!W32</f>
        <v>2980.2592883514744</v>
      </c>
      <c r="AA5" s="1101">
        <f>'Contractor Model'!X32</f>
        <v>3181.9722741044807</v>
      </c>
      <c r="AB5" s="1103">
        <f>'Contractor Model'!Y32</f>
        <v>3397.3842955621371</v>
      </c>
      <c r="AC5" s="1101">
        <f>'Contractor Model'!Z32</f>
        <v>3627.7739496943618</v>
      </c>
      <c r="AD5" s="1101">
        <f>'Contractor Model'!AA32</f>
        <v>3868.0387747854375</v>
      </c>
      <c r="AE5" s="1101">
        <f>'Contractor Model'!AB32</f>
        <v>4124.0382909454365</v>
      </c>
      <c r="AF5" s="1101">
        <f>'Contractor Model'!AC32</f>
        <v>4396.5155272751417</v>
      </c>
      <c r="AG5" s="1101">
        <f>'Contractor Model'!AD32</f>
        <v>4686.2273449502463</v>
      </c>
      <c r="AH5" s="1101">
        <f>'Contractor Model'!AE32</f>
        <v>4993.9443088013886</v>
      </c>
      <c r="AI5" s="1101">
        <f>'Contractor Model'!AF32</f>
        <v>5320.4507010707184</v>
      </c>
      <c r="AJ5" s="1101">
        <f>'Contractor Model'!AG32</f>
        <v>5666.5446842300207</v>
      </c>
      <c r="AK5" s="1101">
        <f>'Contractor Model'!AH32</f>
        <v>6033.038617058206</v>
      </c>
      <c r="AL5" s="1101">
        <f>'Contractor Model'!AI32</f>
        <v>6420.7595257759049</v>
      </c>
      <c r="AM5" s="1101">
        <f>'Contractor Model'!AJ32</f>
        <v>6830.5497299984909</v>
      </c>
      <c r="AN5" s="1103">
        <f>'Contractor Model'!AK32</f>
        <v>7263.267621642899</v>
      </c>
      <c r="AO5" s="1104">
        <f>'Contractor Model'!AL32</f>
        <v>7719.7885937235351</v>
      </c>
      <c r="AP5" s="1101">
        <f>'Contractor Model'!AM32</f>
        <v>8176.8173256269138</v>
      </c>
      <c r="AQ5" s="1101">
        <f>'Contractor Model'!AN32</f>
        <v>8657.394941505554</v>
      </c>
      <c r="AR5" s="1101">
        <f>'Contractor Model'!AO32</f>
        <v>9162.3818933469756</v>
      </c>
      <c r="AS5" s="1101">
        <f>'Contractor Model'!AP32</f>
        <v>9692.6585882683194</v>
      </c>
      <c r="AT5" s="1101">
        <f>'Contractor Model'!AQ32</f>
        <v>10249.126445584096</v>
      </c>
      <c r="AU5" s="1101">
        <f>'Contractor Model'!AR32</f>
        <v>10832.709074809141</v>
      </c>
      <c r="AV5" s="1101">
        <f>'Contractor Model'!AS32</f>
        <v>11444.353577946822</v>
      </c>
      <c r="AW5" s="1101">
        <f>'Contractor Model'!AT32</f>
        <v>12085.031978986422</v>
      </c>
      <c r="AX5" s="1101">
        <f>'Contractor Model'!AU32</f>
        <v>12755.742783107562</v>
      </c>
      <c r="AY5" s="1101">
        <f>'Contractor Model'!AV32</f>
        <v>13457.51266766642</v>
      </c>
      <c r="AZ5" s="1103">
        <f>'Contractor Model'!AW32</f>
        <v>14191.398306624513</v>
      </c>
      <c r="BA5" s="1101">
        <f>'Contractor Model'!AX32</f>
        <v>14958.488329679985</v>
      </c>
      <c r="BB5" s="1101">
        <f>'Contractor Model'!AY32</f>
        <v>15771.911013674398</v>
      </c>
      <c r="BC5" s="1101">
        <f>'Contractor Model'!AZ32</f>
        <v>16622.458354608432</v>
      </c>
      <c r="BD5" s="1101">
        <f>'Contractor Model'!BA32</f>
        <v>17511.450370434981</v>
      </c>
      <c r="BE5" s="1101">
        <f>'Contractor Model'!BB32</f>
        <v>18440.253442827845</v>
      </c>
      <c r="BF5" s="1101">
        <f>'Contractor Model'!BC32</f>
        <v>19410.283104697279</v>
      </c>
      <c r="BG5" s="1101">
        <f>'Contractor Model'!BD32</f>
        <v>20423.006978937901</v>
      </c>
      <c r="BH5" s="1101">
        <f>'Contractor Model'!BE32</f>
        <v>21479.947868896452</v>
      </c>
      <c r="BI5" s="1101">
        <f>'Contractor Model'!BF32</f>
        <v>22582.687000849022</v>
      </c>
      <c r="BJ5" s="1101">
        <f>'Contractor Model'!BG32</f>
        <v>23732.867418620663</v>
      </c>
      <c r="BK5" s="1101">
        <f>'Contractor Model'!BH32</f>
        <v>24932.197530370278</v>
      </c>
      <c r="BL5" s="1103">
        <f>'Contractor Model'!BI32</f>
        <v>26182.454807500806</v>
      </c>
      <c r="BM5" s="1105"/>
      <c r="BN5" s="1101">
        <f t="shared" ref="BN5" si="1">SUM(E5:P5)</f>
        <v>21004.761925162431</v>
      </c>
      <c r="BO5" s="1106">
        <f>BN5/BN6</f>
        <v>8.6627695200872545E-2</v>
      </c>
      <c r="BP5" s="1101">
        <f t="shared" ref="BP5" si="2">SUM(E5:G5)</f>
        <v>4016.5141970776676</v>
      </c>
      <c r="BQ5" s="1101">
        <f t="shared" ref="BQ5" si="3">SUM(H5:J5)</f>
        <v>4715.624986374376</v>
      </c>
      <c r="BR5" s="1101">
        <f t="shared" ref="BR5" si="4">SUM(K5:M5)</f>
        <v>5592.499175939226</v>
      </c>
      <c r="BS5" s="1101">
        <f t="shared" ref="BS5:CI5" si="5">SUM(N5:P5)</f>
        <v>6680.1235657711622</v>
      </c>
      <c r="BT5" s="1101">
        <f t="shared" si="5"/>
        <v>6260.5703752115151</v>
      </c>
      <c r="BU5" s="1101">
        <f t="shared" si="5"/>
        <v>5818.6679016217449</v>
      </c>
      <c r="BV5" s="1101">
        <f t="shared" si="5"/>
        <v>5353.1187400535782</v>
      </c>
      <c r="BW5" s="1101">
        <f t="shared" si="5"/>
        <v>5699.2555653048503</v>
      </c>
      <c r="BX5" s="1101">
        <f t="shared" si="5"/>
        <v>6071.5978754167681</v>
      </c>
      <c r="BY5" s="1101">
        <f t="shared" si="5"/>
        <v>6471.8220310106208</v>
      </c>
      <c r="BZ5" s="1101">
        <f t="shared" si="5"/>
        <v>6901.6630486592858</v>
      </c>
      <c r="CA5" s="1101">
        <f t="shared" si="5"/>
        <v>7362.9119526745944</v>
      </c>
      <c r="CB5" s="1101">
        <f t="shared" si="5"/>
        <v>7857.4130355688158</v>
      </c>
      <c r="CC5" s="1101">
        <f t="shared" si="5"/>
        <v>8387.0611555296455</v>
      </c>
      <c r="CD5" s="1101">
        <f t="shared" si="5"/>
        <v>8953.7992022034796</v>
      </c>
      <c r="CE5" s="1101">
        <f t="shared" si="5"/>
        <v>9559.6158580180927</v>
      </c>
      <c r="CF5" s="1101">
        <f t="shared" si="5"/>
        <v>10207.130519360979</v>
      </c>
      <c r="CG5" s="1101">
        <f t="shared" si="5"/>
        <v>10893.197020041936</v>
      </c>
      <c r="CH5" s="1101">
        <f t="shared" si="5"/>
        <v>11619.851015425236</v>
      </c>
      <c r="CI5" s="1101">
        <f t="shared" si="5"/>
        <v>12388.592593006015</v>
      </c>
      <c r="CJ5" s="1101"/>
      <c r="CK5" s="1101"/>
      <c r="CL5" s="1101">
        <f t="shared" ref="CL5" si="6">SUM(BP5:BS5)</f>
        <v>21004.761925162431</v>
      </c>
      <c r="CM5" s="1106">
        <f>BP5/BP6</f>
        <v>0.10393905031668275</v>
      </c>
      <c r="CN5" s="1106">
        <f>BQ5/BQ6</f>
        <v>9.0455772291976655E-2</v>
      </c>
      <c r="CO5" s="1106">
        <f>BR5/BR6</f>
        <v>8.3075878457324268E-2</v>
      </c>
      <c r="CP5" s="1106">
        <f>BS5/BS6</f>
        <v>7.9168177722773223E-2</v>
      </c>
      <c r="CQ5" s="1106">
        <f>CL5/CL6</f>
        <v>8.6627695200872545E-2</v>
      </c>
    </row>
    <row r="6" spans="1:95" s="100" customFormat="1" ht="14.25" customHeight="1">
      <c r="A6" s="183"/>
      <c r="B6" s="1132" t="s">
        <v>22</v>
      </c>
      <c r="C6" s="101">
        <v>3230899.34</v>
      </c>
      <c r="D6" s="101">
        <v>1</v>
      </c>
      <c r="E6" s="130">
        <f t="shared" ref="E6:AJ6" si="7">SUM(E4:E5)</f>
        <v>11846.69603524229</v>
      </c>
      <c r="F6" s="130">
        <f t="shared" si="7"/>
        <v>12782.236828193832</v>
      </c>
      <c r="G6" s="130">
        <f t="shared" si="7"/>
        <v>14014.042850120084</v>
      </c>
      <c r="H6" s="130">
        <f t="shared" si="7"/>
        <v>15794.251931730836</v>
      </c>
      <c r="I6" s="130">
        <f t="shared" si="7"/>
        <v>17324.257904609316</v>
      </c>
      <c r="J6" s="130">
        <f t="shared" si="7"/>
        <v>19013.320636049153</v>
      </c>
      <c r="K6" s="130">
        <f t="shared" si="7"/>
        <v>20619.766509415003</v>
      </c>
      <c r="L6" s="130">
        <f t="shared" si="7"/>
        <v>22382.356931340753</v>
      </c>
      <c r="M6" s="130">
        <f t="shared" si="7"/>
        <v>24315.842734131809</v>
      </c>
      <c r="N6" s="130">
        <f t="shared" si="7"/>
        <v>26115.772494686069</v>
      </c>
      <c r="O6" s="130">
        <f t="shared" si="7"/>
        <v>28070.701608943164</v>
      </c>
      <c r="P6" s="131">
        <f t="shared" si="7"/>
        <v>30192.42355349824</v>
      </c>
      <c r="Q6" s="130">
        <f t="shared" si="7"/>
        <v>31663.755049445612</v>
      </c>
      <c r="R6" s="130">
        <f t="shared" si="7"/>
        <v>34078.02741397007</v>
      </c>
      <c r="S6" s="130">
        <f t="shared" si="7"/>
        <v>36706.472806950056</v>
      </c>
      <c r="T6" s="130">
        <f t="shared" si="7"/>
        <v>39565.37078845979</v>
      </c>
      <c r="U6" s="130">
        <f t="shared" si="7"/>
        <v>42671.673856693458</v>
      </c>
      <c r="V6" s="130">
        <f t="shared" si="7"/>
        <v>46042.966602079694</v>
      </c>
      <c r="W6" s="130">
        <f t="shared" si="7"/>
        <v>49697.421294477477</v>
      </c>
      <c r="X6" s="130">
        <f t="shared" si="7"/>
        <v>53653.751770361538</v>
      </c>
      <c r="Y6" s="130">
        <f t="shared" si="7"/>
        <v>57931.167648174647</v>
      </c>
      <c r="Z6" s="130">
        <f t="shared" si="7"/>
        <v>62549.330952870921</v>
      </c>
      <c r="AA6" s="130">
        <f t="shared" si="7"/>
        <v>67528.317168331036</v>
      </c>
      <c r="AB6" s="131">
        <f t="shared" si="7"/>
        <v>72888.582561919306</v>
      </c>
      <c r="AC6" s="130">
        <f t="shared" si="7"/>
        <v>78663.662234485193</v>
      </c>
      <c r="AD6" s="130">
        <f t="shared" si="7"/>
        <v>84589.863737036285</v>
      </c>
      <c r="AE6" s="130">
        <f t="shared" si="7"/>
        <v>90939.171787713247</v>
      </c>
      <c r="AF6" s="130">
        <f t="shared" si="7"/>
        <v>97733.07634837486</v>
      </c>
      <c r="AG6" s="130">
        <f t="shared" si="7"/>
        <v>104993.45127206499</v>
      </c>
      <c r="AH6" s="130">
        <f t="shared" si="7"/>
        <v>112742.54675795253</v>
      </c>
      <c r="AI6" s="130">
        <f t="shared" si="7"/>
        <v>121002.98740015508</v>
      </c>
      <c r="AJ6" s="130">
        <f t="shared" si="7"/>
        <v>129797.77605263254</v>
      </c>
      <c r="AK6" s="130">
        <f t="shared" ref="AK6:BL6" si="8">SUM(AK4:AK5)</f>
        <v>139150.3036038166</v>
      </c>
      <c r="AL6" s="130">
        <f t="shared" si="8"/>
        <v>149084.36464004574</v>
      </c>
      <c r="AM6" s="130">
        <f t="shared" si="8"/>
        <v>159624.17888005351</v>
      </c>
      <c r="AN6" s="131">
        <f t="shared" si="8"/>
        <v>170794.41818609359</v>
      </c>
      <c r="AO6" s="138">
        <f t="shared" si="8"/>
        <v>182620.23890168793</v>
      </c>
      <c r="AP6" s="130">
        <f t="shared" si="8"/>
        <v>193962.60001787794</v>
      </c>
      <c r="AQ6" s="130">
        <f t="shared" si="8"/>
        <v>205911.31916084781</v>
      </c>
      <c r="AR6" s="130">
        <f t="shared" si="8"/>
        <v>218489.49524850218</v>
      </c>
      <c r="AS6" s="130">
        <f t="shared" si="8"/>
        <v>231720.76828079286</v>
      </c>
      <c r="AT6" s="130">
        <f t="shared" si="8"/>
        <v>245629.3457619625</v>
      </c>
      <c r="AU6" s="130">
        <f t="shared" si="8"/>
        <v>260240.03238679314</v>
      </c>
      <c r="AV6" s="130">
        <f t="shared" si="8"/>
        <v>275578.26309045369</v>
      </c>
      <c r="AW6" s="130">
        <f t="shared" si="8"/>
        <v>291670.13954973652</v>
      </c>
      <c r="AX6" s="130">
        <f t="shared" si="8"/>
        <v>308542.47021166311</v>
      </c>
      <c r="AY6" s="130">
        <f t="shared" si="8"/>
        <v>326222.81391373026</v>
      </c>
      <c r="AZ6" s="131">
        <f t="shared" si="8"/>
        <v>344739.52714859857</v>
      </c>
      <c r="BA6" s="130">
        <f t="shared" si="8"/>
        <v>364121.81501492421</v>
      </c>
      <c r="BB6" s="130">
        <f t="shared" si="8"/>
        <v>384966.19933230191</v>
      </c>
      <c r="BC6" s="130">
        <f t="shared" si="8"/>
        <v>406816.60104271234</v>
      </c>
      <c r="BD6" s="130">
        <f t="shared" si="8"/>
        <v>429711.20701049571</v>
      </c>
      <c r="BE6" s="130">
        <f t="shared" si="8"/>
        <v>453689.5658556936</v>
      </c>
      <c r="BF6" s="130">
        <f t="shared" si="8"/>
        <v>478792.66584033653</v>
      </c>
      <c r="BG6" s="130">
        <f t="shared" si="8"/>
        <v>505063.01731192187</v>
      </c>
      <c r="BH6" s="130">
        <f t="shared" si="8"/>
        <v>532544.73975632666</v>
      </c>
      <c r="BI6" s="130">
        <f t="shared" si="8"/>
        <v>561283.65350603627</v>
      </c>
      <c r="BJ6" s="130">
        <f t="shared" si="8"/>
        <v>591327.37614423735</v>
      </c>
      <c r="BK6" s="130">
        <f t="shared" si="8"/>
        <v>622725.4236411216</v>
      </c>
      <c r="BL6" s="131">
        <f t="shared" si="8"/>
        <v>655529.31625577959</v>
      </c>
      <c r="BM6" s="150"/>
      <c r="BN6" s="99">
        <f t="shared" ref="BN6:CQ6" si="9">SUM(BN4:BN5)</f>
        <v>242471.67001796054</v>
      </c>
      <c r="BO6" s="102">
        <f t="shared" si="9"/>
        <v>1</v>
      </c>
      <c r="BP6" s="99">
        <f t="shared" si="9"/>
        <v>38642.975713556203</v>
      </c>
      <c r="BQ6" s="99">
        <f t="shared" si="9"/>
        <v>52131.830472389294</v>
      </c>
      <c r="BR6" s="99">
        <f t="shared" si="9"/>
        <v>67317.966174887566</v>
      </c>
      <c r="BS6" s="99">
        <f t="shared" si="9"/>
        <v>84378.897657127483</v>
      </c>
      <c r="BT6" s="99">
        <f t="shared" ref="BT6:BU6" si="10">SUM(BT4:BT5)</f>
        <v>89926.880211887008</v>
      </c>
      <c r="BU6" s="99">
        <f t="shared" si="10"/>
        <v>95934.206016913915</v>
      </c>
      <c r="BV6" s="99">
        <f t="shared" ref="BV6:BW6" si="11">SUM(BV4:BV5)</f>
        <v>102448.25527036574</v>
      </c>
      <c r="BW6" s="99">
        <f t="shared" si="11"/>
        <v>110349.87100937992</v>
      </c>
      <c r="BX6" s="99">
        <f t="shared" ref="BX6:CA6" si="12">SUM(BX4:BX5)</f>
        <v>118943.51745210332</v>
      </c>
      <c r="BY6" s="99">
        <f t="shared" si="12"/>
        <v>128280.01124723295</v>
      </c>
      <c r="BZ6" s="99">
        <f t="shared" si="12"/>
        <v>138412.06175325063</v>
      </c>
      <c r="CA6" s="99">
        <f t="shared" si="12"/>
        <v>149394.13966691872</v>
      </c>
      <c r="CB6" s="99">
        <f t="shared" ref="CB6:CE6" si="13">SUM(CB4:CB5)</f>
        <v>161282.34071301366</v>
      </c>
      <c r="CC6" s="99">
        <f t="shared" si="13"/>
        <v>174134.25037140708</v>
      </c>
      <c r="CD6" s="99">
        <f t="shared" si="13"/>
        <v>188008.81576937661</v>
      </c>
      <c r="CE6" s="99">
        <f t="shared" si="13"/>
        <v>202966.23068312125</v>
      </c>
      <c r="CF6" s="99">
        <f t="shared" ref="CF6:CI6" si="14">SUM(CF4:CF5)</f>
        <v>219080.56196473551</v>
      </c>
      <c r="CG6" s="99">
        <f t="shared" si="14"/>
        <v>236142.10853344074</v>
      </c>
      <c r="CH6" s="99">
        <f t="shared" si="14"/>
        <v>254192.69775923472</v>
      </c>
      <c r="CI6" s="99">
        <f t="shared" si="14"/>
        <v>273262.11187312444</v>
      </c>
      <c r="CJ6" s="99"/>
      <c r="CK6" s="99"/>
      <c r="CL6" s="99">
        <f t="shared" si="9"/>
        <v>242471.67001796054</v>
      </c>
      <c r="CM6" s="102">
        <f t="shared" si="9"/>
        <v>1</v>
      </c>
      <c r="CN6" s="102">
        <f t="shared" si="9"/>
        <v>1</v>
      </c>
      <c r="CO6" s="102">
        <f t="shared" si="9"/>
        <v>0.99999999999999989</v>
      </c>
      <c r="CP6" s="102">
        <f t="shared" si="9"/>
        <v>0.99999999999999989</v>
      </c>
      <c r="CQ6" s="102">
        <f t="shared" si="9"/>
        <v>1</v>
      </c>
    </row>
    <row r="7" spans="1:95" ht="30" customHeight="1">
      <c r="A7" s="1141" t="s">
        <v>23</v>
      </c>
      <c r="B7" s="7"/>
      <c r="C7" s="9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2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29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29"/>
      <c r="AO7" s="137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29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9"/>
      <c r="BM7" s="149"/>
      <c r="BN7" s="10"/>
      <c r="BO7" s="12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2"/>
      <c r="CN7" s="12"/>
      <c r="CO7" s="12"/>
      <c r="CP7" s="12"/>
      <c r="CQ7" s="12"/>
    </row>
    <row r="8" spans="1:95" s="576" customFormat="1">
      <c r="A8" s="1139"/>
      <c r="B8" s="1093" t="s">
        <v>24</v>
      </c>
      <c r="C8" s="1094">
        <v>899909.79</v>
      </c>
      <c r="D8" s="1099">
        <v>0.27853</v>
      </c>
      <c r="E8" s="1094">
        <f>HR!D16+HR!D28+HR!D33+HR!D44</f>
        <v>6040.0440528634363</v>
      </c>
      <c r="F8" s="1094">
        <f>HR!E16+HR!E28+HR!E33+HR!E44</f>
        <v>6070.6565638766515</v>
      </c>
      <c r="G8" s="1094">
        <f>HR!F16+HR!F28+HR!F33+HR!F44</f>
        <v>6111.2255363366603</v>
      </c>
      <c r="H8" s="1094">
        <f>HR!G16+HR!G28+HR!G33+HR!G44</f>
        <v>6170.7975699567278</v>
      </c>
      <c r="I8" s="1094">
        <f>HR!H16+HR!H28+HR!H33+HR!H44</f>
        <v>6221.4070068592937</v>
      </c>
      <c r="J8" s="1094">
        <f>HR!I16+HR!I28+HR!I33+HR!I44</f>
        <v>10057.362615194501</v>
      </c>
      <c r="K8" s="1094">
        <f>HR!J16+HR!J28+HR!J33+HR!J44</f>
        <v>10110.189587464021</v>
      </c>
      <c r="L8" s="1094">
        <f>HR!K16+HR!K28+HR!K33+HR!K44</f>
        <v>10168.227424788201</v>
      </c>
      <c r="M8" s="1094">
        <f>HR!L16+HR!L28+HR!L33+HR!L44</f>
        <v>10231.974332710968</v>
      </c>
      <c r="N8" s="1094">
        <f>HR!M16+HR!M28+HR!M33+HR!M44</f>
        <v>10290.755509252249</v>
      </c>
      <c r="O8" s="1094">
        <f>HR!N16+HR!N28+HR!N33+HR!N44</f>
        <v>10354.650464271748</v>
      </c>
      <c r="P8" s="1096">
        <f>HR!O16+HR!O28+HR!O33+HR!O44</f>
        <v>10424.051119673471</v>
      </c>
      <c r="Q8" s="1094">
        <f>HR!P16+HR!P28+HR!P33+HR!P44</f>
        <v>10499.619260338422</v>
      </c>
      <c r="R8" s="1094">
        <f>HR!Q16+HR!Q28+HR!Q33+HR!Q44</f>
        <v>10580.373454023333</v>
      </c>
      <c r="S8" s="1094">
        <f>HR!R16+HR!R28+HR!R33+HR!R44</f>
        <v>13398.337064199171</v>
      </c>
      <c r="T8" s="1094">
        <f>HR!S16+HR!S28+HR!S33+HR!S44</f>
        <v>13494.061022320124</v>
      </c>
      <c r="U8" s="1094">
        <f>HR!T16+HR!T28+HR!T33+HR!T44</f>
        <v>13723.024333491763</v>
      </c>
      <c r="V8" s="1094">
        <f>HR!U16+HR!U28+HR!U33+HR!U44</f>
        <v>13994.728133267907</v>
      </c>
      <c r="W8" s="1094">
        <f>HR!V16+HR!V28+HR!V33+HR!V44</f>
        <v>14285.346377069513</v>
      </c>
      <c r="X8" s="1094">
        <f>HR!W16+HR!W28+HR!W33+HR!W44</f>
        <v>14596.026486569113</v>
      </c>
      <c r="Y8" s="1094">
        <f>HR!X16+HR!X28+HR!X33+HR!X44</f>
        <v>18707.947567248197</v>
      </c>
      <c r="Z8" s="1094">
        <f>HR!Y16+HR!Y28+HR!Y33+HR!Y44</f>
        <v>28513.318289488525</v>
      </c>
      <c r="AA8" s="1094">
        <f>HR!Z16+HR!Z28+HR!Z33+HR!Z44</f>
        <v>28891.375018393974</v>
      </c>
      <c r="AB8" s="1096">
        <f>HR!AA16+HR!AA28+HR!AA33+HR!AA44</f>
        <v>36224.380291098758</v>
      </c>
      <c r="AC8" s="1094">
        <f>HR!AB16+HR!AB28+HR!AB33+HR!AB44</f>
        <v>41417.574718067372</v>
      </c>
      <c r="AD8" s="1094">
        <f>HR!AC16+HR!AC28+HR!AC33+HR!AC44</f>
        <v>41811.832909151075</v>
      </c>
      <c r="AE8" s="1094">
        <f>HR!AD16+HR!AD28+HR!AD33+HR!AD44</f>
        <v>42231.152610160731</v>
      </c>
      <c r="AF8" s="1094">
        <f>HR!AE16+HR!AE28+HR!AE33+HR!AE44</f>
        <v>45406.755091394654</v>
      </c>
      <c r="AG8" s="1094">
        <f>HR!AF16+HR!AF28+HR!AF33+HR!AF44</f>
        <v>45879.886361567813</v>
      </c>
      <c r="AH8" s="1094">
        <f>HR!AG16+HR!AG28+HR!AG33+HR!AG44</f>
        <v>46381.8170487549</v>
      </c>
      <c r="AI8" s="1094">
        <f>HR!AH16+HR!AH28+HR!AH33+HR!AH44</f>
        <v>50693.842571217399</v>
      </c>
      <c r="AJ8" s="1094">
        <f>HR!AI16+HR!AI28+HR!AI33+HR!AI44</f>
        <v>51257.283609178667</v>
      </c>
      <c r="AK8" s="1094">
        <f>HR!AJ16+HR!AJ28+HR!AJ33+HR!AJ44</f>
        <v>56585.486882255202</v>
      </c>
      <c r="AL8" s="1094">
        <f>HR!AK16+HR!AK28+HR!AK33+HR!AK44</f>
        <v>57382.492898263677</v>
      </c>
      <c r="AM8" s="1094">
        <f>HR!AL16+HR!AL28+HR!AL33+HR!AL44</f>
        <v>66567.259556580699</v>
      </c>
      <c r="AN8" s="1094">
        <f>HR!AM16+HR!AM28+HR!AM33+HR!AM44</f>
        <v>67271.265670657449</v>
      </c>
      <c r="AO8" s="1097">
        <f>HR!AN16+HR!AN28+HR!AN33+HR!AN44</f>
        <v>74732.646403677951</v>
      </c>
      <c r="AP8" s="1094">
        <f>HR!AO16+HR!AO28+HR!AO33+HR!AO44</f>
        <v>75456.175945518335</v>
      </c>
      <c r="AQ8" s="1094">
        <f>HR!AP16+HR!AP28+HR!AP33+HR!AP44</f>
        <v>78946.186100231615</v>
      </c>
      <c r="AR8" s="1094">
        <f>HR!AQ16+HR!AQ28+HR!AQ33+HR!AQ44</f>
        <v>79744.076421225167</v>
      </c>
      <c r="AS8" s="1094">
        <f>HR!AR16+HR!AR28+HR!AR33+HR!AR44</f>
        <v>84361.276942569355</v>
      </c>
      <c r="AT8" s="1094">
        <f>HR!AS16+HR!AS28+HR!AS33+HR!AS44</f>
        <v>87969.255598780408</v>
      </c>
      <c r="AU8" s="1094">
        <f>HR!AT16+HR!AT28+HR!AT33+HR!AT44</f>
        <v>88889.5206217878</v>
      </c>
      <c r="AV8" s="1094">
        <f>HR!AU16+HR!AU28+HR!AU33+HR!AU44</f>
        <v>93633.622689047988</v>
      </c>
      <c r="AW8" s="1094">
        <f>HR!AV16+HR!AV28+HR!AV33+HR!AV44</f>
        <v>107033.15722496621</v>
      </c>
      <c r="AX8" s="1094">
        <f>HR!AW16+HR!AW28+HR!AW33+HR!AW44</f>
        <v>108089.76689295495</v>
      </c>
      <c r="AY8" s="1094">
        <f>HR!AX16+HR!AX28+HR!AX33+HR!AX44</f>
        <v>114130.14428454511</v>
      </c>
      <c r="AZ8" s="1096">
        <f>HR!AY16+HR!AY28+HR!AY33+HR!AY44</f>
        <v>119066.03480889554</v>
      </c>
      <c r="BA8" s="1094">
        <f>HR!AZ16+HR!AZ28+HR!AZ33+HR!AZ44</f>
        <v>123004.23978531703</v>
      </c>
      <c r="BB8" s="1094">
        <f>HR!BA16+HR!BA28+HR!BA33+HR!BA44</f>
        <v>128074.84812924502</v>
      </c>
      <c r="BC8" s="1094">
        <f>HR!BB16+HR!BB28+HR!BB33+HR!BB44</f>
        <v>132155.47598532663</v>
      </c>
      <c r="BD8" s="1094">
        <f>HR!BC16+HR!BC28+HR!BC33+HR!BC44</f>
        <v>136298.41195734823</v>
      </c>
      <c r="BE8" s="1094">
        <f>HR!BD16+HR!BD28+HR!BD33+HR!BD44</f>
        <v>152917.51301226873</v>
      </c>
      <c r="BF8" s="1094">
        <f>HR!BE16+HR!BE28+HR!BE33+HR!BE44</f>
        <v>157778.12819468178</v>
      </c>
      <c r="BG8" s="1094">
        <f>HR!BF16+HR!BF28+HR!BF33+HR!BF44</f>
        <v>163251.70272550877</v>
      </c>
      <c r="BH8" s="1094">
        <f>HR!BG16+HR!BG28+HR!BG33+HR!BG44</f>
        <v>171880.14105167973</v>
      </c>
      <c r="BI8" s="1094">
        <f>HR!BH16+HR!BH28+HR!BH33+HR!BH44</f>
        <v>180153.84532949704</v>
      </c>
      <c r="BJ8" s="1094">
        <f>HR!BI16+HR!BI28+HR!BI33+HR!BI44</f>
        <v>184723.98944400679</v>
      </c>
      <c r="BK8" s="1094">
        <f>HR!BJ16+HR!BJ28+HR!BJ33+HR!BJ44</f>
        <v>190424.82758025464</v>
      </c>
      <c r="BL8" s="1096">
        <f>HR!BK16+HR!BK28+HR!BK33+HR!BK44</f>
        <v>201879.66114137592</v>
      </c>
      <c r="BM8" s="1098"/>
      <c r="BN8" s="1094">
        <f>SUM(E8:P8)</f>
        <v>102251.34178324795</v>
      </c>
      <c r="BO8" s="1099">
        <f>BN8/$BN$6</f>
        <v>0.42170428312583447</v>
      </c>
      <c r="BP8" s="1094">
        <f>SUM(E8:G8)</f>
        <v>18221.926153076747</v>
      </c>
      <c r="BQ8" s="1094">
        <f>SUM(H8:J8)</f>
        <v>22449.567192010523</v>
      </c>
      <c r="BR8" s="1094">
        <f>SUM(K8:M8)</f>
        <v>30510.391344963191</v>
      </c>
      <c r="BS8" s="1094">
        <f t="shared" ref="BS8:CI8" si="15">SUM(N8:P8)</f>
        <v>31069.457093197467</v>
      </c>
      <c r="BT8" s="1094">
        <f t="shared" si="15"/>
        <v>31278.320844283644</v>
      </c>
      <c r="BU8" s="1094">
        <f t="shared" si="15"/>
        <v>31504.043834035227</v>
      </c>
      <c r="BV8" s="1094">
        <f t="shared" si="15"/>
        <v>34478.329778560925</v>
      </c>
      <c r="BW8" s="1094">
        <f t="shared" si="15"/>
        <v>37472.771540542628</v>
      </c>
      <c r="BX8" s="1094">
        <f t="shared" si="15"/>
        <v>40615.422420011055</v>
      </c>
      <c r="BY8" s="1094">
        <f t="shared" si="15"/>
        <v>41211.813489079796</v>
      </c>
      <c r="BZ8" s="1094">
        <f t="shared" si="15"/>
        <v>42003.098843829182</v>
      </c>
      <c r="CA8" s="1094">
        <f t="shared" si="15"/>
        <v>42876.100996906534</v>
      </c>
      <c r="CB8" s="1094">
        <f t="shared" si="15"/>
        <v>47589.320430886823</v>
      </c>
      <c r="CC8" s="1094">
        <f t="shared" si="15"/>
        <v>61817.292343305831</v>
      </c>
      <c r="CD8" s="1094">
        <f t="shared" si="15"/>
        <v>76112.640875130688</v>
      </c>
      <c r="CE8" s="1094">
        <f t="shared" si="15"/>
        <v>93629.073598981253</v>
      </c>
      <c r="CF8" s="1094">
        <f t="shared" si="15"/>
        <v>106533.33002756009</v>
      </c>
      <c r="CG8" s="1094">
        <f t="shared" si="15"/>
        <v>119453.78791831719</v>
      </c>
      <c r="CH8" s="1094">
        <f t="shared" si="15"/>
        <v>125460.56023737918</v>
      </c>
      <c r="CI8" s="1094">
        <f t="shared" si="15"/>
        <v>129449.74061070645</v>
      </c>
      <c r="CJ8" s="1094"/>
      <c r="CK8" s="1094"/>
      <c r="CL8" s="1094">
        <f t="shared" ref="CL8:CL10" si="16">SUM(BP8:BS8)</f>
        <v>102251.34178324792</v>
      </c>
      <c r="CM8" s="1099">
        <f>BP8/BP$6</f>
        <v>0.47154562547532741</v>
      </c>
      <c r="CN8" s="1099">
        <f t="shared" ref="CN8:CP10" si="17">BQ8/BQ$6</f>
        <v>0.43063071042365453</v>
      </c>
      <c r="CO8" s="1099">
        <f t="shared" si="17"/>
        <v>0.45322806196638854</v>
      </c>
      <c r="CP8" s="1099">
        <f t="shared" si="17"/>
        <v>0.36821359315984181</v>
      </c>
      <c r="CQ8" s="1099">
        <f>CL8/$BN$6</f>
        <v>0.42170428312583436</v>
      </c>
    </row>
    <row r="9" spans="1:95" s="339" customFormat="1">
      <c r="A9" s="1142"/>
      <c r="B9" s="1111" t="s">
        <v>188</v>
      </c>
      <c r="C9" s="1112">
        <v>366717.48</v>
      </c>
      <c r="D9" s="1113">
        <v>0.1135</v>
      </c>
      <c r="E9" s="1112">
        <f>E6*'Contractor Model'!B60*(1-'Contractor Model'!B61)</f>
        <v>1705.9242290748898</v>
      </c>
      <c r="F9" s="1112">
        <f>F6*'Contractor Model'!C60*(1-'Contractor Model'!C61)</f>
        <v>1840.6421032599119</v>
      </c>
      <c r="G9" s="1112">
        <f>G6*'Contractor Model'!D60*(1-'Contractor Model'!D61)</f>
        <v>2018.022170417292</v>
      </c>
      <c r="H9" s="1112">
        <f>H6*'Contractor Model'!E60*(1-'Contractor Model'!E61)</f>
        <v>2274.3722781692404</v>
      </c>
      <c r="I9" s="1112">
        <f>I6*'Contractor Model'!F60*(1-'Contractor Model'!F61)</f>
        <v>2494.6931382637413</v>
      </c>
      <c r="J9" s="1112">
        <f>J6*'Contractor Model'!G60*(1-'Contractor Model'!G61)</f>
        <v>2737.9181715910781</v>
      </c>
      <c r="K9" s="1112">
        <f>K6*'Contractor Model'!H60*(1-'Contractor Model'!H61)</f>
        <v>2969.2463773557606</v>
      </c>
      <c r="L9" s="1112">
        <f>L6*'Contractor Model'!I60*(1-'Contractor Model'!I61)</f>
        <v>2864.9416872116167</v>
      </c>
      <c r="M9" s="1112">
        <f>M6*'Contractor Model'!J60*(1-'Contractor Model'!J61)</f>
        <v>3112.4278699688716</v>
      </c>
      <c r="N9" s="1112">
        <f>N6*'Contractor Model'!K60*(1-'Contractor Model'!K61)</f>
        <v>3342.8188793198169</v>
      </c>
      <c r="O9" s="1112">
        <f>O6*'Contractor Model'!L60*(1-'Contractor Model'!L61)</f>
        <v>3593.0498059447254</v>
      </c>
      <c r="P9" s="1114">
        <f>P6*'Contractor Model'!M60*(1-'Contractor Model'!M61)</f>
        <v>3864.6302148477753</v>
      </c>
      <c r="Q9" s="1112">
        <f>Q6*'Contractor Model'!N60*(1-'Contractor Model'!N61)</f>
        <v>3546.3405655379088</v>
      </c>
      <c r="R9" s="1112">
        <f>R6*'Contractor Model'!O60*(1-'Contractor Model'!O61)</f>
        <v>3816.7390703646483</v>
      </c>
      <c r="S9" s="1112">
        <f>S6*'Contractor Model'!P60*(1-'Contractor Model'!P61)</f>
        <v>4111.124954378407</v>
      </c>
      <c r="T9" s="1112">
        <f>T6*'Contractor Model'!Q60*(1-'Contractor Model'!Q61)</f>
        <v>4431.3215283074969</v>
      </c>
      <c r="U9" s="1112">
        <f>U6*'Contractor Model'!R60*(1-'Contractor Model'!R61)</f>
        <v>4779.2274719496681</v>
      </c>
      <c r="V9" s="1112">
        <f>V6*'Contractor Model'!S60*(1-'Contractor Model'!S61)</f>
        <v>5156.8122594329261</v>
      </c>
      <c r="W9" s="1112">
        <f>W6*'Contractor Model'!T60*(1-'Contractor Model'!T61)</f>
        <v>5566.1111849814779</v>
      </c>
      <c r="X9" s="1112">
        <f>X6*'Contractor Model'!U60*(1-'Contractor Model'!U61)</f>
        <v>6009.2201982804936</v>
      </c>
      <c r="Y9" s="1112">
        <f>Y6*'Contractor Model'!V60*(1-'Contractor Model'!V61)</f>
        <v>6488.2907765955615</v>
      </c>
      <c r="Z9" s="1112">
        <f>Z6*'Contractor Model'!W60*(1-'Contractor Model'!W61)</f>
        <v>6004.7357714756081</v>
      </c>
      <c r="AA9" s="1112">
        <f>AA6*'Contractor Model'!X60*(1-'Contractor Model'!X61)</f>
        <v>6482.7184481597797</v>
      </c>
      <c r="AB9" s="1114">
        <f>AB6*'Contractor Model'!Y60*(1-'Contractor Model'!Y61)</f>
        <v>6997.3039259442539</v>
      </c>
      <c r="AC9" s="1112">
        <f>AC6*'Contractor Model'!Z60*(1-'Contractor Model'!Z61)</f>
        <v>6293.0929787588166</v>
      </c>
      <c r="AD9" s="1112">
        <f>AD6*'Contractor Model'!AA60*(1-'Contractor Model'!AA61)</f>
        <v>6767.1890989629028</v>
      </c>
      <c r="AE9" s="1112">
        <f>AE6*'Contractor Model'!AB60*(1-'Contractor Model'!AB61)</f>
        <v>7275.1337430170606</v>
      </c>
      <c r="AF9" s="1112">
        <f>AF6*'Contractor Model'!AC60*(1-'Contractor Model'!AC61)</f>
        <v>7818.6461078699904</v>
      </c>
      <c r="AG9" s="1112">
        <f>AG6*'Contractor Model'!AD60*(1-'Contractor Model'!AD61)</f>
        <v>8399.4761017651999</v>
      </c>
      <c r="AH9" s="1112">
        <f>AH6*'Contractor Model'!AE60*(1-'Contractor Model'!AE61)</f>
        <v>9019.4037406362022</v>
      </c>
      <c r="AI9" s="1112">
        <f>AI6*'Contractor Model'!AF60*(1-'Contractor Model'!AF61)</f>
        <v>9680.2389920124078</v>
      </c>
      <c r="AJ9" s="1112">
        <f>AJ6*'Contractor Model'!AG60*(1-'Contractor Model'!AG61)</f>
        <v>10383.822084210604</v>
      </c>
      <c r="AK9" s="1112">
        <f>AK6*'Contractor Model'!AH60*(1-'Contractor Model'!AH61)</f>
        <v>11132.024288305329</v>
      </c>
      <c r="AL9" s="1112">
        <f>AL6*'Contractor Model'!AI60*(1-'Contractor Model'!AI61)</f>
        <v>11926.749171203661</v>
      </c>
      <c r="AM9" s="1112">
        <f>AM6*'Contractor Model'!AJ60*(1-'Contractor Model'!AJ61)</f>
        <v>12769.934310404282</v>
      </c>
      <c r="AN9" s="1112">
        <f>AN6*'Contractor Model'!AK60*(1-'Contractor Model'!AK61)</f>
        <v>13663.553454887489</v>
      </c>
      <c r="AO9" s="1112">
        <f>AO6*'Contractor Model'!AL60*(1-'Contractor Model'!AL61)</f>
        <v>14609.619112135037</v>
      </c>
      <c r="AP9" s="1112">
        <f>AP6*'Contractor Model'!AM60*(1-'Contractor Model'!AM61)</f>
        <v>15517.008001430237</v>
      </c>
      <c r="AQ9" s="1112">
        <f>AQ6*'Contractor Model'!AN60*(1-'Contractor Model'!AN61)</f>
        <v>16472.905532867826</v>
      </c>
      <c r="AR9" s="1112">
        <f>AR6*'Contractor Model'!AO60*(1-'Contractor Model'!AO61)</f>
        <v>17479.159619880178</v>
      </c>
      <c r="AS9" s="1112">
        <f>AS6*'Contractor Model'!AP60*(1-'Contractor Model'!AP61)</f>
        <v>18537.661462463431</v>
      </c>
      <c r="AT9" s="1112">
        <f>AT6*'Contractor Model'!AQ60*(1-'Contractor Model'!AQ61)</f>
        <v>19650.347660957003</v>
      </c>
      <c r="AU9" s="1112">
        <f>AU6*'Contractor Model'!AR60*(1-'Contractor Model'!AR61)</f>
        <v>20819.202590943456</v>
      </c>
      <c r="AV9" s="1112">
        <f>AV6*'Contractor Model'!AS60*(1-'Contractor Model'!AS61)</f>
        <v>22046.261047236298</v>
      </c>
      <c r="AW9" s="1112">
        <f>AW6*'Contractor Model'!AT60*(1-'Contractor Model'!AT61)</f>
        <v>23333.611163978923</v>
      </c>
      <c r="AX9" s="1112">
        <f>AX6*'Contractor Model'!AU60*(1-'Contractor Model'!AU61)</f>
        <v>24683.397616933053</v>
      </c>
      <c r="AY9" s="1112">
        <f>AY6*'Contractor Model'!AV60*(1-'Contractor Model'!AV61)</f>
        <v>26097.825113098424</v>
      </c>
      <c r="AZ9" s="1114">
        <f>AZ6*'Contractor Model'!AW60*(1-'Contractor Model'!AW61)</f>
        <v>27579.162171887889</v>
      </c>
      <c r="BA9" s="1112">
        <f>BA6*'Contractor Model'!AX60*(1-'Contractor Model'!AX61)</f>
        <v>29129.745201193939</v>
      </c>
      <c r="BB9" s="1112">
        <f>BB6*'Contractor Model'!AY60*(1-'Contractor Model'!AY61)</f>
        <v>30797.295946584156</v>
      </c>
      <c r="BC9" s="1112">
        <f>BC6*'Contractor Model'!AZ60*(1-'Contractor Model'!AZ61)</f>
        <v>32545.328083416989</v>
      </c>
      <c r="BD9" s="1112">
        <f>BD6*'Contractor Model'!BA60*(1-'Contractor Model'!BA61)</f>
        <v>34376.896560839661</v>
      </c>
      <c r="BE9" s="1112">
        <f>BE6*'Contractor Model'!BB60*(1-'Contractor Model'!BB61)</f>
        <v>36295.165268455494</v>
      </c>
      <c r="BF9" s="1112">
        <f>BF6*'Contractor Model'!BC60*(1-'Contractor Model'!BC61)</f>
        <v>38303.413267226926</v>
      </c>
      <c r="BG9" s="1112">
        <f>BG6*'Contractor Model'!BD60*(1-'Contractor Model'!BD61)</f>
        <v>40405.041384953751</v>
      </c>
      <c r="BH9" s="1112">
        <f>BH6*'Contractor Model'!BE60*(1-'Contractor Model'!BE61)</f>
        <v>42603.579180506138</v>
      </c>
      <c r="BI9" s="1112">
        <f>BI6*'Contractor Model'!BF60*(1-'Contractor Model'!BF61)</f>
        <v>44902.692280482908</v>
      </c>
      <c r="BJ9" s="1112">
        <f>BJ6*'Contractor Model'!BG60*(1-'Contractor Model'!BG61)</f>
        <v>47306.190091538992</v>
      </c>
      <c r="BK9" s="1112">
        <f>BK6*'Contractor Model'!BH60*(1-'Contractor Model'!BH61)</f>
        <v>49818.033891289728</v>
      </c>
      <c r="BL9" s="1112">
        <f>BL6*'Contractor Model'!BI60*(1-'Contractor Model'!BI61)</f>
        <v>52442.345300462366</v>
      </c>
      <c r="BM9" s="1115"/>
      <c r="BN9" s="1112">
        <f t="shared" ref="BN9:BN10" si="18">SUM(E9:P9)</f>
        <v>32818.686925424721</v>
      </c>
      <c r="BO9" s="1113">
        <f>BN9/$BN$6</f>
        <v>0.13535060373442287</v>
      </c>
      <c r="BP9" s="1112">
        <f t="shared" ref="BP9:BP10" si="19">SUM(E9:G9)</f>
        <v>5564.5885027520935</v>
      </c>
      <c r="BQ9" s="1112">
        <f t="shared" ref="BQ9:BQ10" si="20">SUM(H9:J9)</f>
        <v>7506.9835880240598</v>
      </c>
      <c r="BR9" s="1112">
        <f t="shared" ref="BR9:BR10" si="21">SUM(K9:M9)</f>
        <v>8946.6159345362485</v>
      </c>
      <c r="BS9" s="1112">
        <f t="shared" ref="BS9:CI10" si="22">SUM(N9:P9)</f>
        <v>10800.498900112318</v>
      </c>
      <c r="BT9" s="1112">
        <f t="shared" si="22"/>
        <v>11004.020586330409</v>
      </c>
      <c r="BU9" s="1112">
        <f t="shared" si="22"/>
        <v>11227.709850750332</v>
      </c>
      <c r="BV9" s="1112">
        <f t="shared" si="22"/>
        <v>11474.204590280964</v>
      </c>
      <c r="BW9" s="1112">
        <f t="shared" si="22"/>
        <v>12359.185553050553</v>
      </c>
      <c r="BX9" s="1112">
        <f t="shared" si="22"/>
        <v>13321.673954635571</v>
      </c>
      <c r="BY9" s="1112">
        <f t="shared" si="22"/>
        <v>14367.361259690089</v>
      </c>
      <c r="BZ9" s="1112">
        <f t="shared" si="22"/>
        <v>15502.150916364073</v>
      </c>
      <c r="CA9" s="1112">
        <f t="shared" si="22"/>
        <v>16732.143642694897</v>
      </c>
      <c r="CB9" s="1112">
        <f t="shared" si="22"/>
        <v>18063.622159857532</v>
      </c>
      <c r="CC9" s="1112">
        <f t="shared" si="22"/>
        <v>18502.246746351662</v>
      </c>
      <c r="CD9" s="1112">
        <f t="shared" si="22"/>
        <v>18975.744996230947</v>
      </c>
      <c r="CE9" s="1112">
        <f t="shared" si="22"/>
        <v>19484.758145579639</v>
      </c>
      <c r="CF9" s="1112">
        <f t="shared" si="22"/>
        <v>19773.115352862849</v>
      </c>
      <c r="CG9" s="1112">
        <f t="shared" si="22"/>
        <v>20057.586003665972</v>
      </c>
      <c r="CH9" s="1112">
        <f t="shared" si="22"/>
        <v>20335.415820738781</v>
      </c>
      <c r="CI9" s="1112">
        <f t="shared" si="22"/>
        <v>21860.968949849954</v>
      </c>
      <c r="CJ9" s="1112"/>
      <c r="CK9" s="1112"/>
      <c r="CL9" s="1112">
        <f t="shared" si="16"/>
        <v>32818.686925424721</v>
      </c>
      <c r="CM9" s="1113">
        <f t="shared" ref="CM9:CM10" si="23">BP9/BP$6</f>
        <v>0.14400000000000002</v>
      </c>
      <c r="CN9" s="1113">
        <f t="shared" si="17"/>
        <v>0.14400000000000002</v>
      </c>
      <c r="CO9" s="1113">
        <f t="shared" si="17"/>
        <v>0.13290086499781559</v>
      </c>
      <c r="CP9" s="1113">
        <f t="shared" si="17"/>
        <v>0.128</v>
      </c>
      <c r="CQ9" s="1113">
        <f t="shared" ref="CQ9:CQ10" si="24">CL9/$BN$6</f>
        <v>0.13535060373442287</v>
      </c>
    </row>
    <row r="10" spans="1:95" s="395" customFormat="1">
      <c r="A10" s="1140"/>
      <c r="B10" s="1100" t="s">
        <v>25</v>
      </c>
      <c r="C10" s="1101">
        <v>834360.98</v>
      </c>
      <c r="D10" s="1106">
        <v>0.25824000000000003</v>
      </c>
      <c r="E10" s="1101">
        <f>E6*'Contractor Model'!B64</f>
        <v>2961.6740088105726</v>
      </c>
      <c r="F10" s="1101">
        <f>F6*'Contractor Model'!C64</f>
        <v>2939.9144704845817</v>
      </c>
      <c r="G10" s="1101">
        <f>G6*'Contractor Model'!D64</f>
        <v>3223.2298555276193</v>
      </c>
      <c r="H10" s="1101">
        <f>H6*'Contractor Model'!E64</f>
        <v>3632.6779442980924</v>
      </c>
      <c r="I10" s="1101">
        <f>I6*'Contractor Model'!F64</f>
        <v>3984.5793180601427</v>
      </c>
      <c r="J10" s="1101">
        <f>J6*'Contractor Model'!G64</f>
        <v>4373.0637462913055</v>
      </c>
      <c r="K10" s="1101">
        <f>K6*'Contractor Model'!H64</f>
        <v>4742.5462971654506</v>
      </c>
      <c r="L10" s="1101">
        <f>L6*'Contractor Model'!I64</f>
        <v>5147.9420942083734</v>
      </c>
      <c r="M10" s="1101">
        <f>M6*'Contractor Model'!J64</f>
        <v>5592.6438288503168</v>
      </c>
      <c r="N10" s="1101">
        <f>N6*'Contractor Model'!K64</f>
        <v>6006.6276737777962</v>
      </c>
      <c r="O10" s="1101">
        <f>O6*'Contractor Model'!L64</f>
        <v>6456.2613700569282</v>
      </c>
      <c r="P10" s="1103">
        <f>P6*'Contractor Model'!M64</f>
        <v>6944.257417304595</v>
      </c>
      <c r="Q10" s="1101">
        <f>Q6*'Contractor Model'!N64</f>
        <v>7282.6636613724913</v>
      </c>
      <c r="R10" s="1101">
        <f>R6*'Contractor Model'!O64</f>
        <v>7497.166031073416</v>
      </c>
      <c r="S10" s="1101">
        <f>S6*'Contractor Model'!P64</f>
        <v>8075.4240175290124</v>
      </c>
      <c r="T10" s="1101">
        <f>T6*'Contractor Model'!Q64</f>
        <v>8704.3815734611544</v>
      </c>
      <c r="U10" s="1101">
        <f>U6*'Contractor Model'!R64</f>
        <v>9387.768248472561</v>
      </c>
      <c r="V10" s="1101">
        <f>V6*'Contractor Model'!S64</f>
        <v>10129.452652457532</v>
      </c>
      <c r="W10" s="1101">
        <f>W6*'Contractor Model'!T64</f>
        <v>10933.432684785044</v>
      </c>
      <c r="X10" s="1101">
        <f>X6*'Contractor Model'!U64</f>
        <v>11803.825389479538</v>
      </c>
      <c r="Y10" s="1101">
        <f>Y6*'Contractor Model'!V64</f>
        <v>12165.545206116676</v>
      </c>
      <c r="Z10" s="1101">
        <f>Z6*'Contractor Model'!W64</f>
        <v>13135.359500102893</v>
      </c>
      <c r="AA10" s="1101">
        <f>AA6*'Contractor Model'!X64</f>
        <v>14180.946605349516</v>
      </c>
      <c r="AB10" s="1103">
        <f>AB6*'Contractor Model'!Y64</f>
        <v>15306.602338003053</v>
      </c>
      <c r="AC10" s="1101">
        <f>AC6*'Contractor Model'!Z64</f>
        <v>15732.73244689704</v>
      </c>
      <c r="AD10" s="1101">
        <f>AD6*'Contractor Model'!AA64</f>
        <v>16917.972747407257</v>
      </c>
      <c r="AE10" s="1101">
        <f>AE6*'Contractor Model'!AB64</f>
        <v>18187.834357542652</v>
      </c>
      <c r="AF10" s="1101">
        <f>AF6*'Contractor Model'!AC64</f>
        <v>19546.615269674974</v>
      </c>
      <c r="AG10" s="1101">
        <f>AG6*'Contractor Model'!AD64</f>
        <v>20998.690254412999</v>
      </c>
      <c r="AH10" s="1101">
        <f>AH6*'Contractor Model'!AE64</f>
        <v>22548.509351590506</v>
      </c>
      <c r="AI10" s="1101">
        <f>AI6*'Contractor Model'!AF64</f>
        <v>24200.597480031018</v>
      </c>
      <c r="AJ10" s="1101">
        <f>AJ6*'Contractor Model'!AG64</f>
        <v>25959.555210526509</v>
      </c>
      <c r="AK10" s="1101">
        <f>AK6*'Contractor Model'!AH64</f>
        <v>27830.060720763322</v>
      </c>
      <c r="AL10" s="1101">
        <f>AL6*'Contractor Model'!AI64</f>
        <v>29816.87292800915</v>
      </c>
      <c r="AM10" s="1101">
        <f>AM6*'Contractor Model'!AJ64</f>
        <v>31924.835776010703</v>
      </c>
      <c r="AN10" s="1103">
        <f>AN6*'Contractor Model'!AK64</f>
        <v>34158.883637218722</v>
      </c>
      <c r="AO10" s="1104">
        <f>AO6*'Contractor Model'!AL64</f>
        <v>36524.047780337591</v>
      </c>
      <c r="AP10" s="1101">
        <f>AP6*'Contractor Model'!AM64</f>
        <v>38792.520003575592</v>
      </c>
      <c r="AQ10" s="1101">
        <f>AQ6*'Contractor Model'!AN64</f>
        <v>41182.263832169563</v>
      </c>
      <c r="AR10" s="1101">
        <f>AR6*'Contractor Model'!AO64</f>
        <v>43697.899049700442</v>
      </c>
      <c r="AS10" s="1101">
        <f>AS6*'Contractor Model'!AP64</f>
        <v>46344.153656158574</v>
      </c>
      <c r="AT10" s="1101">
        <f>AT6*'Contractor Model'!AQ64</f>
        <v>49125.869152392501</v>
      </c>
      <c r="AU10" s="1101">
        <f>AU6*'Contractor Model'!AR64</f>
        <v>52048.006477358635</v>
      </c>
      <c r="AV10" s="1101">
        <f>AV6*'Contractor Model'!AS64</f>
        <v>55115.652618090739</v>
      </c>
      <c r="AW10" s="1101">
        <f>AW6*'Contractor Model'!AT64</f>
        <v>58334.027909947305</v>
      </c>
      <c r="AX10" s="1101">
        <f>AX6*'Contractor Model'!AU64</f>
        <v>61708.494042332626</v>
      </c>
      <c r="AY10" s="1101">
        <f>AY6*'Contractor Model'!AV64</f>
        <v>65244.562782746056</v>
      </c>
      <c r="AZ10" s="1103">
        <f>AZ6*'Contractor Model'!AW64</f>
        <v>68947.905429719714</v>
      </c>
      <c r="BA10" s="1101">
        <f>BA6*'Contractor Model'!AX64</f>
        <v>72824.363002984843</v>
      </c>
      <c r="BB10" s="1101">
        <f>BB6*'Contractor Model'!AY64</f>
        <v>76993.239866460382</v>
      </c>
      <c r="BC10" s="1101">
        <f>BC6*'Contractor Model'!AZ64</f>
        <v>81363.320208542471</v>
      </c>
      <c r="BD10" s="1101">
        <f>BD6*'Contractor Model'!BA64</f>
        <v>85942.241402099142</v>
      </c>
      <c r="BE10" s="1101">
        <f>BE6*'Contractor Model'!BB64</f>
        <v>90737.913171138731</v>
      </c>
      <c r="BF10" s="1101">
        <f>BF6*'Contractor Model'!BC64</f>
        <v>95758.533168067312</v>
      </c>
      <c r="BG10" s="1101">
        <f>BG6*'Contractor Model'!BD64</f>
        <v>101012.60346238437</v>
      </c>
      <c r="BH10" s="1101">
        <f>BH6*'Contractor Model'!BE64</f>
        <v>106508.94795126533</v>
      </c>
      <c r="BI10" s="1101">
        <f>BI6*'Contractor Model'!BF64</f>
        <v>112256.73070120726</v>
      </c>
      <c r="BJ10" s="1101">
        <f>BJ6*'Contractor Model'!BG64</f>
        <v>118265.47522884747</v>
      </c>
      <c r="BK10" s="1101">
        <f>BK6*'Contractor Model'!BH64</f>
        <v>124545.08472822432</v>
      </c>
      <c r="BL10" s="1103">
        <f>BL6*'Contractor Model'!BI64</f>
        <v>131105.86325115591</v>
      </c>
      <c r="BM10" s="1105"/>
      <c r="BN10" s="1101">
        <f t="shared" si="18"/>
        <v>56005.418024835773</v>
      </c>
      <c r="BO10" s="1106">
        <f>BN10/$BN$6</f>
        <v>0.23097716125222917</v>
      </c>
      <c r="BP10" s="1101">
        <f t="shared" si="19"/>
        <v>9124.818334822774</v>
      </c>
      <c r="BQ10" s="1101">
        <f t="shared" si="20"/>
        <v>11990.32100864954</v>
      </c>
      <c r="BR10" s="1101">
        <f t="shared" si="21"/>
        <v>15483.132220224139</v>
      </c>
      <c r="BS10" s="1101">
        <f t="shared" si="22"/>
        <v>19407.14646113932</v>
      </c>
      <c r="BT10" s="1101">
        <f t="shared" si="22"/>
        <v>20683.182448734013</v>
      </c>
      <c r="BU10" s="1101">
        <f t="shared" si="22"/>
        <v>21724.087109750501</v>
      </c>
      <c r="BV10" s="1101">
        <f t="shared" si="22"/>
        <v>22855.253709974917</v>
      </c>
      <c r="BW10" s="1101">
        <f t="shared" si="22"/>
        <v>24276.971622063582</v>
      </c>
      <c r="BX10" s="1101">
        <f t="shared" si="22"/>
        <v>26167.573839462726</v>
      </c>
      <c r="BY10" s="1101">
        <f t="shared" si="22"/>
        <v>28221.602474391249</v>
      </c>
      <c r="BZ10" s="1101">
        <f t="shared" si="22"/>
        <v>30450.653585715139</v>
      </c>
      <c r="CA10" s="1101">
        <f t="shared" si="22"/>
        <v>32866.710726722114</v>
      </c>
      <c r="CB10" s="1101">
        <f t="shared" si="22"/>
        <v>34902.803280381253</v>
      </c>
      <c r="CC10" s="1101">
        <f t="shared" si="22"/>
        <v>37104.730095699109</v>
      </c>
      <c r="CD10" s="1101">
        <f t="shared" si="22"/>
        <v>39481.851311569088</v>
      </c>
      <c r="CE10" s="1101">
        <f t="shared" si="22"/>
        <v>42622.908443455461</v>
      </c>
      <c r="CF10" s="1101">
        <f t="shared" si="22"/>
        <v>45220.281390249613</v>
      </c>
      <c r="CG10" s="1101">
        <f t="shared" si="22"/>
        <v>47957.30753230735</v>
      </c>
      <c r="CH10" s="1101">
        <f t="shared" si="22"/>
        <v>50838.539551846945</v>
      </c>
      <c r="CI10" s="1101">
        <f t="shared" si="22"/>
        <v>54652.42237462489</v>
      </c>
      <c r="CJ10" s="1101"/>
      <c r="CK10" s="1101"/>
      <c r="CL10" s="1101">
        <f t="shared" si="16"/>
        <v>56005.418024835773</v>
      </c>
      <c r="CM10" s="1106">
        <f t="shared" si="23"/>
        <v>0.23613135806261756</v>
      </c>
      <c r="CN10" s="1106">
        <f t="shared" si="17"/>
        <v>0.23000000000000004</v>
      </c>
      <c r="CO10" s="1106">
        <f t="shared" si="17"/>
        <v>0.22999999999999998</v>
      </c>
      <c r="CP10" s="1106">
        <f t="shared" si="17"/>
        <v>0.22999999999999998</v>
      </c>
      <c r="CQ10" s="1106">
        <f t="shared" si="24"/>
        <v>0.23097716125222917</v>
      </c>
    </row>
    <row r="11" spans="1:95" s="100" customFormat="1">
      <c r="A11" s="183"/>
      <c r="B11" s="1132" t="s">
        <v>26</v>
      </c>
      <c r="C11" s="1107">
        <v>2121195.81</v>
      </c>
      <c r="D11" s="1107">
        <v>0.65652999999999995</v>
      </c>
      <c r="E11" s="130">
        <f t="shared" ref="E11:AJ11" si="25">SUM(E8:E10)</f>
        <v>10707.6422907489</v>
      </c>
      <c r="F11" s="130">
        <f t="shared" si="25"/>
        <v>10851.213137621146</v>
      </c>
      <c r="G11" s="130">
        <f t="shared" si="25"/>
        <v>11352.477562281572</v>
      </c>
      <c r="H11" s="130">
        <f t="shared" si="25"/>
        <v>12077.847792424061</v>
      </c>
      <c r="I11" s="130">
        <f t="shared" si="25"/>
        <v>12700.679463183178</v>
      </c>
      <c r="J11" s="130">
        <f t="shared" si="25"/>
        <v>17168.344533076885</v>
      </c>
      <c r="K11" s="130">
        <f t="shared" si="25"/>
        <v>17821.982261985235</v>
      </c>
      <c r="L11" s="130">
        <f t="shared" si="25"/>
        <v>18181.111206208192</v>
      </c>
      <c r="M11" s="130">
        <f t="shared" si="25"/>
        <v>18937.046031530157</v>
      </c>
      <c r="N11" s="130">
        <f t="shared" si="25"/>
        <v>19640.202062349861</v>
      </c>
      <c r="O11" s="130">
        <f t="shared" si="25"/>
        <v>20403.961640273403</v>
      </c>
      <c r="P11" s="131">
        <f t="shared" si="25"/>
        <v>21232.938751825841</v>
      </c>
      <c r="Q11" s="130">
        <f t="shared" si="25"/>
        <v>21328.62348724882</v>
      </c>
      <c r="R11" s="130">
        <f t="shared" si="25"/>
        <v>21894.278555461398</v>
      </c>
      <c r="S11" s="130">
        <f t="shared" si="25"/>
        <v>25584.886036106589</v>
      </c>
      <c r="T11" s="130">
        <f t="shared" si="25"/>
        <v>26629.764124088775</v>
      </c>
      <c r="U11" s="130">
        <f t="shared" si="25"/>
        <v>27890.020053913991</v>
      </c>
      <c r="V11" s="130">
        <f t="shared" si="25"/>
        <v>29280.993045158364</v>
      </c>
      <c r="W11" s="130">
        <f t="shared" si="25"/>
        <v>30784.890246836032</v>
      </c>
      <c r="X11" s="130">
        <f t="shared" si="25"/>
        <v>32409.072074329146</v>
      </c>
      <c r="Y11" s="130">
        <f t="shared" si="25"/>
        <v>37361.783549960433</v>
      </c>
      <c r="Z11" s="130">
        <f t="shared" si="25"/>
        <v>47653.413561067027</v>
      </c>
      <c r="AA11" s="130">
        <f t="shared" si="25"/>
        <v>49555.040071903262</v>
      </c>
      <c r="AB11" s="131">
        <f t="shared" si="25"/>
        <v>58528.286555046063</v>
      </c>
      <c r="AC11" s="130">
        <f t="shared" si="25"/>
        <v>63443.400143723229</v>
      </c>
      <c r="AD11" s="130">
        <f t="shared" si="25"/>
        <v>65496.994755521235</v>
      </c>
      <c r="AE11" s="130">
        <f t="shared" si="25"/>
        <v>67694.120710720439</v>
      </c>
      <c r="AF11" s="130">
        <f t="shared" si="25"/>
        <v>72772.016468939619</v>
      </c>
      <c r="AG11" s="130">
        <f t="shared" si="25"/>
        <v>75278.052717746003</v>
      </c>
      <c r="AH11" s="130">
        <f t="shared" si="25"/>
        <v>77949.730140981614</v>
      </c>
      <c r="AI11" s="130">
        <f t="shared" si="25"/>
        <v>84574.679043260825</v>
      </c>
      <c r="AJ11" s="130">
        <f t="shared" si="25"/>
        <v>87600.660903915777</v>
      </c>
      <c r="AK11" s="130">
        <f t="shared" ref="AK11:BL11" si="26">SUM(AK8:AK10)</f>
        <v>95547.571891323838</v>
      </c>
      <c r="AL11" s="130">
        <f t="shared" si="26"/>
        <v>99126.114997476485</v>
      </c>
      <c r="AM11" s="130">
        <f t="shared" si="26"/>
        <v>111262.02964299568</v>
      </c>
      <c r="AN11" s="131">
        <f t="shared" si="26"/>
        <v>115093.70276276366</v>
      </c>
      <c r="AO11" s="138">
        <f t="shared" si="26"/>
        <v>125866.31329615059</v>
      </c>
      <c r="AP11" s="130">
        <f t="shared" si="26"/>
        <v>129765.70395052416</v>
      </c>
      <c r="AQ11" s="130">
        <f t="shared" si="26"/>
        <v>136601.35546526901</v>
      </c>
      <c r="AR11" s="130">
        <f t="shared" si="26"/>
        <v>140921.13509080579</v>
      </c>
      <c r="AS11" s="130">
        <f t="shared" si="26"/>
        <v>149243.09206119136</v>
      </c>
      <c r="AT11" s="130">
        <f t="shared" si="26"/>
        <v>156745.47241212992</v>
      </c>
      <c r="AU11" s="130">
        <f t="shared" si="26"/>
        <v>161756.72969008988</v>
      </c>
      <c r="AV11" s="130">
        <f t="shared" si="26"/>
        <v>170795.53635437501</v>
      </c>
      <c r="AW11" s="130">
        <f t="shared" si="26"/>
        <v>188700.79629889244</v>
      </c>
      <c r="AX11" s="130">
        <f t="shared" si="26"/>
        <v>194481.65855222064</v>
      </c>
      <c r="AY11" s="130">
        <f t="shared" si="26"/>
        <v>205472.53218038956</v>
      </c>
      <c r="AZ11" s="131">
        <f t="shared" si="26"/>
        <v>215593.10241050314</v>
      </c>
      <c r="BA11" s="130">
        <f t="shared" si="26"/>
        <v>224958.34798949581</v>
      </c>
      <c r="BB11" s="130">
        <f t="shared" si="26"/>
        <v>235865.38394228957</v>
      </c>
      <c r="BC11" s="130">
        <f t="shared" si="26"/>
        <v>246064.12427728612</v>
      </c>
      <c r="BD11" s="130">
        <f t="shared" si="26"/>
        <v>256617.54992028704</v>
      </c>
      <c r="BE11" s="130">
        <f t="shared" si="26"/>
        <v>279950.59145186294</v>
      </c>
      <c r="BF11" s="130">
        <f t="shared" si="26"/>
        <v>291840.07462997601</v>
      </c>
      <c r="BG11" s="130">
        <f t="shared" si="26"/>
        <v>304669.34757284692</v>
      </c>
      <c r="BH11" s="130">
        <f t="shared" si="26"/>
        <v>320992.66818345123</v>
      </c>
      <c r="BI11" s="130">
        <f t="shared" si="26"/>
        <v>337313.26831118722</v>
      </c>
      <c r="BJ11" s="130">
        <f t="shared" si="26"/>
        <v>350295.65476439323</v>
      </c>
      <c r="BK11" s="130">
        <f t="shared" si="26"/>
        <v>364787.94619976869</v>
      </c>
      <c r="BL11" s="131">
        <f t="shared" si="26"/>
        <v>385427.86969299417</v>
      </c>
      <c r="BM11" s="150"/>
      <c r="BN11" s="130">
        <f>SUM(BN8:BN10)</f>
        <v>191075.44673350843</v>
      </c>
      <c r="BO11" s="1108">
        <f>ROUND(IF(BN6=0, 0, BN11/BN6),5)</f>
        <v>0.78803000000000001</v>
      </c>
      <c r="BP11" s="130">
        <f t="shared" ref="BP11:CI11" si="27">SUM(BP8:BP10)</f>
        <v>32911.332990651616</v>
      </c>
      <c r="BQ11" s="130">
        <f t="shared" si="27"/>
        <v>41946.871788684126</v>
      </c>
      <c r="BR11" s="130">
        <f t="shared" si="27"/>
        <v>54940.139499723577</v>
      </c>
      <c r="BS11" s="130">
        <f t="shared" si="27"/>
        <v>61277.102454449108</v>
      </c>
      <c r="BT11" s="130">
        <f t="shared" si="27"/>
        <v>62965.523879348068</v>
      </c>
      <c r="BU11" s="130">
        <f t="shared" si="27"/>
        <v>64455.84079453606</v>
      </c>
      <c r="BV11" s="130">
        <f t="shared" si="27"/>
        <v>68807.788078816811</v>
      </c>
      <c r="BW11" s="130">
        <f t="shared" si="27"/>
        <v>74108.928715656773</v>
      </c>
      <c r="BX11" s="130">
        <f t="shared" si="27"/>
        <v>80104.670214109356</v>
      </c>
      <c r="BY11" s="130">
        <f t="shared" si="27"/>
        <v>83800.777223161131</v>
      </c>
      <c r="BZ11" s="130">
        <f t="shared" si="27"/>
        <v>87955.903345908388</v>
      </c>
      <c r="CA11" s="130">
        <f t="shared" si="27"/>
        <v>92474.955366323542</v>
      </c>
      <c r="CB11" s="130">
        <f t="shared" si="27"/>
        <v>100555.7458711256</v>
      </c>
      <c r="CC11" s="130">
        <f t="shared" si="27"/>
        <v>117424.26918535661</v>
      </c>
      <c r="CD11" s="130">
        <f t="shared" si="27"/>
        <v>134570.23718293072</v>
      </c>
      <c r="CE11" s="130">
        <f t="shared" si="27"/>
        <v>155736.74018801635</v>
      </c>
      <c r="CF11" s="130">
        <f t="shared" si="27"/>
        <v>171526.72677067254</v>
      </c>
      <c r="CG11" s="130">
        <f t="shared" si="27"/>
        <v>187468.68145429052</v>
      </c>
      <c r="CH11" s="130">
        <f t="shared" si="27"/>
        <v>196634.5156099649</v>
      </c>
      <c r="CI11" s="130">
        <f t="shared" si="27"/>
        <v>205963.13193518127</v>
      </c>
      <c r="CJ11" s="130"/>
      <c r="CK11" s="130"/>
      <c r="CL11" s="130">
        <f t="shared" ref="CL11:CQ11" si="28">SUM(CL8:CL10)</f>
        <v>191075.44673350843</v>
      </c>
      <c r="CM11" s="1108">
        <f t="shared" si="28"/>
        <v>0.85167698353794496</v>
      </c>
      <c r="CN11" s="1108">
        <f t="shared" si="28"/>
        <v>0.80463071042365453</v>
      </c>
      <c r="CO11" s="1108">
        <f t="shared" si="28"/>
        <v>0.81612892696420414</v>
      </c>
      <c r="CP11" s="1108">
        <f t="shared" si="28"/>
        <v>0.7262135931598418</v>
      </c>
      <c r="CQ11" s="1108">
        <f t="shared" si="28"/>
        <v>0.78803204811248628</v>
      </c>
    </row>
    <row r="12" spans="1:95" s="100" customFormat="1">
      <c r="A12" s="183"/>
      <c r="B12" s="1132" t="s">
        <v>27</v>
      </c>
      <c r="C12" s="1107">
        <v>1109703.5299999998</v>
      </c>
      <c r="D12" s="1107">
        <v>0.34347</v>
      </c>
      <c r="E12" s="130">
        <f t="shared" ref="E12:AJ12" si="29">E6-E11</f>
        <v>1139.0537444933907</v>
      </c>
      <c r="F12" s="130">
        <f t="shared" si="29"/>
        <v>1931.023690572687</v>
      </c>
      <c r="G12" s="130">
        <f t="shared" si="29"/>
        <v>2661.5652878385117</v>
      </c>
      <c r="H12" s="130">
        <f t="shared" si="29"/>
        <v>3716.4041393067746</v>
      </c>
      <c r="I12" s="130">
        <f t="shared" si="29"/>
        <v>4623.5784414261379</v>
      </c>
      <c r="J12" s="130">
        <f t="shared" si="29"/>
        <v>1844.9761029722686</v>
      </c>
      <c r="K12" s="130">
        <f t="shared" si="29"/>
        <v>2797.7842474297686</v>
      </c>
      <c r="L12" s="130">
        <f t="shared" si="29"/>
        <v>4201.2457251325613</v>
      </c>
      <c r="M12" s="130">
        <f t="shared" si="29"/>
        <v>5378.7967026016522</v>
      </c>
      <c r="N12" s="130">
        <f t="shared" si="29"/>
        <v>6475.5704323362079</v>
      </c>
      <c r="O12" s="130">
        <f t="shared" si="29"/>
        <v>7666.7399686697609</v>
      </c>
      <c r="P12" s="131">
        <f t="shared" si="29"/>
        <v>8959.484801672399</v>
      </c>
      <c r="Q12" s="130">
        <f t="shared" si="29"/>
        <v>10335.131562196791</v>
      </c>
      <c r="R12" s="130">
        <f t="shared" si="29"/>
        <v>12183.748858508672</v>
      </c>
      <c r="S12" s="130">
        <f t="shared" si="29"/>
        <v>11121.586770843467</v>
      </c>
      <c r="T12" s="130">
        <f t="shared" si="29"/>
        <v>12935.606664371015</v>
      </c>
      <c r="U12" s="130">
        <f t="shared" si="29"/>
        <v>14781.653802779467</v>
      </c>
      <c r="V12" s="130">
        <f t="shared" si="29"/>
        <v>16761.97355692133</v>
      </c>
      <c r="W12" s="130">
        <f t="shared" si="29"/>
        <v>18912.531047641445</v>
      </c>
      <c r="X12" s="130">
        <f t="shared" si="29"/>
        <v>21244.679696032392</v>
      </c>
      <c r="Y12" s="130">
        <f t="shared" si="29"/>
        <v>20569.384098214214</v>
      </c>
      <c r="Z12" s="130">
        <f t="shared" si="29"/>
        <v>14895.917391803894</v>
      </c>
      <c r="AA12" s="130">
        <f t="shared" si="29"/>
        <v>17973.277096427773</v>
      </c>
      <c r="AB12" s="131">
        <f t="shared" si="29"/>
        <v>14360.296006873243</v>
      </c>
      <c r="AC12" s="130">
        <f t="shared" si="29"/>
        <v>15220.262090761964</v>
      </c>
      <c r="AD12" s="130">
        <f t="shared" si="29"/>
        <v>19092.86898151505</v>
      </c>
      <c r="AE12" s="130">
        <f t="shared" si="29"/>
        <v>23245.051076992808</v>
      </c>
      <c r="AF12" s="130">
        <f t="shared" si="29"/>
        <v>24961.059879435241</v>
      </c>
      <c r="AG12" s="130">
        <f t="shared" si="29"/>
        <v>29715.398554318992</v>
      </c>
      <c r="AH12" s="130">
        <f t="shared" si="29"/>
        <v>34792.816616970915</v>
      </c>
      <c r="AI12" s="130">
        <f t="shared" si="29"/>
        <v>36428.308356894253</v>
      </c>
      <c r="AJ12" s="130">
        <f t="shared" si="29"/>
        <v>42197.115148716766</v>
      </c>
      <c r="AK12" s="130">
        <f t="shared" ref="AK12:BL12" si="30">AK6-AK11</f>
        <v>43602.731712492765</v>
      </c>
      <c r="AL12" s="130">
        <f t="shared" si="30"/>
        <v>49958.249642569252</v>
      </c>
      <c r="AM12" s="130">
        <f t="shared" si="30"/>
        <v>48362.149237057834</v>
      </c>
      <c r="AN12" s="131">
        <f t="shared" si="30"/>
        <v>55700.715423329937</v>
      </c>
      <c r="AO12" s="138">
        <f t="shared" si="30"/>
        <v>56753.925605537341</v>
      </c>
      <c r="AP12" s="130">
        <f t="shared" si="30"/>
        <v>64196.89606735378</v>
      </c>
      <c r="AQ12" s="130">
        <f t="shared" si="30"/>
        <v>69309.963695578801</v>
      </c>
      <c r="AR12" s="130">
        <f t="shared" si="30"/>
        <v>77568.360157696385</v>
      </c>
      <c r="AS12" s="130">
        <f t="shared" si="30"/>
        <v>82477.676219601504</v>
      </c>
      <c r="AT12" s="130">
        <f t="shared" si="30"/>
        <v>88883.873349832575</v>
      </c>
      <c r="AU12" s="130">
        <f t="shared" si="30"/>
        <v>98483.302696703264</v>
      </c>
      <c r="AV12" s="130">
        <f t="shared" si="30"/>
        <v>104782.72673607868</v>
      </c>
      <c r="AW12" s="130">
        <f t="shared" si="30"/>
        <v>102969.34325084407</v>
      </c>
      <c r="AX12" s="130">
        <f t="shared" si="30"/>
        <v>114060.81165944246</v>
      </c>
      <c r="AY12" s="130">
        <f t="shared" si="30"/>
        <v>120750.2817333407</v>
      </c>
      <c r="AZ12" s="131">
        <f t="shared" si="30"/>
        <v>129146.42473809543</v>
      </c>
      <c r="BA12" s="130">
        <f t="shared" si="30"/>
        <v>139163.4670254284</v>
      </c>
      <c r="BB12" s="130">
        <f t="shared" si="30"/>
        <v>149100.81539001234</v>
      </c>
      <c r="BC12" s="130">
        <f t="shared" si="30"/>
        <v>160752.47676542623</v>
      </c>
      <c r="BD12" s="130">
        <f t="shared" si="30"/>
        <v>173093.65709020867</v>
      </c>
      <c r="BE12" s="130">
        <f t="shared" si="30"/>
        <v>173738.97440383065</v>
      </c>
      <c r="BF12" s="130">
        <f t="shared" si="30"/>
        <v>186952.59121036052</v>
      </c>
      <c r="BG12" s="130">
        <f t="shared" si="30"/>
        <v>200393.66973907495</v>
      </c>
      <c r="BH12" s="130">
        <f t="shared" si="30"/>
        <v>211552.07157287543</v>
      </c>
      <c r="BI12" s="130">
        <f t="shared" si="30"/>
        <v>223970.38519484905</v>
      </c>
      <c r="BJ12" s="130">
        <f t="shared" si="30"/>
        <v>241031.72137984412</v>
      </c>
      <c r="BK12" s="130">
        <f t="shared" si="30"/>
        <v>257937.47744135291</v>
      </c>
      <c r="BL12" s="131">
        <f t="shared" si="30"/>
        <v>270101.44656278542</v>
      </c>
      <c r="BM12" s="150"/>
      <c r="BN12" s="130">
        <f t="shared" ref="BN12:CI12" si="31">BN6-BN11</f>
        <v>51396.223284452106</v>
      </c>
      <c r="BO12" s="1108">
        <f t="shared" si="31"/>
        <v>0.21196999999999999</v>
      </c>
      <c r="BP12" s="130">
        <f t="shared" si="31"/>
        <v>5731.6427229045876</v>
      </c>
      <c r="BQ12" s="130">
        <f t="shared" si="31"/>
        <v>10184.958683705168</v>
      </c>
      <c r="BR12" s="130">
        <f t="shared" si="31"/>
        <v>12377.826675163989</v>
      </c>
      <c r="BS12" s="130">
        <f t="shared" si="31"/>
        <v>23101.795202678375</v>
      </c>
      <c r="BT12" s="130">
        <f t="shared" si="31"/>
        <v>26961.35633253894</v>
      </c>
      <c r="BU12" s="130">
        <f t="shared" si="31"/>
        <v>31478.365222377855</v>
      </c>
      <c r="BV12" s="130">
        <f t="shared" si="31"/>
        <v>33640.467191548931</v>
      </c>
      <c r="BW12" s="130">
        <f t="shared" si="31"/>
        <v>36240.942293723143</v>
      </c>
      <c r="BX12" s="130">
        <f t="shared" si="31"/>
        <v>38838.847237993963</v>
      </c>
      <c r="BY12" s="130">
        <f t="shared" si="31"/>
        <v>44479.234024071819</v>
      </c>
      <c r="BZ12" s="130">
        <f t="shared" si="31"/>
        <v>50456.158407342242</v>
      </c>
      <c r="CA12" s="130">
        <f t="shared" si="31"/>
        <v>56919.184300595181</v>
      </c>
      <c r="CB12" s="130">
        <f t="shared" si="31"/>
        <v>60726.594841888058</v>
      </c>
      <c r="CC12" s="130">
        <f t="shared" si="31"/>
        <v>56709.981186050471</v>
      </c>
      <c r="CD12" s="130">
        <f t="shared" si="31"/>
        <v>53438.578586445889</v>
      </c>
      <c r="CE12" s="130">
        <f t="shared" si="31"/>
        <v>47229.490495104896</v>
      </c>
      <c r="CF12" s="130">
        <f t="shared" si="31"/>
        <v>47553.835194062965</v>
      </c>
      <c r="CG12" s="130">
        <f t="shared" si="31"/>
        <v>48673.42707915022</v>
      </c>
      <c r="CH12" s="130">
        <f t="shared" si="31"/>
        <v>57558.182149269822</v>
      </c>
      <c r="CI12" s="130">
        <f t="shared" si="31"/>
        <v>67298.979937943164</v>
      </c>
      <c r="CJ12" s="130"/>
      <c r="CK12" s="130"/>
      <c r="CL12" s="130">
        <f t="shared" ref="CL12:CQ12" si="32">CL6-CL11</f>
        <v>51396.223284452106</v>
      </c>
      <c r="CM12" s="1108">
        <f t="shared" si="32"/>
        <v>0.14832301646205504</v>
      </c>
      <c r="CN12" s="1108">
        <f t="shared" si="32"/>
        <v>0.19536928957634547</v>
      </c>
      <c r="CO12" s="1108">
        <f t="shared" si="32"/>
        <v>0.18387107303579575</v>
      </c>
      <c r="CP12" s="1108">
        <f t="shared" si="32"/>
        <v>0.27378640684015809</v>
      </c>
      <c r="CQ12" s="1108">
        <f t="shared" si="32"/>
        <v>0.21196795188751372</v>
      </c>
    </row>
    <row r="13" spans="1:95" s="87" customFormat="1" ht="14.25" customHeight="1">
      <c r="A13" s="1143"/>
      <c r="B13" s="1133" t="s">
        <v>122</v>
      </c>
      <c r="C13" s="85"/>
      <c r="D13" s="85"/>
      <c r="E13" s="132">
        <f t="shared" ref="E13:AJ13" si="33">E12/E4</f>
        <v>0.10773549999999987</v>
      </c>
      <c r="F13" s="132">
        <f t="shared" si="33"/>
        <v>0.16868768732028397</v>
      </c>
      <c r="G13" s="132">
        <f t="shared" si="33"/>
        <v>0.21112736549153313</v>
      </c>
      <c r="H13" s="132">
        <f t="shared" si="33"/>
        <v>0.25973397771673767</v>
      </c>
      <c r="I13" s="132">
        <f t="shared" si="33"/>
        <v>0.29347694794746931</v>
      </c>
      <c r="J13" s="132">
        <f t="shared" si="33"/>
        <v>0.10631896331543271</v>
      </c>
      <c r="K13" s="132">
        <f t="shared" si="33"/>
        <v>0.14832473961940257</v>
      </c>
      <c r="L13" s="132">
        <f t="shared" si="33"/>
        <v>0.20473125267111764</v>
      </c>
      <c r="M13" s="132">
        <f t="shared" si="33"/>
        <v>0.24074688479659043</v>
      </c>
      <c r="N13" s="132">
        <f t="shared" si="33"/>
        <v>0.26957297649270295</v>
      </c>
      <c r="O13" s="132">
        <f t="shared" si="33"/>
        <v>0.29661831779355152</v>
      </c>
      <c r="P13" s="133">
        <f t="shared" si="33"/>
        <v>0.32193584271393799</v>
      </c>
      <c r="Q13" s="132">
        <f t="shared" si="33"/>
        <v>0.34462935118040583</v>
      </c>
      <c r="R13" s="132">
        <f t="shared" si="33"/>
        <v>0.37724807543030048</v>
      </c>
      <c r="S13" s="132">
        <f t="shared" si="33"/>
        <v>0.31949741037828816</v>
      </c>
      <c r="T13" s="132">
        <f t="shared" si="33"/>
        <v>0.34453973260207565</v>
      </c>
      <c r="U13" s="132">
        <f t="shared" si="33"/>
        <v>0.36481976978126351</v>
      </c>
      <c r="V13" s="132">
        <f t="shared" si="33"/>
        <v>0.38316673195869977</v>
      </c>
      <c r="W13" s="132">
        <f t="shared" si="33"/>
        <v>0.40029223130979352</v>
      </c>
      <c r="X13" s="132">
        <f t="shared" si="33"/>
        <v>0.41624797738614749</v>
      </c>
      <c r="Y13" s="132">
        <f t="shared" si="33"/>
        <v>0.37304195342495311</v>
      </c>
      <c r="Z13" s="132">
        <f t="shared" si="33"/>
        <v>0.2500612646054749</v>
      </c>
      <c r="AA13" s="132">
        <f t="shared" si="33"/>
        <v>0.2793208709208348</v>
      </c>
      <c r="AB13" s="133">
        <f t="shared" si="33"/>
        <v>0.20664913492829357</v>
      </c>
      <c r="AC13" s="132">
        <f t="shared" si="33"/>
        <v>0.20283976692586164</v>
      </c>
      <c r="AD13" s="132">
        <f t="shared" si="33"/>
        <v>0.23652672607988898</v>
      </c>
      <c r="AE13" s="132">
        <f t="shared" si="33"/>
        <v>0.26775344505872628</v>
      </c>
      <c r="AF13" s="132">
        <f t="shared" si="33"/>
        <v>0.26743067946630972</v>
      </c>
      <c r="AG13" s="132">
        <f t="shared" si="33"/>
        <v>0.2962438535425006</v>
      </c>
      <c r="AH13" s="132">
        <f t="shared" si="33"/>
        <v>0.3229073586675093</v>
      </c>
      <c r="AI13" s="132">
        <f t="shared" si="33"/>
        <v>0.31489894150274617</v>
      </c>
      <c r="AJ13" s="132">
        <f t="shared" si="33"/>
        <v>0.33993955174328511</v>
      </c>
      <c r="AK13" s="132">
        <f t="shared" ref="AK13:BL13" si="34">AK12/AK4</f>
        <v>0.32755128883417239</v>
      </c>
      <c r="AL13" s="132">
        <f t="shared" si="34"/>
        <v>0.35018216175424699</v>
      </c>
      <c r="AM13" s="132">
        <f t="shared" si="34"/>
        <v>0.31651940925863148</v>
      </c>
      <c r="AN13" s="133">
        <f t="shared" si="34"/>
        <v>0.34061226396971533</v>
      </c>
      <c r="AO13" s="139">
        <f t="shared" si="34"/>
        <v>0.32449273575685555</v>
      </c>
      <c r="AP13" s="132">
        <f t="shared" si="34"/>
        <v>0.34554256594377919</v>
      </c>
      <c r="AQ13" s="132">
        <f t="shared" si="34"/>
        <v>0.35137432104269606</v>
      </c>
      <c r="AR13" s="132">
        <f t="shared" si="34"/>
        <v>0.37056050176400179</v>
      </c>
      <c r="AS13" s="132">
        <f t="shared" si="34"/>
        <v>0.37147402792295375</v>
      </c>
      <c r="AT13" s="132">
        <f t="shared" si="34"/>
        <v>0.37761827908895906</v>
      </c>
      <c r="AU13" s="132">
        <f t="shared" si="34"/>
        <v>0.39486933017403963</v>
      </c>
      <c r="AV13" s="132">
        <f t="shared" si="34"/>
        <v>0.39670304706225978</v>
      </c>
      <c r="AW13" s="132">
        <f t="shared" si="34"/>
        <v>0.36829337637301468</v>
      </c>
      <c r="AX13" s="132">
        <f t="shared" si="34"/>
        <v>0.38561842396053003</v>
      </c>
      <c r="AY13" s="132">
        <f t="shared" si="34"/>
        <v>0.38607313935487381</v>
      </c>
      <c r="AZ13" s="133">
        <f t="shared" si="34"/>
        <v>0.3907038445219479</v>
      </c>
      <c r="BA13" s="132">
        <f t="shared" si="34"/>
        <v>0.39856266792554162</v>
      </c>
      <c r="BB13" s="132">
        <f t="shared" si="34"/>
        <v>0.40385461018111191</v>
      </c>
      <c r="BC13" s="132">
        <f t="shared" si="34"/>
        <v>0.4119807531142809</v>
      </c>
      <c r="BD13" s="132">
        <f t="shared" si="34"/>
        <v>0.41992663581642226</v>
      </c>
      <c r="BE13" s="132">
        <f t="shared" si="34"/>
        <v>0.39917116339755765</v>
      </c>
      <c r="BF13" s="132">
        <f t="shared" si="34"/>
        <v>0.40696508668236442</v>
      </c>
      <c r="BG13" s="132">
        <f t="shared" si="34"/>
        <v>0.41348973561095276</v>
      </c>
      <c r="BH13" s="132">
        <f t="shared" si="34"/>
        <v>0.41394374046309373</v>
      </c>
      <c r="BI13" s="132">
        <f t="shared" si="34"/>
        <v>0.41576013246802374</v>
      </c>
      <c r="BJ13" s="132">
        <f t="shared" si="34"/>
        <v>0.42465478026032538</v>
      </c>
      <c r="BK13" s="132">
        <f t="shared" si="34"/>
        <v>0.43148277058858081</v>
      </c>
      <c r="BL13" s="133">
        <f t="shared" si="34"/>
        <v>0.42917739502381391</v>
      </c>
      <c r="BM13" s="151"/>
      <c r="BN13" s="84"/>
      <c r="BO13" s="86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6"/>
      <c r="CN13" s="86"/>
      <c r="CO13" s="86"/>
      <c r="CP13" s="86"/>
      <c r="CQ13" s="86"/>
    </row>
    <row r="14" spans="1:95" ht="24.75" customHeight="1">
      <c r="A14" s="1141" t="s">
        <v>28</v>
      </c>
      <c r="B14" s="7"/>
      <c r="C14" s="9"/>
      <c r="D14" s="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2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29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29"/>
      <c r="AO14" s="137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29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29"/>
      <c r="BM14" s="149"/>
      <c r="BN14" s="10"/>
      <c r="BO14" s="12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2"/>
      <c r="CN14" s="12"/>
      <c r="CO14" s="12"/>
      <c r="CP14" s="12"/>
      <c r="CQ14" s="12"/>
    </row>
    <row r="15" spans="1:95" s="576" customFormat="1">
      <c r="A15" s="1139"/>
      <c r="B15" s="1093" t="s">
        <v>24</v>
      </c>
      <c r="C15" s="1094">
        <v>642238.55000000016</v>
      </c>
      <c r="D15" s="1099">
        <v>0.19878000000000001</v>
      </c>
      <c r="E15" s="1094">
        <f>HR!D28</f>
        <v>0</v>
      </c>
      <c r="F15" s="1094">
        <f>HR!E28</f>
        <v>0</v>
      </c>
      <c r="G15" s="1094">
        <f>HR!F28</f>
        <v>0</v>
      </c>
      <c r="H15" s="1094">
        <f>HR!G28</f>
        <v>0</v>
      </c>
      <c r="I15" s="1094">
        <f>HR!H28</f>
        <v>0</v>
      </c>
      <c r="J15" s="1094">
        <f>HR!I28</f>
        <v>0</v>
      </c>
      <c r="K15" s="1094">
        <f>HR!J28</f>
        <v>0</v>
      </c>
      <c r="L15" s="1094">
        <f>HR!K28</f>
        <v>0</v>
      </c>
      <c r="M15" s="1094">
        <f>HR!L28</f>
        <v>0</v>
      </c>
      <c r="N15" s="1094">
        <f>HR!M28</f>
        <v>0</v>
      </c>
      <c r="O15" s="1094">
        <f>HR!N28</f>
        <v>0</v>
      </c>
      <c r="P15" s="1096">
        <f>HR!O28</f>
        <v>0</v>
      </c>
      <c r="Q15" s="1094">
        <f>HR!P28</f>
        <v>0</v>
      </c>
      <c r="R15" s="1094">
        <f>HR!Q28</f>
        <v>0</v>
      </c>
      <c r="S15" s="1094">
        <f>HR!R28</f>
        <v>0</v>
      </c>
      <c r="T15" s="1094">
        <f>HR!S28</f>
        <v>0</v>
      </c>
      <c r="U15" s="1094">
        <f>HR!T28</f>
        <v>0</v>
      </c>
      <c r="V15" s="1094">
        <f>HR!U28</f>
        <v>0</v>
      </c>
      <c r="W15" s="1094">
        <f>HR!V28</f>
        <v>0</v>
      </c>
      <c r="X15" s="1094">
        <f>HR!W28</f>
        <v>0</v>
      </c>
      <c r="Y15" s="1094">
        <f>HR!X28</f>
        <v>0</v>
      </c>
      <c r="Z15" s="1094">
        <f>HR!Y28</f>
        <v>0</v>
      </c>
      <c r="AA15" s="1094">
        <f>HR!Z28</f>
        <v>0</v>
      </c>
      <c r="AB15" s="1096">
        <f>HR!AA28</f>
        <v>4200</v>
      </c>
      <c r="AC15" s="1094">
        <f>HR!AB28</f>
        <v>4200</v>
      </c>
      <c r="AD15" s="1094">
        <f>HR!AC28</f>
        <v>4200</v>
      </c>
      <c r="AE15" s="1094">
        <f>HR!AD28</f>
        <v>4200</v>
      </c>
      <c r="AF15" s="1094">
        <f>HR!AE28</f>
        <v>4200</v>
      </c>
      <c r="AG15" s="1094">
        <f>HR!AF28</f>
        <v>4200</v>
      </c>
      <c r="AH15" s="1094">
        <f>HR!AG28</f>
        <v>4200</v>
      </c>
      <c r="AI15" s="1094">
        <f>HR!AH28</f>
        <v>4200</v>
      </c>
      <c r="AJ15" s="1094">
        <f>HR!AI28</f>
        <v>4200</v>
      </c>
      <c r="AK15" s="1094">
        <f>HR!AJ28</f>
        <v>4200</v>
      </c>
      <c r="AL15" s="1094">
        <f>HR!AK28</f>
        <v>4200</v>
      </c>
      <c r="AM15" s="1094">
        <f>HR!AL28</f>
        <v>6405</v>
      </c>
      <c r="AN15" s="1096">
        <f>HR!AM28</f>
        <v>6405</v>
      </c>
      <c r="AO15" s="1097">
        <f>HR!AN28</f>
        <v>10395</v>
      </c>
      <c r="AP15" s="1094">
        <f>HR!AO28</f>
        <v>10395</v>
      </c>
      <c r="AQ15" s="1094">
        <f>HR!AP28</f>
        <v>10395</v>
      </c>
      <c r="AR15" s="1094">
        <f>HR!AQ28</f>
        <v>10395</v>
      </c>
      <c r="AS15" s="1094">
        <f>HR!AR28</f>
        <v>10395</v>
      </c>
      <c r="AT15" s="1094">
        <f>HR!AS28</f>
        <v>10395</v>
      </c>
      <c r="AU15" s="1094">
        <f>HR!AT28</f>
        <v>10395</v>
      </c>
      <c r="AV15" s="1094">
        <f>HR!AU28</f>
        <v>10395</v>
      </c>
      <c r="AW15" s="1094">
        <f>HR!AV28</f>
        <v>14595</v>
      </c>
      <c r="AX15" s="1094">
        <f>HR!AW28</f>
        <v>14595</v>
      </c>
      <c r="AY15" s="1094">
        <f>HR!AX28</f>
        <v>16800</v>
      </c>
      <c r="AZ15" s="1096">
        <f>HR!AY28</f>
        <v>16800</v>
      </c>
      <c r="BA15" s="1094">
        <f>HR!AZ28</f>
        <v>16800</v>
      </c>
      <c r="BB15" s="1094">
        <f>HR!BA28</f>
        <v>16800</v>
      </c>
      <c r="BC15" s="1094">
        <f>HR!BB28</f>
        <v>16800</v>
      </c>
      <c r="BD15" s="1094">
        <f>HR!BC28</f>
        <v>16800</v>
      </c>
      <c r="BE15" s="1094">
        <f>HR!BD28</f>
        <v>16800</v>
      </c>
      <c r="BF15" s="1094">
        <f>HR!BE28</f>
        <v>16800</v>
      </c>
      <c r="BG15" s="1094">
        <f>HR!BF28</f>
        <v>16800</v>
      </c>
      <c r="BH15" s="1094">
        <f>HR!BG28</f>
        <v>21000</v>
      </c>
      <c r="BI15" s="1094">
        <f>HR!BH28</f>
        <v>21000</v>
      </c>
      <c r="BJ15" s="1094">
        <f>HR!BI28</f>
        <v>21000</v>
      </c>
      <c r="BK15" s="1094">
        <f>HR!BJ28</f>
        <v>21000</v>
      </c>
      <c r="BL15" s="1096">
        <f>HR!BK28</f>
        <v>24990</v>
      </c>
      <c r="BM15" s="1098"/>
      <c r="BN15" s="1094">
        <f>SUM(E15:P15)</f>
        <v>0</v>
      </c>
      <c r="BO15" s="1099">
        <f>ROUND(IF($BN$6=0, 0, BN15/$BN$6),5)</f>
        <v>0</v>
      </c>
      <c r="BP15" s="1094">
        <f>SUM(E15:G15)</f>
        <v>0</v>
      </c>
      <c r="BQ15" s="1094">
        <f>SUM(H15:J15)</f>
        <v>0</v>
      </c>
      <c r="BR15" s="1094">
        <f>SUM(K15:M15)</f>
        <v>0</v>
      </c>
      <c r="BS15" s="1094">
        <f t="shared" ref="BS15:CI15" si="35">SUM(N15:P15)</f>
        <v>0</v>
      </c>
      <c r="BT15" s="1094">
        <f t="shared" si="35"/>
        <v>0</v>
      </c>
      <c r="BU15" s="1094">
        <f t="shared" si="35"/>
        <v>0</v>
      </c>
      <c r="BV15" s="1094">
        <f t="shared" si="35"/>
        <v>0</v>
      </c>
      <c r="BW15" s="1094">
        <f t="shared" si="35"/>
        <v>0</v>
      </c>
      <c r="BX15" s="1094">
        <f t="shared" si="35"/>
        <v>0</v>
      </c>
      <c r="BY15" s="1094">
        <f t="shared" si="35"/>
        <v>0</v>
      </c>
      <c r="BZ15" s="1094">
        <f t="shared" si="35"/>
        <v>0</v>
      </c>
      <c r="CA15" s="1094">
        <f t="shared" si="35"/>
        <v>0</v>
      </c>
      <c r="CB15" s="1094">
        <f t="shared" si="35"/>
        <v>0</v>
      </c>
      <c r="CC15" s="1094">
        <f t="shared" si="35"/>
        <v>0</v>
      </c>
      <c r="CD15" s="1094">
        <f t="shared" si="35"/>
        <v>0</v>
      </c>
      <c r="CE15" s="1094">
        <f t="shared" si="35"/>
        <v>4200</v>
      </c>
      <c r="CF15" s="1094">
        <f t="shared" si="35"/>
        <v>8400</v>
      </c>
      <c r="CG15" s="1094">
        <f t="shared" si="35"/>
        <v>12600</v>
      </c>
      <c r="CH15" s="1094">
        <f t="shared" si="35"/>
        <v>12600</v>
      </c>
      <c r="CI15" s="1094">
        <f t="shared" si="35"/>
        <v>12600</v>
      </c>
      <c r="CJ15" s="1094"/>
      <c r="CK15" s="1094"/>
      <c r="CL15" s="1094">
        <f>SUM(BP15:BS15)</f>
        <v>0</v>
      </c>
      <c r="CM15" s="1099">
        <f>BP15/BP$6</f>
        <v>0</v>
      </c>
      <c r="CN15" s="1099">
        <f t="shared" ref="CN15:CP17" si="36">BQ15/BQ$6</f>
        <v>0</v>
      </c>
      <c r="CO15" s="1099">
        <f t="shared" si="36"/>
        <v>0</v>
      </c>
      <c r="CP15" s="1099">
        <f t="shared" si="36"/>
        <v>0</v>
      </c>
      <c r="CQ15" s="1099">
        <f t="shared" ref="CQ15:CQ17" si="37">ROUND(IF($BN$6=0, 0, CL15/$BN$6),5)</f>
        <v>0</v>
      </c>
    </row>
    <row r="16" spans="1:95" s="339" customFormat="1">
      <c r="A16" s="1142"/>
      <c r="B16" s="1111" t="s">
        <v>29</v>
      </c>
      <c r="C16" s="1112">
        <v>137622.5</v>
      </c>
      <c r="D16" s="1113">
        <v>4.2599999999999999E-2</v>
      </c>
      <c r="E16" s="1112">
        <f>Expenses!I37</f>
        <v>1033.3333333333335</v>
      </c>
      <c r="F16" s="1112">
        <f>Expenses!J37</f>
        <v>1033.3333333333335</v>
      </c>
      <c r="G16" s="1112">
        <f>Expenses!K37</f>
        <v>1033.3333333333335</v>
      </c>
      <c r="H16" s="1112">
        <f>Expenses!L37</f>
        <v>1033.3333333333335</v>
      </c>
      <c r="I16" s="1112">
        <f>Expenses!M37</f>
        <v>1033.3333333333335</v>
      </c>
      <c r="J16" s="1112">
        <f>Expenses!N37</f>
        <v>1033.3333333333335</v>
      </c>
      <c r="K16" s="1112">
        <f>Expenses!O37</f>
        <v>1033.3333333333335</v>
      </c>
      <c r="L16" s="1112">
        <f>Expenses!P37</f>
        <v>1033.3333333333335</v>
      </c>
      <c r="M16" s="1112">
        <f>Expenses!Q37</f>
        <v>1033.3333333333335</v>
      </c>
      <c r="N16" s="1112">
        <f>Expenses!R37</f>
        <v>1033.3333333333335</v>
      </c>
      <c r="O16" s="1112">
        <f>Expenses!S37</f>
        <v>1033.3333333333335</v>
      </c>
      <c r="P16" s="1114">
        <f>Expenses!T37</f>
        <v>1033.3333333333335</v>
      </c>
      <c r="Q16" s="1112">
        <f>Expenses!U37</f>
        <v>1033.3333333333335</v>
      </c>
      <c r="R16" s="1112">
        <f>Expenses!V37</f>
        <v>1033.3333333333335</v>
      </c>
      <c r="S16" s="1112">
        <f>Expenses!W37</f>
        <v>1033.3333333333335</v>
      </c>
      <c r="T16" s="1112">
        <f>Expenses!X37</f>
        <v>1033.3333333333335</v>
      </c>
      <c r="U16" s="1112">
        <f>Expenses!Y37</f>
        <v>1033.3333333333335</v>
      </c>
      <c r="V16" s="1112">
        <f>Expenses!Z37</f>
        <v>1033.3333333333335</v>
      </c>
      <c r="W16" s="1112">
        <f>Expenses!AA37</f>
        <v>1033.3333333333335</v>
      </c>
      <c r="X16" s="1112">
        <f>Expenses!AB37</f>
        <v>1033.3333333333335</v>
      </c>
      <c r="Y16" s="1112">
        <f>Expenses!AC37</f>
        <v>2066.666666666667</v>
      </c>
      <c r="Z16" s="1112">
        <f>Expenses!AD37</f>
        <v>2066.666666666667</v>
      </c>
      <c r="AA16" s="1112">
        <f>Expenses!AE37</f>
        <v>2066.666666666667</v>
      </c>
      <c r="AB16" s="1114">
        <f>Expenses!AF37</f>
        <v>2066.666666666667</v>
      </c>
      <c r="AC16" s="1112">
        <f>Expenses!AG37</f>
        <v>2066.666666666667</v>
      </c>
      <c r="AD16" s="1112">
        <f>Expenses!AH37</f>
        <v>2066.666666666667</v>
      </c>
      <c r="AE16" s="1112">
        <f>Expenses!AI37</f>
        <v>2066.666666666667</v>
      </c>
      <c r="AF16" s="1112">
        <f>Expenses!AJ37</f>
        <v>2066.666666666667</v>
      </c>
      <c r="AG16" s="1112">
        <f>Expenses!AK37</f>
        <v>2066.666666666667</v>
      </c>
      <c r="AH16" s="1112">
        <f>Expenses!AL37</f>
        <v>2066.666666666667</v>
      </c>
      <c r="AI16" s="1112">
        <f>Expenses!AM37</f>
        <v>3100</v>
      </c>
      <c r="AJ16" s="1112">
        <f>Expenses!AN37</f>
        <v>3100</v>
      </c>
      <c r="AK16" s="1112">
        <f>Expenses!AO37</f>
        <v>3100</v>
      </c>
      <c r="AL16" s="1112">
        <f>Expenses!AP37</f>
        <v>3100</v>
      </c>
      <c r="AM16" s="1112">
        <f>Expenses!AQ37</f>
        <v>4133.3333333333339</v>
      </c>
      <c r="AN16" s="1114">
        <f>Expenses!AR37</f>
        <v>4133.3333333333339</v>
      </c>
      <c r="AO16" s="1116">
        <f>Expenses!AS37</f>
        <v>4133.3333333333339</v>
      </c>
      <c r="AP16" s="1112">
        <f>Expenses!AT37</f>
        <v>4133.3333333333339</v>
      </c>
      <c r="AQ16" s="1112">
        <f>Expenses!AU37</f>
        <v>4133.3333333333339</v>
      </c>
      <c r="AR16" s="1112">
        <f>Expenses!AV37</f>
        <v>4133.3333333333339</v>
      </c>
      <c r="AS16" s="1112">
        <f>Expenses!AW37</f>
        <v>5166.666666666667</v>
      </c>
      <c r="AT16" s="1112">
        <f>Expenses!AX37</f>
        <v>5166.666666666667</v>
      </c>
      <c r="AU16" s="1112">
        <f>Expenses!AY37</f>
        <v>5166.666666666667</v>
      </c>
      <c r="AV16" s="1112">
        <f>Expenses!AZ37</f>
        <v>6200</v>
      </c>
      <c r="AW16" s="1112">
        <f>Expenses!BA37</f>
        <v>6200</v>
      </c>
      <c r="AX16" s="1112">
        <f>Expenses!BB37</f>
        <v>6200</v>
      </c>
      <c r="AY16" s="1112">
        <f>Expenses!BC37</f>
        <v>6200</v>
      </c>
      <c r="AZ16" s="1114">
        <f>Expenses!BD37</f>
        <v>7233.333333333333</v>
      </c>
      <c r="BA16" s="1112">
        <f>Expenses!BE37</f>
        <v>7233.333333333333</v>
      </c>
      <c r="BB16" s="1112">
        <f>Expenses!BF37</f>
        <v>8266.6666666666679</v>
      </c>
      <c r="BC16" s="1112">
        <f>Expenses!BG37</f>
        <v>8266.6666666666679</v>
      </c>
      <c r="BD16" s="1112">
        <f>Expenses!BH37</f>
        <v>8266.6666666666679</v>
      </c>
      <c r="BE16" s="1112">
        <f>Expenses!BI37</f>
        <v>9300</v>
      </c>
      <c r="BF16" s="1112">
        <f>Expenses!BJ37</f>
        <v>9300</v>
      </c>
      <c r="BG16" s="1112">
        <f>Expenses!BK37</f>
        <v>10333.333333333334</v>
      </c>
      <c r="BH16" s="1112">
        <f>Expenses!BL37</f>
        <v>10333.333333333334</v>
      </c>
      <c r="BI16" s="1112">
        <f>Expenses!BM37</f>
        <v>11366.666666666666</v>
      </c>
      <c r="BJ16" s="1112">
        <f>Expenses!BN37</f>
        <v>11366.666666666666</v>
      </c>
      <c r="BK16" s="1112">
        <f>Expenses!BO37</f>
        <v>12400</v>
      </c>
      <c r="BL16" s="1114">
        <f>Expenses!BP37</f>
        <v>12400</v>
      </c>
      <c r="BM16" s="1115"/>
      <c r="BN16" s="1112">
        <f t="shared" ref="BN16:BN17" si="38">SUM(E16:P16)</f>
        <v>12400.000000000005</v>
      </c>
      <c r="BO16" s="1113">
        <f>ROUND(IF($BN$6=0, 0, BN16/$BN$6),5)</f>
        <v>5.1139999999999998E-2</v>
      </c>
      <c r="BP16" s="1112">
        <f t="shared" ref="BP16:BP17" si="39">SUM(E16:G16)</f>
        <v>3100.0000000000005</v>
      </c>
      <c r="BQ16" s="1112">
        <f t="shared" ref="BQ16:BQ17" si="40">SUM(H16:J16)</f>
        <v>3100.0000000000005</v>
      </c>
      <c r="BR16" s="1112">
        <f t="shared" ref="BR16:BR17" si="41">SUM(K16:M16)</f>
        <v>3100.0000000000005</v>
      </c>
      <c r="BS16" s="1112">
        <f t="shared" ref="BS16:CI17" si="42">SUM(N16:P16)</f>
        <v>3100.0000000000005</v>
      </c>
      <c r="BT16" s="1112">
        <f t="shared" si="42"/>
        <v>3100.0000000000005</v>
      </c>
      <c r="BU16" s="1112">
        <f t="shared" si="42"/>
        <v>3100.0000000000005</v>
      </c>
      <c r="BV16" s="1112">
        <f t="shared" si="42"/>
        <v>3100.0000000000005</v>
      </c>
      <c r="BW16" s="1112">
        <f t="shared" si="42"/>
        <v>3100.0000000000005</v>
      </c>
      <c r="BX16" s="1112">
        <f t="shared" si="42"/>
        <v>3100.0000000000005</v>
      </c>
      <c r="BY16" s="1112">
        <f t="shared" si="42"/>
        <v>3100.0000000000005</v>
      </c>
      <c r="BZ16" s="1112">
        <f t="shared" si="42"/>
        <v>3100.0000000000005</v>
      </c>
      <c r="CA16" s="1112">
        <f t="shared" si="42"/>
        <v>3100.0000000000005</v>
      </c>
      <c r="CB16" s="1112">
        <f t="shared" si="42"/>
        <v>4133.3333333333339</v>
      </c>
      <c r="CC16" s="1112">
        <f t="shared" si="42"/>
        <v>5166.6666666666679</v>
      </c>
      <c r="CD16" s="1112">
        <f t="shared" si="42"/>
        <v>6200.0000000000009</v>
      </c>
      <c r="CE16" s="1112">
        <f t="shared" si="42"/>
        <v>6200.0000000000009</v>
      </c>
      <c r="CF16" s="1112">
        <f t="shared" si="42"/>
        <v>6200.0000000000009</v>
      </c>
      <c r="CG16" s="1112">
        <f t="shared" si="42"/>
        <v>6200.0000000000009</v>
      </c>
      <c r="CH16" s="1112">
        <f t="shared" si="42"/>
        <v>6200.0000000000009</v>
      </c>
      <c r="CI16" s="1112">
        <f t="shared" si="42"/>
        <v>6200.0000000000009</v>
      </c>
      <c r="CJ16" s="1112"/>
      <c r="CK16" s="1112"/>
      <c r="CL16" s="1112">
        <f t="shared" ref="CL16:CL17" si="43">SUM(BP16:BS16)</f>
        <v>12400.000000000002</v>
      </c>
      <c r="CM16" s="1113">
        <f t="shared" ref="CM16:CM17" si="44">BP16/BP$6</f>
        <v>8.0221565310574686E-2</v>
      </c>
      <c r="CN16" s="1113">
        <f t="shared" si="36"/>
        <v>5.9464629803126917E-2</v>
      </c>
      <c r="CO16" s="1113">
        <f t="shared" si="36"/>
        <v>4.6050113753383581E-2</v>
      </c>
      <c r="CP16" s="1113">
        <f t="shared" si="36"/>
        <v>3.6739043600650112E-2</v>
      </c>
      <c r="CQ16" s="1113">
        <f t="shared" si="37"/>
        <v>5.1139999999999998E-2</v>
      </c>
    </row>
    <row r="17" spans="1:95" s="395" customFormat="1">
      <c r="A17" s="1140"/>
      <c r="B17" s="1100" t="s">
        <v>30</v>
      </c>
      <c r="C17" s="1101">
        <v>97872.62000000001</v>
      </c>
      <c r="D17" s="1106">
        <v>3.0290000000000001E-2</v>
      </c>
      <c r="E17" s="1101">
        <f>Expenses!I49</f>
        <v>18840</v>
      </c>
      <c r="F17" s="1101">
        <f>Expenses!J49</f>
        <v>1140</v>
      </c>
      <c r="G17" s="1101">
        <f>Expenses!K49</f>
        <v>1140</v>
      </c>
      <c r="H17" s="1101">
        <f>Expenses!L49</f>
        <v>1140</v>
      </c>
      <c r="I17" s="1101">
        <f>Expenses!M49</f>
        <v>1140</v>
      </c>
      <c r="J17" s="1101">
        <f>Expenses!N49</f>
        <v>3055</v>
      </c>
      <c r="K17" s="1101">
        <f>Expenses!O49</f>
        <v>1355</v>
      </c>
      <c r="L17" s="1101">
        <f>Expenses!P49</f>
        <v>1355</v>
      </c>
      <c r="M17" s="1101">
        <f>Expenses!Q49</f>
        <v>1355</v>
      </c>
      <c r="N17" s="1101">
        <f>Expenses!R49</f>
        <v>1355</v>
      </c>
      <c r="O17" s="1101">
        <f>Expenses!S49</f>
        <v>1355</v>
      </c>
      <c r="P17" s="1103">
        <f>Expenses!T49</f>
        <v>1355</v>
      </c>
      <c r="Q17" s="1101">
        <f>Expenses!U49</f>
        <v>1195</v>
      </c>
      <c r="R17" s="1101">
        <f>Expenses!V49</f>
        <v>512.14285714285711</v>
      </c>
      <c r="S17" s="1101">
        <f>Expenses!W49</f>
        <v>512.14285714285711</v>
      </c>
      <c r="T17" s="1101">
        <f>Expenses!X49</f>
        <v>512.14285714285711</v>
      </c>
      <c r="U17" s="1101">
        <f>Expenses!Y49</f>
        <v>512.14285714285711</v>
      </c>
      <c r="V17" s="1101">
        <f>Expenses!Z49</f>
        <v>512.14285714285711</v>
      </c>
      <c r="W17" s="1101">
        <f>Expenses!AA49</f>
        <v>512.14285714285711</v>
      </c>
      <c r="X17" s="1101">
        <f>Expenses!AB49</f>
        <v>512.14285714285711</v>
      </c>
      <c r="Y17" s="1101">
        <f>Expenses!AC49</f>
        <v>8012.1428571428569</v>
      </c>
      <c r="Z17" s="1101">
        <f>Expenses!AD49</f>
        <v>512.14285714285711</v>
      </c>
      <c r="AA17" s="1101">
        <f>Expenses!AE49</f>
        <v>512.14285714285711</v>
      </c>
      <c r="AB17" s="1103">
        <f>Expenses!AF49</f>
        <v>512.14285714285711</v>
      </c>
      <c r="AC17" s="1101">
        <f>Expenses!AG49</f>
        <v>855</v>
      </c>
      <c r="AD17" s="1101">
        <f>Expenses!AH49</f>
        <v>3755</v>
      </c>
      <c r="AE17" s="1101">
        <f>Expenses!AI49</f>
        <v>2055</v>
      </c>
      <c r="AF17" s="1101">
        <f>Expenses!AJ49</f>
        <v>2370</v>
      </c>
      <c r="AG17" s="1101">
        <f>Expenses!AK49</f>
        <v>2370</v>
      </c>
      <c r="AH17" s="1101">
        <f>Expenses!AL49</f>
        <v>2370</v>
      </c>
      <c r="AI17" s="1101">
        <f>Expenses!AM49</f>
        <v>9870</v>
      </c>
      <c r="AJ17" s="1101">
        <f>Expenses!AN49</f>
        <v>2370</v>
      </c>
      <c r="AK17" s="1101">
        <f>Expenses!AO49</f>
        <v>2370</v>
      </c>
      <c r="AL17" s="1101">
        <f>Expenses!AP49</f>
        <v>4385</v>
      </c>
      <c r="AM17" s="1101">
        <f>Expenses!AQ49</f>
        <v>10185</v>
      </c>
      <c r="AN17" s="1103">
        <f>Expenses!AR49</f>
        <v>2685</v>
      </c>
      <c r="AO17" s="1104">
        <f>Expenses!AS49</f>
        <v>1600</v>
      </c>
      <c r="AP17" s="1101">
        <f>Expenses!AT49</f>
        <v>1600</v>
      </c>
      <c r="AQ17" s="1101">
        <f>Expenses!AU49</f>
        <v>1600</v>
      </c>
      <c r="AR17" s="1101">
        <f>Expenses!AV49</f>
        <v>1600</v>
      </c>
      <c r="AS17" s="1101">
        <f>Expenses!AW49</f>
        <v>9275</v>
      </c>
      <c r="AT17" s="1101">
        <f>Expenses!AX49</f>
        <v>1775</v>
      </c>
      <c r="AU17" s="1101">
        <f>Expenses!AY49</f>
        <v>1775</v>
      </c>
      <c r="AV17" s="1101">
        <f>Expenses!AZ49</f>
        <v>11150</v>
      </c>
      <c r="AW17" s="1101">
        <f>Expenses!BA49</f>
        <v>1950</v>
      </c>
      <c r="AX17" s="1101">
        <f>Expenses!BB49</f>
        <v>2125</v>
      </c>
      <c r="AY17" s="1101">
        <f>Expenses!BC49</f>
        <v>2125</v>
      </c>
      <c r="AZ17" s="1103">
        <f>Expenses!BD49</f>
        <v>11500</v>
      </c>
      <c r="BA17" s="1101">
        <f>Expenses!BE49</f>
        <v>2060</v>
      </c>
      <c r="BB17" s="1101">
        <f>Expenses!BF49</f>
        <v>9717.8571428571431</v>
      </c>
      <c r="BC17" s="1101">
        <f>Expenses!BG49</f>
        <v>2217.8571428571431</v>
      </c>
      <c r="BD17" s="1101">
        <f>Expenses!BH49</f>
        <v>2375.7142857142858</v>
      </c>
      <c r="BE17" s="1101">
        <f>Expenses!BI49</f>
        <v>9875.7142857142862</v>
      </c>
      <c r="BF17" s="1101">
        <f>Expenses!BJ49</f>
        <v>4233.5714285714284</v>
      </c>
      <c r="BG17" s="1101">
        <f>Expenses!BK49</f>
        <v>10191.428571428572</v>
      </c>
      <c r="BH17" s="1101">
        <f>Expenses!BL49</f>
        <v>2691.4285714285716</v>
      </c>
      <c r="BI17" s="1101">
        <f>Expenses!BM49</f>
        <v>12049.285714285714</v>
      </c>
      <c r="BJ17" s="1101">
        <f>Expenses!BN49</f>
        <v>3007.1428571428573</v>
      </c>
      <c r="BK17" s="1101">
        <f>Expenses!BO49</f>
        <v>10507.142857142857</v>
      </c>
      <c r="BL17" s="1103">
        <f>Expenses!BP49</f>
        <v>3165</v>
      </c>
      <c r="BM17" s="1105"/>
      <c r="BN17" s="1101">
        <f t="shared" si="38"/>
        <v>34585</v>
      </c>
      <c r="BO17" s="1106">
        <f>ROUND(IF($BN$6=0, 0, BN17/$BN$6),5)</f>
        <v>0.14263999999999999</v>
      </c>
      <c r="BP17" s="1101">
        <f t="shared" si="39"/>
        <v>21120</v>
      </c>
      <c r="BQ17" s="1101">
        <f t="shared" si="40"/>
        <v>5335</v>
      </c>
      <c r="BR17" s="1101">
        <f t="shared" si="41"/>
        <v>4065</v>
      </c>
      <c r="BS17" s="1101">
        <f t="shared" si="42"/>
        <v>4065</v>
      </c>
      <c r="BT17" s="1101">
        <f t="shared" si="42"/>
        <v>3905</v>
      </c>
      <c r="BU17" s="1101">
        <f t="shared" si="42"/>
        <v>3062.1428571428569</v>
      </c>
      <c r="BV17" s="1101">
        <f t="shared" si="42"/>
        <v>2219.2857142857142</v>
      </c>
      <c r="BW17" s="1101">
        <f t="shared" si="42"/>
        <v>1536.4285714285713</v>
      </c>
      <c r="BX17" s="1101">
        <f t="shared" si="42"/>
        <v>1536.4285714285713</v>
      </c>
      <c r="BY17" s="1101">
        <f t="shared" si="42"/>
        <v>1536.4285714285713</v>
      </c>
      <c r="BZ17" s="1101">
        <f t="shared" si="42"/>
        <v>1536.4285714285713</v>
      </c>
      <c r="CA17" s="1101">
        <f t="shared" si="42"/>
        <v>1536.4285714285713</v>
      </c>
      <c r="CB17" s="1101">
        <f t="shared" si="42"/>
        <v>9036.4285714285706</v>
      </c>
      <c r="CC17" s="1101">
        <f t="shared" si="42"/>
        <v>9036.4285714285706</v>
      </c>
      <c r="CD17" s="1101">
        <f t="shared" si="42"/>
        <v>9036.4285714285706</v>
      </c>
      <c r="CE17" s="1101">
        <f t="shared" si="42"/>
        <v>1536.4285714285713</v>
      </c>
      <c r="CF17" s="1101">
        <f t="shared" si="42"/>
        <v>1879.2857142857142</v>
      </c>
      <c r="CG17" s="1101">
        <f t="shared" si="42"/>
        <v>5122.1428571428569</v>
      </c>
      <c r="CH17" s="1101">
        <f t="shared" si="42"/>
        <v>6665</v>
      </c>
      <c r="CI17" s="1101">
        <f t="shared" si="42"/>
        <v>8180</v>
      </c>
      <c r="CJ17" s="1101"/>
      <c r="CK17" s="1101"/>
      <c r="CL17" s="1101">
        <f t="shared" si="43"/>
        <v>34585</v>
      </c>
      <c r="CM17" s="1106">
        <f t="shared" si="44"/>
        <v>0.54654176108365715</v>
      </c>
      <c r="CN17" s="1106">
        <f t="shared" si="36"/>
        <v>0.1023367096773168</v>
      </c>
      <c r="CO17" s="1106">
        <f t="shared" si="36"/>
        <v>6.0385068518549752E-2</v>
      </c>
      <c r="CP17" s="1106">
        <f t="shared" si="36"/>
        <v>4.8175552334400872E-2</v>
      </c>
      <c r="CQ17" s="1106">
        <f t="shared" si="37"/>
        <v>0.14263999999999999</v>
      </c>
    </row>
    <row r="18" spans="1:95" s="100" customFormat="1">
      <c r="A18" s="183"/>
      <c r="B18" s="1132" t="s">
        <v>102</v>
      </c>
      <c r="C18" s="101">
        <v>911346.2</v>
      </c>
      <c r="D18" s="103">
        <v>0.28206999999999999</v>
      </c>
      <c r="E18" s="130">
        <f t="shared" ref="E18:AJ18" si="45">ROUND(SUM(E14:E17),5)</f>
        <v>19873.333330000001</v>
      </c>
      <c r="F18" s="130">
        <f t="shared" si="45"/>
        <v>2173.3333299999999</v>
      </c>
      <c r="G18" s="130">
        <f t="shared" si="45"/>
        <v>2173.3333299999999</v>
      </c>
      <c r="H18" s="130">
        <f t="shared" si="45"/>
        <v>2173.3333299999999</v>
      </c>
      <c r="I18" s="130">
        <f t="shared" si="45"/>
        <v>2173.3333299999999</v>
      </c>
      <c r="J18" s="130">
        <f t="shared" si="45"/>
        <v>4088.3333299999999</v>
      </c>
      <c r="K18" s="130">
        <f t="shared" si="45"/>
        <v>2388.3333299999999</v>
      </c>
      <c r="L18" s="130">
        <f t="shared" si="45"/>
        <v>2388.3333299999999</v>
      </c>
      <c r="M18" s="130">
        <f t="shared" si="45"/>
        <v>2388.3333299999999</v>
      </c>
      <c r="N18" s="130">
        <f t="shared" si="45"/>
        <v>2388.3333299999999</v>
      </c>
      <c r="O18" s="130">
        <f t="shared" si="45"/>
        <v>2388.3333299999999</v>
      </c>
      <c r="P18" s="131">
        <f t="shared" si="45"/>
        <v>2388.3333299999999</v>
      </c>
      <c r="Q18" s="130">
        <f t="shared" si="45"/>
        <v>2228.3333299999999</v>
      </c>
      <c r="R18" s="130">
        <f t="shared" si="45"/>
        <v>1545.4761900000001</v>
      </c>
      <c r="S18" s="130">
        <f t="shared" si="45"/>
        <v>1545.4761900000001</v>
      </c>
      <c r="T18" s="130">
        <f t="shared" si="45"/>
        <v>1545.4761900000001</v>
      </c>
      <c r="U18" s="130">
        <f t="shared" si="45"/>
        <v>1545.4761900000001</v>
      </c>
      <c r="V18" s="130">
        <f t="shared" si="45"/>
        <v>1545.4761900000001</v>
      </c>
      <c r="W18" s="130">
        <f t="shared" si="45"/>
        <v>1545.4761900000001</v>
      </c>
      <c r="X18" s="130">
        <f t="shared" si="45"/>
        <v>1545.4761900000001</v>
      </c>
      <c r="Y18" s="130">
        <f t="shared" si="45"/>
        <v>10078.809520000001</v>
      </c>
      <c r="Z18" s="130">
        <f t="shared" si="45"/>
        <v>2578.8095199999998</v>
      </c>
      <c r="AA18" s="130">
        <f t="shared" si="45"/>
        <v>2578.8095199999998</v>
      </c>
      <c r="AB18" s="131">
        <f t="shared" si="45"/>
        <v>6778.8095199999998</v>
      </c>
      <c r="AC18" s="130">
        <f t="shared" si="45"/>
        <v>7121.6666699999996</v>
      </c>
      <c r="AD18" s="130">
        <f t="shared" si="45"/>
        <v>10021.666670000001</v>
      </c>
      <c r="AE18" s="130">
        <f t="shared" si="45"/>
        <v>8321.6666700000005</v>
      </c>
      <c r="AF18" s="130">
        <f t="shared" si="45"/>
        <v>8636.6666700000005</v>
      </c>
      <c r="AG18" s="130">
        <f t="shared" si="45"/>
        <v>8636.6666700000005</v>
      </c>
      <c r="AH18" s="130">
        <f t="shared" si="45"/>
        <v>8636.6666700000005</v>
      </c>
      <c r="AI18" s="130">
        <f t="shared" si="45"/>
        <v>17170</v>
      </c>
      <c r="AJ18" s="130">
        <f t="shared" si="45"/>
        <v>9670</v>
      </c>
      <c r="AK18" s="130">
        <f t="shared" ref="AK18:BL18" si="46">ROUND(SUM(AK14:AK17),5)</f>
        <v>9670</v>
      </c>
      <c r="AL18" s="130">
        <f t="shared" si="46"/>
        <v>11685</v>
      </c>
      <c r="AM18" s="130">
        <f t="shared" si="46"/>
        <v>20723.333330000001</v>
      </c>
      <c r="AN18" s="131">
        <f t="shared" si="46"/>
        <v>13223.333329999999</v>
      </c>
      <c r="AO18" s="138">
        <f t="shared" si="46"/>
        <v>16128.333329999999</v>
      </c>
      <c r="AP18" s="130">
        <f t="shared" si="46"/>
        <v>16128.333329999999</v>
      </c>
      <c r="AQ18" s="130">
        <f t="shared" si="46"/>
        <v>16128.333329999999</v>
      </c>
      <c r="AR18" s="130">
        <f t="shared" si="46"/>
        <v>16128.333329999999</v>
      </c>
      <c r="AS18" s="130">
        <f t="shared" si="46"/>
        <v>24836.666669999999</v>
      </c>
      <c r="AT18" s="130">
        <f t="shared" si="46"/>
        <v>17336.666669999999</v>
      </c>
      <c r="AU18" s="130">
        <f t="shared" si="46"/>
        <v>17336.666669999999</v>
      </c>
      <c r="AV18" s="130">
        <f t="shared" si="46"/>
        <v>27745</v>
      </c>
      <c r="AW18" s="130">
        <f t="shared" si="46"/>
        <v>22745</v>
      </c>
      <c r="AX18" s="130">
        <f t="shared" si="46"/>
        <v>22920</v>
      </c>
      <c r="AY18" s="130">
        <f t="shared" si="46"/>
        <v>25125</v>
      </c>
      <c r="AZ18" s="131">
        <f t="shared" si="46"/>
        <v>35533.333330000001</v>
      </c>
      <c r="BA18" s="130">
        <f t="shared" si="46"/>
        <v>26093.333330000001</v>
      </c>
      <c r="BB18" s="130">
        <f t="shared" si="46"/>
        <v>34784.523809999999</v>
      </c>
      <c r="BC18" s="130">
        <f t="shared" si="46"/>
        <v>27284.523809999999</v>
      </c>
      <c r="BD18" s="130">
        <f t="shared" si="46"/>
        <v>27442.380949999999</v>
      </c>
      <c r="BE18" s="130">
        <f t="shared" si="46"/>
        <v>35975.714290000004</v>
      </c>
      <c r="BF18" s="130">
        <f t="shared" si="46"/>
        <v>30333.57143</v>
      </c>
      <c r="BG18" s="130">
        <f t="shared" si="46"/>
        <v>37324.761899999998</v>
      </c>
      <c r="BH18" s="130">
        <f t="shared" si="46"/>
        <v>34024.761899999998</v>
      </c>
      <c r="BI18" s="130">
        <f t="shared" si="46"/>
        <v>44415.952380000002</v>
      </c>
      <c r="BJ18" s="130">
        <f t="shared" si="46"/>
        <v>35373.809520000003</v>
      </c>
      <c r="BK18" s="130">
        <f t="shared" si="46"/>
        <v>43907.14286</v>
      </c>
      <c r="BL18" s="131">
        <f t="shared" si="46"/>
        <v>40555</v>
      </c>
      <c r="BM18" s="150"/>
      <c r="BN18" s="99">
        <f>ROUND(SUM(BN14:BN17),5)</f>
        <v>46985</v>
      </c>
      <c r="BO18" s="102">
        <f>ROUND(IF($BN$6=0, 0, BN18/$BN$6),5)</f>
        <v>0.19378000000000001</v>
      </c>
      <c r="BP18" s="99">
        <f t="shared" ref="BP18:CI18" si="47">ROUND(SUM(BP14:BP17),5)</f>
        <v>24220</v>
      </c>
      <c r="BQ18" s="99">
        <f t="shared" si="47"/>
        <v>8435</v>
      </c>
      <c r="BR18" s="99">
        <f t="shared" si="47"/>
        <v>7165</v>
      </c>
      <c r="BS18" s="99">
        <f t="shared" si="47"/>
        <v>7165</v>
      </c>
      <c r="BT18" s="99">
        <f t="shared" si="47"/>
        <v>7005</v>
      </c>
      <c r="BU18" s="99">
        <f t="shared" si="47"/>
        <v>6162.1428599999999</v>
      </c>
      <c r="BV18" s="99">
        <f t="shared" si="47"/>
        <v>5319.2857100000001</v>
      </c>
      <c r="BW18" s="99">
        <f t="shared" si="47"/>
        <v>4636.42857</v>
      </c>
      <c r="BX18" s="99">
        <f t="shared" si="47"/>
        <v>4636.42857</v>
      </c>
      <c r="BY18" s="99">
        <f t="shared" si="47"/>
        <v>4636.42857</v>
      </c>
      <c r="BZ18" s="99">
        <f t="shared" si="47"/>
        <v>4636.42857</v>
      </c>
      <c r="CA18" s="99">
        <f t="shared" si="47"/>
        <v>4636.42857</v>
      </c>
      <c r="CB18" s="99">
        <f t="shared" si="47"/>
        <v>13169.7619</v>
      </c>
      <c r="CC18" s="99">
        <f t="shared" si="47"/>
        <v>14203.095240000001</v>
      </c>
      <c r="CD18" s="99">
        <f t="shared" si="47"/>
        <v>15236.42857</v>
      </c>
      <c r="CE18" s="99">
        <f t="shared" si="47"/>
        <v>11936.42857</v>
      </c>
      <c r="CF18" s="99">
        <f t="shared" si="47"/>
        <v>16479.28571</v>
      </c>
      <c r="CG18" s="99">
        <f t="shared" si="47"/>
        <v>23922.14286</v>
      </c>
      <c r="CH18" s="99">
        <f t="shared" si="47"/>
        <v>25465</v>
      </c>
      <c r="CI18" s="99">
        <f t="shared" si="47"/>
        <v>26980</v>
      </c>
      <c r="CJ18" s="99"/>
      <c r="CK18" s="99"/>
      <c r="CL18" s="99">
        <f t="shared" ref="CL18:CQ18" si="48">SUM(CL15:CL17)</f>
        <v>46985</v>
      </c>
      <c r="CM18" s="102">
        <f t="shared" si="48"/>
        <v>0.62676332639423182</v>
      </c>
      <c r="CN18" s="102">
        <f t="shared" si="48"/>
        <v>0.16180133948044373</v>
      </c>
      <c r="CO18" s="102">
        <f t="shared" si="48"/>
        <v>0.10643518227193333</v>
      </c>
      <c r="CP18" s="102">
        <f t="shared" si="48"/>
        <v>8.491459593505099E-2</v>
      </c>
      <c r="CQ18" s="102">
        <f t="shared" si="48"/>
        <v>0.19377999999999998</v>
      </c>
    </row>
    <row r="19" spans="1:95" ht="24" customHeight="1">
      <c r="A19" s="1141" t="s">
        <v>32</v>
      </c>
      <c r="B19" s="7"/>
      <c r="C19" s="9"/>
      <c r="D19" s="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29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29"/>
      <c r="AO19" s="137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2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29"/>
      <c r="BM19" s="149"/>
      <c r="BN19" s="10"/>
      <c r="BO19" s="12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2"/>
      <c r="CN19" s="12"/>
      <c r="CO19" s="12"/>
      <c r="CP19" s="12"/>
      <c r="CQ19" s="12"/>
    </row>
    <row r="20" spans="1:95" s="576" customFormat="1" ht="15.75" customHeight="1">
      <c r="A20" s="1139"/>
      <c r="B20" s="1093" t="s">
        <v>24</v>
      </c>
      <c r="C20" s="1094">
        <v>484711.16</v>
      </c>
      <c r="D20" s="1099">
        <v>0.15001999999999999</v>
      </c>
      <c r="E20" s="1094">
        <f>HR!D30</f>
        <v>3310.0440528634363</v>
      </c>
      <c r="F20" s="1094">
        <f>HR!E30</f>
        <v>3340.6565638766519</v>
      </c>
      <c r="G20" s="1094">
        <f>HR!F30</f>
        <v>3381.2255363366608</v>
      </c>
      <c r="H20" s="1094">
        <f>HR!G30</f>
        <v>3440.7975699567278</v>
      </c>
      <c r="I20" s="1094">
        <f>HR!H30</f>
        <v>3491.4070068592937</v>
      </c>
      <c r="J20" s="1094">
        <f>HR!I30</f>
        <v>3547.3626151945009</v>
      </c>
      <c r="K20" s="1094">
        <f>HR!J30</f>
        <v>3600.1895874640222</v>
      </c>
      <c r="L20" s="1094">
        <f>HR!K30</f>
        <v>3658.2274247882024</v>
      </c>
      <c r="M20" s="1094">
        <f>HR!L30</f>
        <v>3721.9743327109672</v>
      </c>
      <c r="N20" s="1094">
        <f>HR!M30</f>
        <v>3780.7555092522498</v>
      </c>
      <c r="O20" s="1094">
        <f>HR!N30</f>
        <v>3844.6504642717491</v>
      </c>
      <c r="P20" s="1096">
        <f>HR!O30</f>
        <v>3914.0511196734719</v>
      </c>
      <c r="Q20" s="1094">
        <f>HR!P30</f>
        <v>3989.6192603384216</v>
      </c>
      <c r="R20" s="1094">
        <f>HR!Q30</f>
        <v>4070.3734540233327</v>
      </c>
      <c r="S20" s="1094">
        <f>HR!R30</f>
        <v>4158.3370641991714</v>
      </c>
      <c r="T20" s="1094">
        <f>HR!S30</f>
        <v>4254.0610223201238</v>
      </c>
      <c r="U20" s="1094">
        <f>HR!T30</f>
        <v>4483.0243334917632</v>
      </c>
      <c r="V20" s="1094">
        <f>HR!U30</f>
        <v>4754.7281332679067</v>
      </c>
      <c r="W20" s="1094">
        <f>HR!V30</f>
        <v>5045.3463770695134</v>
      </c>
      <c r="X20" s="1094">
        <f>HR!W30</f>
        <v>5356.0264865691133</v>
      </c>
      <c r="Y20" s="1094">
        <f>HR!X30</f>
        <v>5687.9475672481958</v>
      </c>
      <c r="Z20" s="1094">
        <f>HR!Y30</f>
        <v>6042.3182894885231</v>
      </c>
      <c r="AA20" s="1094">
        <f>HR!Z30</f>
        <v>6420.3750183939737</v>
      </c>
      <c r="AB20" s="1096">
        <f>HR!AA30</f>
        <v>6823.3802910987615</v>
      </c>
      <c r="AC20" s="1094">
        <f>HR!AB30</f>
        <v>6327.9080514007064</v>
      </c>
      <c r="AD20" s="1094">
        <f>HR!AC30</f>
        <v>6722.1662424844071</v>
      </c>
      <c r="AE20" s="1094">
        <f>HR!AD30</f>
        <v>7141.4859434940681</v>
      </c>
      <c r="AF20" s="1094">
        <f>HR!AE30</f>
        <v>7587.0884247279882</v>
      </c>
      <c r="AG20" s="1094">
        <f>HR!AF30</f>
        <v>8060.219694901145</v>
      </c>
      <c r="AH20" s="1094">
        <f>HR!AG30</f>
        <v>8562.1503820882372</v>
      </c>
      <c r="AI20" s="1094">
        <f>HR!AH30</f>
        <v>9094.1759045507333</v>
      </c>
      <c r="AJ20" s="1094">
        <f>HR!AI30</f>
        <v>9657.6169425120061</v>
      </c>
      <c r="AK20" s="1094">
        <f>HR!AJ30</f>
        <v>10253.820215588537</v>
      </c>
      <c r="AL20" s="1094">
        <f>HR!AK30</f>
        <v>10884.15956493034</v>
      </c>
      <c r="AM20" s="1094">
        <f>HR!AL30</f>
        <v>11550.03733435848</v>
      </c>
      <c r="AN20" s="1096">
        <f>HR!AM30</f>
        <v>12252.886041027821</v>
      </c>
      <c r="AO20" s="1097">
        <f>HR!AN30</f>
        <v>12994.170323431044</v>
      </c>
      <c r="AP20" s="1094">
        <f>HR!AO30</f>
        <v>13717.691827719977</v>
      </c>
      <c r="AQ20" s="1094">
        <f>HR!AP30</f>
        <v>14477.701312637302</v>
      </c>
      <c r="AR20" s="1094">
        <f>HR!AQ30</f>
        <v>15275.591577814524</v>
      </c>
      <c r="AS20" s="1094">
        <f>HR!AR30</f>
        <v>16112.792094507364</v>
      </c>
      <c r="AT20" s="1094">
        <f>HR!AS30</f>
        <v>16990.770750330797</v>
      </c>
      <c r="AU20" s="1094">
        <f>HR!AT30</f>
        <v>17911.035773305895</v>
      </c>
      <c r="AV20" s="1094">
        <f>HR!AU30</f>
        <v>18875.137840563384</v>
      </c>
      <c r="AW20" s="1094">
        <f>HR!AV30</f>
        <v>19884.67237648138</v>
      </c>
      <c r="AX20" s="1094">
        <f>HR!AW30</f>
        <v>20941.282044470114</v>
      </c>
      <c r="AY20" s="1094">
        <f>HR!AX30</f>
        <v>22046.659436060261</v>
      </c>
      <c r="AZ20" s="1096">
        <f>HR!AY30</f>
        <v>23202.549960410695</v>
      </c>
      <c r="BA20" s="1094">
        <f>HR!AZ30</f>
        <v>24410.754936832174</v>
      </c>
      <c r="BB20" s="1094">
        <f>HR!BA30</f>
        <v>25701.363280760168</v>
      </c>
      <c r="BC20" s="1094">
        <f>HR!BB30</f>
        <v>27051.991136841796</v>
      </c>
      <c r="BD20" s="1094">
        <f>HR!BC30</f>
        <v>28464.927108863405</v>
      </c>
      <c r="BE20" s="1094">
        <f>HR!BD30</f>
        <v>29942.543315299026</v>
      </c>
      <c r="BF20" s="1094">
        <f>HR!BE30</f>
        <v>31487.299911853497</v>
      </c>
      <c r="BG20" s="1094">
        <f>HR!BF30</f>
        <v>33101.74986355591</v>
      </c>
      <c r="BH20" s="1094">
        <f>HR!BG30</f>
        <v>34788.543969749335</v>
      </c>
      <c r="BI20" s="1094">
        <f>HR!BH30</f>
        <v>36550.436145060085</v>
      </c>
      <c r="BJ20" s="1094">
        <f>HR!BI30</f>
        <v>38390.288959220663</v>
      </c>
      <c r="BK20" s="1094">
        <f>HR!BJ30</f>
        <v>40311.07943847157</v>
      </c>
      <c r="BL20" s="1096">
        <f>HR!BK30</f>
        <v>42315.905131181833</v>
      </c>
      <c r="BM20" s="1098"/>
      <c r="BN20" s="1094">
        <f t="shared" ref="BN20:BN24" si="49">SUM(E20:P20)</f>
        <v>43031.341783247932</v>
      </c>
      <c r="BO20" s="1099">
        <f t="shared" ref="BO20:BO25" si="50">ROUND(IF($BN$6=0, 0, BN20/$BN$6),5)</f>
        <v>0.17746999999999999</v>
      </c>
      <c r="BP20" s="1094">
        <f t="shared" ref="BP20:BP24" si="51">SUM(E20:G20)</f>
        <v>10031.926153076749</v>
      </c>
      <c r="BQ20" s="1094">
        <f t="shared" ref="BQ20:BQ24" si="52">SUM(H20:J20)</f>
        <v>10479.567192010523</v>
      </c>
      <c r="BR20" s="1094">
        <f t="shared" ref="BR20:BR24" si="53">SUM(K20:M20)</f>
        <v>10980.391344963191</v>
      </c>
      <c r="BS20" s="1094">
        <f t="shared" ref="BS20:CI24" si="54">SUM(N20:P20)</f>
        <v>11539.45709319747</v>
      </c>
      <c r="BT20" s="1094">
        <f t="shared" si="54"/>
        <v>11748.320844283644</v>
      </c>
      <c r="BU20" s="1094">
        <f t="shared" si="54"/>
        <v>11974.043834035227</v>
      </c>
      <c r="BV20" s="1094">
        <f t="shared" si="54"/>
        <v>12218.329778560925</v>
      </c>
      <c r="BW20" s="1094">
        <f t="shared" si="54"/>
        <v>12482.771540542628</v>
      </c>
      <c r="BX20" s="1094">
        <f t="shared" si="54"/>
        <v>12895.422420011058</v>
      </c>
      <c r="BY20" s="1094">
        <f t="shared" si="54"/>
        <v>13491.813489079794</v>
      </c>
      <c r="BZ20" s="1094">
        <f t="shared" si="54"/>
        <v>14283.098843829182</v>
      </c>
      <c r="CA20" s="1094">
        <f t="shared" si="54"/>
        <v>15156.100996906534</v>
      </c>
      <c r="CB20" s="1094">
        <f t="shared" si="54"/>
        <v>16089.320430886823</v>
      </c>
      <c r="CC20" s="1094">
        <f t="shared" si="54"/>
        <v>17086.292343305831</v>
      </c>
      <c r="CD20" s="1094">
        <f t="shared" si="54"/>
        <v>18150.640875130692</v>
      </c>
      <c r="CE20" s="1094">
        <f t="shared" si="54"/>
        <v>19286.07359898126</v>
      </c>
      <c r="CF20" s="1094">
        <f t="shared" si="54"/>
        <v>19571.663360893443</v>
      </c>
      <c r="CG20" s="1094">
        <f t="shared" si="54"/>
        <v>19873.454584983876</v>
      </c>
      <c r="CH20" s="1094">
        <f t="shared" si="54"/>
        <v>20191.560237379184</v>
      </c>
      <c r="CI20" s="1094">
        <f t="shared" si="54"/>
        <v>21450.740610706463</v>
      </c>
      <c r="CJ20" s="1094"/>
      <c r="CK20" s="1094"/>
      <c r="CL20" s="1094">
        <f t="shared" ref="CL20:CL24" si="55">SUM(BP20:BS20)</f>
        <v>43031.341783247932</v>
      </c>
      <c r="CM20" s="1099">
        <f>BP20/BP$6</f>
        <v>0.25960542550964794</v>
      </c>
      <c r="CN20" s="1099">
        <f t="shared" ref="CN20:CP24" si="56">BQ20/BQ$6</f>
        <v>0.20102051082899999</v>
      </c>
      <c r="CO20" s="1099">
        <f t="shared" si="56"/>
        <v>0.16311234532007204</v>
      </c>
      <c r="CP20" s="1099">
        <f t="shared" si="56"/>
        <v>0.13675761847574613</v>
      </c>
      <c r="CQ20" s="1099">
        <f t="shared" ref="CQ20:CQ24" si="57">ROUND(IF($BN$6=0, 0, CL20/$BN$6),5)</f>
        <v>0.17746999999999999</v>
      </c>
    </row>
    <row r="21" spans="1:95" s="339" customFormat="1">
      <c r="A21" s="1142"/>
      <c r="B21" s="1111" t="s">
        <v>33</v>
      </c>
      <c r="C21" s="1112">
        <v>22461.57</v>
      </c>
      <c r="D21" s="1113">
        <v>6.9499999999999996E-3</v>
      </c>
      <c r="E21" s="1112">
        <f>Expenses!I62</f>
        <v>690.83333333333337</v>
      </c>
      <c r="F21" s="1112">
        <f>Expenses!J62</f>
        <v>690.83333333333337</v>
      </c>
      <c r="G21" s="1112">
        <f>Expenses!K62</f>
        <v>690.83333333333337</v>
      </c>
      <c r="H21" s="1112">
        <f>Expenses!L62</f>
        <v>690.83333333333337</v>
      </c>
      <c r="I21" s="1112">
        <f>Expenses!M62</f>
        <v>690.83333333333337</v>
      </c>
      <c r="J21" s="1112">
        <f>Expenses!N62</f>
        <v>690.83333333333337</v>
      </c>
      <c r="K21" s="1112">
        <f>Expenses!O62</f>
        <v>690.83333333333337</v>
      </c>
      <c r="L21" s="1112">
        <f>Expenses!P62</f>
        <v>690.83333333333337</v>
      </c>
      <c r="M21" s="1112">
        <f>Expenses!Q62</f>
        <v>690.83333333333337</v>
      </c>
      <c r="N21" s="1112">
        <f>Expenses!R62</f>
        <v>690.83333333333337</v>
      </c>
      <c r="O21" s="1112">
        <f>Expenses!S62</f>
        <v>690.83333333333337</v>
      </c>
      <c r="P21" s="1114">
        <f>Expenses!T62</f>
        <v>690.83333333333337</v>
      </c>
      <c r="Q21" s="1112">
        <f>Expenses!U62</f>
        <v>690.83333333333337</v>
      </c>
      <c r="R21" s="1112">
        <f>Expenses!V62</f>
        <v>670</v>
      </c>
      <c r="S21" s="1112">
        <f>Expenses!W62</f>
        <v>670</v>
      </c>
      <c r="T21" s="1112">
        <f>Expenses!X62</f>
        <v>670</v>
      </c>
      <c r="U21" s="1112">
        <f>Expenses!Y62</f>
        <v>698.46479841296252</v>
      </c>
      <c r="V21" s="1112">
        <f>Expenses!Z62</f>
        <v>734.63486164249628</v>
      </c>
      <c r="W21" s="1112">
        <f>Expenses!AA62</f>
        <v>772.94026366661137</v>
      </c>
      <c r="X21" s="1112">
        <f>Expenses!AB62</f>
        <v>813.4981325236655</v>
      </c>
      <c r="Y21" s="1112">
        <f>Expenses!AC62</f>
        <v>856.42899655056976</v>
      </c>
      <c r="Z21" s="1112">
        <f>Expenses!AD62</f>
        <v>901.85664062052001</v>
      </c>
      <c r="AA21" s="1112">
        <f>Expenses!AE62</f>
        <v>949.90798454229594</v>
      </c>
      <c r="AB21" s="1114">
        <f>Expenses!AF62</f>
        <v>1000.7129917313247</v>
      </c>
      <c r="AC21" s="1112">
        <f>Expenses!AG62</f>
        <v>869.80427325056121</v>
      </c>
      <c r="AD21" s="1112">
        <f>Expenses!AH62</f>
        <v>914.30011438649376</v>
      </c>
      <c r="AE21" s="1112">
        <f>Expenses!AI62</f>
        <v>961.25797647562638</v>
      </c>
      <c r="AF21" s="1112">
        <f>Expenses!AJ62</f>
        <v>1010.7906947311175</v>
      </c>
      <c r="AG21" s="1112">
        <f>Expenses!AK62</f>
        <v>1063.0137903705604</v>
      </c>
      <c r="AH21" s="1112">
        <f>Expenses!AL62</f>
        <v>1118.0455026404918</v>
      </c>
      <c r="AI21" s="1112">
        <f>Expenses!AM62</f>
        <v>1176.0068434190421</v>
      </c>
      <c r="AJ21" s="1112">
        <f>Expenses!AN62</f>
        <v>1237.0216752008591</v>
      </c>
      <c r="AK21" s="1112">
        <f>Expenses!AO62</f>
        <v>1301.2168128235908</v>
      </c>
      <c r="AL21" s="1112">
        <f>Expenses!AP62</f>
        <v>1368.7221489014357</v>
      </c>
      <c r="AM21" s="1112">
        <f>Expenses!AQ62</f>
        <v>1439.6708026013307</v>
      </c>
      <c r="AN21" s="1114">
        <f>Expenses!AR62</f>
        <v>1514.199291139045</v>
      </c>
      <c r="AO21" s="1116">
        <f>Expenses!AS62</f>
        <v>1614.9179797161987</v>
      </c>
      <c r="AP21" s="1112">
        <f>Expenses!AT62</f>
        <v>1692.9786475604376</v>
      </c>
      <c r="AQ21" s="1112">
        <f>Expenses!AU62</f>
        <v>1774.7060067727909</v>
      </c>
      <c r="AR21" s="1112">
        <f>Expenses!AV62</f>
        <v>1860.2400858319495</v>
      </c>
      <c r="AS21" s="1112">
        <f>Expenses!AW62</f>
        <v>1949.7251137478984</v>
      </c>
      <c r="AT21" s="1112">
        <f>Expenses!AX62</f>
        <v>2043.3097153541328</v>
      </c>
      <c r="AU21" s="1112">
        <f>Expenses!AY62</f>
        <v>2141.1471223937115</v>
      </c>
      <c r="AV21" s="1112">
        <f>Expenses!AZ62</f>
        <v>2243.3954008495816</v>
      </c>
      <c r="AW21" s="1112">
        <f>Expenses!BA62</f>
        <v>2350.2176949309605</v>
      </c>
      <c r="AX21" s="1112">
        <f>Expenses!BB62</f>
        <v>2461.7824880897742</v>
      </c>
      <c r="AY21" s="1112">
        <f>Expenses!BC62</f>
        <v>2578.2638814043421</v>
      </c>
      <c r="AZ21" s="1114">
        <f>Expenses!BD62</f>
        <v>2699.8418896324697</v>
      </c>
      <c r="BA21" s="1112">
        <f>Expenses!BE62</f>
        <v>2864.3826300627861</v>
      </c>
      <c r="BB21" s="1112">
        <f>Expenses!BF62</f>
        <v>2998.7300926916701</v>
      </c>
      <c r="BC21" s="1112">
        <f>Expenses!BG62</f>
        <v>3139.0273983414895</v>
      </c>
      <c r="BD21" s="1112">
        <f>Expenses!BH62</f>
        <v>3285.5020425867583</v>
      </c>
      <c r="BE21" s="1112">
        <f>Expenses!BI62</f>
        <v>3438.3900614437607</v>
      </c>
      <c r="BF21" s="1112">
        <f>Expenses!BJ62</f>
        <v>3597.9364630160258</v>
      </c>
      <c r="BG21" s="1112">
        <f>Expenses!BK62</f>
        <v>3764.3956808673456</v>
      </c>
      <c r="BH21" s="1112">
        <f>Expenses!BL62</f>
        <v>3938.0320494720495</v>
      </c>
      <c r="BI21" s="1112">
        <f>Expenses!BM62</f>
        <v>4119.1203020815055</v>
      </c>
      <c r="BJ21" s="1112">
        <f>Expenses!BN62</f>
        <v>4307.9460913395051</v>
      </c>
      <c r="BK21" s="1112">
        <f>Expenses!BO62</f>
        <v>4504.8065329778374</v>
      </c>
      <c r="BL21" s="1114">
        <f>Expenses!BP62</f>
        <v>4710.0107729271112</v>
      </c>
      <c r="BM21" s="1115"/>
      <c r="BN21" s="1112">
        <f t="shared" si="49"/>
        <v>8289.9999999999982</v>
      </c>
      <c r="BO21" s="1113">
        <f t="shared" si="50"/>
        <v>3.4189999999999998E-2</v>
      </c>
      <c r="BP21" s="1112">
        <f t="shared" si="51"/>
        <v>2072.5</v>
      </c>
      <c r="BQ21" s="1112">
        <f t="shared" si="52"/>
        <v>2072.5</v>
      </c>
      <c r="BR21" s="1112">
        <f t="shared" si="53"/>
        <v>2072.5</v>
      </c>
      <c r="BS21" s="1112">
        <f t="shared" si="54"/>
        <v>2072.5</v>
      </c>
      <c r="BT21" s="1112">
        <f t="shared" si="54"/>
        <v>2072.5</v>
      </c>
      <c r="BU21" s="1112">
        <f t="shared" si="54"/>
        <v>2051.666666666667</v>
      </c>
      <c r="BV21" s="1112">
        <f t="shared" si="54"/>
        <v>2030.8333333333335</v>
      </c>
      <c r="BW21" s="1112">
        <f t="shared" si="54"/>
        <v>2010</v>
      </c>
      <c r="BX21" s="1112">
        <f t="shared" si="54"/>
        <v>2038.4647984129624</v>
      </c>
      <c r="BY21" s="1112">
        <f t="shared" si="54"/>
        <v>2103.0996600554586</v>
      </c>
      <c r="BZ21" s="1112">
        <f t="shared" si="54"/>
        <v>2206.0399237220699</v>
      </c>
      <c r="CA21" s="1112">
        <f t="shared" si="54"/>
        <v>2321.0732578327729</v>
      </c>
      <c r="CB21" s="1112">
        <f t="shared" si="54"/>
        <v>2442.8673927408463</v>
      </c>
      <c r="CC21" s="1112">
        <f t="shared" si="54"/>
        <v>2571.7837696947554</v>
      </c>
      <c r="CD21" s="1112">
        <f t="shared" si="54"/>
        <v>2708.1936217133857</v>
      </c>
      <c r="CE21" s="1112">
        <f t="shared" si="54"/>
        <v>2852.4776168941407</v>
      </c>
      <c r="CF21" s="1112">
        <f t="shared" si="54"/>
        <v>2820.4252495241817</v>
      </c>
      <c r="CG21" s="1112">
        <f t="shared" si="54"/>
        <v>2784.81737936838</v>
      </c>
      <c r="CH21" s="1112">
        <f t="shared" si="54"/>
        <v>2745.3623641126815</v>
      </c>
      <c r="CI21" s="1112">
        <f t="shared" si="54"/>
        <v>2886.3487855932376</v>
      </c>
      <c r="CJ21" s="1112"/>
      <c r="CK21" s="1112"/>
      <c r="CL21" s="1112">
        <f t="shared" si="55"/>
        <v>8290</v>
      </c>
      <c r="CM21" s="1113">
        <f t="shared" ref="CM21:CM24" si="58">BP21/BP$6</f>
        <v>5.3631998098763234E-2</v>
      </c>
      <c r="CN21" s="1113">
        <f t="shared" si="56"/>
        <v>3.9754982344187263E-2</v>
      </c>
      <c r="CO21" s="1113">
        <f t="shared" si="56"/>
        <v>3.0786729275447566E-2</v>
      </c>
      <c r="CP21" s="1113">
        <f t="shared" si="56"/>
        <v>2.4561828342692694E-2</v>
      </c>
      <c r="CQ21" s="1113">
        <f t="shared" si="57"/>
        <v>3.4189999999999998E-2</v>
      </c>
    </row>
    <row r="22" spans="1:95" s="339" customFormat="1">
      <c r="A22" s="1142"/>
      <c r="B22" s="1117" t="s">
        <v>121</v>
      </c>
      <c r="C22" s="1112">
        <v>16217.400000000001</v>
      </c>
      <c r="D22" s="1113">
        <v>5.0200000000000002E-3</v>
      </c>
      <c r="E22" s="1112">
        <f>Expenses!I70</f>
        <v>125</v>
      </c>
      <c r="F22" s="1112">
        <f>Expenses!J70</f>
        <v>125</v>
      </c>
      <c r="G22" s="1112">
        <f>Expenses!K70</f>
        <v>125</v>
      </c>
      <c r="H22" s="1112">
        <f>Expenses!L70</f>
        <v>125</v>
      </c>
      <c r="I22" s="1112">
        <f>Expenses!M70</f>
        <v>125</v>
      </c>
      <c r="J22" s="1112">
        <f>Expenses!N70</f>
        <v>125</v>
      </c>
      <c r="K22" s="1112">
        <f>Expenses!O70</f>
        <v>125</v>
      </c>
      <c r="L22" s="1112">
        <f>Expenses!P70</f>
        <v>125</v>
      </c>
      <c r="M22" s="1112">
        <f>Expenses!Q70</f>
        <v>125</v>
      </c>
      <c r="N22" s="1112">
        <f>Expenses!R70</f>
        <v>125</v>
      </c>
      <c r="O22" s="1112">
        <f>Expenses!S70</f>
        <v>125</v>
      </c>
      <c r="P22" s="1114">
        <f>Expenses!T70</f>
        <v>125</v>
      </c>
      <c r="Q22" s="1112">
        <f>Expenses!U70</f>
        <v>140</v>
      </c>
      <c r="R22" s="1112">
        <f>Expenses!V70</f>
        <v>140</v>
      </c>
      <c r="S22" s="1112">
        <f>Expenses!W70</f>
        <v>140</v>
      </c>
      <c r="T22" s="1112">
        <f>Expenses!X70</f>
        <v>140</v>
      </c>
      <c r="U22" s="1112">
        <f>Expenses!Y70</f>
        <v>280.62460111478441</v>
      </c>
      <c r="V22" s="1112">
        <f>Expenses!Z70</f>
        <v>323.36423450027235</v>
      </c>
      <c r="W22" s="1112">
        <f>Expenses!AA70</f>
        <v>339.85181414999431</v>
      </c>
      <c r="X22" s="1112">
        <f>Expenses!AB70</f>
        <v>357.26861928384551</v>
      </c>
      <c r="Y22" s="1112">
        <f>Expenses!AC70</f>
        <v>375.65067836814347</v>
      </c>
      <c r="Z22" s="1112">
        <f>Expenses!AD70</f>
        <v>395.03386789865385</v>
      </c>
      <c r="AA22" s="1112">
        <f>Expenses!AE70</f>
        <v>415.45399828259013</v>
      </c>
      <c r="AB22" s="1114">
        <f>Expenses!AF70</f>
        <v>436.94694342587695</v>
      </c>
      <c r="AC22" s="1112">
        <f>Expenses!AG70</f>
        <v>198.4971822304874</v>
      </c>
      <c r="AD22" s="1112">
        <f>Expenses!AH70</f>
        <v>418.31991978263233</v>
      </c>
      <c r="AE22" s="1112">
        <f>Expenses!AI70</f>
        <v>437.78832557374307</v>
      </c>
      <c r="AF22" s="1112">
        <f>Expenses!AJ70</f>
        <v>458.21838339531251</v>
      </c>
      <c r="AG22" s="1112">
        <f>Expenses!AK70</f>
        <v>479.64188809528946</v>
      </c>
      <c r="AH22" s="1112">
        <f>Expenses!AL70</f>
        <v>502.09123371805907</v>
      </c>
      <c r="AI22" s="1112">
        <f>Expenses!AM70</f>
        <v>525.59953030495603</v>
      </c>
      <c r="AJ22" s="1112">
        <f>Expenses!AN70</f>
        <v>550.20072837428893</v>
      </c>
      <c r="AK22" s="1112">
        <f>Expenses!AO70</f>
        <v>575.92974901522507</v>
      </c>
      <c r="AL22" s="1112">
        <f>Expenses!AP70</f>
        <v>602.82261770914522</v>
      </c>
      <c r="AM22" s="1112">
        <f>Expenses!AQ70</f>
        <v>630.91660024279815</v>
      </c>
      <c r="AN22" s="1114">
        <f>Expenses!AR70</f>
        <v>660.25033937738203</v>
      </c>
      <c r="AO22" s="1116">
        <f>Expenses!AS70</f>
        <v>377.14013669787482</v>
      </c>
      <c r="AP22" s="1112">
        <f>Expenses!AT70</f>
        <v>762.78313754030955</v>
      </c>
      <c r="AQ22" s="1112">
        <f>Expenses!AU70</f>
        <v>793.71361797512191</v>
      </c>
      <c r="AR22" s="1112">
        <f>Expenses!AV70</f>
        <v>825.93787499942619</v>
      </c>
      <c r="AS22" s="1112">
        <f>Expenses!AW70</f>
        <v>859.49965024194012</v>
      </c>
      <c r="AT22" s="1112">
        <f>Expenses!AX70</f>
        <v>894.44433977268409</v>
      </c>
      <c r="AU22" s="1112">
        <f>Expenses!AY70</f>
        <v>930.819104192174</v>
      </c>
      <c r="AV22" s="1112">
        <f>Expenses!AZ70</f>
        <v>968.6729835388528</v>
      </c>
      <c r="AW22" s="1112">
        <f>Expenses!BA70</f>
        <v>1008.0570168979294</v>
      </c>
      <c r="AX22" s="1112">
        <f>Expenses!BB70</f>
        <v>1049.0243665923476</v>
      </c>
      <c r="AY22" s="1112">
        <f>Expenses!BC70</f>
        <v>1091.6304468356561</v>
      </c>
      <c r="AZ22" s="1114">
        <f>Expenses!BD70</f>
        <v>1135.933056728918</v>
      </c>
      <c r="BA22" s="1112">
        <f>Expenses!BE70</f>
        <v>696.08987595692133</v>
      </c>
      <c r="BB22" s="1112">
        <f>Expenses!BF70</f>
        <v>1359.806445063796</v>
      </c>
      <c r="BC22" s="1112">
        <f>Expenses!BG70</f>
        <v>1411.2574917630086</v>
      </c>
      <c r="BD22" s="1112">
        <f>Expenses!BH70</f>
        <v>1464.8092744084108</v>
      </c>
      <c r="BE22" s="1112">
        <f>Expenses!BI70</f>
        <v>1520.541335351422</v>
      </c>
      <c r="BF22" s="1112">
        <f>Expenses!BJ70</f>
        <v>1578.5367515630458</v>
      </c>
      <c r="BG22" s="1112">
        <f>Expenses!BK70</f>
        <v>1638.8823128415856</v>
      </c>
      <c r="BH22" s="1112">
        <f>Expenses!BL70</f>
        <v>1701.6687053152368</v>
      </c>
      <c r="BI22" s="1112">
        <f>Expenses!BM70</f>
        <v>1766.9907002439668</v>
      </c>
      <c r="BJ22" s="1112">
        <f>Expenses!BN70</f>
        <v>1834.9473481450345</v>
      </c>
      <c r="BK22" s="1112">
        <f>Expenses!BO70</f>
        <v>1905.6421782902348</v>
      </c>
      <c r="BL22" s="1114">
        <f>Expenses!BP70</f>
        <v>1979.1834036475907</v>
      </c>
      <c r="BM22" s="1115"/>
      <c r="BN22" s="1112">
        <f t="shared" si="49"/>
        <v>1500</v>
      </c>
      <c r="BO22" s="1113">
        <f t="shared" si="50"/>
        <v>6.1900000000000002E-3</v>
      </c>
      <c r="BP22" s="1112">
        <f t="shared" ref="BP22" si="59">SUM(E22:G22)</f>
        <v>375</v>
      </c>
      <c r="BQ22" s="1112">
        <f t="shared" ref="BQ22" si="60">SUM(H22:J22)</f>
        <v>375</v>
      </c>
      <c r="BR22" s="1112">
        <f t="shared" ref="BR22" si="61">SUM(K22:M22)</f>
        <v>375</v>
      </c>
      <c r="BS22" s="1112">
        <f t="shared" ref="BS22:CI22" si="62">SUM(N22:P22)</f>
        <v>375</v>
      </c>
      <c r="BT22" s="1112">
        <f t="shared" si="62"/>
        <v>390</v>
      </c>
      <c r="BU22" s="1112">
        <f t="shared" si="62"/>
        <v>405</v>
      </c>
      <c r="BV22" s="1112">
        <f t="shared" si="62"/>
        <v>420</v>
      </c>
      <c r="BW22" s="1112">
        <f t="shared" si="62"/>
        <v>420</v>
      </c>
      <c r="BX22" s="1112">
        <f t="shared" si="62"/>
        <v>560.62460111478435</v>
      </c>
      <c r="BY22" s="1112">
        <f t="shared" si="62"/>
        <v>743.98883561505681</v>
      </c>
      <c r="BZ22" s="1112">
        <f t="shared" si="62"/>
        <v>943.84064976505113</v>
      </c>
      <c r="CA22" s="1112">
        <f t="shared" si="62"/>
        <v>1020.4846679341122</v>
      </c>
      <c r="CB22" s="1112">
        <f t="shared" si="62"/>
        <v>1072.7711118019834</v>
      </c>
      <c r="CC22" s="1112">
        <f t="shared" si="62"/>
        <v>1127.9531655506428</v>
      </c>
      <c r="CD22" s="1112">
        <f t="shared" si="62"/>
        <v>1186.1385445493875</v>
      </c>
      <c r="CE22" s="1112">
        <f t="shared" si="62"/>
        <v>1247.434809607121</v>
      </c>
      <c r="CF22" s="1112">
        <f t="shared" si="62"/>
        <v>1050.8981239389545</v>
      </c>
      <c r="CG22" s="1112">
        <f t="shared" si="62"/>
        <v>1053.7640454389966</v>
      </c>
      <c r="CH22" s="1112">
        <f t="shared" si="62"/>
        <v>1054.6054275868628</v>
      </c>
      <c r="CI22" s="1112">
        <f t="shared" si="62"/>
        <v>1314.3266287516878</v>
      </c>
      <c r="CJ22" s="1112"/>
      <c r="CK22" s="1112"/>
      <c r="CL22" s="1112">
        <f t="shared" si="55"/>
        <v>1500</v>
      </c>
      <c r="CM22" s="1113">
        <f t="shared" si="58"/>
        <v>9.704221610150162E-3</v>
      </c>
      <c r="CN22" s="1113">
        <f t="shared" si="56"/>
        <v>7.193301992313739E-3</v>
      </c>
      <c r="CO22" s="1113">
        <f t="shared" si="56"/>
        <v>5.5705782766189808E-3</v>
      </c>
      <c r="CP22" s="1113">
        <f t="shared" si="56"/>
        <v>4.4442391452399329E-3</v>
      </c>
      <c r="CQ22" s="1113">
        <f t="shared" si="57"/>
        <v>6.1900000000000002E-3</v>
      </c>
    </row>
    <row r="23" spans="1:95" s="339" customFormat="1" hidden="1">
      <c r="A23" s="1142"/>
      <c r="B23" s="1111" t="s">
        <v>34</v>
      </c>
      <c r="C23" s="1112">
        <v>258568.95</v>
      </c>
      <c r="D23" s="1113">
        <v>8.0030000000000004E-2</v>
      </c>
      <c r="E23" s="1112"/>
      <c r="F23" s="1112"/>
      <c r="G23" s="1112"/>
      <c r="H23" s="1112"/>
      <c r="I23" s="1112"/>
      <c r="J23" s="1112"/>
      <c r="K23" s="1112"/>
      <c r="L23" s="1112"/>
      <c r="M23" s="1112"/>
      <c r="N23" s="1112"/>
      <c r="O23" s="1112"/>
      <c r="P23" s="1114"/>
      <c r="Q23" s="1112"/>
      <c r="R23" s="1112"/>
      <c r="S23" s="1112"/>
      <c r="T23" s="1112"/>
      <c r="U23" s="1112"/>
      <c r="V23" s="1112"/>
      <c r="W23" s="1112"/>
      <c r="X23" s="1112"/>
      <c r="Y23" s="1112"/>
      <c r="Z23" s="1112"/>
      <c r="AA23" s="1112"/>
      <c r="AB23" s="1114"/>
      <c r="AC23" s="1112"/>
      <c r="AD23" s="1112"/>
      <c r="AE23" s="1112"/>
      <c r="AF23" s="1112"/>
      <c r="AG23" s="1112"/>
      <c r="AH23" s="1112"/>
      <c r="AI23" s="1112"/>
      <c r="AJ23" s="1112"/>
      <c r="AK23" s="1112"/>
      <c r="AL23" s="1112"/>
      <c r="AM23" s="1112"/>
      <c r="AN23" s="1114"/>
      <c r="AO23" s="1116"/>
      <c r="AP23" s="1112"/>
      <c r="AQ23" s="1112"/>
      <c r="AR23" s="1112"/>
      <c r="AS23" s="1112"/>
      <c r="AT23" s="1112"/>
      <c r="AU23" s="1112"/>
      <c r="AV23" s="1112"/>
      <c r="AW23" s="1112"/>
      <c r="AX23" s="1112"/>
      <c r="AY23" s="1112"/>
      <c r="AZ23" s="1114"/>
      <c r="BA23" s="1112"/>
      <c r="BB23" s="1112"/>
      <c r="BC23" s="1112"/>
      <c r="BD23" s="1112"/>
      <c r="BE23" s="1112"/>
      <c r="BF23" s="1112"/>
      <c r="BG23" s="1112"/>
      <c r="BH23" s="1112"/>
      <c r="BI23" s="1112"/>
      <c r="BJ23" s="1112"/>
      <c r="BK23" s="1112"/>
      <c r="BL23" s="1114"/>
      <c r="BM23" s="1115"/>
      <c r="BN23" s="1112">
        <f t="shared" si="49"/>
        <v>0</v>
      </c>
      <c r="BO23" s="1113">
        <f t="shared" si="50"/>
        <v>0</v>
      </c>
      <c r="BP23" s="1112">
        <f t="shared" si="51"/>
        <v>0</v>
      </c>
      <c r="BQ23" s="1112">
        <f t="shared" si="52"/>
        <v>0</v>
      </c>
      <c r="BR23" s="1112">
        <f t="shared" si="53"/>
        <v>0</v>
      </c>
      <c r="BS23" s="1112">
        <f t="shared" si="54"/>
        <v>0</v>
      </c>
      <c r="BT23" s="1112">
        <f t="shared" si="54"/>
        <v>0</v>
      </c>
      <c r="BU23" s="1112">
        <f t="shared" si="54"/>
        <v>0</v>
      </c>
      <c r="BV23" s="1112">
        <f t="shared" si="54"/>
        <v>0</v>
      </c>
      <c r="BW23" s="1112">
        <f t="shared" si="54"/>
        <v>0</v>
      </c>
      <c r="BX23" s="1112">
        <f t="shared" si="54"/>
        <v>0</v>
      </c>
      <c r="BY23" s="1112">
        <f t="shared" si="54"/>
        <v>0</v>
      </c>
      <c r="BZ23" s="1112">
        <f t="shared" si="54"/>
        <v>0</v>
      </c>
      <c r="CA23" s="1112">
        <f t="shared" si="54"/>
        <v>0</v>
      </c>
      <c r="CB23" s="1112">
        <f t="shared" si="54"/>
        <v>0</v>
      </c>
      <c r="CC23" s="1112">
        <f t="shared" si="54"/>
        <v>0</v>
      </c>
      <c r="CD23" s="1112">
        <f t="shared" si="54"/>
        <v>0</v>
      </c>
      <c r="CE23" s="1112">
        <f t="shared" si="54"/>
        <v>0</v>
      </c>
      <c r="CF23" s="1112">
        <f t="shared" si="54"/>
        <v>0</v>
      </c>
      <c r="CG23" s="1112">
        <f t="shared" si="54"/>
        <v>0</v>
      </c>
      <c r="CH23" s="1112">
        <f t="shared" si="54"/>
        <v>0</v>
      </c>
      <c r="CI23" s="1112">
        <f t="shared" si="54"/>
        <v>0</v>
      </c>
      <c r="CJ23" s="1112"/>
      <c r="CK23" s="1112"/>
      <c r="CL23" s="1112">
        <f t="shared" si="55"/>
        <v>0</v>
      </c>
      <c r="CM23" s="1113">
        <f t="shared" si="58"/>
        <v>0</v>
      </c>
      <c r="CN23" s="1113">
        <f t="shared" si="56"/>
        <v>0</v>
      </c>
      <c r="CO23" s="1113">
        <f t="shared" si="56"/>
        <v>0</v>
      </c>
      <c r="CP23" s="1113">
        <f t="shared" si="56"/>
        <v>0</v>
      </c>
      <c r="CQ23" s="1113">
        <f t="shared" si="57"/>
        <v>0</v>
      </c>
    </row>
    <row r="24" spans="1:95" s="395" customFormat="1">
      <c r="A24" s="1140"/>
      <c r="B24" s="1100" t="s">
        <v>254</v>
      </c>
      <c r="C24" s="1101">
        <v>32612.199999999997</v>
      </c>
      <c r="D24" s="1106">
        <v>1.009E-2</v>
      </c>
      <c r="E24" s="1101">
        <f>Expenses!I93</f>
        <v>2429.36</v>
      </c>
      <c r="F24" s="1101">
        <f>Expenses!J93</f>
        <v>2536.6776031999998</v>
      </c>
      <c r="G24" s="1101">
        <f>Expenses!K93</f>
        <v>2650.0300413609984</v>
      </c>
      <c r="H24" s="1101">
        <f>Expenses!L93</f>
        <v>2769.7548095128814</v>
      </c>
      <c r="I24" s="1101">
        <f>Expenses!M93</f>
        <v>2896.2043334574255</v>
      </c>
      <c r="J24" s="1101">
        <f>Expenses!N93</f>
        <v>3029.7463840418868</v>
      </c>
      <c r="K24" s="1101">
        <f>Expenses!O93</f>
        <v>3170.7644956804579</v>
      </c>
      <c r="L24" s="1101">
        <f>Expenses!P93</f>
        <v>3319.658389476192</v>
      </c>
      <c r="M24" s="1101">
        <f>Expenses!Q93</f>
        <v>3476.8444013686253</v>
      </c>
      <c r="N24" s="1101">
        <f>Expenses!R93</f>
        <v>3642.7559158088206</v>
      </c>
      <c r="O24" s="1101">
        <f>Expenses!S93</f>
        <v>3817.8438055439306</v>
      </c>
      <c r="P24" s="1103">
        <f>Expenses!T93</f>
        <v>4002.5768781773195</v>
      </c>
      <c r="Q24" s="1101">
        <f>Expenses!U93</f>
        <v>4198.0795067096424</v>
      </c>
      <c r="R24" s="1101">
        <f>Expenses!V93</f>
        <v>4404.9088286972283</v>
      </c>
      <c r="S24" s="1101">
        <f>Expenses!W93</f>
        <v>4623.6411776303867</v>
      </c>
      <c r="T24" s="1101">
        <f>Expenses!X93</f>
        <v>4854.872311823915</v>
      </c>
      <c r="U24" s="1101">
        <f>Expenses!Y93</f>
        <v>5099.2176462843618</v>
      </c>
      <c r="V24" s="1101">
        <f>Expenses!Z93</f>
        <v>5357.3124900694911</v>
      </c>
      <c r="W24" s="1101">
        <f>Expenses!AA93</f>
        <v>5629.812291855601</v>
      </c>
      <c r="X24" s="1101">
        <f>Expenses!AB93</f>
        <v>5917.3928966232352</v>
      </c>
      <c r="Y24" s="1101">
        <f>Expenses!AC93</f>
        <v>6220.7508165600711</v>
      </c>
      <c r="Z24" s="1101">
        <f>Expenses!AD93</f>
        <v>6540.6035194602146</v>
      </c>
      <c r="AA24" s="1101">
        <f>Expenses!AE93</f>
        <v>6877.6897380704904</v>
      </c>
      <c r="AB24" s="1103">
        <f>Expenses!AF93</f>
        <v>7232.7698039954448</v>
      </c>
      <c r="AC24" s="1101">
        <f>Expenses!AG93</f>
        <v>7607.4561012940703</v>
      </c>
      <c r="AD24" s="1101">
        <f>Expenses!AH93</f>
        <v>8002.5942822254237</v>
      </c>
      <c r="AE24" s="1101">
        <f>Expenses!AI93</f>
        <v>8419.0493969153922</v>
      </c>
      <c r="AF24" s="1101">
        <f>Expenses!AJ93</f>
        <v>8857.7060263177227</v>
      </c>
      <c r="AG24" s="1101">
        <f>Expenses!AK93</f>
        <v>9319.4684767925119</v>
      </c>
      <c r="AH24" s="1101">
        <f>Expenses!AL93</f>
        <v>9805.2610435828192</v>
      </c>
      <c r="AI24" s="1101">
        <f>Expenses!AM93</f>
        <v>10316.028350430877</v>
      </c>
      <c r="AJ24" s="1101">
        <f>Expenses!AN93</f>
        <v>10852.735772489919</v>
      </c>
      <c r="AK24" s="1101">
        <f>Expenses!AO93</f>
        <v>11416.369949556674</v>
      </c>
      <c r="AL24" s="1101">
        <f>Expenses!AP93</f>
        <v>12007.939396474258</v>
      </c>
      <c r="AM24" s="1101">
        <f>Expenses!AQ93</f>
        <v>12628.47521733688</v>
      </c>
      <c r="AN24" s="1103">
        <f>Expenses!AR93</f>
        <v>13279.031929869197</v>
      </c>
      <c r="AO24" s="1104">
        <f>Expenses!AS93</f>
        <v>12552.513224936862</v>
      </c>
      <c r="AP24" s="1101">
        <f>Expenses!AT93</f>
        <v>13186.880567610004</v>
      </c>
      <c r="AQ24" s="1101">
        <f>Expenses!AU93</f>
        <v>13850.637864125043</v>
      </c>
      <c r="AR24" s="1101">
        <f>Expenses!AV93</f>
        <v>14544.80595454451</v>
      </c>
      <c r="AS24" s="1101">
        <f>Expenses!AW93</f>
        <v>15270.431873463942</v>
      </c>
      <c r="AT24" s="1101">
        <f>Expenses!AX93</f>
        <v>16028.590267697824</v>
      </c>
      <c r="AU24" s="1101">
        <f>Expenses!AY93</f>
        <v>16820.384939610583</v>
      </c>
      <c r="AV24" s="1101">
        <f>Expenses!AZ93</f>
        <v>17646.950518854883</v>
      </c>
      <c r="AW24" s="1101">
        <f>Expenses!BA93</f>
        <v>18509.454264887034</v>
      </c>
      <c r="AX24" s="1101">
        <f>Expenses!BB93</f>
        <v>19409.098002239934</v>
      </c>
      <c r="AY24" s="1101">
        <f>Expenses!BC93</f>
        <v>20347.120190151301</v>
      </c>
      <c r="AZ24" s="1103">
        <f>Expenses!BD93</f>
        <v>21324.798127774287</v>
      </c>
      <c r="BA24" s="1101">
        <f>Expenses!BE93</f>
        <v>13970.956915504376</v>
      </c>
      <c r="BB24" s="1101">
        <f>Expenses!BF93</f>
        <v>14606.222318384462</v>
      </c>
      <c r="BC24" s="1101">
        <f>Expenses!BG93</f>
        <v>15267.315413140846</v>
      </c>
      <c r="BD24" s="1101">
        <f>Expenses!BH93</f>
        <v>15955.121968950656</v>
      </c>
      <c r="BE24" s="1101">
        <f>Expenses!BI93</f>
        <v>16670.560060676431</v>
      </c>
      <c r="BF24" s="1101">
        <f>Expenses!BJ93</f>
        <v>17414.58180918069</v>
      </c>
      <c r="BG24" s="1101">
        <f>Expenses!BK93</f>
        <v>18188.175196730037</v>
      </c>
      <c r="BH24" s="1101">
        <f>Expenses!BL93</f>
        <v>18992.365957479793</v>
      </c>
      <c r="BI24" s="1101">
        <f>Expenses!BM93</f>
        <v>19828.219543014373</v>
      </c>
      <c r="BJ24" s="1101">
        <f>Expenses!BN93</f>
        <v>20696.843162926762</v>
      </c>
      <c r="BK24" s="1101">
        <f>Expenses!BO93</f>
        <v>21599.387900451875</v>
      </c>
      <c r="BL24" s="1103">
        <f>Expenses!BP93</f>
        <v>22537.050903225398</v>
      </c>
      <c r="BM24" s="1105"/>
      <c r="BN24" s="1101">
        <f t="shared" si="49"/>
        <v>37742.217057628543</v>
      </c>
      <c r="BO24" s="1106">
        <f t="shared" si="50"/>
        <v>0.15565999999999999</v>
      </c>
      <c r="BP24" s="1101">
        <f t="shared" si="51"/>
        <v>7616.0676445609988</v>
      </c>
      <c r="BQ24" s="1101">
        <f t="shared" si="52"/>
        <v>8695.7055270121928</v>
      </c>
      <c r="BR24" s="1101">
        <f t="shared" si="53"/>
        <v>9967.2672865252753</v>
      </c>
      <c r="BS24" s="1101">
        <f t="shared" si="54"/>
        <v>11463.17659953007</v>
      </c>
      <c r="BT24" s="1101">
        <f t="shared" si="54"/>
        <v>12018.500190430892</v>
      </c>
      <c r="BU24" s="1101">
        <f t="shared" si="54"/>
        <v>12605.565213584192</v>
      </c>
      <c r="BV24" s="1101">
        <f t="shared" si="54"/>
        <v>13226.629513037256</v>
      </c>
      <c r="BW24" s="1101">
        <f t="shared" si="54"/>
        <v>13883.42231815153</v>
      </c>
      <c r="BX24" s="1101">
        <f t="shared" si="54"/>
        <v>14577.731135738662</v>
      </c>
      <c r="BY24" s="1101">
        <f t="shared" si="54"/>
        <v>15311.402448177769</v>
      </c>
      <c r="BZ24" s="1101">
        <f t="shared" si="54"/>
        <v>16086.342428209453</v>
      </c>
      <c r="CA24" s="1101">
        <f t="shared" si="54"/>
        <v>16904.517678548327</v>
      </c>
      <c r="CB24" s="1101">
        <f t="shared" si="54"/>
        <v>17767.956005038908</v>
      </c>
      <c r="CC24" s="1101">
        <f t="shared" si="54"/>
        <v>18678.74723264352</v>
      </c>
      <c r="CD24" s="1101">
        <f t="shared" si="54"/>
        <v>19639.044074090776</v>
      </c>
      <c r="CE24" s="1101">
        <f t="shared" si="54"/>
        <v>20651.063061526151</v>
      </c>
      <c r="CF24" s="1101">
        <f t="shared" si="54"/>
        <v>21717.915643360007</v>
      </c>
      <c r="CG24" s="1101">
        <f t="shared" si="54"/>
        <v>22842.820187514939</v>
      </c>
      <c r="CH24" s="1101">
        <f t="shared" si="54"/>
        <v>24029.099780434888</v>
      </c>
      <c r="CI24" s="1101">
        <f t="shared" si="54"/>
        <v>25279.349705458539</v>
      </c>
      <c r="CJ24" s="1101"/>
      <c r="CK24" s="1101"/>
      <c r="CL24" s="1101">
        <f t="shared" si="55"/>
        <v>37742.217057628543</v>
      </c>
      <c r="CM24" s="1106">
        <f t="shared" si="58"/>
        <v>0.19708802192190478</v>
      </c>
      <c r="CN24" s="1106">
        <f t="shared" si="56"/>
        <v>0.16680222904541439</v>
      </c>
      <c r="CO24" s="1106">
        <f t="shared" si="56"/>
        <v>0.14806251366286055</v>
      </c>
      <c r="CP24" s="1106">
        <f t="shared" si="56"/>
        <v>0.13585359512647976</v>
      </c>
      <c r="CQ24" s="1106">
        <f t="shared" si="57"/>
        <v>0.15565999999999999</v>
      </c>
    </row>
    <row r="25" spans="1:95" s="100" customFormat="1">
      <c r="A25" s="183"/>
      <c r="B25" s="1132" t="s">
        <v>35</v>
      </c>
      <c r="C25" s="101">
        <v>862394.32</v>
      </c>
      <c r="D25" s="103">
        <v>0.26691999999999999</v>
      </c>
      <c r="E25" s="130">
        <f t="shared" ref="E25:AJ25" si="63">ROUND(SUM(E19:E24),5)</f>
        <v>6555.2373900000002</v>
      </c>
      <c r="F25" s="130">
        <f t="shared" si="63"/>
        <v>6693.1674999999996</v>
      </c>
      <c r="G25" s="130">
        <f t="shared" si="63"/>
        <v>6847.0889100000004</v>
      </c>
      <c r="H25" s="130">
        <f t="shared" si="63"/>
        <v>7026.3857099999996</v>
      </c>
      <c r="I25" s="130">
        <f t="shared" si="63"/>
        <v>7203.4446699999999</v>
      </c>
      <c r="J25" s="130">
        <f t="shared" si="63"/>
        <v>7392.9423299999999</v>
      </c>
      <c r="K25" s="130">
        <f t="shared" si="63"/>
        <v>7586.7874199999997</v>
      </c>
      <c r="L25" s="130">
        <f t="shared" si="63"/>
        <v>7793.7191499999999</v>
      </c>
      <c r="M25" s="130">
        <f t="shared" si="63"/>
        <v>8014.6520700000001</v>
      </c>
      <c r="N25" s="130">
        <f t="shared" si="63"/>
        <v>8239.34476</v>
      </c>
      <c r="O25" s="130">
        <f t="shared" si="63"/>
        <v>8478.3276000000005</v>
      </c>
      <c r="P25" s="131">
        <f t="shared" si="63"/>
        <v>8732.4613300000001</v>
      </c>
      <c r="Q25" s="130">
        <f t="shared" si="63"/>
        <v>9018.5321000000004</v>
      </c>
      <c r="R25" s="130">
        <f t="shared" si="63"/>
        <v>9285.2822799999994</v>
      </c>
      <c r="S25" s="130">
        <f t="shared" si="63"/>
        <v>9591.9782400000004</v>
      </c>
      <c r="T25" s="130">
        <f t="shared" si="63"/>
        <v>9918.9333299999998</v>
      </c>
      <c r="U25" s="130">
        <f t="shared" si="63"/>
        <v>10561.33138</v>
      </c>
      <c r="V25" s="130">
        <f t="shared" si="63"/>
        <v>11170.039720000001</v>
      </c>
      <c r="W25" s="130">
        <f t="shared" si="63"/>
        <v>11787.95075</v>
      </c>
      <c r="X25" s="130">
        <f t="shared" si="63"/>
        <v>12444.18613</v>
      </c>
      <c r="Y25" s="130">
        <f t="shared" si="63"/>
        <v>13140.778060000001</v>
      </c>
      <c r="Z25" s="130">
        <f t="shared" si="63"/>
        <v>13879.812320000001</v>
      </c>
      <c r="AA25" s="130">
        <f t="shared" si="63"/>
        <v>14663.426740000001</v>
      </c>
      <c r="AB25" s="131">
        <f t="shared" si="63"/>
        <v>15493.810030000001</v>
      </c>
      <c r="AC25" s="130">
        <f t="shared" si="63"/>
        <v>15003.66561</v>
      </c>
      <c r="AD25" s="130">
        <f t="shared" si="63"/>
        <v>16057.38056</v>
      </c>
      <c r="AE25" s="130">
        <f t="shared" si="63"/>
        <v>16959.58164</v>
      </c>
      <c r="AF25" s="130">
        <f t="shared" si="63"/>
        <v>17913.803530000001</v>
      </c>
      <c r="AG25" s="130">
        <f t="shared" si="63"/>
        <v>18922.343850000001</v>
      </c>
      <c r="AH25" s="130">
        <f t="shared" si="63"/>
        <v>19987.548159999998</v>
      </c>
      <c r="AI25" s="130">
        <f t="shared" si="63"/>
        <v>21111.81063</v>
      </c>
      <c r="AJ25" s="130">
        <f t="shared" si="63"/>
        <v>22297.575120000001</v>
      </c>
      <c r="AK25" s="130">
        <f t="shared" ref="AK25:BL25" si="64">ROUND(SUM(AK19:AK24),5)</f>
        <v>23547.336729999999</v>
      </c>
      <c r="AL25" s="130">
        <f t="shared" si="64"/>
        <v>24863.64373</v>
      </c>
      <c r="AM25" s="130">
        <f t="shared" si="64"/>
        <v>26249.09995</v>
      </c>
      <c r="AN25" s="131">
        <f t="shared" si="64"/>
        <v>27706.367600000001</v>
      </c>
      <c r="AO25" s="138">
        <f t="shared" si="64"/>
        <v>27538.74166</v>
      </c>
      <c r="AP25" s="130">
        <f t="shared" si="64"/>
        <v>29360.334180000002</v>
      </c>
      <c r="AQ25" s="130">
        <f t="shared" si="64"/>
        <v>30896.7588</v>
      </c>
      <c r="AR25" s="130">
        <f t="shared" si="64"/>
        <v>32506.575489999999</v>
      </c>
      <c r="AS25" s="130">
        <f t="shared" si="64"/>
        <v>34192.448729999996</v>
      </c>
      <c r="AT25" s="130">
        <f t="shared" si="64"/>
        <v>35957.11507</v>
      </c>
      <c r="AU25" s="130">
        <f t="shared" si="64"/>
        <v>37803.386939999997</v>
      </c>
      <c r="AV25" s="130">
        <f t="shared" si="64"/>
        <v>39734.156739999999</v>
      </c>
      <c r="AW25" s="130">
        <f t="shared" si="64"/>
        <v>41752.40135</v>
      </c>
      <c r="AX25" s="130">
        <f t="shared" si="64"/>
        <v>43861.186900000001</v>
      </c>
      <c r="AY25" s="130">
        <f t="shared" si="64"/>
        <v>46063.673949999997</v>
      </c>
      <c r="AZ25" s="131">
        <f t="shared" si="64"/>
        <v>48363.123030000002</v>
      </c>
      <c r="BA25" s="130">
        <f t="shared" si="64"/>
        <v>41942.184359999999</v>
      </c>
      <c r="BB25" s="130">
        <f t="shared" si="64"/>
        <v>44666.122139999999</v>
      </c>
      <c r="BC25" s="130">
        <f t="shared" si="64"/>
        <v>46869.591439999997</v>
      </c>
      <c r="BD25" s="130">
        <f t="shared" si="64"/>
        <v>49170.360390000002</v>
      </c>
      <c r="BE25" s="130">
        <f t="shared" si="64"/>
        <v>51572.034769999998</v>
      </c>
      <c r="BF25" s="130">
        <f t="shared" si="64"/>
        <v>54078.354939999997</v>
      </c>
      <c r="BG25" s="130">
        <f t="shared" si="64"/>
        <v>56693.203049999996</v>
      </c>
      <c r="BH25" s="130">
        <f t="shared" si="64"/>
        <v>59420.610679999998</v>
      </c>
      <c r="BI25" s="130">
        <f t="shared" si="64"/>
        <v>62264.766689999997</v>
      </c>
      <c r="BJ25" s="130">
        <f t="shared" si="64"/>
        <v>65230.025560000002</v>
      </c>
      <c r="BK25" s="130">
        <f t="shared" si="64"/>
        <v>68320.91605</v>
      </c>
      <c r="BL25" s="131">
        <f t="shared" si="64"/>
        <v>71542.150210000007</v>
      </c>
      <c r="BM25" s="150"/>
      <c r="BN25" s="99">
        <f>ROUND(SUM(BN19:BN24),5)</f>
        <v>90563.558839999998</v>
      </c>
      <c r="BO25" s="102">
        <f t="shared" si="50"/>
        <v>0.3735</v>
      </c>
      <c r="BP25" s="99">
        <f t="shared" ref="BP25:CI25" si="65">ROUND(SUM(BP19:BP24),5)</f>
        <v>20095.4938</v>
      </c>
      <c r="BQ25" s="99">
        <f t="shared" si="65"/>
        <v>21622.772720000001</v>
      </c>
      <c r="BR25" s="99">
        <f t="shared" si="65"/>
        <v>23395.158630000002</v>
      </c>
      <c r="BS25" s="99">
        <f t="shared" si="65"/>
        <v>25450.133689999999</v>
      </c>
      <c r="BT25" s="99">
        <f t="shared" si="65"/>
        <v>26229.321029999999</v>
      </c>
      <c r="BU25" s="99">
        <f t="shared" si="65"/>
        <v>27036.275710000002</v>
      </c>
      <c r="BV25" s="99">
        <f t="shared" si="65"/>
        <v>27895.79262</v>
      </c>
      <c r="BW25" s="99">
        <f t="shared" si="65"/>
        <v>28796.193859999999</v>
      </c>
      <c r="BX25" s="99">
        <f t="shared" si="65"/>
        <v>30072.24296</v>
      </c>
      <c r="BY25" s="99">
        <f t="shared" si="65"/>
        <v>31650.30443</v>
      </c>
      <c r="BZ25" s="99">
        <f t="shared" si="65"/>
        <v>33519.32185</v>
      </c>
      <c r="CA25" s="99">
        <f t="shared" si="65"/>
        <v>35402.176599999999</v>
      </c>
      <c r="CB25" s="99">
        <f t="shared" si="65"/>
        <v>37372.914940000002</v>
      </c>
      <c r="CC25" s="99">
        <f t="shared" si="65"/>
        <v>39464.776510000003</v>
      </c>
      <c r="CD25" s="99">
        <f t="shared" si="65"/>
        <v>41684.017119999997</v>
      </c>
      <c r="CE25" s="99">
        <f t="shared" si="65"/>
        <v>44037.04909</v>
      </c>
      <c r="CF25" s="99">
        <f t="shared" si="65"/>
        <v>45160.90238</v>
      </c>
      <c r="CG25" s="99">
        <f t="shared" si="65"/>
        <v>46554.856200000002</v>
      </c>
      <c r="CH25" s="99">
        <f t="shared" si="65"/>
        <v>48020.627809999998</v>
      </c>
      <c r="CI25" s="99">
        <f t="shared" si="65"/>
        <v>50930.765729999999</v>
      </c>
      <c r="CJ25" s="99"/>
      <c r="CK25" s="99"/>
      <c r="CL25" s="99">
        <f>ROUND(SUM(CL19:CL24),5)</f>
        <v>90563.558839999998</v>
      </c>
      <c r="CM25" s="102">
        <f>SUM(CM20:CM24)</f>
        <v>0.52002966714046606</v>
      </c>
      <c r="CN25" s="102">
        <f>SUM(CN20:CN24)</f>
        <v>0.41477102421091538</v>
      </c>
      <c r="CO25" s="102">
        <f>SUM(CO20:CO24)</f>
        <v>0.34753216653499913</v>
      </c>
      <c r="CP25" s="102">
        <f>SUM(CP20:CP24)</f>
        <v>0.30161728109015851</v>
      </c>
      <c r="CQ25" s="102">
        <f>SUM(CQ20:CQ24)</f>
        <v>0.37351000000000001</v>
      </c>
    </row>
    <row r="26" spans="1:95" ht="23.25" customHeight="1">
      <c r="A26" s="1141" t="s">
        <v>36</v>
      </c>
      <c r="B26" s="7"/>
      <c r="C26" s="9"/>
      <c r="D26" s="9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2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29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29"/>
      <c r="AO26" s="137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29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29"/>
      <c r="BM26" s="149"/>
      <c r="BN26" s="10"/>
      <c r="BO26" s="12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2"/>
      <c r="CN26" s="12"/>
      <c r="CO26" s="12"/>
      <c r="CP26" s="12"/>
      <c r="CQ26" s="12"/>
    </row>
    <row r="27" spans="1:95" s="576" customFormat="1" ht="15" customHeight="1">
      <c r="A27" s="1139"/>
      <c r="B27" s="1093" t="s">
        <v>24</v>
      </c>
      <c r="C27" s="1094"/>
      <c r="D27" s="1099">
        <v>0</v>
      </c>
      <c r="E27" s="1094">
        <f>HR!D44</f>
        <v>0</v>
      </c>
      <c r="F27" s="1094">
        <f>HR!E44</f>
        <v>0</v>
      </c>
      <c r="G27" s="1094">
        <f>HR!F44</f>
        <v>0</v>
      </c>
      <c r="H27" s="1094">
        <f>HR!G44</f>
        <v>0</v>
      </c>
      <c r="I27" s="1094">
        <f>HR!H44</f>
        <v>0</v>
      </c>
      <c r="J27" s="1094">
        <f>HR!I44</f>
        <v>0</v>
      </c>
      <c r="K27" s="1094">
        <f>HR!J44</f>
        <v>0</v>
      </c>
      <c r="L27" s="1094">
        <f>HR!K44</f>
        <v>0</v>
      </c>
      <c r="M27" s="1094">
        <f>HR!L44</f>
        <v>0</v>
      </c>
      <c r="N27" s="1094">
        <f>HR!M44</f>
        <v>0</v>
      </c>
      <c r="O27" s="1094">
        <f>HR!N44</f>
        <v>0</v>
      </c>
      <c r="P27" s="1096">
        <f>HR!O44</f>
        <v>0</v>
      </c>
      <c r="Q27" s="1094">
        <f>HR!P44</f>
        <v>0</v>
      </c>
      <c r="R27" s="1094">
        <f>HR!Q44</f>
        <v>0</v>
      </c>
      <c r="S27" s="1094">
        <f>HR!R44</f>
        <v>0</v>
      </c>
      <c r="T27" s="1094">
        <f>HR!S44</f>
        <v>0</v>
      </c>
      <c r="U27" s="1094">
        <f>HR!T44</f>
        <v>0</v>
      </c>
      <c r="V27" s="1094">
        <f>HR!U44</f>
        <v>0</v>
      </c>
      <c r="W27" s="1094">
        <f>HR!V44</f>
        <v>0</v>
      </c>
      <c r="X27" s="1094">
        <f>HR!W44</f>
        <v>0</v>
      </c>
      <c r="Y27" s="1094">
        <f>HR!X44</f>
        <v>0</v>
      </c>
      <c r="Z27" s="1094">
        <f>HR!Y44</f>
        <v>9451</v>
      </c>
      <c r="AA27" s="1094">
        <f>HR!Z44</f>
        <v>9451</v>
      </c>
      <c r="AB27" s="1096">
        <f>HR!AA44</f>
        <v>9451</v>
      </c>
      <c r="AC27" s="1094">
        <f>HR!AB44</f>
        <v>15139.666666666666</v>
      </c>
      <c r="AD27" s="1094">
        <f>HR!AC44</f>
        <v>15139.666666666666</v>
      </c>
      <c r="AE27" s="1094">
        <f>HR!AD44</f>
        <v>15139.666666666666</v>
      </c>
      <c r="AF27" s="1094">
        <f>HR!AE44</f>
        <v>15139.666666666666</v>
      </c>
      <c r="AG27" s="1094">
        <f>HR!AF44</f>
        <v>15139.666666666666</v>
      </c>
      <c r="AH27" s="1094">
        <f>HR!AG44</f>
        <v>15139.666666666666</v>
      </c>
      <c r="AI27" s="1094">
        <f>HR!AH44</f>
        <v>15139.666666666666</v>
      </c>
      <c r="AJ27" s="1094">
        <f>HR!AI44</f>
        <v>15139.666666666666</v>
      </c>
      <c r="AK27" s="1094">
        <f>HR!AJ44</f>
        <v>17141.666666666664</v>
      </c>
      <c r="AL27" s="1094">
        <f>HR!AK44</f>
        <v>17308.333333333332</v>
      </c>
      <c r="AM27" s="1094">
        <f>HR!AL44</f>
        <v>19842.222222222223</v>
      </c>
      <c r="AN27" s="1096">
        <f>HR!AM44</f>
        <v>19843.379629629631</v>
      </c>
      <c r="AO27" s="1097">
        <f>HR!AN44</f>
        <v>19843.476080246914</v>
      </c>
      <c r="AP27" s="1094">
        <f>HR!AO44</f>
        <v>19843.484117798354</v>
      </c>
      <c r="AQ27" s="1094">
        <f>HR!AP44</f>
        <v>19843.484787594309</v>
      </c>
      <c r="AR27" s="1094">
        <f>HR!AQ44</f>
        <v>19843.484843410639</v>
      </c>
      <c r="AS27" s="1094">
        <f>HR!AR44</f>
        <v>19843.484848061998</v>
      </c>
      <c r="AT27" s="1094">
        <f>HR!AS44</f>
        <v>19843.484848449611</v>
      </c>
      <c r="AU27" s="1094">
        <f>HR!AT44</f>
        <v>19843.484848481912</v>
      </c>
      <c r="AV27" s="1094">
        <f>HR!AU44</f>
        <v>19843.484848484604</v>
      </c>
      <c r="AW27" s="1094">
        <f>HR!AV44</f>
        <v>25303.48484848483</v>
      </c>
      <c r="AX27" s="1094">
        <f>HR!AW44</f>
        <v>25303.484848484848</v>
      </c>
      <c r="AY27" s="1094">
        <f>HR!AX44</f>
        <v>25303.484848484848</v>
      </c>
      <c r="AZ27" s="1096">
        <f>HR!AY44</f>
        <v>25303.484848484848</v>
      </c>
      <c r="BA27" s="1094">
        <f>HR!AZ44</f>
        <v>25303.484848484848</v>
      </c>
      <c r="BB27" s="1094">
        <f>HR!BA44</f>
        <v>25303.484848484848</v>
      </c>
      <c r="BC27" s="1094">
        <f>HR!BB44</f>
        <v>25303.484848484848</v>
      </c>
      <c r="BD27" s="1094">
        <f>HR!BC44</f>
        <v>25303.484848484848</v>
      </c>
      <c r="BE27" s="1094">
        <f>HR!BD44</f>
        <v>36664.969696969696</v>
      </c>
      <c r="BF27" s="1094">
        <f>HR!BE44</f>
        <v>37250.828282828283</v>
      </c>
      <c r="BG27" s="1094">
        <f>HR!BF44</f>
        <v>37329.952861952865</v>
      </c>
      <c r="BH27" s="1094">
        <f>HR!BG44</f>
        <v>37341.597081930413</v>
      </c>
      <c r="BI27" s="1094">
        <f>HR!BH44</f>
        <v>37343.409184436961</v>
      </c>
      <c r="BJ27" s="1094">
        <f>HR!BI44</f>
        <v>37343.700484786132</v>
      </c>
      <c r="BK27" s="1094">
        <f>HR!BJ44</f>
        <v>37343.748141783057</v>
      </c>
      <c r="BL27" s="1096">
        <f>HR!BK44</f>
        <v>37343.756010194105</v>
      </c>
      <c r="BM27" s="1098"/>
      <c r="BN27" s="1094">
        <f t="shared" ref="BN27:BN34" si="66">SUM(E27:P27)</f>
        <v>0</v>
      </c>
      <c r="BO27" s="1099">
        <f t="shared" ref="BO27:BO36" si="67">ROUND(IF($BN$6=0, 0, BN27/$BN$6),5)</f>
        <v>0</v>
      </c>
      <c r="BP27" s="1094">
        <f t="shared" ref="BP27:BP34" si="68">SUM(E27:G27)</f>
        <v>0</v>
      </c>
      <c r="BQ27" s="1094">
        <f t="shared" ref="BQ27:BQ34" si="69">SUM(H27:J27)</f>
        <v>0</v>
      </c>
      <c r="BR27" s="1094">
        <f t="shared" ref="BR27:BR34" si="70">SUM(K27:M27)</f>
        <v>0</v>
      </c>
      <c r="BS27" s="1094">
        <f t="shared" ref="BS27:CI34" si="71">SUM(N27:P27)</f>
        <v>0</v>
      </c>
      <c r="BT27" s="1094">
        <f t="shared" si="71"/>
        <v>0</v>
      </c>
      <c r="BU27" s="1094">
        <f t="shared" si="71"/>
        <v>0</v>
      </c>
      <c r="BV27" s="1094">
        <f t="shared" si="71"/>
        <v>0</v>
      </c>
      <c r="BW27" s="1094">
        <f t="shared" si="71"/>
        <v>0</v>
      </c>
      <c r="BX27" s="1094">
        <f t="shared" si="71"/>
        <v>0</v>
      </c>
      <c r="BY27" s="1094">
        <f t="shared" si="71"/>
        <v>0</v>
      </c>
      <c r="BZ27" s="1094">
        <f t="shared" si="71"/>
        <v>0</v>
      </c>
      <c r="CA27" s="1094">
        <f t="shared" si="71"/>
        <v>0</v>
      </c>
      <c r="CB27" s="1094">
        <f t="shared" si="71"/>
        <v>0</v>
      </c>
      <c r="CC27" s="1094">
        <f t="shared" si="71"/>
        <v>9451</v>
      </c>
      <c r="CD27" s="1094">
        <f t="shared" si="71"/>
        <v>18902</v>
      </c>
      <c r="CE27" s="1094">
        <f t="shared" si="71"/>
        <v>28353</v>
      </c>
      <c r="CF27" s="1094">
        <f t="shared" si="71"/>
        <v>34041.666666666664</v>
      </c>
      <c r="CG27" s="1094">
        <f t="shared" si="71"/>
        <v>39730.333333333328</v>
      </c>
      <c r="CH27" s="1094">
        <f t="shared" si="71"/>
        <v>45419</v>
      </c>
      <c r="CI27" s="1094">
        <f t="shared" si="71"/>
        <v>45419</v>
      </c>
      <c r="CJ27" s="1094"/>
      <c r="CK27" s="1094"/>
      <c r="CL27" s="1094">
        <f t="shared" ref="CL27:CL34" si="72">SUM(BP27:BS27)</f>
        <v>0</v>
      </c>
      <c r="CM27" s="1099">
        <f>BP27/BP$6</f>
        <v>0</v>
      </c>
      <c r="CN27" s="1099">
        <f t="shared" ref="CN27:CP34" si="73">BQ27/BQ$6</f>
        <v>0</v>
      </c>
      <c r="CO27" s="1099">
        <f t="shared" si="73"/>
        <v>0</v>
      </c>
      <c r="CP27" s="1099">
        <f t="shared" si="73"/>
        <v>0</v>
      </c>
      <c r="CQ27" s="1099">
        <f t="shared" ref="CQ27:CQ34" si="74">ROUND(IF($BN$6=0, 0, CL27/$BN$6),5)</f>
        <v>0</v>
      </c>
    </row>
    <row r="28" spans="1:95" s="339" customFormat="1" ht="12" customHeight="1">
      <c r="A28" s="1142"/>
      <c r="B28" s="1111" t="s">
        <v>37</v>
      </c>
      <c r="C28" s="1112">
        <v>3789.43</v>
      </c>
      <c r="D28" s="1113">
        <v>1.17E-3</v>
      </c>
      <c r="E28" s="1112">
        <f>Expenses!I96</f>
        <v>250</v>
      </c>
      <c r="F28" s="1112">
        <f>Expenses!J96</f>
        <v>250</v>
      </c>
      <c r="G28" s="1112">
        <f>Expenses!K96</f>
        <v>250</v>
      </c>
      <c r="H28" s="1112">
        <f>Expenses!L96</f>
        <v>250</v>
      </c>
      <c r="I28" s="1112">
        <f>Expenses!M96</f>
        <v>250</v>
      </c>
      <c r="J28" s="1112">
        <f>Expenses!N96</f>
        <v>250</v>
      </c>
      <c r="K28" s="1112">
        <f>Expenses!O96</f>
        <v>250</v>
      </c>
      <c r="L28" s="1112">
        <f>Expenses!P96</f>
        <v>250</v>
      </c>
      <c r="M28" s="1112">
        <f>Expenses!Q96</f>
        <v>250</v>
      </c>
      <c r="N28" s="1112">
        <f>Expenses!R96</f>
        <v>250</v>
      </c>
      <c r="O28" s="1112">
        <f>Expenses!S96</f>
        <v>250</v>
      </c>
      <c r="P28" s="1114">
        <f>Expenses!T96</f>
        <v>250</v>
      </c>
      <c r="Q28" s="1112">
        <f>Expenses!U96</f>
        <v>250</v>
      </c>
      <c r="R28" s="1112">
        <f>Expenses!V96</f>
        <v>250</v>
      </c>
      <c r="S28" s="1112">
        <f>Expenses!W96</f>
        <v>250</v>
      </c>
      <c r="T28" s="1112">
        <f>Expenses!X96</f>
        <v>250</v>
      </c>
      <c r="U28" s="1112">
        <f>Expenses!Y96</f>
        <v>252.1242386875345</v>
      </c>
      <c r="V28" s="1112">
        <f>Expenses!Z96</f>
        <v>254.82349713749971</v>
      </c>
      <c r="W28" s="1112">
        <f>Expenses!AA96</f>
        <v>257.68210922885163</v>
      </c>
      <c r="X28" s="1112">
        <f>Expenses!AB96</f>
        <v>260.708815859975</v>
      </c>
      <c r="Y28" s="1112">
        <f>Expenses!AC96</f>
        <v>263.91261168287832</v>
      </c>
      <c r="Z28" s="1112">
        <f>Expenses!AD96</f>
        <v>267.30273437466565</v>
      </c>
      <c r="AA28" s="1112">
        <f>Expenses!AE96</f>
        <v>270.88865556285793</v>
      </c>
      <c r="AB28" s="1114">
        <f>Expenses!AF96</f>
        <v>274.68007400980036</v>
      </c>
      <c r="AC28" s="1112">
        <f>Expenses!AG96</f>
        <v>278.69158081277698</v>
      </c>
      <c r="AD28" s="1112">
        <f>Expenses!AH96</f>
        <v>250</v>
      </c>
      <c r="AE28" s="1112">
        <f>Expenses!AI96</f>
        <v>250</v>
      </c>
      <c r="AF28" s="1112">
        <f>Expenses!AJ96</f>
        <v>250</v>
      </c>
      <c r="AG28" s="1112">
        <f>Expenses!AK96</f>
        <v>250</v>
      </c>
      <c r="AH28" s="1112">
        <f>Expenses!AL96</f>
        <v>252.1242386875345</v>
      </c>
      <c r="AI28" s="1112">
        <f>Expenses!AM96</f>
        <v>254.82349713749971</v>
      </c>
      <c r="AJ28" s="1112">
        <f>Expenses!AN96</f>
        <v>257.68210922885163</v>
      </c>
      <c r="AK28" s="1112">
        <f>Expenses!AO96</f>
        <v>260.708815859975</v>
      </c>
      <c r="AL28" s="1112">
        <f>Expenses!AP96</f>
        <v>263.91261168287832</v>
      </c>
      <c r="AM28" s="1112">
        <f>Expenses!AQ96</f>
        <v>267.30273437466565</v>
      </c>
      <c r="AN28" s="1114">
        <f>Expenses!AR96</f>
        <v>270.88865556285793</v>
      </c>
      <c r="AO28" s="1116">
        <f>Expenses!AS96</f>
        <v>324.68007400980036</v>
      </c>
      <c r="AP28" s="1112">
        <f>Expenses!AT96</f>
        <v>312.95326465022157</v>
      </c>
      <c r="AQ28" s="1112">
        <f>Expenses!AU96</f>
        <v>316.27384980961949</v>
      </c>
      <c r="AR28" s="1112">
        <f>Expenses!AV96</f>
        <v>319.77816787597266</v>
      </c>
      <c r="AS28" s="1112">
        <f>Expenses!AW96</f>
        <v>323.47463938757653</v>
      </c>
      <c r="AT28" s="1112">
        <f>Expenses!AX96</f>
        <v>327.37188533081849</v>
      </c>
      <c r="AU28" s="1112">
        <f>Expenses!AY96</f>
        <v>331.47872953006714</v>
      </c>
      <c r="AV28" s="1112">
        <f>Expenses!AZ96</f>
        <v>335.80420272249626</v>
      </c>
      <c r="AW28" s="1112">
        <f>Expenses!BA96</f>
        <v>340.35754837785572</v>
      </c>
      <c r="AX28" s="1112">
        <f>Expenses!BB96</f>
        <v>345.1482302899999</v>
      </c>
      <c r="AY28" s="1112">
        <f>Expenses!BC96</f>
        <v>350.18594193760026</v>
      </c>
      <c r="AZ28" s="1114">
        <f>Expenses!BD96</f>
        <v>380.48061758684611</v>
      </c>
      <c r="BA28" s="1112">
        <f>Expenses!BE96</f>
        <v>386.04244508966065</v>
      </c>
      <c r="BB28" s="1112">
        <f>Expenses!BF96</f>
        <v>441.8818803172158</v>
      </c>
      <c r="BC28" s="1112">
        <f>Expenses!BG96</f>
        <v>447.70730329066646</v>
      </c>
      <c r="BD28" s="1112">
        <f>Expenses!BH96</f>
        <v>453.80635994830482</v>
      </c>
      <c r="BE28" s="1112">
        <f>Expenses!BI96</f>
        <v>460.18950017660023</v>
      </c>
      <c r="BF28" s="1112">
        <f>Expenses!BJ96</f>
        <v>466.86748733450685</v>
      </c>
      <c r="BG28" s="1112">
        <f>Expenses!BK96</f>
        <v>473.85141282750942</v>
      </c>
      <c r="BH28" s="1112">
        <f>Expenses!BL96</f>
        <v>481.15271186031379</v>
      </c>
      <c r="BI28" s="1112">
        <f>Expenses!BM96</f>
        <v>488.78318040179664</v>
      </c>
      <c r="BJ28" s="1112">
        <f>Expenses!BN96</f>
        <v>546.75499339294436</v>
      </c>
      <c r="BK28" s="1112">
        <f>Expenses!BO96</f>
        <v>555.0807242256916</v>
      </c>
      <c r="BL28" s="1114">
        <f>Expenses!BP96</f>
        <v>588.77336551782355</v>
      </c>
      <c r="BM28" s="1115"/>
      <c r="BN28" s="1112">
        <f t="shared" si="66"/>
        <v>3000</v>
      </c>
      <c r="BO28" s="1113">
        <f t="shared" si="67"/>
        <v>1.2370000000000001E-2</v>
      </c>
      <c r="BP28" s="1112">
        <f t="shared" si="68"/>
        <v>750</v>
      </c>
      <c r="BQ28" s="1112">
        <f t="shared" si="69"/>
        <v>750</v>
      </c>
      <c r="BR28" s="1112">
        <f t="shared" si="70"/>
        <v>750</v>
      </c>
      <c r="BS28" s="1112">
        <f t="shared" si="71"/>
        <v>750</v>
      </c>
      <c r="BT28" s="1112">
        <f t="shared" si="71"/>
        <v>750</v>
      </c>
      <c r="BU28" s="1112">
        <f t="shared" si="71"/>
        <v>750</v>
      </c>
      <c r="BV28" s="1112">
        <f t="shared" si="71"/>
        <v>750</v>
      </c>
      <c r="BW28" s="1112">
        <f t="shared" si="71"/>
        <v>750</v>
      </c>
      <c r="BX28" s="1112">
        <f t="shared" si="71"/>
        <v>752.12423868753444</v>
      </c>
      <c r="BY28" s="1112">
        <f t="shared" si="71"/>
        <v>756.94773582503421</v>
      </c>
      <c r="BZ28" s="1112">
        <f t="shared" si="71"/>
        <v>764.6298450538859</v>
      </c>
      <c r="CA28" s="1112">
        <f t="shared" si="71"/>
        <v>773.21442222632641</v>
      </c>
      <c r="CB28" s="1112">
        <f t="shared" si="71"/>
        <v>782.30353677170501</v>
      </c>
      <c r="CC28" s="1112">
        <f t="shared" si="71"/>
        <v>791.92416191751897</v>
      </c>
      <c r="CD28" s="1112">
        <f t="shared" si="71"/>
        <v>802.10400162040185</v>
      </c>
      <c r="CE28" s="1112">
        <f t="shared" si="71"/>
        <v>812.87146394732395</v>
      </c>
      <c r="CF28" s="1112">
        <f t="shared" si="71"/>
        <v>824.26031038543533</v>
      </c>
      <c r="CG28" s="1112">
        <f t="shared" si="71"/>
        <v>803.37165482257728</v>
      </c>
      <c r="CH28" s="1112">
        <f t="shared" si="71"/>
        <v>778.69158081277692</v>
      </c>
      <c r="CI28" s="1112">
        <f t="shared" si="71"/>
        <v>750</v>
      </c>
      <c r="CJ28" s="1112"/>
      <c r="CK28" s="1112"/>
      <c r="CL28" s="1112">
        <f t="shared" si="72"/>
        <v>3000</v>
      </c>
      <c r="CM28" s="1113">
        <f t="shared" ref="CM28:CM36" si="75">BP28/BP$6</f>
        <v>1.9408443220300324E-2</v>
      </c>
      <c r="CN28" s="1113">
        <f t="shared" si="73"/>
        <v>1.4386603984627478E-2</v>
      </c>
      <c r="CO28" s="1113">
        <f t="shared" si="73"/>
        <v>1.1141156553237962E-2</v>
      </c>
      <c r="CP28" s="1113">
        <f t="shared" si="73"/>
        <v>8.8884782904798659E-3</v>
      </c>
      <c r="CQ28" s="1113">
        <f t="shared" si="74"/>
        <v>1.2370000000000001E-2</v>
      </c>
    </row>
    <row r="29" spans="1:95" s="339" customFormat="1">
      <c r="A29" s="1142"/>
      <c r="B29" s="1111" t="s">
        <v>38</v>
      </c>
      <c r="C29" s="1112">
        <v>28272.18</v>
      </c>
      <c r="D29" s="1113">
        <v>8.7500000000000008E-3</v>
      </c>
      <c r="E29" s="1112">
        <v>240</v>
      </c>
      <c r="F29" s="1112">
        <f>Expenses!J97</f>
        <v>240</v>
      </c>
      <c r="G29" s="1112">
        <f>Expenses!K97</f>
        <v>240</v>
      </c>
      <c r="H29" s="1112">
        <f>Expenses!L97</f>
        <v>240</v>
      </c>
      <c r="I29" s="1112">
        <f>Expenses!M97</f>
        <v>240</v>
      </c>
      <c r="J29" s="1112">
        <f>Expenses!N97</f>
        <v>255</v>
      </c>
      <c r="K29" s="1112">
        <f>Expenses!O97</f>
        <v>255</v>
      </c>
      <c r="L29" s="1112">
        <f>Expenses!P97</f>
        <v>255</v>
      </c>
      <c r="M29" s="1112">
        <f>Expenses!Q97</f>
        <v>255</v>
      </c>
      <c r="N29" s="1112">
        <f>Expenses!R97</f>
        <v>255</v>
      </c>
      <c r="O29" s="1112">
        <f>Expenses!S97</f>
        <v>255</v>
      </c>
      <c r="P29" s="1114">
        <f>Expenses!T97</f>
        <v>255</v>
      </c>
      <c r="Q29" s="1112">
        <v>240</v>
      </c>
      <c r="R29" s="1112">
        <f>Expenses!V97</f>
        <v>165</v>
      </c>
      <c r="S29" s="1112">
        <f>Expenses!W97</f>
        <v>165</v>
      </c>
      <c r="T29" s="1112">
        <f>Expenses!X97</f>
        <v>165</v>
      </c>
      <c r="U29" s="1112">
        <f>Expenses!Y97</f>
        <v>165.63727160626036</v>
      </c>
      <c r="V29" s="1112">
        <f>Expenses!Z97</f>
        <v>166.44704914124992</v>
      </c>
      <c r="W29" s="1112">
        <f>Expenses!AA97</f>
        <v>167.30463276865549</v>
      </c>
      <c r="X29" s="1112">
        <f>Expenses!AB97</f>
        <v>168.21264475799251</v>
      </c>
      <c r="Y29" s="1112">
        <f>Expenses!AC97</f>
        <v>169.17378350486351</v>
      </c>
      <c r="Z29" s="1112">
        <f>Expenses!AD97</f>
        <v>170.19082031239972</v>
      </c>
      <c r="AA29" s="1112">
        <f>Expenses!AE97</f>
        <v>171.26659666885737</v>
      </c>
      <c r="AB29" s="1114">
        <f>Expenses!AF97</f>
        <v>172.4040222029401</v>
      </c>
      <c r="AC29" s="1112">
        <v>240</v>
      </c>
      <c r="AD29" s="1112">
        <f>Expenses!AH97</f>
        <v>259.88215494288585</v>
      </c>
      <c r="AE29" s="1112">
        <f>Expenses!AI97</f>
        <v>260.9334503627918</v>
      </c>
      <c r="AF29" s="1112">
        <f>Expenses!AJ97</f>
        <v>277.04239181627298</v>
      </c>
      <c r="AG29" s="1112">
        <f>Expenses!AK97</f>
        <v>278.21156559924555</v>
      </c>
      <c r="AH29" s="1112">
        <f>Expenses!AL97</f>
        <v>279.44361885902015</v>
      </c>
      <c r="AI29" s="1112">
        <f>Expenses!AM97</f>
        <v>280.74126081674888</v>
      </c>
      <c r="AJ29" s="1112">
        <f>Expenses!AN97</f>
        <v>282.10726451335671</v>
      </c>
      <c r="AK29" s="1112">
        <f>Expenses!AO97</f>
        <v>283.54446908699998</v>
      </c>
      <c r="AL29" s="1112">
        <f>Expenses!AP97</f>
        <v>300.05578258128008</v>
      </c>
      <c r="AM29" s="1112">
        <f>Expenses!AQ97</f>
        <v>301.64418527605386</v>
      </c>
      <c r="AN29" s="1114">
        <f>Expenses!AR97</f>
        <v>303.31273352689823</v>
      </c>
      <c r="AO29" s="1116">
        <v>240</v>
      </c>
      <c r="AP29" s="1112">
        <f>Expenses!AT97</f>
        <v>321.81219098719993</v>
      </c>
      <c r="AQ29" s="1112">
        <f>Expenses!AU97</f>
        <v>323.64190798449141</v>
      </c>
      <c r="AR29" s="1112">
        <f>Expenses!AV97</f>
        <v>325.55685005298005</v>
      </c>
      <c r="AS29" s="1112">
        <f>Expenses!AW97</f>
        <v>342.56024620035203</v>
      </c>
      <c r="AT29" s="1112">
        <f>Expenses!AX97</f>
        <v>344.65542384825284</v>
      </c>
      <c r="AU29" s="1112">
        <f>Expenses!AY97</f>
        <v>346.84581355809416</v>
      </c>
      <c r="AV29" s="1112">
        <f>Expenses!AZ97</f>
        <v>364.13495412053902</v>
      </c>
      <c r="AW29" s="1112">
        <f>Expenses!BA97</f>
        <v>366.52649801788334</v>
      </c>
      <c r="AX29" s="1112">
        <f>Expenses!BB97</f>
        <v>384.02421726770746</v>
      </c>
      <c r="AY29" s="1112">
        <f>Expenses!BC97</f>
        <v>386.63200965534708</v>
      </c>
      <c r="AZ29" s="1114">
        <f>Expenses!BD97</f>
        <v>404.35390536194694</v>
      </c>
      <c r="BA29" s="1112">
        <v>240</v>
      </c>
      <c r="BB29" s="1112">
        <f>Expenses!BF97</f>
        <v>425.20185300820515</v>
      </c>
      <c r="BC29" s="1112">
        <f>Expenses!BG97</f>
        <v>428.34283746305186</v>
      </c>
      <c r="BD29" s="1112">
        <f>Expenses!BH97</f>
        <v>446.62212054316979</v>
      </c>
      <c r="BE29" s="1112">
        <f>Expenses!BI97</f>
        <v>450.04498663698325</v>
      </c>
      <c r="BF29" s="1112">
        <f>Expenses!BJ97</f>
        <v>468.61692100054148</v>
      </c>
      <c r="BG29" s="1112">
        <f>Expenses!BK97</f>
        <v>487.34361990766058</v>
      </c>
      <c r="BH29" s="1112">
        <f>Expenses!BL97</f>
        <v>491.23100129433294</v>
      </c>
      <c r="BI29" s="1112">
        <f>Expenses!BM97</f>
        <v>510.28521590499253</v>
      </c>
      <c r="BJ29" s="1112">
        <f>Expenses!BN97</f>
        <v>529.51265894808205</v>
      </c>
      <c r="BK29" s="1112">
        <f>Expenses!BO97</f>
        <v>533.91998226834323</v>
      </c>
      <c r="BL29" s="1114">
        <f>Expenses!BP97</f>
        <v>553.51410704332693</v>
      </c>
      <c r="BM29" s="1115"/>
      <c r="BN29" s="1112">
        <f t="shared" si="66"/>
        <v>2985</v>
      </c>
      <c r="BO29" s="1113">
        <f t="shared" si="67"/>
        <v>1.231E-2</v>
      </c>
      <c r="BP29" s="1112">
        <f t="shared" si="68"/>
        <v>720</v>
      </c>
      <c r="BQ29" s="1112">
        <f t="shared" si="69"/>
        <v>735</v>
      </c>
      <c r="BR29" s="1112">
        <f t="shared" si="70"/>
        <v>765</v>
      </c>
      <c r="BS29" s="1112">
        <f t="shared" si="71"/>
        <v>765</v>
      </c>
      <c r="BT29" s="1112">
        <f t="shared" si="71"/>
        <v>750</v>
      </c>
      <c r="BU29" s="1112">
        <f t="shared" si="71"/>
        <v>660</v>
      </c>
      <c r="BV29" s="1112">
        <f t="shared" si="71"/>
        <v>570</v>
      </c>
      <c r="BW29" s="1112">
        <f t="shared" si="71"/>
        <v>495</v>
      </c>
      <c r="BX29" s="1112">
        <f t="shared" si="71"/>
        <v>495.63727160626036</v>
      </c>
      <c r="BY29" s="1112">
        <f t="shared" si="71"/>
        <v>497.08432074751028</v>
      </c>
      <c r="BZ29" s="1112">
        <f t="shared" si="71"/>
        <v>499.38895351616577</v>
      </c>
      <c r="CA29" s="1112">
        <f t="shared" si="71"/>
        <v>501.96432666789792</v>
      </c>
      <c r="CB29" s="1112">
        <f t="shared" si="71"/>
        <v>504.69106103151148</v>
      </c>
      <c r="CC29" s="1112">
        <f t="shared" si="71"/>
        <v>507.57724857525579</v>
      </c>
      <c r="CD29" s="1112">
        <f t="shared" si="71"/>
        <v>510.63120048612063</v>
      </c>
      <c r="CE29" s="1112">
        <f t="shared" si="71"/>
        <v>513.86143918419725</v>
      </c>
      <c r="CF29" s="1112">
        <f t="shared" si="71"/>
        <v>583.6706188717975</v>
      </c>
      <c r="CG29" s="1112">
        <f t="shared" si="71"/>
        <v>672.28617714582595</v>
      </c>
      <c r="CH29" s="1112">
        <f t="shared" si="71"/>
        <v>760.81560530567765</v>
      </c>
      <c r="CI29" s="1112">
        <f t="shared" si="71"/>
        <v>797.85799712195058</v>
      </c>
      <c r="CJ29" s="1112"/>
      <c r="CK29" s="1112"/>
      <c r="CL29" s="1112">
        <f t="shared" si="72"/>
        <v>2985</v>
      </c>
      <c r="CM29" s="1113">
        <f t="shared" si="75"/>
        <v>1.8632105491488311E-2</v>
      </c>
      <c r="CN29" s="1113">
        <f t="shared" si="73"/>
        <v>1.4098871904934928E-2</v>
      </c>
      <c r="CO29" s="1113">
        <f t="shared" si="73"/>
        <v>1.136397968430272E-2</v>
      </c>
      <c r="CP29" s="1113">
        <f t="shared" si="73"/>
        <v>9.0662478562894624E-3</v>
      </c>
      <c r="CQ29" s="1113">
        <f t="shared" si="74"/>
        <v>1.231E-2</v>
      </c>
    </row>
    <row r="30" spans="1:95" s="339" customFormat="1">
      <c r="A30" s="1142"/>
      <c r="B30" s="1111" t="s">
        <v>39</v>
      </c>
      <c r="C30" s="1112">
        <v>15762.91</v>
      </c>
      <c r="D30" s="1113">
        <v>4.8799999999999998E-3</v>
      </c>
      <c r="E30" s="1112">
        <f>Expenses!$G$100+((E6*0.00665))</f>
        <v>2598.7805286343614</v>
      </c>
      <c r="F30" s="1112">
        <f>Expenses!$G$100+((F6*0.00665))</f>
        <v>2605.0018749074889</v>
      </c>
      <c r="G30" s="1112">
        <f>Expenses!$G$100+((G6*0.00665))</f>
        <v>2613.1933849532984</v>
      </c>
      <c r="H30" s="1112">
        <f>Expenses!$G$100+((H6*0.00665))</f>
        <v>2625.0317753460099</v>
      </c>
      <c r="I30" s="1112">
        <f>Expenses!$G$100+((I6*0.00665))</f>
        <v>2635.2063150656518</v>
      </c>
      <c r="J30" s="1112">
        <f>Expenses!$G$100+((J6*0.00665))</f>
        <v>2646.4385822297268</v>
      </c>
      <c r="K30" s="1112">
        <f>Expenses!$G$100+((K6*0.00665))</f>
        <v>2657.12144728761</v>
      </c>
      <c r="L30" s="1112">
        <f>Expenses!$G$100+((L6*0.00665))</f>
        <v>2668.8426735934158</v>
      </c>
      <c r="M30" s="1112">
        <f>Expenses!$G$100+((M6*0.00665))</f>
        <v>2681.7003541819768</v>
      </c>
      <c r="N30" s="1112">
        <f>Expenses!$G$100+((N6*0.00665))</f>
        <v>2693.6698870896626</v>
      </c>
      <c r="O30" s="1112">
        <f>Expenses!$G$100+((O6*0.00665))</f>
        <v>2706.6701656994719</v>
      </c>
      <c r="P30" s="1114">
        <f>Expenses!$G$100+((P6*0.00665))</f>
        <v>2720.7796166307635</v>
      </c>
      <c r="Q30" s="1112">
        <f>Expenses!$G$100+((Q6*0.00665))</f>
        <v>2730.5639710788132</v>
      </c>
      <c r="R30" s="1112">
        <f>Expenses!$G$100+((R6*0.00665))</f>
        <v>2746.6188823029011</v>
      </c>
      <c r="S30" s="1112">
        <f>Expenses!$G$100+((S6*0.00665))</f>
        <v>2764.0980441662177</v>
      </c>
      <c r="T30" s="1112">
        <f>Expenses!$G$100+((T6*0.00665))</f>
        <v>2783.1097157432578</v>
      </c>
      <c r="U30" s="1112">
        <f>Expenses!$G$100+((U6*0.00665))</f>
        <v>2803.7666311470116</v>
      </c>
      <c r="V30" s="1112">
        <f>Expenses!$G$100+((V6*0.00665))</f>
        <v>2826.18572790383</v>
      </c>
      <c r="W30" s="1112">
        <f>Expenses!$G$100+((W6*0.00665))</f>
        <v>2850.4878516082754</v>
      </c>
      <c r="X30" s="1112">
        <f>Expenses!$G$100+((X6*0.00665))</f>
        <v>2876.797449272904</v>
      </c>
      <c r="Y30" s="1112">
        <f>Expenses!$G$100+((Y6*0.00665))</f>
        <v>2905.2422648603615</v>
      </c>
      <c r="Z30" s="1112">
        <f>Expenses!$G$100+((Z6*0.00665))</f>
        <v>2935.9530508365915</v>
      </c>
      <c r="AA30" s="1112">
        <f>Expenses!$G$100+((AA6*0.00665))</f>
        <v>2969.0633091694012</v>
      </c>
      <c r="AB30" s="1114">
        <f>Expenses!$G$100+((AB6*0.00665))</f>
        <v>3004.7090740367635</v>
      </c>
      <c r="AC30" s="1112">
        <f>Expenses!$G$100+((AC6*0.00665))</f>
        <v>3043.1133538593267</v>
      </c>
      <c r="AD30" s="1112">
        <f>Expenses!$G$100+((AD6*0.00665))</f>
        <v>3082.5225938512913</v>
      </c>
      <c r="AE30" s="1112">
        <f>Expenses!$G$100+((AE6*0.00665))</f>
        <v>3124.7454923882933</v>
      </c>
      <c r="AF30" s="1112">
        <f>Expenses!$G$100+((AF6*0.00665))</f>
        <v>3169.9249577166929</v>
      </c>
      <c r="AG30" s="1112">
        <f>Expenses!$G$100+((AG6*0.00665))</f>
        <v>3218.2064509592319</v>
      </c>
      <c r="AH30" s="1112">
        <f>Expenses!$G$100+((AH6*0.00665))</f>
        <v>3269.7379359403844</v>
      </c>
      <c r="AI30" s="1112">
        <f>Expenses!$G$100+((AI6*0.00665))</f>
        <v>3324.6698662110311</v>
      </c>
      <c r="AJ30" s="1112">
        <f>Expenses!$G$100+((AJ6*0.00665))</f>
        <v>3383.1552107500065</v>
      </c>
      <c r="AK30" s="1112">
        <f>Expenses!$G$100+((AK6*0.00665))</f>
        <v>3445.3495189653804</v>
      </c>
      <c r="AL30" s="1112">
        <f>Expenses!$G$100+((AL6*0.00665))</f>
        <v>3511.4110248563043</v>
      </c>
      <c r="AM30" s="1112">
        <f>Expenses!$G$100+((AM6*0.00665))</f>
        <v>3581.5007895523559</v>
      </c>
      <c r="AN30" s="1114">
        <f>Expenses!$G$100+((AN6*0.00665))</f>
        <v>3655.7828809375223</v>
      </c>
      <c r="AO30" s="1116">
        <f>Expenses!$G$100+((AO6*0.00665))</f>
        <v>3734.4245886962244</v>
      </c>
      <c r="AP30" s="1112">
        <f>Expenses!$G$100+((AP6*0.00665))</f>
        <v>3809.8512901188883</v>
      </c>
      <c r="AQ30" s="1112">
        <f>Expenses!$G$100+((AQ6*0.00665))</f>
        <v>3889.3102724196378</v>
      </c>
      <c r="AR30" s="1112">
        <f>Expenses!$G$100+((AR6*0.00665))</f>
        <v>3972.9551434025393</v>
      </c>
      <c r="AS30" s="1112">
        <f>Expenses!$G$100+((AS6*0.00665))</f>
        <v>4060.9431090672724</v>
      </c>
      <c r="AT30" s="1112">
        <f>Expenses!$G$100+((AT6*0.00665))</f>
        <v>4153.4351493170507</v>
      </c>
      <c r="AU30" s="1112">
        <f>Expenses!$G$100+((AU6*0.00665))</f>
        <v>4250.5962153721739</v>
      </c>
      <c r="AV30" s="1112">
        <f>Expenses!$G$100+((AV6*0.00665))</f>
        <v>4352.595449551517</v>
      </c>
      <c r="AW30" s="1112">
        <f>Expenses!$G$100+((AW6*0.00665))</f>
        <v>4459.6064280057481</v>
      </c>
      <c r="AX30" s="1112">
        <f>Expenses!$G$100+((AX6*0.00665))</f>
        <v>4571.8074269075596</v>
      </c>
      <c r="AY30" s="1112">
        <f>Expenses!$G$100+((AY6*0.00665))</f>
        <v>4689.3817125263067</v>
      </c>
      <c r="AZ30" s="1114">
        <f>Expenses!$G$100+((AZ6*0.00665))</f>
        <v>4812.5178555381808</v>
      </c>
      <c r="BA30" s="1112">
        <f>Expenses!$G$100+((BA6*0.00665))</f>
        <v>4941.4100698492457</v>
      </c>
      <c r="BB30" s="1112">
        <f>Expenses!$G$100+((BB6*0.00665))</f>
        <v>5080.025225559808</v>
      </c>
      <c r="BC30" s="1112">
        <f>Expenses!$G$100+((BC6*0.00665))</f>
        <v>5225.3303969340368</v>
      </c>
      <c r="BD30" s="1112">
        <f>Expenses!$G$100+((BD6*0.00665))</f>
        <v>5377.5795266197965</v>
      </c>
      <c r="BE30" s="1112">
        <f>Expenses!$G$100+((BE6*0.00665))</f>
        <v>5537.0356129403626</v>
      </c>
      <c r="BF30" s="1112">
        <f>Expenses!$G$100+((BF6*0.00665))</f>
        <v>5703.9712278382376</v>
      </c>
      <c r="BG30" s="1112">
        <f>Expenses!$G$100+((BG6*0.00665))</f>
        <v>5878.6690651242807</v>
      </c>
      <c r="BH30" s="1112">
        <f>Expenses!$G$100+((BH6*0.00665))</f>
        <v>6061.4225193795719</v>
      </c>
      <c r="BI30" s="1112">
        <f>Expenses!$G$100+((BI6*0.00665))</f>
        <v>6252.5362958151409</v>
      </c>
      <c r="BJ30" s="1112">
        <f>Expenses!$G$100+((BJ6*0.00665))</f>
        <v>6452.3270513591779</v>
      </c>
      <c r="BK30" s="1112">
        <f>Expenses!$G$100+((BK6*0.00665))</f>
        <v>6661.1240672134581</v>
      </c>
      <c r="BL30" s="1114">
        <f>Expenses!$G$100+((BL6*0.00665))</f>
        <v>6879.2699531009339</v>
      </c>
      <c r="BM30" s="1115"/>
      <c r="BN30" s="1112">
        <f t="shared" si="66"/>
        <v>31852.436605619438</v>
      </c>
      <c r="BO30" s="1113">
        <f t="shared" si="67"/>
        <v>0.13136999999999999</v>
      </c>
      <c r="BP30" s="1112">
        <f t="shared" si="68"/>
        <v>7816.9757884951487</v>
      </c>
      <c r="BQ30" s="1112">
        <f t="shared" si="69"/>
        <v>7906.676672641388</v>
      </c>
      <c r="BR30" s="1112">
        <f t="shared" si="70"/>
        <v>8007.664475063003</v>
      </c>
      <c r="BS30" s="1112">
        <f t="shared" si="71"/>
        <v>8121.1196694198979</v>
      </c>
      <c r="BT30" s="1112">
        <f t="shared" si="71"/>
        <v>8158.0137534090481</v>
      </c>
      <c r="BU30" s="1112">
        <f t="shared" si="71"/>
        <v>8197.9624700124768</v>
      </c>
      <c r="BV30" s="1112">
        <f t="shared" si="71"/>
        <v>8241.2808975479311</v>
      </c>
      <c r="BW30" s="1112">
        <f t="shared" si="71"/>
        <v>8293.8266422123761</v>
      </c>
      <c r="BX30" s="1112">
        <f t="shared" si="71"/>
        <v>8350.9743910564866</v>
      </c>
      <c r="BY30" s="1112">
        <f t="shared" si="71"/>
        <v>8413.0620747940993</v>
      </c>
      <c r="BZ30" s="1112">
        <f t="shared" si="71"/>
        <v>8480.4402106591169</v>
      </c>
      <c r="CA30" s="1112">
        <f t="shared" si="71"/>
        <v>8553.4710287850103</v>
      </c>
      <c r="CB30" s="1112">
        <f t="shared" si="71"/>
        <v>8632.5275657415405</v>
      </c>
      <c r="CC30" s="1112">
        <f t="shared" si="71"/>
        <v>8717.9927649698566</v>
      </c>
      <c r="CD30" s="1112">
        <f t="shared" si="71"/>
        <v>8810.2586248663538</v>
      </c>
      <c r="CE30" s="1112">
        <f t="shared" si="71"/>
        <v>8909.7254340427571</v>
      </c>
      <c r="CF30" s="1112">
        <f t="shared" si="71"/>
        <v>9016.8857370654914</v>
      </c>
      <c r="CG30" s="1112">
        <f t="shared" si="71"/>
        <v>9130.3450217473801</v>
      </c>
      <c r="CH30" s="1112">
        <f t="shared" si="71"/>
        <v>9250.3814400989104</v>
      </c>
      <c r="CI30" s="1112">
        <f t="shared" si="71"/>
        <v>9377.1930439562784</v>
      </c>
      <c r="CJ30" s="1112"/>
      <c r="CK30" s="1112"/>
      <c r="CL30" s="1112">
        <f t="shared" si="72"/>
        <v>31852.436605619438</v>
      </c>
      <c r="CM30" s="1113">
        <f t="shared" si="75"/>
        <v>0.20228710766062727</v>
      </c>
      <c r="CN30" s="1113">
        <f t="shared" si="73"/>
        <v>0.15166696816504496</v>
      </c>
      <c r="CO30" s="1113">
        <f t="shared" si="73"/>
        <v>0.11895285805663866</v>
      </c>
      <c r="CP30" s="1113">
        <f t="shared" si="73"/>
        <v>9.6245861168037045E-2</v>
      </c>
      <c r="CQ30" s="1113">
        <f t="shared" si="74"/>
        <v>0.13136999999999999</v>
      </c>
    </row>
    <row r="31" spans="1:95" s="339" customFormat="1">
      <c r="A31" s="1142"/>
      <c r="B31" s="1111" t="s">
        <v>40</v>
      </c>
      <c r="C31" s="1112">
        <v>97122</v>
      </c>
      <c r="D31" s="1113">
        <v>3.006E-2</v>
      </c>
      <c r="E31" s="1112">
        <f>Expenses!I102</f>
        <v>3600</v>
      </c>
      <c r="F31" s="1112">
        <f>Expenses!J102</f>
        <v>3600</v>
      </c>
      <c r="G31" s="1112">
        <f>Expenses!K102</f>
        <v>3600</v>
      </c>
      <c r="H31" s="1112">
        <f>Expenses!L102</f>
        <v>3600</v>
      </c>
      <c r="I31" s="1112">
        <f>Expenses!M102</f>
        <v>3600</v>
      </c>
      <c r="J31" s="1112">
        <f>Expenses!N102</f>
        <v>3600</v>
      </c>
      <c r="K31" s="1112">
        <f>Expenses!O102</f>
        <v>3600</v>
      </c>
      <c r="L31" s="1112">
        <f>Expenses!P102</f>
        <v>3600</v>
      </c>
      <c r="M31" s="1112">
        <f>Expenses!Q102</f>
        <v>3600</v>
      </c>
      <c r="N31" s="1112">
        <f>Expenses!R102</f>
        <v>3600</v>
      </c>
      <c r="O31" s="1112">
        <f>Expenses!S102</f>
        <v>3600</v>
      </c>
      <c r="P31" s="1114">
        <f>Expenses!T102</f>
        <v>3600</v>
      </c>
      <c r="Q31" s="1112">
        <f>Expenses!U102</f>
        <v>3600</v>
      </c>
      <c r="R31" s="1112">
        <f>Expenses!V102</f>
        <v>3600</v>
      </c>
      <c r="S31" s="1112">
        <f>Expenses!W102</f>
        <v>3600</v>
      </c>
      <c r="T31" s="1112">
        <f>Expenses!X102</f>
        <v>3600</v>
      </c>
      <c r="U31" s="1112">
        <f>Expenses!Y102</f>
        <v>3600</v>
      </c>
      <c r="V31" s="1112">
        <f>Expenses!Z102</f>
        <v>3600</v>
      </c>
      <c r="W31" s="1112">
        <f>Expenses!AA102</f>
        <v>3600</v>
      </c>
      <c r="X31" s="1112">
        <f>Expenses!AB102</f>
        <v>3600</v>
      </c>
      <c r="Y31" s="1112">
        <f>Expenses!AC102</f>
        <v>3600</v>
      </c>
      <c r="Z31" s="1112">
        <f>Expenses!AD102</f>
        <v>3600</v>
      </c>
      <c r="AA31" s="1112">
        <f>Expenses!AE102</f>
        <v>3600</v>
      </c>
      <c r="AB31" s="1114">
        <f>Expenses!AF102</f>
        <v>3600</v>
      </c>
      <c r="AC31" s="1112">
        <f>Expenses!AG102</f>
        <v>3600</v>
      </c>
      <c r="AD31" s="1112">
        <f>Expenses!AH102</f>
        <v>3600</v>
      </c>
      <c r="AE31" s="1112">
        <f>Expenses!AI102</f>
        <v>3600</v>
      </c>
      <c r="AF31" s="1112">
        <f>Expenses!AJ102</f>
        <v>3600</v>
      </c>
      <c r="AG31" s="1112">
        <f>Expenses!AK102</f>
        <v>3600</v>
      </c>
      <c r="AH31" s="1112">
        <f>Expenses!AL102</f>
        <v>3600</v>
      </c>
      <c r="AI31" s="1112">
        <f>Expenses!AM102</f>
        <v>3600</v>
      </c>
      <c r="AJ31" s="1112">
        <f>Expenses!AN102</f>
        <v>3600</v>
      </c>
      <c r="AK31" s="1112">
        <f>Expenses!AO102</f>
        <v>3600</v>
      </c>
      <c r="AL31" s="1112">
        <f>Expenses!AP102</f>
        <v>3600</v>
      </c>
      <c r="AM31" s="1112">
        <f>Expenses!AQ102</f>
        <v>3600</v>
      </c>
      <c r="AN31" s="1114">
        <f>Expenses!AR102</f>
        <v>3600</v>
      </c>
      <c r="AO31" s="1116">
        <f>Expenses!AS102</f>
        <v>3600</v>
      </c>
      <c r="AP31" s="1112">
        <f>Expenses!AT102</f>
        <v>3600</v>
      </c>
      <c r="AQ31" s="1112">
        <f>Expenses!AU102</f>
        <v>3600</v>
      </c>
      <c r="AR31" s="1112">
        <f>Expenses!AV102</f>
        <v>3600</v>
      </c>
      <c r="AS31" s="1112">
        <f>Expenses!AW102</f>
        <v>3600</v>
      </c>
      <c r="AT31" s="1112">
        <f>Expenses!AX102</f>
        <v>6480</v>
      </c>
      <c r="AU31" s="1112">
        <f>Expenses!AY102</f>
        <v>6480</v>
      </c>
      <c r="AV31" s="1112">
        <f>Expenses!AZ102</f>
        <v>6480</v>
      </c>
      <c r="AW31" s="1112">
        <f>Expenses!BA102</f>
        <v>6480</v>
      </c>
      <c r="AX31" s="1112">
        <f>Expenses!BB102</f>
        <v>6480</v>
      </c>
      <c r="AY31" s="1112">
        <f>Expenses!BC102</f>
        <v>6480</v>
      </c>
      <c r="AZ31" s="1114">
        <f>Expenses!BD102</f>
        <v>6480</v>
      </c>
      <c r="BA31" s="1112">
        <f>Expenses!BE102</f>
        <v>6480</v>
      </c>
      <c r="BB31" s="1112">
        <f>Expenses!BF102</f>
        <v>6480</v>
      </c>
      <c r="BC31" s="1112">
        <f>Expenses!BG102</f>
        <v>6480</v>
      </c>
      <c r="BD31" s="1112">
        <f>Expenses!BH102</f>
        <v>6480</v>
      </c>
      <c r="BE31" s="1112">
        <f>Expenses!BI102</f>
        <v>6480</v>
      </c>
      <c r="BF31" s="1112">
        <f>Expenses!BJ102</f>
        <v>6480</v>
      </c>
      <c r="BG31" s="1112">
        <f>Expenses!BK102</f>
        <v>6480</v>
      </c>
      <c r="BH31" s="1112">
        <f>Expenses!BL102</f>
        <v>6480</v>
      </c>
      <c r="BI31" s="1112">
        <f>Expenses!BM102</f>
        <v>6480</v>
      </c>
      <c r="BJ31" s="1112">
        <f>Expenses!BN102</f>
        <v>6480</v>
      </c>
      <c r="BK31" s="1112">
        <f>Expenses!BO102</f>
        <v>6480</v>
      </c>
      <c r="BL31" s="1114">
        <f>Expenses!BP102</f>
        <v>6480</v>
      </c>
      <c r="BM31" s="1115"/>
      <c r="BN31" s="1112">
        <f t="shared" si="66"/>
        <v>43200</v>
      </c>
      <c r="BO31" s="1113">
        <f t="shared" si="67"/>
        <v>0.17817</v>
      </c>
      <c r="BP31" s="1112">
        <f t="shared" si="68"/>
        <v>10800</v>
      </c>
      <c r="BQ31" s="1112">
        <f t="shared" si="69"/>
        <v>10800</v>
      </c>
      <c r="BR31" s="1112">
        <f t="shared" si="70"/>
        <v>10800</v>
      </c>
      <c r="BS31" s="1112">
        <f t="shared" si="71"/>
        <v>10800</v>
      </c>
      <c r="BT31" s="1112">
        <f t="shared" si="71"/>
        <v>10800</v>
      </c>
      <c r="BU31" s="1112">
        <f t="shared" si="71"/>
        <v>10800</v>
      </c>
      <c r="BV31" s="1112">
        <f t="shared" si="71"/>
        <v>10800</v>
      </c>
      <c r="BW31" s="1112">
        <f t="shared" si="71"/>
        <v>10800</v>
      </c>
      <c r="BX31" s="1112">
        <f t="shared" si="71"/>
        <v>10800</v>
      </c>
      <c r="BY31" s="1112">
        <f t="shared" si="71"/>
        <v>10800</v>
      </c>
      <c r="BZ31" s="1112">
        <f t="shared" si="71"/>
        <v>10800</v>
      </c>
      <c r="CA31" s="1112">
        <f t="shared" si="71"/>
        <v>10800</v>
      </c>
      <c r="CB31" s="1112">
        <f t="shared" si="71"/>
        <v>10800</v>
      </c>
      <c r="CC31" s="1112">
        <f t="shared" si="71"/>
        <v>10800</v>
      </c>
      <c r="CD31" s="1112">
        <f t="shared" si="71"/>
        <v>10800</v>
      </c>
      <c r="CE31" s="1112">
        <f t="shared" si="71"/>
        <v>10800</v>
      </c>
      <c r="CF31" s="1112">
        <f t="shared" si="71"/>
        <v>10800</v>
      </c>
      <c r="CG31" s="1112">
        <f t="shared" si="71"/>
        <v>10800</v>
      </c>
      <c r="CH31" s="1112">
        <f t="shared" si="71"/>
        <v>10800</v>
      </c>
      <c r="CI31" s="1112">
        <f t="shared" si="71"/>
        <v>10800</v>
      </c>
      <c r="CJ31" s="1112"/>
      <c r="CK31" s="1112"/>
      <c r="CL31" s="1112">
        <f t="shared" si="72"/>
        <v>43200</v>
      </c>
      <c r="CM31" s="1113">
        <f t="shared" si="75"/>
        <v>0.27948158237232468</v>
      </c>
      <c r="CN31" s="1113">
        <f t="shared" si="73"/>
        <v>0.20716709737863567</v>
      </c>
      <c r="CO31" s="1113">
        <f t="shared" si="73"/>
        <v>0.16043265436662663</v>
      </c>
      <c r="CP31" s="1113">
        <f t="shared" si="73"/>
        <v>0.12799408738291007</v>
      </c>
      <c r="CQ31" s="1113">
        <f t="shared" si="74"/>
        <v>0.17817</v>
      </c>
    </row>
    <row r="32" spans="1:95" s="339" customFormat="1">
      <c r="A32" s="1142"/>
      <c r="B32" s="1111" t="s">
        <v>41</v>
      </c>
      <c r="C32" s="1112"/>
      <c r="D32" s="1113"/>
      <c r="E32" s="1112">
        <f>Expenses!I103</f>
        <v>100</v>
      </c>
      <c r="F32" s="1112">
        <f>Expenses!J103</f>
        <v>100</v>
      </c>
      <c r="G32" s="1112">
        <f>Expenses!K103</f>
        <v>100</v>
      </c>
      <c r="H32" s="1112">
        <f>Expenses!L103</f>
        <v>100</v>
      </c>
      <c r="I32" s="1112">
        <f>Expenses!M103</f>
        <v>100</v>
      </c>
      <c r="J32" s="1112">
        <f>Expenses!N103</f>
        <v>100</v>
      </c>
      <c r="K32" s="1112">
        <f>Expenses!O103</f>
        <v>100</v>
      </c>
      <c r="L32" s="1112">
        <f>Expenses!P103</f>
        <v>100</v>
      </c>
      <c r="M32" s="1112">
        <f>Expenses!Q103</f>
        <v>100</v>
      </c>
      <c r="N32" s="1112">
        <f>Expenses!R103</f>
        <v>100</v>
      </c>
      <c r="O32" s="1112">
        <f>Expenses!S103</f>
        <v>100</v>
      </c>
      <c r="P32" s="1114">
        <f>Expenses!T103</f>
        <v>100</v>
      </c>
      <c r="Q32" s="1112">
        <f>Expenses!U103</f>
        <v>100</v>
      </c>
      <c r="R32" s="1112">
        <f>Expenses!V103</f>
        <v>100</v>
      </c>
      <c r="S32" s="1112">
        <f>Expenses!W103</f>
        <v>100</v>
      </c>
      <c r="T32" s="1112">
        <f>Expenses!X103</f>
        <v>100</v>
      </c>
      <c r="U32" s="1112">
        <f>Expenses!Y103</f>
        <v>100</v>
      </c>
      <c r="V32" s="1112">
        <f>Expenses!Z103</f>
        <v>100</v>
      </c>
      <c r="W32" s="1112">
        <f>Expenses!AA103</f>
        <v>100</v>
      </c>
      <c r="X32" s="1112">
        <f>Expenses!AB103</f>
        <v>100</v>
      </c>
      <c r="Y32" s="1112">
        <f>Expenses!AC103</f>
        <v>100</v>
      </c>
      <c r="Z32" s="1112">
        <f>Expenses!AD103</f>
        <v>100</v>
      </c>
      <c r="AA32" s="1112">
        <f>Expenses!AE103</f>
        <v>100</v>
      </c>
      <c r="AB32" s="1114">
        <f>Expenses!AF103</f>
        <v>100</v>
      </c>
      <c r="AC32" s="1112">
        <f>Expenses!AG103</f>
        <v>100</v>
      </c>
      <c r="AD32" s="1112">
        <f>Expenses!AH103</f>
        <v>100</v>
      </c>
      <c r="AE32" s="1112">
        <f>Expenses!AI103</f>
        <v>100</v>
      </c>
      <c r="AF32" s="1112">
        <f>Expenses!AJ103</f>
        <v>100</v>
      </c>
      <c r="AG32" s="1112">
        <f>Expenses!AK103</f>
        <v>100</v>
      </c>
      <c r="AH32" s="1112">
        <f>Expenses!AL103</f>
        <v>100</v>
      </c>
      <c r="AI32" s="1112">
        <f>Expenses!AM103</f>
        <v>100</v>
      </c>
      <c r="AJ32" s="1112">
        <f>Expenses!AN103</f>
        <v>100</v>
      </c>
      <c r="AK32" s="1112">
        <f>Expenses!AO103</f>
        <v>100</v>
      </c>
      <c r="AL32" s="1112">
        <f>Expenses!AP103</f>
        <v>100</v>
      </c>
      <c r="AM32" s="1112">
        <f>Expenses!AQ103</f>
        <v>100</v>
      </c>
      <c r="AN32" s="1114">
        <f>Expenses!AR103</f>
        <v>100</v>
      </c>
      <c r="AO32" s="1116">
        <f>Expenses!AS103</f>
        <v>100</v>
      </c>
      <c r="AP32" s="1112">
        <f>Expenses!AT103</f>
        <v>100</v>
      </c>
      <c r="AQ32" s="1112">
        <f>Expenses!AU103</f>
        <v>100</v>
      </c>
      <c r="AR32" s="1112">
        <f>Expenses!AV103</f>
        <v>100</v>
      </c>
      <c r="AS32" s="1112">
        <f>Expenses!AW103</f>
        <v>100</v>
      </c>
      <c r="AT32" s="1112">
        <f>Expenses!AX103</f>
        <v>100</v>
      </c>
      <c r="AU32" s="1112">
        <f>Expenses!AY103</f>
        <v>100</v>
      </c>
      <c r="AV32" s="1112">
        <f>Expenses!AZ103</f>
        <v>100</v>
      </c>
      <c r="AW32" s="1112">
        <f>Expenses!BA103</f>
        <v>100</v>
      </c>
      <c r="AX32" s="1112">
        <f>Expenses!BB103</f>
        <v>100</v>
      </c>
      <c r="AY32" s="1112">
        <f>Expenses!BC103</f>
        <v>100</v>
      </c>
      <c r="AZ32" s="1114">
        <f>Expenses!BD103</f>
        <v>100</v>
      </c>
      <c r="BA32" s="1112">
        <f>Expenses!BE103</f>
        <v>100</v>
      </c>
      <c r="BB32" s="1112">
        <f>Expenses!BF103</f>
        <v>100</v>
      </c>
      <c r="BC32" s="1112">
        <f>Expenses!BG103</f>
        <v>100</v>
      </c>
      <c r="BD32" s="1112">
        <f>Expenses!BH103</f>
        <v>100</v>
      </c>
      <c r="BE32" s="1112">
        <f>Expenses!BI103</f>
        <v>100</v>
      </c>
      <c r="BF32" s="1112">
        <f>Expenses!BJ103</f>
        <v>100</v>
      </c>
      <c r="BG32" s="1112">
        <f>Expenses!BK103</f>
        <v>100</v>
      </c>
      <c r="BH32" s="1112">
        <f>Expenses!BL103</f>
        <v>100</v>
      </c>
      <c r="BI32" s="1112">
        <f>Expenses!BM103</f>
        <v>100</v>
      </c>
      <c r="BJ32" s="1112">
        <f>Expenses!BN103</f>
        <v>100</v>
      </c>
      <c r="BK32" s="1112">
        <f>Expenses!BO103</f>
        <v>100</v>
      </c>
      <c r="BL32" s="1114">
        <f>Expenses!BP103</f>
        <v>100</v>
      </c>
      <c r="BM32" s="1115"/>
      <c r="BN32" s="1112">
        <f t="shared" si="66"/>
        <v>1200</v>
      </c>
      <c r="BO32" s="1113">
        <f t="shared" si="67"/>
        <v>4.9500000000000004E-3</v>
      </c>
      <c r="BP32" s="1112">
        <f t="shared" si="68"/>
        <v>300</v>
      </c>
      <c r="BQ32" s="1112">
        <f t="shared" si="69"/>
        <v>300</v>
      </c>
      <c r="BR32" s="1112">
        <f t="shared" si="70"/>
        <v>300</v>
      </c>
      <c r="BS32" s="1112">
        <f t="shared" si="71"/>
        <v>300</v>
      </c>
      <c r="BT32" s="1112">
        <f t="shared" si="71"/>
        <v>300</v>
      </c>
      <c r="BU32" s="1112">
        <f t="shared" si="71"/>
        <v>300</v>
      </c>
      <c r="BV32" s="1112">
        <f t="shared" si="71"/>
        <v>300</v>
      </c>
      <c r="BW32" s="1112">
        <f t="shared" si="71"/>
        <v>300</v>
      </c>
      <c r="BX32" s="1112">
        <f t="shared" si="71"/>
        <v>300</v>
      </c>
      <c r="BY32" s="1112">
        <f t="shared" si="71"/>
        <v>300</v>
      </c>
      <c r="BZ32" s="1112">
        <f t="shared" si="71"/>
        <v>300</v>
      </c>
      <c r="CA32" s="1112">
        <f t="shared" si="71"/>
        <v>300</v>
      </c>
      <c r="CB32" s="1112">
        <f t="shared" si="71"/>
        <v>300</v>
      </c>
      <c r="CC32" s="1112">
        <f t="shared" si="71"/>
        <v>300</v>
      </c>
      <c r="CD32" s="1112">
        <f t="shared" si="71"/>
        <v>300</v>
      </c>
      <c r="CE32" s="1112">
        <f t="shared" si="71"/>
        <v>300</v>
      </c>
      <c r="CF32" s="1112">
        <f t="shared" si="71"/>
        <v>300</v>
      </c>
      <c r="CG32" s="1112">
        <f t="shared" si="71"/>
        <v>300</v>
      </c>
      <c r="CH32" s="1112">
        <f t="shared" si="71"/>
        <v>300</v>
      </c>
      <c r="CI32" s="1112">
        <f t="shared" si="71"/>
        <v>300</v>
      </c>
      <c r="CJ32" s="1112"/>
      <c r="CK32" s="1112"/>
      <c r="CL32" s="1112">
        <f t="shared" si="72"/>
        <v>1200</v>
      </c>
      <c r="CM32" s="1113">
        <f t="shared" si="75"/>
        <v>7.7633772881201303E-3</v>
      </c>
      <c r="CN32" s="1113">
        <f t="shared" si="73"/>
        <v>5.7546415938509914E-3</v>
      </c>
      <c r="CO32" s="1113">
        <f t="shared" si="73"/>
        <v>4.4564626212951841E-3</v>
      </c>
      <c r="CP32" s="1113">
        <f t="shared" si="73"/>
        <v>3.5553913161919461E-3</v>
      </c>
      <c r="CQ32" s="1113">
        <f t="shared" si="74"/>
        <v>4.9500000000000004E-3</v>
      </c>
    </row>
    <row r="33" spans="1:95" s="339" customFormat="1">
      <c r="A33" s="1142"/>
      <c r="B33" s="1111" t="s">
        <v>42</v>
      </c>
      <c r="C33" s="1112">
        <v>51928.77</v>
      </c>
      <c r="D33" s="1113">
        <v>1.6070000000000001E-2</v>
      </c>
      <c r="E33" s="1112">
        <f>Expenses!I104+Expenses!I105</f>
        <v>880</v>
      </c>
      <c r="F33" s="1112">
        <f>Expenses!J104+Expenses!J105</f>
        <v>880</v>
      </c>
      <c r="G33" s="1112">
        <f>Expenses!K104+Expenses!K105</f>
        <v>880</v>
      </c>
      <c r="H33" s="1112">
        <f>Expenses!L104+Expenses!L105</f>
        <v>880</v>
      </c>
      <c r="I33" s="1112">
        <f>Expenses!M104+Expenses!M105</f>
        <v>880</v>
      </c>
      <c r="J33" s="1112">
        <f>Expenses!N104+Expenses!N105</f>
        <v>880</v>
      </c>
      <c r="K33" s="1112">
        <f>Expenses!O104+Expenses!O105</f>
        <v>880</v>
      </c>
      <c r="L33" s="1112">
        <f>Expenses!P104+Expenses!P105</f>
        <v>880</v>
      </c>
      <c r="M33" s="1112">
        <f>Expenses!Q104+Expenses!Q105</f>
        <v>880</v>
      </c>
      <c r="N33" s="1112">
        <f>Expenses!R104+Expenses!R105</f>
        <v>880</v>
      </c>
      <c r="O33" s="1112">
        <f>Expenses!S104+Expenses!S105</f>
        <v>880</v>
      </c>
      <c r="P33" s="1114">
        <f>Expenses!T104+Expenses!T105</f>
        <v>880</v>
      </c>
      <c r="Q33" s="1112">
        <f>Expenses!U104+Expenses!U105</f>
        <v>880</v>
      </c>
      <c r="R33" s="1112">
        <f>Expenses!V104+Expenses!V105</f>
        <v>880</v>
      </c>
      <c r="S33" s="1112">
        <f>Expenses!W104+Expenses!W105</f>
        <v>880</v>
      </c>
      <c r="T33" s="1112">
        <f>Expenses!X104+Expenses!X105</f>
        <v>880</v>
      </c>
      <c r="U33" s="1112">
        <f>Expenses!Y104+Expenses!Y105</f>
        <v>883.39878190005516</v>
      </c>
      <c r="V33" s="1112">
        <f>Expenses!Z104+Expenses!Z105</f>
        <v>887.7175954199995</v>
      </c>
      <c r="W33" s="1112">
        <f>Expenses!AA104+Expenses!AA105</f>
        <v>892.29137476616256</v>
      </c>
      <c r="X33" s="1112">
        <f>Expenses!AB104+Expenses!AB105</f>
        <v>897.13410537596008</v>
      </c>
      <c r="Y33" s="1112">
        <f>Expenses!AC104+Expenses!AC105</f>
        <v>902.26017869260534</v>
      </c>
      <c r="Z33" s="1112">
        <f>Expenses!AD104+Expenses!AD105</f>
        <v>907.68437499946504</v>
      </c>
      <c r="AA33" s="1112">
        <f>Expenses!AE104+Expenses!AE105</f>
        <v>913.42184890057263</v>
      </c>
      <c r="AB33" s="1114">
        <f>Expenses!AF104+Expenses!AF105</f>
        <v>999.48811841568056</v>
      </c>
      <c r="AC33" s="1112">
        <f>Expenses!AG104+Expenses!AG105</f>
        <v>980.72522344035451</v>
      </c>
      <c r="AD33" s="1112">
        <f>Expenses!AH104+Expenses!AH105</f>
        <v>986.03815969539119</v>
      </c>
      <c r="AE33" s="1112">
        <f>Expenses!AI104+Expenses!AI105</f>
        <v>991.64506860155632</v>
      </c>
      <c r="AF33" s="1112">
        <f>Expenses!AJ104+Expenses!AJ105</f>
        <v>997.55942302012238</v>
      </c>
      <c r="AG33" s="1112">
        <f>Expenses!AK104+Expenses!AK105</f>
        <v>1003.7950165293096</v>
      </c>
      <c r="AH33" s="1112">
        <f>Expenses!AL104+Expenses!AL105</f>
        <v>1010.3659672481074</v>
      </c>
      <c r="AI33" s="1112">
        <f>Expenses!AM104+Expenses!AM105</f>
        <v>1017.286724355994</v>
      </c>
      <c r="AJ33" s="1112">
        <f>Expenses!AN104+Expenses!AN105</f>
        <v>1024.5720774045692</v>
      </c>
      <c r="AK33" s="1112">
        <f>Expenses!AO104+Expenses!AO105</f>
        <v>1032.2371684639998</v>
      </c>
      <c r="AL33" s="1112">
        <f>Expenses!AP104+Expenses!AP105</f>
        <v>1040.2975071001604</v>
      </c>
      <c r="AM33" s="1112">
        <f>Expenses!AQ104+Expenses!AQ105</f>
        <v>1088.7689881389538</v>
      </c>
      <c r="AN33" s="1112">
        <f>Expenses!AR104+Expenses!AR105</f>
        <v>1097.667912143457</v>
      </c>
      <c r="AO33" s="1112">
        <f>Expenses!AS104+Expenses!AS105</f>
        <v>1187.0110085075453</v>
      </c>
      <c r="AP33" s="1112">
        <f>Expenses!AT104+Expenses!AT105</f>
        <v>1196.3316852650664</v>
      </c>
      <c r="AQ33" s="1112">
        <f>Expenses!AU104+Expenses!AU105</f>
        <v>1206.0901759172878</v>
      </c>
      <c r="AR33" s="1112">
        <f>Expenses!AV104+Expenses!AV105</f>
        <v>1216.3032002825603</v>
      </c>
      <c r="AS33" s="1112">
        <f>Expenses!AW104+Expenses!AW105</f>
        <v>1226.987979735211</v>
      </c>
      <c r="AT33" s="1112">
        <f>Expenses!AX104+Expenses!AX105</f>
        <v>1238.162260524015</v>
      </c>
      <c r="AU33" s="1112">
        <f>Expenses!AY104+Expenses!AY105</f>
        <v>1249.8443389765021</v>
      </c>
      <c r="AV33" s="1112">
        <f>Expenses!AZ104+Expenses!AZ105</f>
        <v>1262.0530886428746</v>
      </c>
      <c r="AW33" s="1112">
        <f>Expenses!BA104+Expenses!BA105</f>
        <v>1354.8079894287109</v>
      </c>
      <c r="AX33" s="1112">
        <f>Expenses!BB104+Expenses!BB105</f>
        <v>1368.1291587611067</v>
      </c>
      <c r="AY33" s="1112">
        <f>Expenses!BC104+Expenses!BC105</f>
        <v>1422.0373848285176</v>
      </c>
      <c r="AZ33" s="1114">
        <f>Expenses!BD104+Expenses!BD105</f>
        <v>1436.5541619303835</v>
      </c>
      <c r="BA33" s="1112">
        <f>Expenses!BE104+Expenses!BE105</f>
        <v>1451.7017279686702</v>
      </c>
      <c r="BB33" s="1112">
        <f>Expenses!BF104+Expenses!BF105</f>
        <v>1467.7432160437606</v>
      </c>
      <c r="BC33" s="1112">
        <f>Expenses!BG104+Expenses!BG105</f>
        <v>1484.4951331362765</v>
      </c>
      <c r="BD33" s="1112">
        <f>Expenses!BH104+Expenses!BH105</f>
        <v>1501.9846428969054</v>
      </c>
      <c r="BE33" s="1112">
        <f>Expenses!BI104+Expenses!BI105</f>
        <v>1520.2399287305775</v>
      </c>
      <c r="BF33" s="1112">
        <f>Expenses!BJ104+Expenses!BJ105</f>
        <v>1539.2902453362212</v>
      </c>
      <c r="BG33" s="1112">
        <f>Expenses!BK104+Expenses!BK105</f>
        <v>1559.1659728408563</v>
      </c>
      <c r="BH33" s="1112">
        <f>Expenses!BL104+Expenses!BL105</f>
        <v>1659.8986735697761</v>
      </c>
      <c r="BI33" s="1112">
        <f>Expenses!BM104+Expenses!BM105</f>
        <v>1681.5211514932935</v>
      </c>
      <c r="BJ33" s="1112">
        <f>Expenses!BN104+Expenses!BN105</f>
        <v>1704.0675143897708</v>
      </c>
      <c r="BK33" s="1112">
        <f>Expenses!BO104+Expenses!BO105</f>
        <v>1727.5732387644971</v>
      </c>
      <c r="BL33" s="1112">
        <f>Expenses!BP104+Expenses!BP105</f>
        <v>1832.0752375644101</v>
      </c>
      <c r="BM33" s="1115"/>
      <c r="BN33" s="1112">
        <f t="shared" si="66"/>
        <v>10560</v>
      </c>
      <c r="BO33" s="1113">
        <f t="shared" si="67"/>
        <v>4.3549999999999998E-2</v>
      </c>
      <c r="BP33" s="1112">
        <f t="shared" si="68"/>
        <v>2640</v>
      </c>
      <c r="BQ33" s="1112">
        <f t="shared" si="69"/>
        <v>2640</v>
      </c>
      <c r="BR33" s="1112">
        <f t="shared" si="70"/>
        <v>2640</v>
      </c>
      <c r="BS33" s="1112">
        <f t="shared" si="71"/>
        <v>2640</v>
      </c>
      <c r="BT33" s="1112">
        <f t="shared" si="71"/>
        <v>2640</v>
      </c>
      <c r="BU33" s="1112">
        <f t="shared" si="71"/>
        <v>2640</v>
      </c>
      <c r="BV33" s="1112">
        <f t="shared" si="71"/>
        <v>2640</v>
      </c>
      <c r="BW33" s="1112">
        <f t="shared" si="71"/>
        <v>2640</v>
      </c>
      <c r="BX33" s="1112">
        <f t="shared" si="71"/>
        <v>2643.3987819000549</v>
      </c>
      <c r="BY33" s="1112">
        <f t="shared" si="71"/>
        <v>2651.1163773200547</v>
      </c>
      <c r="BZ33" s="1112">
        <f t="shared" si="71"/>
        <v>2663.4077520862174</v>
      </c>
      <c r="CA33" s="1112">
        <f t="shared" si="71"/>
        <v>2677.1430755621222</v>
      </c>
      <c r="CB33" s="1112">
        <f t="shared" si="71"/>
        <v>2691.6856588347277</v>
      </c>
      <c r="CC33" s="1112">
        <f t="shared" si="71"/>
        <v>2707.0786590680304</v>
      </c>
      <c r="CD33" s="1112">
        <f t="shared" si="71"/>
        <v>2723.3664025926428</v>
      </c>
      <c r="CE33" s="1112">
        <f t="shared" si="71"/>
        <v>2820.5943423157182</v>
      </c>
      <c r="CF33" s="1112">
        <f t="shared" si="71"/>
        <v>2893.6351907566077</v>
      </c>
      <c r="CG33" s="1112">
        <f t="shared" si="71"/>
        <v>2966.2515015514264</v>
      </c>
      <c r="CH33" s="1112">
        <f t="shared" si="71"/>
        <v>2958.4084517373021</v>
      </c>
      <c r="CI33" s="1112">
        <f t="shared" si="71"/>
        <v>2975.2426513170699</v>
      </c>
      <c r="CJ33" s="1112"/>
      <c r="CK33" s="1112"/>
      <c r="CL33" s="1112">
        <f t="shared" si="72"/>
        <v>10560</v>
      </c>
      <c r="CM33" s="1113">
        <f t="shared" si="75"/>
        <v>6.8317720135457144E-2</v>
      </c>
      <c r="CN33" s="1113">
        <f t="shared" si="73"/>
        <v>5.0640846025888725E-2</v>
      </c>
      <c r="CO33" s="1113">
        <f t="shared" si="73"/>
        <v>3.9216871067397623E-2</v>
      </c>
      <c r="CP33" s="1113">
        <f t="shared" si="73"/>
        <v>3.1287443582489124E-2</v>
      </c>
      <c r="CQ33" s="1113">
        <f t="shared" si="74"/>
        <v>4.3549999999999998E-2</v>
      </c>
    </row>
    <row r="34" spans="1:95" s="395" customFormat="1" ht="17.25" customHeight="1">
      <c r="A34" s="1140"/>
      <c r="B34" s="1100" t="s">
        <v>31</v>
      </c>
      <c r="C34" s="1101">
        <v>9642.2800000000007</v>
      </c>
      <c r="D34" s="1106">
        <v>2.98E-3</v>
      </c>
      <c r="E34" s="1101">
        <f>Expenses!I98+Expenses!I101</f>
        <v>226.66666666666669</v>
      </c>
      <c r="F34" s="1101">
        <f>Expenses!J98+Expenses!J101</f>
        <v>226.66666666666669</v>
      </c>
      <c r="G34" s="1101">
        <f>Expenses!K98+Expenses!K101</f>
        <v>226.66666666666669</v>
      </c>
      <c r="H34" s="1101">
        <f>Expenses!L98+Expenses!L101</f>
        <v>226.66666666666669</v>
      </c>
      <c r="I34" s="1101">
        <f>Expenses!M98+Expenses!M101</f>
        <v>226.66666666666669</v>
      </c>
      <c r="J34" s="1101">
        <f>Expenses!N98+Expenses!N101</f>
        <v>236.66666666666669</v>
      </c>
      <c r="K34" s="1101">
        <f>Expenses!O98+Expenses!O101</f>
        <v>236.66666666666669</v>
      </c>
      <c r="L34" s="1101">
        <f>Expenses!P98+Expenses!P101</f>
        <v>236.66666666666669</v>
      </c>
      <c r="M34" s="1101">
        <f>Expenses!Q98+Expenses!Q101</f>
        <v>236.66666666666669</v>
      </c>
      <c r="N34" s="1101">
        <f>Expenses!R98+Expenses!R101</f>
        <v>236.66666666666669</v>
      </c>
      <c r="O34" s="1101">
        <f>Expenses!S98+Expenses!S101</f>
        <v>236.66666666666669</v>
      </c>
      <c r="P34" s="1103">
        <f>Expenses!T98+Expenses!T101</f>
        <v>236.66666666666669</v>
      </c>
      <c r="Q34" s="1101">
        <f>Expenses!U98+Expenses!U101</f>
        <v>216.66666666666669</v>
      </c>
      <c r="R34" s="1101">
        <f>Expenses!V98+Expenses!V101</f>
        <v>176.66666666666669</v>
      </c>
      <c r="S34" s="1101">
        <f>Expenses!W98+Expenses!W101</f>
        <v>176.66666666666669</v>
      </c>
      <c r="T34" s="1101">
        <f>Expenses!X98+Expenses!X101</f>
        <v>176.66666666666669</v>
      </c>
      <c r="U34" s="1101">
        <f>Expenses!Y98+Expenses!Y101</f>
        <v>177.09151440417355</v>
      </c>
      <c r="V34" s="1101">
        <f>Expenses!Z98+Expenses!Z101</f>
        <v>177.63136609416659</v>
      </c>
      <c r="W34" s="1101">
        <f>Expenses!AA98+Expenses!AA101</f>
        <v>178.20308851243698</v>
      </c>
      <c r="X34" s="1101">
        <f>Expenses!AB98+Expenses!AB101</f>
        <v>178.80842983866168</v>
      </c>
      <c r="Y34" s="1101">
        <f>Expenses!AC98+Expenses!AC101</f>
        <v>179.44918900324234</v>
      </c>
      <c r="Z34" s="1101">
        <f>Expenses!AD98+Expenses!AD101</f>
        <v>180.12721354159982</v>
      </c>
      <c r="AA34" s="1101">
        <f>Expenses!AE98+Expenses!AE101</f>
        <v>180.84439777923825</v>
      </c>
      <c r="AB34" s="1103">
        <f>Expenses!AF98+Expenses!AF101</f>
        <v>181.60268146862674</v>
      </c>
      <c r="AC34" s="1101">
        <f>Expenses!AG98+Expenses!AG101</f>
        <v>179.257319596711</v>
      </c>
      <c r="AD34" s="1101">
        <f>Expenses!AH98+Expenses!AH101</f>
        <v>239.92143662859058</v>
      </c>
      <c r="AE34" s="1101">
        <f>Expenses!AI98+Expenses!AI101</f>
        <v>240.62230024186118</v>
      </c>
      <c r="AF34" s="1101">
        <f>Expenses!AJ98+Expenses!AJ101</f>
        <v>251.36159454418197</v>
      </c>
      <c r="AG34" s="1101">
        <f>Expenses!AK98+Expenses!AK101</f>
        <v>252.14104373283038</v>
      </c>
      <c r="AH34" s="1101">
        <f>Expenses!AL98+Expenses!AL101</f>
        <v>252.96241257268014</v>
      </c>
      <c r="AI34" s="1101">
        <f>Expenses!AM98+Expenses!AM101</f>
        <v>253.82750721116594</v>
      </c>
      <c r="AJ34" s="1101">
        <f>Expenses!AN98+Expenses!AN101</f>
        <v>254.73817634223781</v>
      </c>
      <c r="AK34" s="1101">
        <f>Expenses!AO98+Expenses!AO101</f>
        <v>255.69631272466665</v>
      </c>
      <c r="AL34" s="1101">
        <f>Expenses!AP98+Expenses!AP101</f>
        <v>266.7038550541867</v>
      </c>
      <c r="AM34" s="1101">
        <f>Expenses!AQ98+Expenses!AQ101</f>
        <v>267.76279018403591</v>
      </c>
      <c r="AN34" s="1103">
        <f>Expenses!AR98+Expenses!AR101</f>
        <v>268.87515568459884</v>
      </c>
      <c r="AO34" s="1104">
        <f>Expenses!AS98+Expenses!AS101</f>
        <v>280.04304273010985</v>
      </c>
      <c r="AP34" s="1101">
        <f>Expenses!AT98+Expenses!AT101</f>
        <v>281.20812732479999</v>
      </c>
      <c r="AQ34" s="1101">
        <f>Expenses!AU98+Expenses!AU101</f>
        <v>282.42793865632763</v>
      </c>
      <c r="AR34" s="1101">
        <f>Expenses!AV98+Expenses!AV101</f>
        <v>283.70456670198672</v>
      </c>
      <c r="AS34" s="1101">
        <f>Expenses!AW98+Expenses!AW101</f>
        <v>295.04016413356806</v>
      </c>
      <c r="AT34" s="1101">
        <f>Expenses!AX98+Expenses!AX101</f>
        <v>296.43694923216856</v>
      </c>
      <c r="AU34" s="1101">
        <f>Expenses!AY98+Expenses!AY101</f>
        <v>297.89720903872944</v>
      </c>
      <c r="AV34" s="1101">
        <f>Expenses!AZ98+Expenses!AZ101</f>
        <v>309.42330274702601</v>
      </c>
      <c r="AW34" s="1101">
        <f>Expenses!BA98+Expenses!BA101</f>
        <v>311.01766534525558</v>
      </c>
      <c r="AX34" s="1101">
        <f>Expenses!BB98+Expenses!BB101</f>
        <v>322.68281151180503</v>
      </c>
      <c r="AY34" s="1101">
        <f>Expenses!BC98+Expenses!BC101</f>
        <v>324.42133977023138</v>
      </c>
      <c r="AZ34" s="1103">
        <f>Expenses!BD98+Expenses!BD101</f>
        <v>336.23593690796469</v>
      </c>
      <c r="BA34" s="1101">
        <f>Expenses!BE98+Expenses!BE101</f>
        <v>338.12938266275046</v>
      </c>
      <c r="BB34" s="1101">
        <f>Expenses!BF98+Expenses!BF101</f>
        <v>350.13456867213677</v>
      </c>
      <c r="BC34" s="1101">
        <f>Expenses!BG98+Expenses!BG101</f>
        <v>352.22855830870122</v>
      </c>
      <c r="BD34" s="1101">
        <f>Expenses!BH98+Expenses!BH101</f>
        <v>364.41474702877986</v>
      </c>
      <c r="BE34" s="1101">
        <f>Expenses!BI98+Expenses!BI101</f>
        <v>366.69665775798887</v>
      </c>
      <c r="BF34" s="1101">
        <f>Expenses!BJ98+Expenses!BJ101</f>
        <v>379.07794733369434</v>
      </c>
      <c r="BG34" s="1101">
        <f>Expenses!BK98+Expenses!BK101</f>
        <v>391.56241327177372</v>
      </c>
      <c r="BH34" s="1101">
        <f>Expenses!BL98+Expenses!BL101</f>
        <v>394.15400086288867</v>
      </c>
      <c r="BI34" s="1101">
        <f>Expenses!BM98+Expenses!BM101</f>
        <v>406.85681060332837</v>
      </c>
      <c r="BJ34" s="1101">
        <f>Expenses!BN98+Expenses!BN101</f>
        <v>419.67510596538807</v>
      </c>
      <c r="BK34" s="1101">
        <f>Expenses!BO98+Expenses!BO101</f>
        <v>422.61332151222888</v>
      </c>
      <c r="BL34" s="1103">
        <f>Expenses!BP98+Expenses!BP101</f>
        <v>435.67607136221801</v>
      </c>
      <c r="BM34" s="1105"/>
      <c r="BN34" s="1101">
        <f t="shared" si="66"/>
        <v>2790</v>
      </c>
      <c r="BO34" s="1106">
        <f t="shared" si="67"/>
        <v>1.1509999999999999E-2</v>
      </c>
      <c r="BP34" s="1101">
        <f t="shared" si="68"/>
        <v>680</v>
      </c>
      <c r="BQ34" s="1101">
        <f t="shared" si="69"/>
        <v>690</v>
      </c>
      <c r="BR34" s="1101">
        <f t="shared" si="70"/>
        <v>710</v>
      </c>
      <c r="BS34" s="1101">
        <f t="shared" si="71"/>
        <v>710</v>
      </c>
      <c r="BT34" s="1101">
        <f t="shared" si="71"/>
        <v>690</v>
      </c>
      <c r="BU34" s="1101">
        <f t="shared" si="71"/>
        <v>630</v>
      </c>
      <c r="BV34" s="1101">
        <f t="shared" si="71"/>
        <v>570</v>
      </c>
      <c r="BW34" s="1101">
        <f t="shared" si="71"/>
        <v>530</v>
      </c>
      <c r="BX34" s="1101">
        <f t="shared" si="71"/>
        <v>530.42484773750698</v>
      </c>
      <c r="BY34" s="1101">
        <f t="shared" si="71"/>
        <v>531.38954716500689</v>
      </c>
      <c r="BZ34" s="1101">
        <f t="shared" si="71"/>
        <v>532.92596901077718</v>
      </c>
      <c r="CA34" s="1101">
        <f t="shared" si="71"/>
        <v>534.64288444526528</v>
      </c>
      <c r="CB34" s="1101">
        <f t="shared" si="71"/>
        <v>536.46070735434091</v>
      </c>
      <c r="CC34" s="1101">
        <f t="shared" si="71"/>
        <v>538.38483238350386</v>
      </c>
      <c r="CD34" s="1101">
        <f t="shared" si="71"/>
        <v>540.42080032408035</v>
      </c>
      <c r="CE34" s="1101">
        <f t="shared" si="71"/>
        <v>542.57429278946483</v>
      </c>
      <c r="CF34" s="1101">
        <f t="shared" si="71"/>
        <v>541.70439884457596</v>
      </c>
      <c r="CG34" s="1101">
        <f t="shared" si="71"/>
        <v>600.78143769392841</v>
      </c>
      <c r="CH34" s="1101">
        <f t="shared" si="71"/>
        <v>659.80105646716277</v>
      </c>
      <c r="CI34" s="1101">
        <f t="shared" si="71"/>
        <v>731.90533141463379</v>
      </c>
      <c r="CJ34" s="1101"/>
      <c r="CK34" s="1101"/>
      <c r="CL34" s="1101">
        <f t="shared" si="72"/>
        <v>2790</v>
      </c>
      <c r="CM34" s="1106">
        <f t="shared" si="75"/>
        <v>1.7596988519738961E-2</v>
      </c>
      <c r="CN34" s="1106">
        <f t="shared" si="73"/>
        <v>1.323567566585728E-2</v>
      </c>
      <c r="CO34" s="1106">
        <f t="shared" si="73"/>
        <v>1.054696153706527E-2</v>
      </c>
      <c r="CP34" s="1106">
        <f t="shared" si="73"/>
        <v>8.4144261149876054E-3</v>
      </c>
      <c r="CQ34" s="1106">
        <f t="shared" si="74"/>
        <v>1.1509999999999999E-2</v>
      </c>
    </row>
    <row r="35" spans="1:95" s="1119" customFormat="1" ht="15" customHeight="1">
      <c r="A35" s="185"/>
      <c r="B35" s="1134" t="s">
        <v>43</v>
      </c>
      <c r="C35" s="1107">
        <v>208204.58000000002</v>
      </c>
      <c r="D35" s="1118">
        <v>6.4430000000000001E-2</v>
      </c>
      <c r="E35" s="130">
        <f t="shared" ref="E35:AJ35" si="76">SUM(E27:E34)</f>
        <v>7895.4471953010279</v>
      </c>
      <c r="F35" s="130">
        <f t="shared" si="76"/>
        <v>7901.6685415741558</v>
      </c>
      <c r="G35" s="130">
        <f t="shared" si="76"/>
        <v>7909.8600516199649</v>
      </c>
      <c r="H35" s="130">
        <f t="shared" si="76"/>
        <v>7921.6984420126764</v>
      </c>
      <c r="I35" s="130">
        <f t="shared" si="76"/>
        <v>7931.8729817323192</v>
      </c>
      <c r="J35" s="130">
        <f t="shared" si="76"/>
        <v>7968.1052488963933</v>
      </c>
      <c r="K35" s="130">
        <f t="shared" si="76"/>
        <v>7978.7881139542769</v>
      </c>
      <c r="L35" s="130">
        <f t="shared" si="76"/>
        <v>7990.5093402600824</v>
      </c>
      <c r="M35" s="130">
        <f t="shared" si="76"/>
        <v>8003.3670208486437</v>
      </c>
      <c r="N35" s="130">
        <f t="shared" si="76"/>
        <v>8015.3365537563295</v>
      </c>
      <c r="O35" s="130">
        <f t="shared" si="76"/>
        <v>8028.3368323661389</v>
      </c>
      <c r="P35" s="131">
        <f t="shared" si="76"/>
        <v>8042.4462832974305</v>
      </c>
      <c r="Q35" s="130">
        <f t="shared" si="76"/>
        <v>8017.2306377454797</v>
      </c>
      <c r="R35" s="130">
        <f t="shared" si="76"/>
        <v>7918.2855489695676</v>
      </c>
      <c r="S35" s="130">
        <f t="shared" si="76"/>
        <v>7935.7647108328847</v>
      </c>
      <c r="T35" s="130">
        <f t="shared" si="76"/>
        <v>7954.7763824099247</v>
      </c>
      <c r="U35" s="130">
        <f t="shared" si="76"/>
        <v>7982.018437745035</v>
      </c>
      <c r="V35" s="130">
        <f t="shared" si="76"/>
        <v>8012.8052356967455</v>
      </c>
      <c r="W35" s="130">
        <f t="shared" si="76"/>
        <v>8045.9690568843816</v>
      </c>
      <c r="X35" s="130">
        <f t="shared" si="76"/>
        <v>8081.6614451054929</v>
      </c>
      <c r="Y35" s="130">
        <f t="shared" si="76"/>
        <v>8120.0380277439508</v>
      </c>
      <c r="Z35" s="130">
        <f t="shared" si="76"/>
        <v>17612.258194064721</v>
      </c>
      <c r="AA35" s="130">
        <f t="shared" si="76"/>
        <v>17656.484808080928</v>
      </c>
      <c r="AB35" s="131">
        <f t="shared" si="76"/>
        <v>17783.883970133811</v>
      </c>
      <c r="AC35" s="130">
        <f t="shared" si="76"/>
        <v>23561.454144375835</v>
      </c>
      <c r="AD35" s="130">
        <f t="shared" si="76"/>
        <v>23658.031011784828</v>
      </c>
      <c r="AE35" s="130">
        <f t="shared" si="76"/>
        <v>23707.612978261172</v>
      </c>
      <c r="AF35" s="130">
        <f t="shared" si="76"/>
        <v>23785.555033763936</v>
      </c>
      <c r="AG35" s="130">
        <f t="shared" si="76"/>
        <v>23842.020743487286</v>
      </c>
      <c r="AH35" s="130">
        <f t="shared" si="76"/>
        <v>23904.300839974396</v>
      </c>
      <c r="AI35" s="130">
        <f t="shared" si="76"/>
        <v>23971.015522399102</v>
      </c>
      <c r="AJ35" s="130">
        <f t="shared" si="76"/>
        <v>24041.921504905687</v>
      </c>
      <c r="AK35" s="130">
        <f t="shared" ref="AK35:BL35" si="77">SUM(AK27:AK34)</f>
        <v>26119.202951767686</v>
      </c>
      <c r="AL35" s="130">
        <f t="shared" si="77"/>
        <v>26390.714114608141</v>
      </c>
      <c r="AM35" s="130">
        <f t="shared" si="77"/>
        <v>29049.201709748286</v>
      </c>
      <c r="AN35" s="130">
        <f t="shared" si="77"/>
        <v>29139.906967484971</v>
      </c>
      <c r="AO35" s="130">
        <f t="shared" si="77"/>
        <v>29309.634794190595</v>
      </c>
      <c r="AP35" s="130">
        <f t="shared" si="77"/>
        <v>29465.640676144532</v>
      </c>
      <c r="AQ35" s="130">
        <f t="shared" si="77"/>
        <v>29561.228932381677</v>
      </c>
      <c r="AR35" s="130">
        <f t="shared" si="77"/>
        <v>29661.782771726677</v>
      </c>
      <c r="AS35" s="130">
        <f t="shared" si="77"/>
        <v>29792.490986585977</v>
      </c>
      <c r="AT35" s="130">
        <f t="shared" si="77"/>
        <v>32783.546516701921</v>
      </c>
      <c r="AU35" s="130">
        <f t="shared" si="77"/>
        <v>32900.147154957478</v>
      </c>
      <c r="AV35" s="130">
        <f t="shared" si="77"/>
        <v>33047.495846269056</v>
      </c>
      <c r="AW35" s="130">
        <f t="shared" si="77"/>
        <v>38715.800977660278</v>
      </c>
      <c r="AX35" s="130">
        <f t="shared" si="77"/>
        <v>38875.276693223022</v>
      </c>
      <c r="AY35" s="130">
        <f t="shared" si="77"/>
        <v>39056.14323720285</v>
      </c>
      <c r="AZ35" s="130">
        <f t="shared" si="77"/>
        <v>39253.627325810172</v>
      </c>
      <c r="BA35" s="130">
        <f t="shared" si="77"/>
        <v>39240.768474055178</v>
      </c>
      <c r="BB35" s="130">
        <f t="shared" si="77"/>
        <v>39648.471592085974</v>
      </c>
      <c r="BC35" s="130">
        <f t="shared" si="77"/>
        <v>39821.58907761758</v>
      </c>
      <c r="BD35" s="130">
        <f t="shared" si="77"/>
        <v>40027.892245521805</v>
      </c>
      <c r="BE35" s="130">
        <f t="shared" si="77"/>
        <v>51579.176383212209</v>
      </c>
      <c r="BF35" s="130">
        <f t="shared" si="77"/>
        <v>52388.652111671479</v>
      </c>
      <c r="BG35" s="130">
        <f t="shared" si="77"/>
        <v>52700.545345924947</v>
      </c>
      <c r="BH35" s="130">
        <f t="shared" si="77"/>
        <v>53009.455988897294</v>
      </c>
      <c r="BI35" s="130">
        <f t="shared" si="77"/>
        <v>53263.391838655516</v>
      </c>
      <c r="BJ35" s="130">
        <f t="shared" si="77"/>
        <v>53576.037808841495</v>
      </c>
      <c r="BK35" s="130">
        <f t="shared" si="77"/>
        <v>53824.059475767281</v>
      </c>
      <c r="BL35" s="130">
        <f t="shared" si="77"/>
        <v>54213.064744782816</v>
      </c>
      <c r="BM35" s="1107"/>
      <c r="BN35" s="130">
        <f>SUM(BN27:BN34)</f>
        <v>95587.436605619441</v>
      </c>
      <c r="BO35" s="1108">
        <f t="shared" si="67"/>
        <v>0.39422000000000001</v>
      </c>
      <c r="BP35" s="130">
        <f t="shared" ref="BP35:CQ35" si="78">SUM(BP27:BP34)</f>
        <v>23706.975788495147</v>
      </c>
      <c r="BQ35" s="130">
        <f t="shared" si="78"/>
        <v>23821.676672641388</v>
      </c>
      <c r="BR35" s="130">
        <f t="shared" si="78"/>
        <v>23972.664475063004</v>
      </c>
      <c r="BS35" s="130">
        <f t="shared" si="78"/>
        <v>24086.119669419899</v>
      </c>
      <c r="BT35" s="130">
        <f t="shared" ref="BT35:BU35" si="79">SUM(BT27:BT34)</f>
        <v>24088.013753409046</v>
      </c>
      <c r="BU35" s="130">
        <f t="shared" si="79"/>
        <v>23977.962470012477</v>
      </c>
      <c r="BV35" s="130">
        <f t="shared" ref="BV35:BW35" si="80">SUM(BV27:BV34)</f>
        <v>23871.280897547931</v>
      </c>
      <c r="BW35" s="130">
        <f t="shared" si="80"/>
        <v>23808.826642212378</v>
      </c>
      <c r="BX35" s="130">
        <f t="shared" ref="BX35:CA35" si="81">SUM(BX27:BX34)</f>
        <v>23872.559530987841</v>
      </c>
      <c r="BY35" s="130">
        <f t="shared" si="81"/>
        <v>23949.600055851704</v>
      </c>
      <c r="BZ35" s="130">
        <f t="shared" si="81"/>
        <v>24040.792730326164</v>
      </c>
      <c r="CA35" s="130">
        <f t="shared" si="81"/>
        <v>24140.435737686621</v>
      </c>
      <c r="CB35" s="130">
        <f t="shared" ref="CB35:CE35" si="82">SUM(CB27:CB34)</f>
        <v>24247.668529733826</v>
      </c>
      <c r="CC35" s="130">
        <f t="shared" si="82"/>
        <v>33813.957666914168</v>
      </c>
      <c r="CD35" s="130">
        <f t="shared" si="82"/>
        <v>43388.781029889593</v>
      </c>
      <c r="CE35" s="130">
        <f t="shared" si="82"/>
        <v>53052.62697227946</v>
      </c>
      <c r="CF35" s="130">
        <f t="shared" ref="CF35:CI35" si="83">SUM(CF27:CF34)</f>
        <v>59001.822922590567</v>
      </c>
      <c r="CG35" s="130">
        <f t="shared" si="83"/>
        <v>65003.36912629447</v>
      </c>
      <c r="CH35" s="130">
        <f t="shared" si="83"/>
        <v>70927.098134421816</v>
      </c>
      <c r="CI35" s="130">
        <f t="shared" si="83"/>
        <v>71151.199023809924</v>
      </c>
      <c r="CJ35" s="130"/>
      <c r="CK35" s="130"/>
      <c r="CL35" s="130">
        <f t="shared" si="78"/>
        <v>95587.436605619441</v>
      </c>
      <c r="CM35" s="1108">
        <f t="shared" si="78"/>
        <v>0.61348732468805689</v>
      </c>
      <c r="CN35" s="1108">
        <f t="shared" si="78"/>
        <v>0.45695070471884003</v>
      </c>
      <c r="CO35" s="1108">
        <f t="shared" si="78"/>
        <v>0.356110943886564</v>
      </c>
      <c r="CP35" s="1108">
        <f t="shared" si="78"/>
        <v>0.28545193571138511</v>
      </c>
      <c r="CQ35" s="1108">
        <f t="shared" si="78"/>
        <v>0.39422999999999997</v>
      </c>
    </row>
    <row r="36" spans="1:95" s="1119" customFormat="1" ht="16.5" customHeight="1">
      <c r="A36" s="185"/>
      <c r="B36" s="1134" t="s">
        <v>44</v>
      </c>
      <c r="C36" s="1107">
        <v>1981945.1</v>
      </c>
      <c r="D36" s="1118">
        <v>0.61341999999999997</v>
      </c>
      <c r="E36" s="130">
        <f t="shared" ref="E36:AJ36" si="84">E18+E25+E35</f>
        <v>34324.017915301032</v>
      </c>
      <c r="F36" s="130">
        <f t="shared" si="84"/>
        <v>16768.169371574157</v>
      </c>
      <c r="G36" s="130">
        <f t="shared" si="84"/>
        <v>16930.282291619966</v>
      </c>
      <c r="H36" s="130">
        <f t="shared" si="84"/>
        <v>17121.417482012675</v>
      </c>
      <c r="I36" s="130">
        <f t="shared" si="84"/>
        <v>17308.65098173232</v>
      </c>
      <c r="J36" s="130">
        <f t="shared" si="84"/>
        <v>19449.380908896394</v>
      </c>
      <c r="K36" s="130">
        <f t="shared" si="84"/>
        <v>17953.908863954275</v>
      </c>
      <c r="L36" s="130">
        <f t="shared" si="84"/>
        <v>18172.561820260082</v>
      </c>
      <c r="M36" s="130">
        <f t="shared" si="84"/>
        <v>18406.352420848641</v>
      </c>
      <c r="N36" s="130">
        <f t="shared" si="84"/>
        <v>18643.014643756331</v>
      </c>
      <c r="O36" s="130">
        <f t="shared" si="84"/>
        <v>18894.99776236614</v>
      </c>
      <c r="P36" s="131">
        <f t="shared" si="84"/>
        <v>19163.240943297431</v>
      </c>
      <c r="Q36" s="130">
        <f t="shared" si="84"/>
        <v>19264.096067745479</v>
      </c>
      <c r="R36" s="130">
        <f t="shared" si="84"/>
        <v>18749.044018969566</v>
      </c>
      <c r="S36" s="130">
        <f t="shared" si="84"/>
        <v>19073.219140832884</v>
      </c>
      <c r="T36" s="130">
        <f t="shared" si="84"/>
        <v>19419.185902409925</v>
      </c>
      <c r="U36" s="130">
        <f t="shared" si="84"/>
        <v>20088.826007745032</v>
      </c>
      <c r="V36" s="130">
        <f t="shared" si="84"/>
        <v>20728.321145696747</v>
      </c>
      <c r="W36" s="130">
        <f t="shared" si="84"/>
        <v>21379.395996884381</v>
      </c>
      <c r="X36" s="130">
        <f t="shared" si="84"/>
        <v>22071.323765105491</v>
      </c>
      <c r="Y36" s="130">
        <f t="shared" si="84"/>
        <v>31339.62560774395</v>
      </c>
      <c r="Z36" s="130">
        <f t="shared" si="84"/>
        <v>34070.880034064721</v>
      </c>
      <c r="AA36" s="130">
        <f t="shared" si="84"/>
        <v>34898.721068080929</v>
      </c>
      <c r="AB36" s="131">
        <f t="shared" si="84"/>
        <v>40056.503520133811</v>
      </c>
      <c r="AC36" s="130">
        <f t="shared" si="84"/>
        <v>45686.786424375838</v>
      </c>
      <c r="AD36" s="130">
        <f t="shared" si="84"/>
        <v>49737.078241784824</v>
      </c>
      <c r="AE36" s="130">
        <f t="shared" si="84"/>
        <v>48988.861288261178</v>
      </c>
      <c r="AF36" s="130">
        <f t="shared" si="84"/>
        <v>50336.025233763939</v>
      </c>
      <c r="AG36" s="130">
        <f t="shared" si="84"/>
        <v>51401.03126348729</v>
      </c>
      <c r="AH36" s="130">
        <f t="shared" si="84"/>
        <v>52528.515669974397</v>
      </c>
      <c r="AI36" s="130">
        <f t="shared" si="84"/>
        <v>62252.826152399102</v>
      </c>
      <c r="AJ36" s="130">
        <f t="shared" si="84"/>
        <v>56009.496624905689</v>
      </c>
      <c r="AK36" s="130">
        <f t="shared" ref="AK36:BL36" si="85">AK18+AK25+AK35</f>
        <v>59336.539681767681</v>
      </c>
      <c r="AL36" s="130">
        <f t="shared" si="85"/>
        <v>62939.357844608137</v>
      </c>
      <c r="AM36" s="130">
        <f t="shared" si="85"/>
        <v>76021.634989748287</v>
      </c>
      <c r="AN36" s="130">
        <f t="shared" si="85"/>
        <v>70069.607897484966</v>
      </c>
      <c r="AO36" s="130">
        <f t="shared" si="85"/>
        <v>72976.709784190592</v>
      </c>
      <c r="AP36" s="130">
        <f t="shared" si="85"/>
        <v>74954.308186144539</v>
      </c>
      <c r="AQ36" s="130">
        <f t="shared" si="85"/>
        <v>76586.32106238167</v>
      </c>
      <c r="AR36" s="130">
        <f t="shared" si="85"/>
        <v>78296.691591726674</v>
      </c>
      <c r="AS36" s="130">
        <f t="shared" si="85"/>
        <v>88821.606386585976</v>
      </c>
      <c r="AT36" s="130">
        <f t="shared" si="85"/>
        <v>86077.32825670192</v>
      </c>
      <c r="AU36" s="130">
        <f t="shared" si="85"/>
        <v>88040.200764957466</v>
      </c>
      <c r="AV36" s="130">
        <f t="shared" si="85"/>
        <v>100526.65258626906</v>
      </c>
      <c r="AW36" s="130">
        <f t="shared" si="85"/>
        <v>103213.20232766028</v>
      </c>
      <c r="AX36" s="130">
        <f t="shared" si="85"/>
        <v>105656.46359322302</v>
      </c>
      <c r="AY36" s="130">
        <f t="shared" si="85"/>
        <v>110244.81718720285</v>
      </c>
      <c r="AZ36" s="130">
        <f t="shared" si="85"/>
        <v>123150.08368581018</v>
      </c>
      <c r="BA36" s="130">
        <f t="shared" si="85"/>
        <v>107276.28616405519</v>
      </c>
      <c r="BB36" s="130">
        <f t="shared" si="85"/>
        <v>119099.11754208598</v>
      </c>
      <c r="BC36" s="130">
        <f t="shared" si="85"/>
        <v>113975.70432761758</v>
      </c>
      <c r="BD36" s="130">
        <f t="shared" si="85"/>
        <v>116640.63358552181</v>
      </c>
      <c r="BE36" s="130">
        <f t="shared" si="85"/>
        <v>139126.92544321221</v>
      </c>
      <c r="BF36" s="130">
        <f t="shared" si="85"/>
        <v>136800.57848167149</v>
      </c>
      <c r="BG36" s="130">
        <f t="shared" si="85"/>
        <v>146718.51029592493</v>
      </c>
      <c r="BH36" s="130">
        <f t="shared" si="85"/>
        <v>146454.8285688973</v>
      </c>
      <c r="BI36" s="130">
        <f t="shared" si="85"/>
        <v>159944.11090865551</v>
      </c>
      <c r="BJ36" s="130">
        <f t="shared" si="85"/>
        <v>154179.87288884149</v>
      </c>
      <c r="BK36" s="130">
        <f t="shared" si="85"/>
        <v>166052.11838576727</v>
      </c>
      <c r="BL36" s="130">
        <f t="shared" si="85"/>
        <v>166310.21495478283</v>
      </c>
      <c r="BM36" s="1107"/>
      <c r="BN36" s="130">
        <f>BN18+BN25+BN35</f>
        <v>233135.99544561945</v>
      </c>
      <c r="BO36" s="1108">
        <f t="shared" si="67"/>
        <v>0.96150000000000002</v>
      </c>
      <c r="BP36" s="130">
        <f t="shared" ref="BP36:CI36" si="86">BP18+BP25+BP35</f>
        <v>68022.469588495151</v>
      </c>
      <c r="BQ36" s="130">
        <f t="shared" si="86"/>
        <v>53879.449392641385</v>
      </c>
      <c r="BR36" s="130">
        <f t="shared" si="86"/>
        <v>54532.823105063006</v>
      </c>
      <c r="BS36" s="130">
        <f t="shared" si="86"/>
        <v>56701.253359419898</v>
      </c>
      <c r="BT36" s="130">
        <f t="shared" si="86"/>
        <v>57322.334783409045</v>
      </c>
      <c r="BU36" s="130">
        <f t="shared" si="86"/>
        <v>57176.381040012478</v>
      </c>
      <c r="BV36" s="130">
        <f t="shared" si="86"/>
        <v>57086.359227547931</v>
      </c>
      <c r="BW36" s="130">
        <f t="shared" si="86"/>
        <v>57241.449072212381</v>
      </c>
      <c r="BX36" s="130">
        <f t="shared" si="86"/>
        <v>58581.23106098784</v>
      </c>
      <c r="BY36" s="130">
        <f t="shared" si="86"/>
        <v>60236.333055851705</v>
      </c>
      <c r="BZ36" s="130">
        <f t="shared" si="86"/>
        <v>62196.543150326164</v>
      </c>
      <c r="CA36" s="130">
        <f t="shared" si="86"/>
        <v>64179.04090768662</v>
      </c>
      <c r="CB36" s="130">
        <f t="shared" si="86"/>
        <v>74790.345369733826</v>
      </c>
      <c r="CC36" s="130">
        <f t="shared" si="86"/>
        <v>87481.829416914174</v>
      </c>
      <c r="CD36" s="130">
        <f t="shared" si="86"/>
        <v>100309.22671988959</v>
      </c>
      <c r="CE36" s="130">
        <f t="shared" si="86"/>
        <v>109026.10463227946</v>
      </c>
      <c r="CF36" s="130">
        <f t="shared" si="86"/>
        <v>120642.01101259056</v>
      </c>
      <c r="CG36" s="130">
        <f t="shared" si="86"/>
        <v>135480.36818629448</v>
      </c>
      <c r="CH36" s="130">
        <f t="shared" si="86"/>
        <v>144412.72594442184</v>
      </c>
      <c r="CI36" s="130">
        <f t="shared" si="86"/>
        <v>149061.96475380991</v>
      </c>
      <c r="CJ36" s="130"/>
      <c r="CK36" s="130"/>
      <c r="CL36" s="130">
        <f>CL18+CL25+CL35</f>
        <v>233135.99544561945</v>
      </c>
      <c r="CM36" s="1108">
        <f t="shared" si="75"/>
        <v>1.7602803182838851</v>
      </c>
      <c r="CN36" s="1108">
        <f t="shared" ref="CN36" si="87">BQ36/BQ$6</f>
        <v>1.0335230684289454</v>
      </c>
      <c r="CO36" s="1108">
        <f t="shared" ref="CO36" si="88">BR36/BR$6</f>
        <v>0.81007829267138565</v>
      </c>
      <c r="CP36" s="1108">
        <f>BS36/BS$6</f>
        <v>0.67198381270426977</v>
      </c>
      <c r="CQ36" s="1108">
        <f t="shared" ref="CQ36" si="89">CL36/CL$6</f>
        <v>0.9614978748995725</v>
      </c>
    </row>
    <row r="37" spans="1:95" s="1124" customFormat="1" ht="19.5" customHeight="1">
      <c r="A37" s="141"/>
      <c r="B37" s="1135" t="s">
        <v>45</v>
      </c>
      <c r="C37" s="1120">
        <v>-872241.5700000003</v>
      </c>
      <c r="D37" s="1121">
        <v>-0.26994999999999997</v>
      </c>
      <c r="E37" s="1122">
        <f t="shared" ref="E37:AJ37" si="90">E12-E36</f>
        <v>-33184.964170807638</v>
      </c>
      <c r="F37" s="1122">
        <f t="shared" si="90"/>
        <v>-14837.14568100147</v>
      </c>
      <c r="G37" s="1122">
        <f t="shared" si="90"/>
        <v>-14268.717003781454</v>
      </c>
      <c r="H37" s="1122">
        <f t="shared" si="90"/>
        <v>-13405.013342705901</v>
      </c>
      <c r="I37" s="1122">
        <f t="shared" si="90"/>
        <v>-12685.072540306182</v>
      </c>
      <c r="J37" s="1122">
        <f t="shared" si="90"/>
        <v>-17604.404805924125</v>
      </c>
      <c r="K37" s="1122">
        <f t="shared" si="90"/>
        <v>-15156.124616524507</v>
      </c>
      <c r="L37" s="1122">
        <f t="shared" si="90"/>
        <v>-13971.31609512752</v>
      </c>
      <c r="M37" s="1122">
        <f t="shared" si="90"/>
        <v>-13027.555718246989</v>
      </c>
      <c r="N37" s="1122">
        <f t="shared" si="90"/>
        <v>-12167.444211420123</v>
      </c>
      <c r="O37" s="1122">
        <f t="shared" si="90"/>
        <v>-11228.257793696379</v>
      </c>
      <c r="P37" s="1131">
        <f t="shared" si="90"/>
        <v>-10203.756141625032</v>
      </c>
      <c r="Q37" s="1122">
        <f t="shared" si="90"/>
        <v>-8928.9645055486872</v>
      </c>
      <c r="R37" s="1122">
        <f t="shared" si="90"/>
        <v>-6565.2951604608934</v>
      </c>
      <c r="S37" s="1122">
        <f t="shared" si="90"/>
        <v>-7951.6323699894165</v>
      </c>
      <c r="T37" s="1122">
        <f t="shared" si="90"/>
        <v>-6483.5792380389103</v>
      </c>
      <c r="U37" s="1122">
        <f t="shared" si="90"/>
        <v>-5307.1722049655655</v>
      </c>
      <c r="V37" s="1122">
        <f t="shared" si="90"/>
        <v>-3966.3475887754175</v>
      </c>
      <c r="W37" s="1122">
        <f t="shared" si="90"/>
        <v>-2466.8649492429358</v>
      </c>
      <c r="X37" s="1122">
        <f t="shared" si="90"/>
        <v>-826.64406907309967</v>
      </c>
      <c r="Y37" s="1122">
        <f t="shared" si="90"/>
        <v>-10770.241509529737</v>
      </c>
      <c r="Z37" s="1122">
        <f t="shared" si="90"/>
        <v>-19174.962642260827</v>
      </c>
      <c r="AA37" s="1122">
        <f t="shared" si="90"/>
        <v>-16925.443971653156</v>
      </c>
      <c r="AB37" s="1131">
        <f t="shared" si="90"/>
        <v>-25696.207513260568</v>
      </c>
      <c r="AC37" s="1122">
        <f t="shared" si="90"/>
        <v>-30466.524333613874</v>
      </c>
      <c r="AD37" s="1122">
        <f t="shared" si="90"/>
        <v>-30644.209260269774</v>
      </c>
      <c r="AE37" s="1122">
        <f t="shared" si="90"/>
        <v>-25743.81021126837</v>
      </c>
      <c r="AF37" s="1122">
        <f t="shared" si="90"/>
        <v>-25374.965354328699</v>
      </c>
      <c r="AG37" s="1122">
        <f t="shared" si="90"/>
        <v>-21685.632709168298</v>
      </c>
      <c r="AH37" s="1122">
        <f t="shared" si="90"/>
        <v>-17735.699053003482</v>
      </c>
      <c r="AI37" s="1122">
        <f t="shared" si="90"/>
        <v>-25824.517795504849</v>
      </c>
      <c r="AJ37" s="1122">
        <f t="shared" si="90"/>
        <v>-13812.381476188923</v>
      </c>
      <c r="AK37" s="1122">
        <f t="shared" ref="AK37:BL37" si="91">AK12-AK36</f>
        <v>-15733.807969274916</v>
      </c>
      <c r="AL37" s="1122">
        <f t="shared" si="91"/>
        <v>-12981.108202038886</v>
      </c>
      <c r="AM37" s="1122">
        <f t="shared" si="91"/>
        <v>-27659.485752690453</v>
      </c>
      <c r="AN37" s="1122">
        <f t="shared" si="91"/>
        <v>-14368.892474155029</v>
      </c>
      <c r="AO37" s="1122">
        <f t="shared" si="91"/>
        <v>-16222.784178653252</v>
      </c>
      <c r="AP37" s="1122">
        <f t="shared" si="91"/>
        <v>-10757.412118790759</v>
      </c>
      <c r="AQ37" s="1122">
        <f t="shared" si="91"/>
        <v>-7276.3573668028694</v>
      </c>
      <c r="AR37" s="1122">
        <f t="shared" si="91"/>
        <v>-728.33143403028953</v>
      </c>
      <c r="AS37" s="1122">
        <f t="shared" si="91"/>
        <v>-6343.9301669844717</v>
      </c>
      <c r="AT37" s="1122">
        <f t="shared" si="91"/>
        <v>2806.545093130655</v>
      </c>
      <c r="AU37" s="1122">
        <f t="shared" si="91"/>
        <v>10443.101931745798</v>
      </c>
      <c r="AV37" s="1122">
        <f t="shared" si="91"/>
        <v>4256.0741498096177</v>
      </c>
      <c r="AW37" s="1122">
        <f t="shared" si="91"/>
        <v>-243.85907681621029</v>
      </c>
      <c r="AX37" s="1122">
        <f t="shared" si="91"/>
        <v>8404.3480662194488</v>
      </c>
      <c r="AY37" s="1122">
        <f t="shared" si="91"/>
        <v>10505.464546137853</v>
      </c>
      <c r="AZ37" s="1122">
        <f t="shared" si="91"/>
        <v>5996.34105228525</v>
      </c>
      <c r="BA37" s="1122">
        <f t="shared" si="91"/>
        <v>31887.180861373214</v>
      </c>
      <c r="BB37" s="1122">
        <f t="shared" si="91"/>
        <v>30001.697847926363</v>
      </c>
      <c r="BC37" s="1122">
        <f t="shared" si="91"/>
        <v>46776.772437808642</v>
      </c>
      <c r="BD37" s="1122">
        <f t="shared" si="91"/>
        <v>56453.023504686862</v>
      </c>
      <c r="BE37" s="1122">
        <f t="shared" si="91"/>
        <v>34612.048960618442</v>
      </c>
      <c r="BF37" s="1122">
        <f t="shared" si="91"/>
        <v>50152.012728689035</v>
      </c>
      <c r="BG37" s="1122">
        <f t="shared" si="91"/>
        <v>53675.159443150013</v>
      </c>
      <c r="BH37" s="1122">
        <f t="shared" si="91"/>
        <v>65097.243003978132</v>
      </c>
      <c r="BI37" s="1122">
        <f t="shared" si="91"/>
        <v>64026.27428619354</v>
      </c>
      <c r="BJ37" s="1122">
        <f t="shared" si="91"/>
        <v>86851.848491002631</v>
      </c>
      <c r="BK37" s="1122">
        <f t="shared" si="91"/>
        <v>91885.359055585635</v>
      </c>
      <c r="BL37" s="1122">
        <f t="shared" si="91"/>
        <v>103791.23160800259</v>
      </c>
      <c r="BM37" s="1120"/>
      <c r="BN37" s="1122">
        <f>BN12-BN36</f>
        <v>-181739.77216116735</v>
      </c>
      <c r="BO37" s="1123">
        <f>BN37/BN6</f>
        <v>-0.74952992301205901</v>
      </c>
      <c r="BP37" s="1122">
        <f t="shared" ref="BP37:CI37" si="92">BP12-BP36</f>
        <v>-62290.826865590563</v>
      </c>
      <c r="BQ37" s="1122">
        <f t="shared" si="92"/>
        <v>-43694.490708936217</v>
      </c>
      <c r="BR37" s="1122">
        <f t="shared" si="92"/>
        <v>-42154.996429899016</v>
      </c>
      <c r="BS37" s="1122">
        <f t="shared" si="92"/>
        <v>-33599.458156741523</v>
      </c>
      <c r="BT37" s="1122">
        <f t="shared" si="92"/>
        <v>-30360.978450870105</v>
      </c>
      <c r="BU37" s="1122">
        <f t="shared" si="92"/>
        <v>-25698.015817634623</v>
      </c>
      <c r="BV37" s="1122">
        <f t="shared" si="92"/>
        <v>-23445.892035999001</v>
      </c>
      <c r="BW37" s="1122">
        <f t="shared" si="92"/>
        <v>-21000.506778489238</v>
      </c>
      <c r="BX37" s="1122">
        <f t="shared" si="92"/>
        <v>-19742.383822993877</v>
      </c>
      <c r="BY37" s="1122">
        <f t="shared" si="92"/>
        <v>-15757.099031779886</v>
      </c>
      <c r="BZ37" s="1122">
        <f t="shared" si="92"/>
        <v>-11740.384742983922</v>
      </c>
      <c r="CA37" s="1122">
        <f t="shared" si="92"/>
        <v>-7259.8566070914385</v>
      </c>
      <c r="CB37" s="1122">
        <f t="shared" si="92"/>
        <v>-14063.750527845768</v>
      </c>
      <c r="CC37" s="1122">
        <f t="shared" si="92"/>
        <v>-30771.848230863703</v>
      </c>
      <c r="CD37" s="1122">
        <f t="shared" si="92"/>
        <v>-46870.648133443698</v>
      </c>
      <c r="CE37" s="1122">
        <f t="shared" si="92"/>
        <v>-61796.614137174562</v>
      </c>
      <c r="CF37" s="1122">
        <f t="shared" si="92"/>
        <v>-73088.175818527598</v>
      </c>
      <c r="CG37" s="1122">
        <f t="shared" si="92"/>
        <v>-86806.941107144259</v>
      </c>
      <c r="CH37" s="1122">
        <f t="shared" si="92"/>
        <v>-86854.543795152014</v>
      </c>
      <c r="CI37" s="1122">
        <f t="shared" si="92"/>
        <v>-81762.984815866745</v>
      </c>
      <c r="CJ37" s="1122"/>
      <c r="CK37" s="1122"/>
      <c r="CL37" s="1122">
        <f>CL12-CL36</f>
        <v>-181739.77216116735</v>
      </c>
      <c r="CM37" s="1123">
        <f>BP37/BP6</f>
        <v>-1.6119573018218301</v>
      </c>
      <c r="CN37" s="1123">
        <f>BQ37/BQ6</f>
        <v>-0.83815377885260012</v>
      </c>
      <c r="CO37" s="1123">
        <f>BR37/BR6</f>
        <v>-0.62620721963558967</v>
      </c>
      <c r="CP37" s="1123">
        <f>BS37/BS6</f>
        <v>-0.39819740586411151</v>
      </c>
      <c r="CQ37" s="1123">
        <f>CL37/CL6</f>
        <v>-0.74952992301205901</v>
      </c>
    </row>
    <row r="38" spans="1:95" ht="30" customHeight="1">
      <c r="B38"/>
    </row>
    <row r="39" spans="1:95" s="17" customFormat="1" ht="16.5" customHeight="1">
      <c r="A39" s="1145"/>
      <c r="B39" s="48"/>
      <c r="C39" s="16"/>
      <c r="D39" s="16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6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6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6"/>
      <c r="AO39" s="140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6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6"/>
      <c r="BM39" s="153"/>
      <c r="BN39" s="16"/>
      <c r="BO39" s="2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2"/>
      <c r="CN39" s="2"/>
      <c r="CO39" s="2"/>
      <c r="CP39" s="2"/>
      <c r="CQ39" s="2"/>
    </row>
    <row r="40" spans="1:95" s="16" customFormat="1" ht="16.5" customHeight="1">
      <c r="A40" s="24"/>
      <c r="B40" s="49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140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5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5"/>
      <c r="BM40" s="152"/>
      <c r="BO40" s="2"/>
      <c r="CM40" s="2"/>
      <c r="CN40" s="2"/>
      <c r="CO40" s="2"/>
      <c r="CP40" s="2"/>
      <c r="CQ40" s="2"/>
    </row>
    <row r="41" spans="1:95" s="16" customFormat="1" ht="16.5" customHeight="1">
      <c r="A41" s="24"/>
      <c r="B41" s="18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5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140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5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  <c r="BM41" s="152"/>
      <c r="BO41" s="2"/>
      <c r="CM41" s="2"/>
      <c r="CN41" s="2"/>
      <c r="CO41" s="2"/>
      <c r="CP41" s="2"/>
      <c r="CQ41" s="2"/>
    </row>
    <row r="42" spans="1:95" s="16" customFormat="1" ht="16.5" customHeight="1">
      <c r="A42" s="24"/>
      <c r="B42" s="18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5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5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5"/>
      <c r="AO42" s="140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5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5"/>
      <c r="BM42" s="152"/>
      <c r="BO42" s="2"/>
      <c r="CM42" s="2"/>
      <c r="CN42" s="2"/>
      <c r="CO42" s="2"/>
      <c r="CP42" s="2"/>
      <c r="CQ42" s="2"/>
    </row>
    <row r="43" spans="1:95" s="16" customFormat="1" ht="16.5" customHeight="1">
      <c r="A43" s="24"/>
      <c r="B43" s="18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5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5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140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5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  <c r="BM43" s="152"/>
      <c r="BO43" s="2"/>
      <c r="CM43" s="2"/>
      <c r="CN43" s="2"/>
      <c r="CO43" s="2"/>
      <c r="CP43" s="2"/>
      <c r="CQ43" s="2"/>
    </row>
    <row r="44" spans="1:95" s="16" customFormat="1" ht="16.5" customHeight="1">
      <c r="A44" s="24"/>
      <c r="B44" s="18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5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5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5"/>
      <c r="AO44" s="140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5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5"/>
      <c r="BM44" s="152"/>
      <c r="BO44" s="2"/>
      <c r="CM44" s="2"/>
      <c r="CN44" s="2"/>
      <c r="CO44" s="2"/>
      <c r="CP44" s="2"/>
      <c r="CQ44" s="2"/>
    </row>
    <row r="45" spans="1:95" s="16" customFormat="1" ht="16.5" customHeight="1">
      <c r="A45" s="24"/>
      <c r="B45" s="18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5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5"/>
      <c r="AO45" s="140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5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5"/>
      <c r="BM45" s="152"/>
      <c r="BO45" s="2"/>
      <c r="CM45" s="2"/>
      <c r="CN45" s="2"/>
      <c r="CO45" s="2"/>
      <c r="CP45" s="2"/>
      <c r="CQ45" s="2"/>
    </row>
    <row r="46" spans="1:95" s="16" customFormat="1" ht="16.5" customHeight="1">
      <c r="A46" s="24"/>
      <c r="B46" s="18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5"/>
      <c r="AO46" s="140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5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5"/>
      <c r="BM46" s="152"/>
      <c r="BO46" s="2"/>
      <c r="CM46" s="2"/>
      <c r="CN46" s="2"/>
      <c r="CO46" s="2"/>
      <c r="CP46" s="2"/>
      <c r="CQ46" s="2"/>
    </row>
    <row r="47" spans="1:95" s="16" customFormat="1" ht="16.5" customHeight="1">
      <c r="A47" s="24"/>
      <c r="B47" s="18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5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5"/>
      <c r="AO47" s="140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5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5"/>
      <c r="BM47" s="152"/>
      <c r="BO47" s="2"/>
      <c r="CM47" s="2"/>
      <c r="CN47" s="2"/>
      <c r="CO47" s="2"/>
      <c r="CP47" s="2"/>
      <c r="CQ47" s="2"/>
    </row>
  </sheetData>
  <mergeCells count="10">
    <mergeCell ref="AO1:AZ1"/>
    <mergeCell ref="BA1:BL1"/>
    <mergeCell ref="E1:P1"/>
    <mergeCell ref="Q1:AB1"/>
    <mergeCell ref="AC1:AN1"/>
    <mergeCell ref="BP1:BS1"/>
    <mergeCell ref="BT1:BW1"/>
    <mergeCell ref="BX1:CA1"/>
    <mergeCell ref="CB1:CE1"/>
    <mergeCell ref="CF1:CI1"/>
  </mergeCells>
  <pageMargins left="0.7" right="0.7" top="0.75" bottom="0.75" header="0.25" footer="0.3"/>
  <pageSetup orientation="portrait" horizontalDpi="1200" verticalDpi="1200"/>
  <headerFooter>
    <oddFooter>&amp;R&amp;"Arial,Bold"&amp;8 Page 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-0.499984740745262"/>
  </sheetPr>
  <dimension ref="B1:B25"/>
  <sheetViews>
    <sheetView showGridLines="0" topLeftCell="A16" zoomScale="80" zoomScaleNormal="80" zoomScalePageLayoutView="80" workbookViewId="0">
      <selection activeCell="A51" sqref="A51"/>
    </sheetView>
  </sheetViews>
  <sheetFormatPr defaultColWidth="8.85546875" defaultRowHeight="15"/>
  <sheetData>
    <row r="1" spans="2:2" ht="23.25">
      <c r="B1" s="164" t="s">
        <v>225</v>
      </c>
    </row>
    <row r="25" spans="2:2" ht="23.25">
      <c r="B25" s="164" t="s">
        <v>224</v>
      </c>
    </row>
  </sheetData>
  <pageMargins left="0.7" right="0.7" top="0.75" bottom="0.75" header="0.3" footer="0.3"/>
  <pageSetup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BI587"/>
  <sheetViews>
    <sheetView showGridLines="0" tabSelected="1" zoomScale="60" zoomScaleNormal="60" zoomScalePageLayoutView="60" workbookViewId="0">
      <pane xSplit="1" topLeftCell="B1" activePane="topRight" state="frozen"/>
      <selection activeCell="D71" sqref="D71"/>
      <selection pane="topRight" activeCell="F37" sqref="F37"/>
    </sheetView>
  </sheetViews>
  <sheetFormatPr defaultColWidth="9.140625" defaultRowHeight="15" outlineLevelRow="1"/>
  <cols>
    <col min="1" max="1" width="40.42578125" customWidth="1"/>
    <col min="2" max="2" width="14.42578125" bestFit="1" customWidth="1"/>
    <col min="3" max="3" width="15.42578125" bestFit="1" customWidth="1"/>
    <col min="4" max="4" width="14.42578125" bestFit="1" customWidth="1"/>
    <col min="5" max="12" width="15.42578125" bestFit="1" customWidth="1"/>
    <col min="13" max="13" width="17.85546875" style="114" bestFit="1" customWidth="1"/>
    <col min="14" max="14" width="14.42578125" style="109" bestFit="1" customWidth="1"/>
    <col min="15" max="21" width="15.42578125" bestFit="1" customWidth="1"/>
    <col min="22" max="23" width="14.42578125" bestFit="1" customWidth="1"/>
    <col min="24" max="24" width="13.85546875" customWidth="1"/>
    <col min="25" max="25" width="18.42578125" style="114" customWidth="1"/>
    <col min="26" max="26" width="15.85546875" style="109" bestFit="1" customWidth="1"/>
    <col min="27" max="27" width="15.42578125" bestFit="1" customWidth="1"/>
    <col min="28" max="28" width="15" bestFit="1" customWidth="1"/>
    <col min="29" max="31" width="15.85546875" bestFit="1" customWidth="1"/>
    <col min="32" max="32" width="15" bestFit="1" customWidth="1"/>
    <col min="33" max="33" width="15.85546875" bestFit="1" customWidth="1"/>
    <col min="34" max="34" width="15.42578125" bestFit="1" customWidth="1"/>
    <col min="35" max="35" width="16.140625" customWidth="1"/>
    <col min="36" max="36" width="15.42578125" bestFit="1" customWidth="1"/>
    <col min="37" max="37" width="18" style="114" customWidth="1"/>
    <col min="38" max="38" width="16.42578125" style="109" bestFit="1" customWidth="1"/>
    <col min="39" max="40" width="16.42578125" bestFit="1" customWidth="1"/>
    <col min="41" max="41" width="15.42578125" customWidth="1"/>
    <col min="42" max="43" width="15.85546875" bestFit="1" customWidth="1"/>
    <col min="44" max="44" width="16.42578125" bestFit="1" customWidth="1"/>
    <col min="45" max="45" width="15.85546875" bestFit="1" customWidth="1"/>
    <col min="46" max="47" width="16.42578125" bestFit="1" customWidth="1"/>
    <col min="48" max="48" width="16.7109375" customWidth="1"/>
    <col min="49" max="49" width="18.28515625" style="114" customWidth="1"/>
    <col min="50" max="50" width="16.42578125" style="109" bestFit="1" customWidth="1"/>
    <col min="51" max="51" width="16.42578125" bestFit="1" customWidth="1"/>
    <col min="52" max="52" width="15.85546875" bestFit="1" customWidth="1"/>
    <col min="53" max="53" width="15.85546875" customWidth="1"/>
    <col min="54" max="55" width="15.85546875" bestFit="1" customWidth="1"/>
    <col min="56" max="59" width="16.42578125" bestFit="1" customWidth="1"/>
    <col min="60" max="60" width="15.140625" customWidth="1"/>
    <col min="61" max="61" width="20.140625" style="114" customWidth="1"/>
  </cols>
  <sheetData>
    <row r="1" spans="1:61" s="19" customFormat="1" ht="22.5" customHeight="1">
      <c r="B1" s="1286" t="s">
        <v>189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7" t="s">
        <v>190</v>
      </c>
      <c r="O1" s="1288"/>
      <c r="P1" s="1288"/>
      <c r="Q1" s="1288"/>
      <c r="R1" s="1288"/>
      <c r="S1" s="1288"/>
      <c r="T1" s="1288"/>
      <c r="U1" s="1288"/>
      <c r="V1" s="1288"/>
      <c r="W1" s="1288"/>
      <c r="X1" s="1288"/>
      <c r="Y1" s="1288"/>
      <c r="Z1" s="1287" t="s">
        <v>191</v>
      </c>
      <c r="AA1" s="1288"/>
      <c r="AB1" s="1288"/>
      <c r="AC1" s="1288"/>
      <c r="AD1" s="1288"/>
      <c r="AE1" s="1288"/>
      <c r="AF1" s="1288"/>
      <c r="AG1" s="1288"/>
      <c r="AH1" s="1288"/>
      <c r="AI1" s="1288"/>
      <c r="AJ1" s="1288"/>
      <c r="AK1" s="1288"/>
      <c r="AL1" s="1287" t="s">
        <v>192</v>
      </c>
      <c r="AM1" s="1288"/>
      <c r="AN1" s="1288"/>
      <c r="AO1" s="1288"/>
      <c r="AP1" s="1288"/>
      <c r="AQ1" s="1288"/>
      <c r="AR1" s="1288"/>
      <c r="AS1" s="1288"/>
      <c r="AT1" s="1288"/>
      <c r="AU1" s="1288"/>
      <c r="AV1" s="1288"/>
      <c r="AW1" s="1288"/>
      <c r="AX1" s="1287" t="s">
        <v>193</v>
      </c>
      <c r="AY1" s="1288"/>
      <c r="AZ1" s="1288"/>
      <c r="BA1" s="1288"/>
      <c r="BB1" s="1288"/>
      <c r="BC1" s="1288"/>
      <c r="BD1" s="1288"/>
      <c r="BE1" s="1288"/>
      <c r="BF1" s="1288"/>
      <c r="BG1" s="1288"/>
      <c r="BH1" s="1288"/>
      <c r="BI1" s="1289"/>
    </row>
    <row r="2" spans="1:61" hidden="1">
      <c r="A2" s="55" t="s">
        <v>158</v>
      </c>
      <c r="B2" s="50" t="s">
        <v>157</v>
      </c>
      <c r="C2" s="50" t="s">
        <v>156</v>
      </c>
      <c r="D2" s="50" t="s">
        <v>155</v>
      </c>
      <c r="E2" s="50" t="s">
        <v>154</v>
      </c>
      <c r="F2" s="50" t="s">
        <v>153</v>
      </c>
      <c r="G2" s="50" t="s">
        <v>152</v>
      </c>
      <c r="H2" s="50" t="s">
        <v>151</v>
      </c>
      <c r="I2" s="50" t="s">
        <v>150</v>
      </c>
      <c r="J2" s="50" t="s">
        <v>149</v>
      </c>
      <c r="K2" s="50" t="s">
        <v>148</v>
      </c>
      <c r="L2" s="50" t="s">
        <v>147</v>
      </c>
      <c r="M2" s="111" t="s">
        <v>146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111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111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111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111"/>
    </row>
    <row r="3" spans="1:61" s="597" customFormat="1" ht="18.75">
      <c r="A3" s="594"/>
      <c r="B3" s="595" t="s">
        <v>1</v>
      </c>
      <c r="C3" s="595" t="s">
        <v>2</v>
      </c>
      <c r="D3" s="595" t="s">
        <v>159</v>
      </c>
      <c r="E3" s="595" t="s">
        <v>160</v>
      </c>
      <c r="F3" s="595" t="s">
        <v>5</v>
      </c>
      <c r="G3" s="595" t="s">
        <v>161</v>
      </c>
      <c r="H3" s="595" t="s">
        <v>145</v>
      </c>
      <c r="I3" s="595" t="s">
        <v>8</v>
      </c>
      <c r="J3" s="595" t="s">
        <v>9</v>
      </c>
      <c r="K3" s="595" t="s">
        <v>10</v>
      </c>
      <c r="L3" s="595" t="s">
        <v>11</v>
      </c>
      <c r="M3" s="596" t="s">
        <v>12</v>
      </c>
      <c r="N3" s="595" t="s">
        <v>1</v>
      </c>
      <c r="O3" s="595" t="s">
        <v>2</v>
      </c>
      <c r="P3" s="595" t="s">
        <v>159</v>
      </c>
      <c r="Q3" s="595" t="s">
        <v>160</v>
      </c>
      <c r="R3" s="595" t="s">
        <v>5</v>
      </c>
      <c r="S3" s="595" t="s">
        <v>161</v>
      </c>
      <c r="T3" s="595" t="s">
        <v>145</v>
      </c>
      <c r="U3" s="595" t="s">
        <v>8</v>
      </c>
      <c r="V3" s="595" t="s">
        <v>9</v>
      </c>
      <c r="W3" s="595" t="s">
        <v>10</v>
      </c>
      <c r="X3" s="595" t="s">
        <v>11</v>
      </c>
      <c r="Y3" s="596" t="s">
        <v>12</v>
      </c>
      <c r="Z3" s="595" t="s">
        <v>1</v>
      </c>
      <c r="AA3" s="595" t="s">
        <v>2</v>
      </c>
      <c r="AB3" s="595" t="s">
        <v>159</v>
      </c>
      <c r="AC3" s="595" t="s">
        <v>160</v>
      </c>
      <c r="AD3" s="595" t="s">
        <v>5</v>
      </c>
      <c r="AE3" s="595" t="s">
        <v>161</v>
      </c>
      <c r="AF3" s="595" t="s">
        <v>145</v>
      </c>
      <c r="AG3" s="595" t="s">
        <v>8</v>
      </c>
      <c r="AH3" s="595" t="s">
        <v>9</v>
      </c>
      <c r="AI3" s="595" t="s">
        <v>10</v>
      </c>
      <c r="AJ3" s="595" t="s">
        <v>11</v>
      </c>
      <c r="AK3" s="596" t="s">
        <v>12</v>
      </c>
      <c r="AL3" s="595" t="s">
        <v>1</v>
      </c>
      <c r="AM3" s="595" t="s">
        <v>2</v>
      </c>
      <c r="AN3" s="595" t="s">
        <v>159</v>
      </c>
      <c r="AO3" s="595" t="s">
        <v>160</v>
      </c>
      <c r="AP3" s="595" t="s">
        <v>5</v>
      </c>
      <c r="AQ3" s="595" t="s">
        <v>161</v>
      </c>
      <c r="AR3" s="595" t="s">
        <v>145</v>
      </c>
      <c r="AS3" s="595" t="s">
        <v>8</v>
      </c>
      <c r="AT3" s="595" t="s">
        <v>9</v>
      </c>
      <c r="AU3" s="595" t="s">
        <v>10</v>
      </c>
      <c r="AV3" s="595" t="s">
        <v>11</v>
      </c>
      <c r="AW3" s="596" t="s">
        <v>12</v>
      </c>
      <c r="AX3" s="595" t="s">
        <v>1</v>
      </c>
      <c r="AY3" s="595" t="s">
        <v>2</v>
      </c>
      <c r="AZ3" s="595" t="s">
        <v>159</v>
      </c>
      <c r="BA3" s="595" t="s">
        <v>160</v>
      </c>
      <c r="BB3" s="595" t="s">
        <v>5</v>
      </c>
      <c r="BC3" s="595" t="s">
        <v>161</v>
      </c>
      <c r="BD3" s="595" t="s">
        <v>145</v>
      </c>
      <c r="BE3" s="595" t="s">
        <v>8</v>
      </c>
      <c r="BF3" s="595" t="s">
        <v>9</v>
      </c>
      <c r="BG3" s="595" t="s">
        <v>10</v>
      </c>
      <c r="BH3" s="595" t="s">
        <v>11</v>
      </c>
      <c r="BI3" s="596" t="s">
        <v>12</v>
      </c>
    </row>
    <row r="4" spans="1:61" ht="7.5" customHeight="1"/>
    <row r="5" spans="1:61" s="417" customFormat="1" ht="19.5">
      <c r="A5" s="416" t="s">
        <v>315</v>
      </c>
      <c r="B5" s="417">
        <v>5</v>
      </c>
      <c r="C5" s="417">
        <v>6</v>
      </c>
      <c r="D5" s="417">
        <v>6</v>
      </c>
      <c r="E5" s="417">
        <v>7</v>
      </c>
      <c r="F5" s="417">
        <v>7</v>
      </c>
      <c r="G5" s="417">
        <v>7</v>
      </c>
      <c r="H5" s="417">
        <v>7</v>
      </c>
      <c r="I5" s="417">
        <v>8</v>
      </c>
      <c r="J5" s="417">
        <v>8</v>
      </c>
      <c r="K5" s="417">
        <v>9</v>
      </c>
      <c r="L5" s="417">
        <v>8</v>
      </c>
      <c r="M5" s="418">
        <v>9</v>
      </c>
      <c r="N5" s="417">
        <v>9</v>
      </c>
      <c r="O5" s="417">
        <v>10</v>
      </c>
      <c r="P5" s="417">
        <v>10</v>
      </c>
      <c r="Q5" s="417">
        <v>10</v>
      </c>
      <c r="R5" s="417">
        <v>11</v>
      </c>
      <c r="S5" s="417">
        <v>11</v>
      </c>
      <c r="T5" s="417">
        <v>11</v>
      </c>
      <c r="U5" s="417">
        <v>12</v>
      </c>
      <c r="V5" s="417">
        <v>12</v>
      </c>
      <c r="W5" s="417">
        <v>13</v>
      </c>
      <c r="X5" s="417">
        <v>13</v>
      </c>
      <c r="Y5" s="418">
        <v>14</v>
      </c>
      <c r="Z5" s="417">
        <v>14</v>
      </c>
      <c r="AA5" s="417">
        <v>15</v>
      </c>
      <c r="AB5" s="417">
        <v>16</v>
      </c>
      <c r="AC5" s="417">
        <v>17</v>
      </c>
      <c r="AD5" s="417">
        <v>18</v>
      </c>
      <c r="AE5" s="417">
        <v>19</v>
      </c>
      <c r="AF5" s="417">
        <v>20</v>
      </c>
      <c r="AG5" s="417">
        <v>20</v>
      </c>
      <c r="AH5" s="417">
        <v>21</v>
      </c>
      <c r="AI5" s="417">
        <v>21</v>
      </c>
      <c r="AJ5" s="417">
        <v>22</v>
      </c>
      <c r="AK5" s="418">
        <v>22</v>
      </c>
      <c r="AL5" s="417">
        <v>23</v>
      </c>
      <c r="AM5" s="417">
        <v>24</v>
      </c>
      <c r="AN5" s="417">
        <v>24</v>
      </c>
      <c r="AO5" s="417">
        <v>25</v>
      </c>
      <c r="AP5" s="417">
        <v>25</v>
      </c>
      <c r="AQ5" s="417">
        <v>26</v>
      </c>
      <c r="AR5" s="417">
        <v>27</v>
      </c>
      <c r="AS5" s="417">
        <v>27</v>
      </c>
      <c r="AT5" s="417">
        <v>28</v>
      </c>
      <c r="AU5" s="417">
        <v>29</v>
      </c>
      <c r="AV5" s="417">
        <v>29</v>
      </c>
      <c r="AW5" s="418">
        <v>30</v>
      </c>
      <c r="AX5" s="417">
        <v>31</v>
      </c>
      <c r="AY5" s="417">
        <v>31</v>
      </c>
      <c r="AZ5" s="417">
        <v>32</v>
      </c>
      <c r="BA5" s="417">
        <v>33</v>
      </c>
      <c r="BB5" s="417">
        <v>33</v>
      </c>
      <c r="BC5" s="417">
        <v>33</v>
      </c>
      <c r="BD5" s="417">
        <v>34</v>
      </c>
      <c r="BE5" s="417">
        <v>34</v>
      </c>
      <c r="BF5" s="417">
        <v>34</v>
      </c>
      <c r="BG5" s="417">
        <v>35</v>
      </c>
      <c r="BH5" s="417">
        <v>35</v>
      </c>
      <c r="BI5" s="418">
        <v>36</v>
      </c>
    </row>
    <row r="6" spans="1:61" s="203" customFormat="1">
      <c r="M6" s="217"/>
      <c r="N6" s="213"/>
      <c r="Y6" s="217"/>
      <c r="Z6" s="213"/>
      <c r="AK6" s="217"/>
      <c r="AL6" s="213"/>
      <c r="AW6" s="217"/>
      <c r="AX6" s="213"/>
      <c r="BI6" s="217"/>
    </row>
    <row r="7" spans="1:61" s="408" customFormat="1" ht="15.75">
      <c r="A7" s="586" t="str">
        <f>A45</f>
        <v>Leads</v>
      </c>
      <c r="B7" s="408">
        <f t="shared" ref="B7:AG7" si="0">B45+B53+B61+B69+B77+B84+B91+B99+B107+B115+B123+B131+B139+B147+B155+B163+B171+B179+B187+B195+B203+B211+B219+B227+B235+B243+B251+B259+B267+B275+B283+B291+B299+B307+B315+B323+B331+B339+B347+B355+B363+B371+B379+B387+B395+B403+B411+B419+B427+B435+B443+B451+B459+B467+B475+B483+B491+B499+B507+B515</f>
        <v>100</v>
      </c>
      <c r="C7" s="408">
        <f t="shared" si="0"/>
        <v>124</v>
      </c>
      <c r="D7" s="408">
        <f t="shared" si="0"/>
        <v>128.96</v>
      </c>
      <c r="E7" s="408">
        <f t="shared" si="0"/>
        <v>154.11840000000001</v>
      </c>
      <c r="F7" s="408">
        <f t="shared" si="0"/>
        <v>160.28313600000004</v>
      </c>
      <c r="G7" s="408">
        <f t="shared" si="0"/>
        <v>166.69446144000005</v>
      </c>
      <c r="H7" s="408">
        <f t="shared" si="0"/>
        <v>173.36223989760003</v>
      </c>
      <c r="I7" s="408">
        <f t="shared" si="0"/>
        <v>200.29672949350407</v>
      </c>
      <c r="J7" s="408">
        <f t="shared" si="0"/>
        <v>208.30859867324426</v>
      </c>
      <c r="K7" s="408">
        <f t="shared" si="0"/>
        <v>236.64094262017406</v>
      </c>
      <c r="L7" s="408">
        <f t="shared" si="0"/>
        <v>246.10658032498105</v>
      </c>
      <c r="M7" s="409">
        <f t="shared" si="0"/>
        <v>275.95084353798029</v>
      </c>
      <c r="N7" s="408">
        <f t="shared" si="0"/>
        <v>286.98887727949949</v>
      </c>
      <c r="O7" s="408">
        <f t="shared" si="0"/>
        <v>318.46843237067947</v>
      </c>
      <c r="P7" s="408">
        <f t="shared" si="0"/>
        <v>331.20716966550663</v>
      </c>
      <c r="Q7" s="408">
        <f t="shared" si="0"/>
        <v>344.45545645212695</v>
      </c>
      <c r="R7" s="408">
        <f t="shared" si="0"/>
        <v>378.23367471021203</v>
      </c>
      <c r="S7" s="408">
        <f t="shared" si="0"/>
        <v>393.36302169862057</v>
      </c>
      <c r="T7" s="408">
        <f t="shared" si="0"/>
        <v>409.09754256656538</v>
      </c>
      <c r="U7" s="408">
        <f t="shared" si="0"/>
        <v>445.46144426922802</v>
      </c>
      <c r="V7" s="408">
        <f t="shared" si="0"/>
        <v>463.27990203999718</v>
      </c>
      <c r="W7" s="408">
        <f t="shared" si="0"/>
        <v>501.81109812159713</v>
      </c>
      <c r="X7" s="408">
        <f t="shared" si="0"/>
        <v>521.883542046461</v>
      </c>
      <c r="Y7" s="409">
        <f t="shared" si="0"/>
        <v>562.75888372831946</v>
      </c>
      <c r="Z7" s="408">
        <f t="shared" si="0"/>
        <v>585.26923907745231</v>
      </c>
      <c r="AA7" s="408">
        <f t="shared" si="0"/>
        <v>628.68000864055034</v>
      </c>
      <c r="AB7" s="408">
        <f t="shared" si="0"/>
        <v>673.82720898617254</v>
      </c>
      <c r="AC7" s="408">
        <f t="shared" si="0"/>
        <v>720.78029734561915</v>
      </c>
      <c r="AD7" s="408">
        <f t="shared" si="0"/>
        <v>769.6115092394441</v>
      </c>
      <c r="AE7" s="408">
        <f t="shared" si="0"/>
        <v>820.39596960902179</v>
      </c>
      <c r="AF7" s="408">
        <f t="shared" si="0"/>
        <v>873.21180839338274</v>
      </c>
      <c r="AG7" s="408">
        <f t="shared" si="0"/>
        <v>908.14028072911833</v>
      </c>
      <c r="AH7" s="408">
        <f t="shared" ref="AH7:BI7" si="1">AH45+AH53+AH61+AH69+AH77+AH84+AH91+AH99+AH107+AH115+AH123+AH131+AH139+AH147+AH155+AH163+AH171+AH179+AH187+AH195+AH203+AH211+AH219+AH227+AH235+AH243+AH251+AH259+AH267+AH275+AH283+AH291+AH299+AH307+AH315+AH323+AH331+AH339+AH347+AH355+AH363+AH371+AH379+AH387+AH395+AH403+AH411+AH419+AH427+AH435+AH443+AH451+AH459+AH467+AH475+AH483+AH491+AH499+AH507+AH515</f>
        <v>964.46589195828301</v>
      </c>
      <c r="AI7" s="408">
        <f t="shared" si="1"/>
        <v>1003.0445276366145</v>
      </c>
      <c r="AJ7" s="408">
        <f t="shared" si="1"/>
        <v>1063.1663087420791</v>
      </c>
      <c r="AK7" s="409">
        <f t="shared" si="1"/>
        <v>1105.6929610917625</v>
      </c>
      <c r="AL7" s="408">
        <f t="shared" si="1"/>
        <v>1169.9206795354326</v>
      </c>
      <c r="AM7" s="408">
        <f t="shared" si="1"/>
        <v>1236.7175067168503</v>
      </c>
      <c r="AN7" s="408">
        <f t="shared" si="1"/>
        <v>1286.1862069855247</v>
      </c>
      <c r="AO7" s="408">
        <f t="shared" si="1"/>
        <v>1357.6336552649457</v>
      </c>
      <c r="AP7" s="408">
        <f t="shared" si="1"/>
        <v>1411.9390014755434</v>
      </c>
      <c r="AQ7" s="408">
        <f t="shared" si="1"/>
        <v>1488.4165615345651</v>
      </c>
      <c r="AR7" s="408">
        <f t="shared" si="1"/>
        <v>1567.9532239959474</v>
      </c>
      <c r="AS7" s="408">
        <f t="shared" si="1"/>
        <v>1630.6713529557856</v>
      </c>
      <c r="AT7" s="408">
        <f t="shared" si="1"/>
        <v>1715.8982070740174</v>
      </c>
      <c r="AU7" s="408">
        <f t="shared" si="1"/>
        <v>1804.5341353569775</v>
      </c>
      <c r="AV7" s="408">
        <f t="shared" si="1"/>
        <v>1876.7155007712565</v>
      </c>
      <c r="AW7" s="409">
        <f t="shared" si="1"/>
        <v>1971.7841208021073</v>
      </c>
      <c r="AX7" s="408">
        <f t="shared" si="1"/>
        <v>2070.6554856341913</v>
      </c>
      <c r="AY7" s="408">
        <f t="shared" si="1"/>
        <v>2153.4817050595598</v>
      </c>
      <c r="AZ7" s="408">
        <f t="shared" si="1"/>
        <v>2259.6209732619418</v>
      </c>
      <c r="BA7" s="408">
        <f t="shared" si="1"/>
        <v>2370.0058121924212</v>
      </c>
      <c r="BB7" s="408">
        <f t="shared" si="1"/>
        <v>2464.8060446801173</v>
      </c>
      <c r="BC7" s="408">
        <f t="shared" si="1"/>
        <v>2563.3982864673217</v>
      </c>
      <c r="BD7" s="408">
        <f t="shared" si="1"/>
        <v>2685.9342179260152</v>
      </c>
      <c r="BE7" s="408">
        <f t="shared" si="1"/>
        <v>2793.3715866430562</v>
      </c>
      <c r="BF7" s="408">
        <f t="shared" si="1"/>
        <v>2905.1064501087781</v>
      </c>
      <c r="BG7" s="408">
        <f t="shared" si="1"/>
        <v>3041.3107081131288</v>
      </c>
      <c r="BH7" s="408">
        <f t="shared" si="1"/>
        <v>3162.9631364376546</v>
      </c>
      <c r="BI7" s="409">
        <f t="shared" si="1"/>
        <v>3309.4816618951595</v>
      </c>
    </row>
    <row r="8" spans="1:61" s="410" customFormat="1" ht="15.75">
      <c r="A8" s="587" t="str">
        <f>A46</f>
        <v>Audits</v>
      </c>
      <c r="B8" s="410">
        <f t="shared" ref="B8:AG8" si="2">B46+B54+B62+B70+B78+B85+B92+B100+B108+B116+B124+B132+B140+B148+B156+B164+B172+B180+B188+B196+B204+B212+B220+B228+B236+B244+B252+B260+B268+B276+B284+B292+B300+B308+B316+B324+B332+B340+B348+B356+B364+B372+B380+B388+B396+B404+B412+B420+B428+B436+B444+B452+B460+B468+B476+B484+B492+B500+B508+B516</f>
        <v>39.233480176211451</v>
      </c>
      <c r="C8" s="410">
        <f t="shared" si="2"/>
        <v>48.749476163876651</v>
      </c>
      <c r="D8" s="410">
        <f t="shared" si="2"/>
        <v>50.961346721143705</v>
      </c>
      <c r="E8" s="410">
        <f t="shared" si="2"/>
        <v>61.164366516446989</v>
      </c>
      <c r="F8" s="410">
        <f t="shared" si="2"/>
        <v>63.98425235253309</v>
      </c>
      <c r="G8" s="410">
        <f t="shared" si="2"/>
        <v>66.983705974122699</v>
      </c>
      <c r="H8" s="410">
        <f t="shared" si="2"/>
        <v>70.150121748829548</v>
      </c>
      <c r="I8" s="410">
        <f t="shared" si="2"/>
        <v>81.340558562679348</v>
      </c>
      <c r="J8" s="410">
        <f t="shared" si="2"/>
        <v>85.206408311568026</v>
      </c>
      <c r="K8" s="410">
        <f t="shared" si="2"/>
        <v>97.160434515080652</v>
      </c>
      <c r="L8" s="410">
        <f t="shared" si="2"/>
        <v>101.83396093841019</v>
      </c>
      <c r="M8" s="411">
        <f t="shared" si="2"/>
        <v>114.64217199220536</v>
      </c>
      <c r="N8" s="410">
        <f t="shared" si="2"/>
        <v>120.22356985381883</v>
      </c>
      <c r="O8" s="410">
        <f t="shared" si="2"/>
        <v>133.98963948325931</v>
      </c>
      <c r="P8" s="410">
        <f t="shared" si="2"/>
        <v>140.58584063450326</v>
      </c>
      <c r="Q8" s="410">
        <f t="shared" si="2"/>
        <v>147.59031002984477</v>
      </c>
      <c r="R8" s="410">
        <f t="shared" si="2"/>
        <v>162.848780662818</v>
      </c>
      <c r="S8" s="410">
        <f t="shared" si="2"/>
        <v>171.02765454208455</v>
      </c>
      <c r="T8" s="410">
        <f t="shared" si="2"/>
        <v>179.70655761794001</v>
      </c>
      <c r="U8" s="410">
        <f t="shared" si="2"/>
        <v>196.73790095140478</v>
      </c>
      <c r="V8" s="410">
        <f t="shared" si="2"/>
        <v>206.78888437380107</v>
      </c>
      <c r="W8" s="410">
        <f t="shared" si="2"/>
        <v>225.29293704298331</v>
      </c>
      <c r="X8" s="410">
        <f t="shared" si="2"/>
        <v>236.89821986030762</v>
      </c>
      <c r="Y8" s="411">
        <f t="shared" si="2"/>
        <v>257.04159148939334</v>
      </c>
      <c r="Z8" s="410">
        <f t="shared" si="2"/>
        <v>270.3821739435806</v>
      </c>
      <c r="AA8" s="410">
        <f t="shared" si="2"/>
        <v>292.21626786146754</v>
      </c>
      <c r="AB8" s="410">
        <f t="shared" si="2"/>
        <v>315.14485517399885</v>
      </c>
      <c r="AC8" s="410">
        <f t="shared" si="2"/>
        <v>339.27861789356575</v>
      </c>
      <c r="AD8" s="410">
        <f t="shared" si="2"/>
        <v>364.65108932744192</v>
      </c>
      <c r="AE8" s="410">
        <f t="shared" si="2"/>
        <v>391.35067947314906</v>
      </c>
      <c r="AF8" s="410">
        <f t="shared" si="2"/>
        <v>419.4462649381021</v>
      </c>
      <c r="AG8" s="410">
        <f t="shared" si="2"/>
        <v>441.16330796990667</v>
      </c>
      <c r="AH8" s="410">
        <f t="shared" ref="AH8:BI8" si="3">AH46+AH54+AH62+AH70+AH78+AH85+AH92+AH100+AH108+AH116+AH124+AH132+AH140+AH148+AH156+AH164+AH172+AH180+AH188+AH196+AH204+AH212+AH220+AH228+AH236+AH244+AH252+AH260+AH268+AH276+AH284+AH292+AH300+AH308+AH316+AH324+AH332+AH340+AH348+AH356+AH364+AH372+AH380+AH388+AH396+AH404+AH412+AH420+AH428+AH436+AH444+AH452+AH460+AH468+AH476+AH484+AH492+AH500+AH508+AH516</f>
        <v>471.90328085049487</v>
      </c>
      <c r="AI8" s="410">
        <f t="shared" si="3"/>
        <v>496.37042436256797</v>
      </c>
      <c r="AJ8" s="410">
        <f t="shared" si="3"/>
        <v>529.99349316477605</v>
      </c>
      <c r="AK8" s="411">
        <f t="shared" si="3"/>
        <v>557.4817506015745</v>
      </c>
      <c r="AL8" s="410">
        <f t="shared" si="3"/>
        <v>594.26913704218782</v>
      </c>
      <c r="AM8" s="410">
        <f t="shared" si="3"/>
        <v>632.31224912595735</v>
      </c>
      <c r="AN8" s="410">
        <f t="shared" si="3"/>
        <v>664.2775380020679</v>
      </c>
      <c r="AO8" s="410">
        <f t="shared" si="3"/>
        <v>705.75203897866868</v>
      </c>
      <c r="AP8" s="410">
        <f t="shared" si="3"/>
        <v>741.30960179361387</v>
      </c>
      <c r="AQ8" s="410">
        <f t="shared" si="3"/>
        <v>786.51090713742485</v>
      </c>
      <c r="AR8" s="410">
        <f t="shared" si="3"/>
        <v>833.92777038751331</v>
      </c>
      <c r="AS8" s="410">
        <f t="shared" si="3"/>
        <v>875.84005257834951</v>
      </c>
      <c r="AT8" s="410">
        <f t="shared" si="3"/>
        <v>927.56637444499017</v>
      </c>
      <c r="AU8" s="410">
        <f t="shared" si="3"/>
        <v>981.7988846029225</v>
      </c>
      <c r="AV8" s="410">
        <f t="shared" si="3"/>
        <v>1030.6792327403518</v>
      </c>
      <c r="AW8" s="411">
        <f t="shared" si="3"/>
        <v>1089.8207411583912</v>
      </c>
      <c r="AX8" s="410">
        <f t="shared" si="3"/>
        <v>1151.6432736437541</v>
      </c>
      <c r="AY8" s="410">
        <f t="shared" si="3"/>
        <v>1208.8850332505926</v>
      </c>
      <c r="AZ8" s="410">
        <f t="shared" si="3"/>
        <v>1276.6878449933438</v>
      </c>
      <c r="BA8" s="410">
        <f t="shared" si="3"/>
        <v>1347.6944821659349</v>
      </c>
      <c r="BB8" s="410">
        <f t="shared" si="3"/>
        <v>1414.279212304582</v>
      </c>
      <c r="BC8" s="410">
        <f t="shared" si="3"/>
        <v>1483.9303839732206</v>
      </c>
      <c r="BD8" s="410">
        <f t="shared" si="3"/>
        <v>1564.7147500970495</v>
      </c>
      <c r="BE8" s="410">
        <f t="shared" si="3"/>
        <v>1641.4084681480167</v>
      </c>
      <c r="BF8" s="410">
        <f t="shared" si="3"/>
        <v>1721.6788685568986</v>
      </c>
      <c r="BG8" s="410">
        <f t="shared" si="3"/>
        <v>1813.5293245378921</v>
      </c>
      <c r="BH8" s="410">
        <f t="shared" si="3"/>
        <v>1901.7225085029822</v>
      </c>
      <c r="BI8" s="411">
        <f t="shared" si="3"/>
        <v>2001.8534026546722</v>
      </c>
    </row>
    <row r="9" spans="1:61" s="589" customFormat="1" ht="15.75">
      <c r="A9" s="588" t="str">
        <f>A47</f>
        <v>Retrofit</v>
      </c>
      <c r="B9" s="589">
        <f t="shared" ref="B9:AG9" si="4">B47+B55+B63+B71+B79+B86+B93+B101+B109+B117+B125+B133+B141+B149+B157+B165+B173+B181+B189+B197+B205+B213+B221+B229+B237+B245+B253+B261+B269+B277+B285+B293+B301+B309+B317+B325+B333+B341+B349+B357+B365+B373+B381+B389+B397+B405+B413+B421+B429+B437+B445+B453+B461+B469+B477+B485+B493+B501+B509+B517</f>
        <v>16.370572687224669</v>
      </c>
      <c r="C9" s="589">
        <f t="shared" si="4"/>
        <v>20.379829344278942</v>
      </c>
      <c r="D9" s="589">
        <f t="shared" si="4"/>
        <v>21.466016925733353</v>
      </c>
      <c r="E9" s="589">
        <f t="shared" si="4"/>
        <v>25.930257138936994</v>
      </c>
      <c r="F9" s="589">
        <f t="shared" si="4"/>
        <v>27.348053561265552</v>
      </c>
      <c r="G9" s="589">
        <f t="shared" si="4"/>
        <v>28.893487713243236</v>
      </c>
      <c r="H9" s="589">
        <f t="shared" si="4"/>
        <v>30.544982625120063</v>
      </c>
      <c r="I9" s="589">
        <f t="shared" si="4"/>
        <v>35.584639538221197</v>
      </c>
      <c r="J9" s="589">
        <f t="shared" si="4"/>
        <v>37.619722725835558</v>
      </c>
      <c r="K9" s="589">
        <f t="shared" si="4"/>
        <v>43.101177192938039</v>
      </c>
      <c r="L9" s="589">
        <f t="shared" si="4"/>
        <v>45.6090368756646</v>
      </c>
      <c r="M9" s="590">
        <f t="shared" si="4"/>
        <v>51.596153919487463</v>
      </c>
      <c r="N9" s="589">
        <f t="shared" si="4"/>
        <v>54.646923189997125</v>
      </c>
      <c r="O9" s="589">
        <f t="shared" si="4"/>
        <v>61.189605009218042</v>
      </c>
      <c r="P9" s="589">
        <f t="shared" si="4"/>
        <v>64.832651952850313</v>
      </c>
      <c r="Q9" s="589">
        <f t="shared" si="4"/>
        <v>68.766809447498943</v>
      </c>
      <c r="R9" s="589">
        <f t="shared" si="4"/>
        <v>76.250035771628532</v>
      </c>
      <c r="S9" s="589">
        <f t="shared" si="4"/>
        <v>80.906237364895006</v>
      </c>
      <c r="T9" s="589">
        <f t="shared" si="4"/>
        <v>85.923498089212018</v>
      </c>
      <c r="U9" s="589">
        <f t="shared" si="4"/>
        <v>94.569179281122359</v>
      </c>
      <c r="V9" s="589">
        <f t="shared" si="4"/>
        <v>100.4592886073746</v>
      </c>
      <c r="W9" s="589">
        <f t="shared" si="4"/>
        <v>110.06563059145732</v>
      </c>
      <c r="X9" s="589">
        <f t="shared" si="4"/>
        <v>116.97774981960345</v>
      </c>
      <c r="Y9" s="590">
        <f t="shared" si="4"/>
        <v>127.67009073050997</v>
      </c>
      <c r="Z9" s="589">
        <f t="shared" si="4"/>
        <v>135.73954414252174</v>
      </c>
      <c r="AA9" s="589">
        <f t="shared" si="4"/>
        <v>147.47791762998088</v>
      </c>
      <c r="AB9" s="589">
        <f t="shared" si="4"/>
        <v>159.88035473300815</v>
      </c>
      <c r="AC9" s="589">
        <f t="shared" si="4"/>
        <v>173.05825745350762</v>
      </c>
      <c r="AD9" s="589">
        <f t="shared" si="4"/>
        <v>187.01957148205918</v>
      </c>
      <c r="AE9" s="589">
        <f t="shared" si="4"/>
        <v>201.83811782440176</v>
      </c>
      <c r="AF9" s="589">
        <f t="shared" si="4"/>
        <v>217.56823833601013</v>
      </c>
      <c r="AG9" s="589">
        <f t="shared" si="4"/>
        <v>230.98786433619742</v>
      </c>
      <c r="AH9" s="589">
        <f t="shared" ref="AH9:BI9" si="5">AH47+AH55+AH63+AH71+AH79+AH86+AH93+AH101+AH109+AH117+AH125+AH133+AH141+AH149+AH157+AH165+AH173+AH181+AH189+AH197+AH205+AH213+AH221+AH229+AH237+AH245+AH253+AH261+AH269+AH277+AH285+AH293+AH301+AH309+AH317+AH325+AH333+AH341+AH349+AH357+AH365+AH373+AH381+AH389+AH397+AH405+AH413+AH421+AH429+AH437+AH445+AH453+AH461+AH469+AH477+AH485+AH493+AH501+AH509+AH517</f>
        <v>248.50819824913515</v>
      </c>
      <c r="AI9" s="589">
        <f t="shared" si="5"/>
        <v>263.78206290517511</v>
      </c>
      <c r="AJ9" s="589">
        <f t="shared" si="5"/>
        <v>283.25331922339291</v>
      </c>
      <c r="AK9" s="590">
        <f t="shared" si="5"/>
        <v>300.57847526978912</v>
      </c>
      <c r="AL9" s="589">
        <f t="shared" si="5"/>
        <v>322.20519812364427</v>
      </c>
      <c r="AM9" s="589">
        <f t="shared" si="5"/>
        <v>344.30769068010858</v>
      </c>
      <c r="AN9" s="589">
        <f t="shared" si="5"/>
        <v>364.20508211924835</v>
      </c>
      <c r="AO9" s="589">
        <f t="shared" si="5"/>
        <v>388.53528406259943</v>
      </c>
      <c r="AP9" s="589">
        <f t="shared" si="5"/>
        <v>410.77255547415001</v>
      </c>
      <c r="AQ9" s="589">
        <f t="shared" si="5"/>
        <v>437.51816852126984</v>
      </c>
      <c r="AR9" s="589">
        <f t="shared" si="5"/>
        <v>465.70871933216193</v>
      </c>
      <c r="AS9" s="589">
        <f t="shared" si="5"/>
        <v>492.17347422151244</v>
      </c>
      <c r="AT9" s="589">
        <f t="shared" si="5"/>
        <v>523.2066334322335</v>
      </c>
      <c r="AU9" s="589">
        <f t="shared" si="5"/>
        <v>555.88641128616223</v>
      </c>
      <c r="AV9" s="589">
        <f t="shared" si="5"/>
        <v>586.86546516909311</v>
      </c>
      <c r="AW9" s="590">
        <f t="shared" si="5"/>
        <v>622.79591826370427</v>
      </c>
      <c r="AX9" s="589">
        <f t="shared" si="5"/>
        <v>660.41343614780089</v>
      </c>
      <c r="AY9" s="589">
        <f t="shared" si="5"/>
        <v>697.09917604062866</v>
      </c>
      <c r="AZ9" s="589">
        <f t="shared" si="5"/>
        <v>738.91433926583989</v>
      </c>
      <c r="BA9" s="589">
        <f t="shared" si="5"/>
        <v>782.86857743410258</v>
      </c>
      <c r="BB9" s="589">
        <f t="shared" si="5"/>
        <v>825.88450661883007</v>
      </c>
      <c r="BC9" s="589">
        <f t="shared" si="5"/>
        <v>870.98292503992388</v>
      </c>
      <c r="BD9" s="589">
        <f t="shared" si="5"/>
        <v>921.63898269641209</v>
      </c>
      <c r="BE9" s="589">
        <f t="shared" si="5"/>
        <v>971.55002654189639</v>
      </c>
      <c r="BF9" s="589">
        <f t="shared" si="5"/>
        <v>1023.9520386876646</v>
      </c>
      <c r="BG9" s="589">
        <f t="shared" si="5"/>
        <v>1082.233992354264</v>
      </c>
      <c r="BH9" s="589">
        <f t="shared" si="5"/>
        <v>1140.0655907900982</v>
      </c>
      <c r="BI9" s="590">
        <f t="shared" si="5"/>
        <v>1204.0523084914648</v>
      </c>
    </row>
    <row r="10" spans="1:61" s="591" customFormat="1" ht="18.75">
      <c r="L10" s="592" t="s">
        <v>292</v>
      </c>
      <c r="M10" s="797">
        <f>SUM(B9:M9)</f>
        <v>384.44393024794971</v>
      </c>
      <c r="X10" s="592" t="s">
        <v>292</v>
      </c>
      <c r="Y10" s="797">
        <f>SUM(N9:Y9)</f>
        <v>1042.2576998553677</v>
      </c>
      <c r="AJ10" s="592" t="s">
        <v>292</v>
      </c>
      <c r="AK10" s="797">
        <f>SUM(Z9:AK9)</f>
        <v>2549.691921585179</v>
      </c>
      <c r="AV10" s="593" t="s">
        <v>292</v>
      </c>
      <c r="AW10" s="797">
        <f>SUM(AL9:AW9)</f>
        <v>5514.1806006858878</v>
      </c>
      <c r="BH10" s="592" t="s">
        <v>292</v>
      </c>
      <c r="BI10" s="797">
        <f>SUM(AX9:BI9)</f>
        <v>10919.655900108926</v>
      </c>
    </row>
    <row r="11" spans="1:61" s="202" customFormat="1" ht="15.75">
      <c r="A11" s="207"/>
      <c r="L11" s="205"/>
      <c r="M11" s="218"/>
      <c r="N11" s="215"/>
      <c r="X11" s="205"/>
      <c r="Y11" s="218"/>
      <c r="Z11" s="215"/>
      <c r="AJ11" s="205"/>
      <c r="AK11" s="218"/>
      <c r="AL11" s="215"/>
      <c r="AV11" s="205"/>
      <c r="AW11" s="218"/>
      <c r="AX11" s="215"/>
      <c r="BH11" s="205"/>
      <c r="BI11" s="218"/>
    </row>
    <row r="12" spans="1:61" s="614" customFormat="1" ht="18.75">
      <c r="A12" s="613" t="s">
        <v>314</v>
      </c>
      <c r="B12" s="614">
        <f t="shared" ref="B12:AG12" si="6">B48+B56+B64+B72+B80+B87+B94+B102+B110+B118+B126+B134+B142+B150+B158+B166+B174+B182+B190+B198+B206+B214+B222+B230+B238+B246+B254+B262+B270+B278+B286+B294+B302+B310+B318+B326+B334+B342+B350+B358+B366+B374+B382+B390+B398+B406+B414+B422+B430+B438+B446+B454+B462+B470+B478+B486+B494+B502+B510+B518</f>
        <v>103644.66960352423</v>
      </c>
      <c r="C12" s="614">
        <f t="shared" si="6"/>
        <v>132402.91604360432</v>
      </c>
      <c r="D12" s="614">
        <f t="shared" si="6"/>
        <v>143641.69221379608</v>
      </c>
      <c r="E12" s="614">
        <f t="shared" si="6"/>
        <v>180535.52071383884</v>
      </c>
      <c r="F12" s="614">
        <f t="shared" si="6"/>
        <v>196498.89827123113</v>
      </c>
      <c r="G12" s="614">
        <f t="shared" si="6"/>
        <v>213196.05112146283</v>
      </c>
      <c r="H12" s="614">
        <f t="shared" si="6"/>
        <v>229801.35818471573</v>
      </c>
      <c r="I12" s="614">
        <f t="shared" si="6"/>
        <v>267223.18307096785</v>
      </c>
      <c r="J12" s="614">
        <f t="shared" si="6"/>
        <v>286834.79518361122</v>
      </c>
      <c r="K12" s="614">
        <f t="shared" si="6"/>
        <v>325799.39346572908</v>
      </c>
      <c r="L12" s="614">
        <f t="shared" si="6"/>
        <v>347193.57176084351</v>
      </c>
      <c r="M12" s="615">
        <f t="shared" si="6"/>
        <v>390277.94754855789</v>
      </c>
      <c r="N12" s="614">
        <f t="shared" si="6"/>
        <v>413449.52305862133</v>
      </c>
      <c r="O12" s="614">
        <f t="shared" si="6"/>
        <v>460040.12632763304</v>
      </c>
      <c r="P12" s="614">
        <f t="shared" si="6"/>
        <v>490685.84916293429</v>
      </c>
      <c r="Q12" s="614">
        <f t="shared" si="6"/>
        <v>522044.56717307697</v>
      </c>
      <c r="R12" s="614">
        <f t="shared" si="6"/>
        <v>577190.39687659452</v>
      </c>
      <c r="S12" s="614">
        <f t="shared" si="6"/>
        <v>614509.23004107992</v>
      </c>
      <c r="T12" s="614">
        <f t="shared" si="6"/>
        <v>654204.34019913513</v>
      </c>
      <c r="U12" s="614">
        <f t="shared" si="6"/>
        <v>717273.91069312824</v>
      </c>
      <c r="V12" s="614">
        <f t="shared" si="6"/>
        <v>763445.85166670871</v>
      </c>
      <c r="W12" s="614">
        <f t="shared" si="6"/>
        <v>833279.42870264605</v>
      </c>
      <c r="X12" s="614">
        <f t="shared" si="6"/>
        <v>887741.85339344142</v>
      </c>
      <c r="Y12" s="615">
        <f t="shared" si="6"/>
        <v>965610.30786563258</v>
      </c>
      <c r="Z12" s="614">
        <f t="shared" si="6"/>
        <v>1029609.4318691217</v>
      </c>
      <c r="AA12" s="614">
        <f t="shared" si="6"/>
        <v>1115294.2302418773</v>
      </c>
      <c r="AB12" s="614">
        <f t="shared" si="6"/>
        <v>1207928.3865620061</v>
      </c>
      <c r="AC12" s="614">
        <f t="shared" si="6"/>
        <v>1305935.3368771796</v>
      </c>
      <c r="AD12" s="614">
        <f t="shared" si="6"/>
        <v>1410277.5678098244</v>
      </c>
      <c r="AE12" s="614">
        <f t="shared" si="6"/>
        <v>1521946.7520008613</v>
      </c>
      <c r="AF12" s="614">
        <f t="shared" si="6"/>
        <v>1640794.6877553908</v>
      </c>
      <c r="AG12" s="614">
        <f t="shared" si="6"/>
        <v>1746072.3272445698</v>
      </c>
      <c r="AH12" s="614">
        <f t="shared" ref="AH12:BI12" si="7">AH48+AH56+AH64+AH72+AH80+AH87+AH94+AH102+AH110+AH118+AH126+AH134+AH142+AH150+AH158+AH166+AH174+AH182+AH190+AH198+AH206+AH214+AH222+AH230+AH238+AH246+AH254+AH262+AH270+AH278+AH286+AH294+AH302+AH310+AH318+AH326+AH334+AH342+AH350+AH358+AH366+AH374+AH382+AH390+AH398+AH406+AH414+AH422+AH430+AH438+AH446+AH454+AH462+AH470+AH478+AH486+AH494+AH502+AH510+AH518</f>
        <v>1878272.2079968508</v>
      </c>
      <c r="AI12" s="614">
        <f t="shared" si="7"/>
        <v>1997413.5249364588</v>
      </c>
      <c r="AJ12" s="614">
        <f t="shared" si="7"/>
        <v>2143427.1084569101</v>
      </c>
      <c r="AK12" s="615">
        <f t="shared" si="7"/>
        <v>2277305.7569253747</v>
      </c>
      <c r="AL12" s="614">
        <f t="shared" si="7"/>
        <v>2438754.9998755171</v>
      </c>
      <c r="AM12" s="614">
        <f t="shared" si="7"/>
        <v>2604263.80280182</v>
      </c>
      <c r="AN12" s="614">
        <f t="shared" si="7"/>
        <v>2756119.8819745388</v>
      </c>
      <c r="AO12" s="614">
        <f t="shared" si="7"/>
        <v>2937860.1548319277</v>
      </c>
      <c r="AP12" s="614">
        <f t="shared" si="7"/>
        <v>3108074.4165877276</v>
      </c>
      <c r="AQ12" s="614">
        <f t="shared" si="7"/>
        <v>3307263.1667245072</v>
      </c>
      <c r="AR12" s="614">
        <f t="shared" si="7"/>
        <v>3518360.9672771646</v>
      </c>
      <c r="AS12" s="614">
        <f t="shared" si="7"/>
        <v>3719922.4184155818</v>
      </c>
      <c r="AT12" s="614">
        <f t="shared" si="7"/>
        <v>3952392.9473899878</v>
      </c>
      <c r="AU12" s="614">
        <f t="shared" si="7"/>
        <v>4197608.4612476854</v>
      </c>
      <c r="AV12" s="614">
        <f t="shared" si="7"/>
        <v>4432867.8412958002</v>
      </c>
      <c r="AW12" s="615">
        <f t="shared" si="7"/>
        <v>4702546.587120451</v>
      </c>
      <c r="AX12" s="614">
        <f t="shared" si="7"/>
        <v>4984219.8909590393</v>
      </c>
      <c r="AY12" s="614">
        <f t="shared" si="7"/>
        <v>5262746.285586806</v>
      </c>
      <c r="AZ12" s="614">
        <f t="shared" si="7"/>
        <v>5576549.2823787108</v>
      </c>
      <c r="BA12" s="614">
        <f t="shared" si="7"/>
        <v>5905734.7725491915</v>
      </c>
      <c r="BB12" s="614">
        <f t="shared" si="7"/>
        <v>6232253.0951522971</v>
      </c>
      <c r="BC12" s="614">
        <f t="shared" si="7"/>
        <v>6573974.1401148206</v>
      </c>
      <c r="BD12" s="614">
        <f t="shared" si="7"/>
        <v>6952900.5207904102</v>
      </c>
      <c r="BE12" s="614">
        <f t="shared" si="7"/>
        <v>7330592.9851846686</v>
      </c>
      <c r="BF12" s="614">
        <f t="shared" si="7"/>
        <v>7725723.8655804479</v>
      </c>
      <c r="BG12" s="614">
        <f t="shared" si="7"/>
        <v>8161123.8588521341</v>
      </c>
      <c r="BH12" s="614">
        <f t="shared" si="7"/>
        <v>8597416.5815826431</v>
      </c>
      <c r="BI12" s="615">
        <f t="shared" si="7"/>
        <v>9075160.1199959796</v>
      </c>
    </row>
    <row r="13" spans="1:61" s="609" customFormat="1" ht="18.75">
      <c r="L13" s="608" t="s">
        <v>291</v>
      </c>
      <c r="M13" s="798">
        <f>SUM(B12:M12)</f>
        <v>2817049.9971818826</v>
      </c>
      <c r="Y13" s="798"/>
      <c r="AJ13" s="608" t="s">
        <v>291</v>
      </c>
      <c r="AK13" s="798">
        <f>SUM(Z12:AK12)</f>
        <v>19274277.318676427</v>
      </c>
      <c r="AV13" s="608" t="s">
        <v>291</v>
      </c>
      <c r="AW13" s="798">
        <f>SUM(AL12:AW12)</f>
        <v>41676035.645542711</v>
      </c>
      <c r="BH13" s="608" t="s">
        <v>291</v>
      </c>
      <c r="BI13" s="798">
        <f>SUM(AX12:BI12)</f>
        <v>82378395.398727149</v>
      </c>
    </row>
    <row r="14" spans="1:61" s="202" customFormat="1" ht="15.75">
      <c r="A14" s="207"/>
      <c r="M14" s="218"/>
      <c r="N14" s="215"/>
      <c r="Y14" s="218"/>
      <c r="Z14" s="215"/>
      <c r="AK14" s="218"/>
      <c r="AL14" s="215"/>
      <c r="AW14" s="218"/>
      <c r="AX14" s="215"/>
      <c r="BI14" s="218"/>
    </row>
    <row r="15" spans="1:61" s="614" customFormat="1" ht="18.75">
      <c r="A15" s="613" t="s">
        <v>295</v>
      </c>
      <c r="B15" s="614">
        <f t="shared" ref="B15:AG15" si="8">B49+B57+B65+B73+B81+B88+B95+B103+B111+B119+B127+B135+B143+B151+B159+B167+B175+B183+B191+B199+B207+B215+B223+B231+B239+B247+B255+B263+B271+B279+B287+B295+B303+B311+B319+B327+B335+B343+B351+B359+B367+B375+B383+B391+B399+B407+B415+B423+B431+B439+B447+B455+B463+B471+B479+B487+B495+B503+B511+B519</f>
        <v>-165924.82085403817</v>
      </c>
      <c r="C15" s="614">
        <f t="shared" si="8"/>
        <v>-107370.69257581499</v>
      </c>
      <c r="D15" s="614">
        <f t="shared" si="8"/>
        <v>-86180.73069990873</v>
      </c>
      <c r="E15" s="614">
        <f t="shared" si="8"/>
        <v>-114478.7478881186</v>
      </c>
      <c r="F15" s="614">
        <f t="shared" si="8"/>
        <v>-91667.521725238272</v>
      </c>
      <c r="G15" s="614">
        <f t="shared" si="8"/>
        <v>-114975.81357370826</v>
      </c>
      <c r="H15" s="614">
        <f t="shared" si="8"/>
        <v>-106790.04123125257</v>
      </c>
      <c r="I15" s="614">
        <f t="shared" si="8"/>
        <v>-130882.74180327593</v>
      </c>
      <c r="J15" s="614">
        <f t="shared" si="8"/>
        <v>-111550.64517328805</v>
      </c>
      <c r="K15" s="614">
        <f t="shared" si="8"/>
        <v>-136474.58256646121</v>
      </c>
      <c r="L15" s="614">
        <f t="shared" si="8"/>
        <v>-110522.20829873691</v>
      </c>
      <c r="M15" s="615">
        <f t="shared" si="8"/>
        <v>-135413.34793496379</v>
      </c>
      <c r="N15" s="614">
        <f t="shared" si="8"/>
        <v>-112862.5867104201</v>
      </c>
      <c r="O15" s="614">
        <f t="shared" si="8"/>
        <v>-128278.57643296932</v>
      </c>
      <c r="P15" s="614">
        <f t="shared" si="8"/>
        <v>-116345.09307679204</v>
      </c>
      <c r="Q15" s="614">
        <f t="shared" si="8"/>
        <v>-104435.9629445918</v>
      </c>
      <c r="R15" s="614">
        <f t="shared" si="8"/>
        <v>-129917.87804931293</v>
      </c>
      <c r="S15" s="614">
        <f t="shared" si="8"/>
        <v>-100024.69886860759</v>
      </c>
      <c r="T15" s="614">
        <f t="shared" si="8"/>
        <v>-90999.889830907268</v>
      </c>
      <c r="U15" s="614">
        <f t="shared" si="8"/>
        <v>-106838.1376471041</v>
      </c>
      <c r="V15" s="614">
        <f t="shared" si="8"/>
        <v>-129074.2290354384</v>
      </c>
      <c r="W15" s="614">
        <f t="shared" si="8"/>
        <v>-215306.4160380715</v>
      </c>
      <c r="X15" s="614">
        <f t="shared" si="8"/>
        <v>-183447.18496137654</v>
      </c>
      <c r="Y15" s="615">
        <f t="shared" si="8"/>
        <v>-263702.81973170862</v>
      </c>
      <c r="Z15" s="614">
        <f t="shared" si="8"/>
        <v>-283296.88950036949</v>
      </c>
      <c r="AA15" s="614">
        <f t="shared" si="8"/>
        <v>-312729.97117920237</v>
      </c>
      <c r="AB15" s="614">
        <f t="shared" si="8"/>
        <v>-307132.43577548355</v>
      </c>
      <c r="AC15" s="614">
        <f t="shared" si="8"/>
        <v>-322944.40822254663</v>
      </c>
      <c r="AD15" s="614">
        <f t="shared" si="8"/>
        <v>-323266.84151490516</v>
      </c>
      <c r="AE15" s="614">
        <f t="shared" si="8"/>
        <v>-305935.80684837687</v>
      </c>
      <c r="AF15" s="614">
        <f t="shared" si="8"/>
        <v>-372176.88156091527</v>
      </c>
      <c r="AG15" s="614">
        <f t="shared" si="8"/>
        <v>-304825.96789543208</v>
      </c>
      <c r="AH15" s="614">
        <f t="shared" ref="AH15:BI15" si="9">AH49+AH57+AH65+AH73+AH81+AH88+AH95+AH103+AH111+AH119+AH127+AH135+AH143+AH151+AH159+AH167+AH175+AH183+AH191+AH199+AH207+AH215+AH223+AH231+AH239+AH247+AH255+AH263+AH271+AH279+AH287+AH295+AH303+AH311+AH319+AH327+AH335+AH343+AH351+AH359+AH367+AH375+AH383+AH391+AH399+AH407+AH415+AH423+AH431+AH439+AH447+AH455+AH463+AH471+AH479+AH487+AH495+AH503+AH511+AH519</f>
        <v>-341078.42415408022</v>
      </c>
      <c r="AI15" s="614">
        <f t="shared" si="9"/>
        <v>-323131.7218588859</v>
      </c>
      <c r="AJ15" s="614">
        <f t="shared" si="9"/>
        <v>-423766.35786330613</v>
      </c>
      <c r="AK15" s="615">
        <f t="shared" si="9"/>
        <v>-344470.84273266792</v>
      </c>
      <c r="AL15" s="614">
        <f t="shared" si="9"/>
        <v>-371593.67453866347</v>
      </c>
      <c r="AM15" s="614">
        <f t="shared" si="9"/>
        <v>-384849.27020741539</v>
      </c>
      <c r="AN15" s="614">
        <f t="shared" si="9"/>
        <v>-296345.69481090334</v>
      </c>
      <c r="AO15" s="614">
        <f t="shared" si="9"/>
        <v>-309848.81917890999</v>
      </c>
      <c r="AP15" s="614">
        <f t="shared" si="9"/>
        <v>-288016.42421517096</v>
      </c>
      <c r="AQ15" s="614">
        <f t="shared" si="9"/>
        <v>-300620.08443346369</v>
      </c>
      <c r="AR15" s="614">
        <f t="shared" si="9"/>
        <v>-233692.43952010572</v>
      </c>
      <c r="AS15" s="614">
        <f t="shared" si="9"/>
        <v>-269628.69615269895</v>
      </c>
      <c r="AT15" s="614">
        <f t="shared" si="9"/>
        <v>-295898.9163931979</v>
      </c>
      <c r="AU15" s="614">
        <f t="shared" si="9"/>
        <v>-266596.15079365799</v>
      </c>
      <c r="AV15" s="614">
        <f t="shared" si="9"/>
        <v>-237343.0871763035</v>
      </c>
      <c r="AW15" s="615">
        <f t="shared" si="9"/>
        <v>-304225.76818696962</v>
      </c>
      <c r="AX15" s="614">
        <f t="shared" si="9"/>
        <v>-162359.14968039386</v>
      </c>
      <c r="AY15" s="614">
        <f t="shared" si="9"/>
        <v>-140660.5842218317</v>
      </c>
      <c r="AZ15" s="614">
        <f t="shared" si="9"/>
        <v>-104110.28878312005</v>
      </c>
      <c r="BA15" s="614">
        <f t="shared" si="9"/>
        <v>-23548.488959686467</v>
      </c>
      <c r="BB15" s="614">
        <f t="shared" si="9"/>
        <v>-80768.910365391304</v>
      </c>
      <c r="BC15" s="614">
        <f t="shared" si="9"/>
        <v>-35065.649963056516</v>
      </c>
      <c r="BD15" s="614">
        <f t="shared" si="9"/>
        <v>28449.631675894911</v>
      </c>
      <c r="BE15" s="614">
        <f t="shared" si="9"/>
        <v>97465.780282726279</v>
      </c>
      <c r="BF15" s="614">
        <f t="shared" si="9"/>
        <v>140663.35863469914</v>
      </c>
      <c r="BG15" s="614">
        <f t="shared" si="9"/>
        <v>257216.53117651521</v>
      </c>
      <c r="BH15" s="614">
        <f t="shared" si="9"/>
        <v>396165.6794215531</v>
      </c>
      <c r="BI15" s="615">
        <f t="shared" si="9"/>
        <v>419649.96206395526</v>
      </c>
    </row>
    <row r="16" spans="1:61" s="609" customFormat="1" ht="18.75">
      <c r="L16" s="608" t="s">
        <v>343</v>
      </c>
      <c r="M16" s="798">
        <f>SUM(B15:M15)</f>
        <v>-1412231.8943248056</v>
      </c>
      <c r="X16" s="608" t="s">
        <v>290</v>
      </c>
      <c r="Y16" s="798">
        <f>SUM(N15:Y15)</f>
        <v>-1681233.4733273003</v>
      </c>
      <c r="AJ16" s="608" t="s">
        <v>290</v>
      </c>
      <c r="AK16" s="798">
        <f>SUM(Z15:AK15)</f>
        <v>-3964756.5491061714</v>
      </c>
      <c r="AV16" s="608" t="s">
        <v>290</v>
      </c>
      <c r="AW16" s="798">
        <f>SUM(AL15:AW15)</f>
        <v>-3558659.0256074606</v>
      </c>
      <c r="BH16" s="608" t="s">
        <v>290</v>
      </c>
      <c r="BI16" s="798">
        <f>SUM(AX15:BI15)</f>
        <v>793097.87128186389</v>
      </c>
    </row>
    <row r="17" spans="1:61" s="202" customFormat="1" ht="15.75">
      <c r="A17" s="207"/>
      <c r="M17" s="218"/>
      <c r="N17" s="215"/>
      <c r="Y17" s="218"/>
      <c r="Z17" s="215"/>
      <c r="AK17" s="218"/>
      <c r="AL17" s="215"/>
      <c r="AW17" s="218"/>
      <c r="AX17" s="215"/>
      <c r="BI17" s="218"/>
    </row>
    <row r="18" spans="1:61" s="261" customFormat="1" ht="15.75">
      <c r="A18" s="260" t="s">
        <v>286</v>
      </c>
      <c r="B18" s="261">
        <f>B12/('Contractor Model'!$B$50*'Contractor Model'!$B$52*40*4)</f>
        <v>5.7580372001957905</v>
      </c>
      <c r="C18" s="261">
        <f>C12/('Contractor Model'!$B$50*'Contractor Model'!$B$52*40*4)</f>
        <v>7.3557175579780179</v>
      </c>
      <c r="D18" s="261">
        <f>D12/('Contractor Model'!$B$50*'Contractor Model'!$B$52*40*4)</f>
        <v>7.9800940118775596</v>
      </c>
      <c r="E18" s="261">
        <f>E12/('Contractor Model'!$B$50*'Contractor Model'!$B$52*40*4)</f>
        <v>10.029751150768824</v>
      </c>
      <c r="F18" s="261">
        <f>F12/('Contractor Model'!$B$50*'Contractor Model'!$B$52*40*4)</f>
        <v>10.916605459512841</v>
      </c>
      <c r="G18" s="261">
        <f>G12/('Contractor Model'!$B$50*'Contractor Model'!$B$52*40*4)</f>
        <v>11.84422506230349</v>
      </c>
      <c r="H18" s="261">
        <f>H12/('Contractor Model'!$B$50*'Contractor Model'!$B$52*40*4)</f>
        <v>12.766742121373095</v>
      </c>
      <c r="I18" s="261">
        <f>I12/('Contractor Model'!$B$50*'Contractor Model'!$B$52*40*4)</f>
        <v>14.845732392831547</v>
      </c>
      <c r="J18" s="261">
        <f>J12/('Contractor Model'!$B$50*'Contractor Model'!$B$52*40*4)</f>
        <v>15.935266399089512</v>
      </c>
      <c r="K18" s="261">
        <f>K12/('Contractor Model'!$B$50*'Contractor Model'!$B$52*40*4)</f>
        <v>18.099966303651616</v>
      </c>
      <c r="L18" s="261">
        <f>L12/('Contractor Model'!$B$50*'Contractor Model'!$B$52*40*4)</f>
        <v>19.288531764491307</v>
      </c>
      <c r="M18" s="262">
        <f>M12/('Contractor Model'!$B$50*'Contractor Model'!$B$52*40*4)</f>
        <v>21.682108197142107</v>
      </c>
      <c r="N18" s="261">
        <f>N12/('Contractor Model'!$B$50*'Contractor Model'!$B$52*40*4)</f>
        <v>22.969417947701185</v>
      </c>
      <c r="O18" s="261">
        <f>O12/('Contractor Model'!$B$50*'Contractor Model'!$B$52*40*4)</f>
        <v>25.557784795979615</v>
      </c>
      <c r="P18" s="261">
        <f>P12/('Contractor Model'!$B$50*'Contractor Model'!$B$52*40*4)</f>
        <v>27.260324953496351</v>
      </c>
      <c r="Q18" s="261">
        <f>Q12/('Contractor Model'!$B$50*'Contractor Model'!$B$52*40*4)</f>
        <v>29.002475954059832</v>
      </c>
      <c r="R18" s="261">
        <f>R12/('Contractor Model'!$B$50*'Contractor Model'!$B$52*40*4)</f>
        <v>32.066133159810803</v>
      </c>
      <c r="S18" s="261">
        <f>S12/('Contractor Model'!$B$50*'Contractor Model'!$B$52*40*4)</f>
        <v>34.139401668948885</v>
      </c>
      <c r="T18" s="261">
        <f>T12/('Contractor Model'!$B$50*'Contractor Model'!$B$52*40*4)</f>
        <v>36.344685566618615</v>
      </c>
      <c r="U18" s="261">
        <f>U12/('Contractor Model'!$B$50*'Contractor Model'!$B$52*40*4)</f>
        <v>39.848550594062679</v>
      </c>
      <c r="V18" s="261">
        <f>V12/('Contractor Model'!$B$50*'Contractor Model'!$B$52*40*4)</f>
        <v>42.413658425928261</v>
      </c>
      <c r="W18" s="261">
        <f>W12/('Contractor Model'!$B$50*'Contractor Model'!$B$52*40*4)</f>
        <v>46.293301594591448</v>
      </c>
      <c r="X18" s="261">
        <f>X12/('Contractor Model'!$B$50*'Contractor Model'!$B$52*40*4)</f>
        <v>49.318991855191193</v>
      </c>
      <c r="Y18" s="262">
        <f>Y12/('Contractor Model'!$B$50*'Contractor Model'!$B$52*40*4)</f>
        <v>53.645017103646254</v>
      </c>
      <c r="Z18" s="261">
        <f>Z12/('Contractor Model'!$B$50*'Contractor Model'!$B$52*40*4)</f>
        <v>57.200523992728982</v>
      </c>
      <c r="AA18" s="261">
        <f>AA12/('Contractor Model'!$B$50*'Contractor Model'!$B$52*40*4)</f>
        <v>61.960790568993183</v>
      </c>
      <c r="AB18" s="261">
        <f>AB12/('Contractor Model'!$B$50*'Contractor Model'!$B$52*40*4)</f>
        <v>67.107132586778121</v>
      </c>
      <c r="AC18" s="261">
        <f>AC12/('Contractor Model'!$B$50*'Contractor Model'!$B$52*40*4)</f>
        <v>72.551963159843311</v>
      </c>
      <c r="AD18" s="261">
        <f>AD12/('Contractor Model'!$B$50*'Contractor Model'!$B$52*40*4)</f>
        <v>78.348753767212472</v>
      </c>
      <c r="AE18" s="261">
        <f>AE12/('Contractor Model'!$B$50*'Contractor Model'!$B$52*40*4)</f>
        <v>84.552597333381186</v>
      </c>
      <c r="AF18" s="261">
        <f>AF12/('Contractor Model'!$B$50*'Contractor Model'!$B$52*40*4)</f>
        <v>91.155260430855037</v>
      </c>
      <c r="AG18" s="261">
        <f>AG12/('Contractor Model'!$B$50*'Contractor Model'!$B$52*40*4)</f>
        <v>97.00401818025388</v>
      </c>
      <c r="AH18" s="261">
        <f>AH12/('Contractor Model'!$B$50*'Contractor Model'!$B$52*40*4)</f>
        <v>104.34845599982505</v>
      </c>
      <c r="AI18" s="261">
        <f>AI12/('Contractor Model'!$B$50*'Contractor Model'!$B$52*40*4)</f>
        <v>110.96741805202549</v>
      </c>
      <c r="AJ18" s="261">
        <f>AJ12/('Contractor Model'!$B$50*'Contractor Model'!$B$52*40*4)</f>
        <v>119.07928380316167</v>
      </c>
      <c r="AK18" s="262">
        <f>AK12/('Contractor Model'!$B$50*'Contractor Model'!$B$52*40*4)</f>
        <v>126.51698649585416</v>
      </c>
      <c r="AL18" s="261">
        <f>AL12/('Contractor Model'!$B$50*'Contractor Model'!$B$52*40*4)</f>
        <v>135.48638888197317</v>
      </c>
      <c r="AM18" s="261">
        <f>AM12/('Contractor Model'!$B$50*'Contractor Model'!$B$52*40*4)</f>
        <v>144.6813223778789</v>
      </c>
      <c r="AN18" s="261">
        <f>AN12/('Contractor Model'!$B$50*'Contractor Model'!$B$52*40*4)</f>
        <v>153.1177712208077</v>
      </c>
      <c r="AO18" s="261">
        <f>AO12/('Contractor Model'!$B$50*'Contractor Model'!$B$52*40*4)</f>
        <v>163.21445304621821</v>
      </c>
      <c r="AP18" s="261">
        <f>AP12/('Contractor Model'!$B$50*'Contractor Model'!$B$52*40*4)</f>
        <v>172.67080092154043</v>
      </c>
      <c r="AQ18" s="261">
        <f>AQ12/('Contractor Model'!$B$50*'Contractor Model'!$B$52*40*4)</f>
        <v>183.73684259580597</v>
      </c>
      <c r="AR18" s="261">
        <f>AR12/('Contractor Model'!$B$50*'Contractor Model'!$B$52*40*4)</f>
        <v>195.46449818206469</v>
      </c>
      <c r="AS18" s="261">
        <f>AS12/('Contractor Model'!$B$50*'Contractor Model'!$B$52*40*4)</f>
        <v>206.66235657864343</v>
      </c>
      <c r="AT18" s="261">
        <f>AT12/('Contractor Model'!$B$50*'Contractor Model'!$B$52*40*4)</f>
        <v>219.57738596611043</v>
      </c>
      <c r="AU18" s="261">
        <f>AU12/('Contractor Model'!$B$50*'Contractor Model'!$B$52*40*4)</f>
        <v>233.20047006931586</v>
      </c>
      <c r="AV18" s="261">
        <f>AV12/('Contractor Model'!$B$50*'Contractor Model'!$B$52*40*4)</f>
        <v>246.27043562754446</v>
      </c>
      <c r="AW18" s="262">
        <f>AW12/('Contractor Model'!$B$50*'Contractor Model'!$B$52*40*4)</f>
        <v>261.25258817335839</v>
      </c>
      <c r="AX18" s="261">
        <f>AX12/('Contractor Model'!$B$50*'Contractor Model'!$B$52*40*4)</f>
        <v>276.90110505327993</v>
      </c>
      <c r="AY18" s="261">
        <f>AY12/('Contractor Model'!$B$50*'Contractor Model'!$B$52*40*4)</f>
        <v>292.37479364371143</v>
      </c>
      <c r="AZ18" s="261">
        <f>AZ12/('Contractor Model'!$B$50*'Contractor Model'!$B$52*40*4)</f>
        <v>309.80829346548393</v>
      </c>
      <c r="BA18" s="261">
        <f>BA12/('Contractor Model'!$B$50*'Contractor Model'!$B$52*40*4)</f>
        <v>328.09637625273285</v>
      </c>
      <c r="BB18" s="261">
        <f>BB12/('Contractor Model'!$B$50*'Contractor Model'!$B$52*40*4)</f>
        <v>346.2362830640165</v>
      </c>
      <c r="BC18" s="261">
        <f>BC12/('Contractor Model'!$B$50*'Contractor Model'!$B$52*40*4)</f>
        <v>365.22078556193446</v>
      </c>
      <c r="BD18" s="261">
        <f>BD12/('Contractor Model'!$B$50*'Contractor Model'!$B$52*40*4)</f>
        <v>386.27225115502279</v>
      </c>
      <c r="BE18" s="261">
        <f>BE12/('Contractor Model'!$B$50*'Contractor Model'!$B$52*40*4)</f>
        <v>407.25516584359269</v>
      </c>
      <c r="BF18" s="261">
        <f>BF12/('Contractor Model'!$B$50*'Contractor Model'!$B$52*40*4)</f>
        <v>429.20688142113602</v>
      </c>
      <c r="BG18" s="261">
        <f>BG12/('Contractor Model'!$B$50*'Contractor Model'!$B$52*40*4)</f>
        <v>453.39576993622967</v>
      </c>
      <c r="BH18" s="261">
        <f>BH12/('Contractor Model'!$B$50*'Contractor Model'!$B$52*40*4)</f>
        <v>477.63425453236908</v>
      </c>
      <c r="BI18" s="262">
        <f>BI12/('Contractor Model'!$B$50*'Contractor Model'!$B$52*40*4)</f>
        <v>504.17556222199886</v>
      </c>
    </row>
    <row r="19" spans="1:61" s="264" customFormat="1" ht="15.75">
      <c r="A19" s="263" t="s">
        <v>294</v>
      </c>
      <c r="B19" s="264">
        <f>B18*HR!$BL$28</f>
        <v>1.1144588129411208</v>
      </c>
      <c r="C19" s="264">
        <f>C18*HR!$BL$28</f>
        <v>1.423687269286068</v>
      </c>
      <c r="D19" s="264">
        <f>D18*HR!$BL$28</f>
        <v>1.5445343248795276</v>
      </c>
      <c r="E19" s="264">
        <f>E18*HR!$BL$28</f>
        <v>1.9412421582133208</v>
      </c>
      <c r="F19" s="264">
        <f>F18*HR!$BL$28</f>
        <v>2.1128913792605499</v>
      </c>
      <c r="G19" s="264">
        <f>G18*HR!$BL$28</f>
        <v>2.2924306572200304</v>
      </c>
      <c r="H19" s="264">
        <f>H18*HR!$BL$28</f>
        <v>2.470982346072212</v>
      </c>
      <c r="I19" s="264">
        <f>I18*HR!$BL$28</f>
        <v>2.8733675599028801</v>
      </c>
      <c r="J19" s="264">
        <f>J18*HR!$BL$28</f>
        <v>3.0842451095011958</v>
      </c>
      <c r="K19" s="264">
        <f>K18*HR!$BL$28</f>
        <v>3.5032192845777321</v>
      </c>
      <c r="L19" s="264">
        <f>L18*HR!$BL$28</f>
        <v>3.7332642124821884</v>
      </c>
      <c r="M19" s="265">
        <f>M18*HR!$BL$28</f>
        <v>4.1965370704146014</v>
      </c>
      <c r="N19" s="266">
        <f>N18*HR!$BL$28</f>
        <v>4.4456937963292615</v>
      </c>
      <c r="O19" s="264">
        <f>O18*HR!$BL$28</f>
        <v>4.9466680250283126</v>
      </c>
      <c r="P19" s="264">
        <f>P18*HR!$BL$28</f>
        <v>5.2761919264831647</v>
      </c>
      <c r="Q19" s="264">
        <f>Q18*HR!$BL$28</f>
        <v>5.6133824427212575</v>
      </c>
      <c r="R19" s="264">
        <f>R18*HR!$BL$28</f>
        <v>6.2063483535117685</v>
      </c>
      <c r="S19" s="264">
        <f>S18*HR!$BL$28</f>
        <v>6.607626129473978</v>
      </c>
      <c r="T19" s="264">
        <f>T18*HR!$BL$28</f>
        <v>7.0344552709584418</v>
      </c>
      <c r="U19" s="264">
        <f>U18*HR!$BL$28</f>
        <v>7.7126226956250346</v>
      </c>
      <c r="V19" s="264">
        <f>V18*HR!$BL$28</f>
        <v>8.2090951792119213</v>
      </c>
      <c r="W19" s="264">
        <f>W18*HR!$BL$28</f>
        <v>8.9599938570176985</v>
      </c>
      <c r="X19" s="264">
        <f>X18*HR!$BL$28</f>
        <v>9.5456113268111977</v>
      </c>
      <c r="Y19" s="265">
        <f>Y18*HR!$BL$28</f>
        <v>10.382906536189598</v>
      </c>
      <c r="Z19" s="266">
        <f>Z18*HR!$BL$28</f>
        <v>11.071069159883029</v>
      </c>
      <c r="AA19" s="264">
        <f>AA18*HR!$BL$28</f>
        <v>11.992411077869647</v>
      </c>
      <c r="AB19" s="264">
        <f>AB18*HR!$BL$28</f>
        <v>12.988477274860282</v>
      </c>
      <c r="AC19" s="264">
        <f>AC18*HR!$BL$28</f>
        <v>14.042315450292254</v>
      </c>
      <c r="AD19" s="264">
        <f>AD18*HR!$BL$28</f>
        <v>15.164274922686284</v>
      </c>
      <c r="AE19" s="264">
        <f>AE18*HR!$BL$28</f>
        <v>16.365018838718939</v>
      </c>
      <c r="AF19" s="264">
        <f>AF18*HR!$BL$28</f>
        <v>17.642953631778393</v>
      </c>
      <c r="AG19" s="264">
        <f>AG18*HR!$BL$28</f>
        <v>18.774971260694297</v>
      </c>
      <c r="AH19" s="264">
        <f>AH18*HR!$BL$28</f>
        <v>20.196475354804846</v>
      </c>
      <c r="AI19" s="264">
        <f>AI18*HR!$BL$28</f>
        <v>21.477564784262999</v>
      </c>
      <c r="AJ19" s="264">
        <f>AJ18*HR!$BL$28</f>
        <v>23.047603316740968</v>
      </c>
      <c r="AK19" s="265">
        <f>AK18*HR!$BL$28</f>
        <v>24.487158676616932</v>
      </c>
      <c r="AL19" s="266">
        <f>AL18*HR!$BL$28</f>
        <v>26.223172041672225</v>
      </c>
      <c r="AM19" s="264">
        <f>AM18*HR!$BL$28</f>
        <v>28.002836589266884</v>
      </c>
      <c r="AN19" s="264">
        <f>AN18*HR!$BL$28</f>
        <v>29.6356976556402</v>
      </c>
      <c r="AO19" s="264">
        <f>AO18*HR!$BL$28</f>
        <v>31.589894137977716</v>
      </c>
      <c r="AP19" s="264">
        <f>AP18*HR!$BL$28</f>
        <v>33.420155017072339</v>
      </c>
      <c r="AQ19" s="264">
        <f>AQ18*HR!$BL$28</f>
        <v>35.561969534672123</v>
      </c>
      <c r="AR19" s="264">
        <f>AR18*HR!$BL$28</f>
        <v>37.831838357818974</v>
      </c>
      <c r="AS19" s="264">
        <f>AS18*HR!$BL$28</f>
        <v>39.999165789414853</v>
      </c>
      <c r="AT19" s="264">
        <f>AT18*HR!$BL$28</f>
        <v>42.49884889666653</v>
      </c>
      <c r="AU19" s="264">
        <f>AU18*HR!$BL$28</f>
        <v>45.13557485212565</v>
      </c>
      <c r="AV19" s="264">
        <f>AV18*HR!$BL$28</f>
        <v>47.665245605331187</v>
      </c>
      <c r="AW19" s="265">
        <f>AW18*HR!$BL$28</f>
        <v>50.565017065811297</v>
      </c>
      <c r="AX19" s="266">
        <f>AX18*HR!$BL$28</f>
        <v>53.593762268376757</v>
      </c>
      <c r="AY19" s="264">
        <f>AY18*HR!$BL$28</f>
        <v>56.58866973749253</v>
      </c>
      <c r="AZ19" s="264">
        <f>AZ18*HR!$BL$28</f>
        <v>59.962895509448501</v>
      </c>
      <c r="BA19" s="264">
        <f>BA18*HR!$BL$28</f>
        <v>63.502524436012806</v>
      </c>
      <c r="BB19" s="264">
        <f>BB18*HR!$BL$28</f>
        <v>67.013474141422549</v>
      </c>
      <c r="BC19" s="264">
        <f>BC18*HR!$BL$28</f>
        <v>70.687893979729253</v>
      </c>
      <c r="BD19" s="264">
        <f>BD18*HR!$BL$28</f>
        <v>74.762371191294733</v>
      </c>
      <c r="BE19" s="264">
        <f>BE18*HR!$BL$28</f>
        <v>78.823580485856652</v>
      </c>
      <c r="BF19" s="264">
        <f>BF18*HR!$BL$28</f>
        <v>83.072299629897287</v>
      </c>
      <c r="BG19" s="264">
        <f>BG18*HR!$BL$28</f>
        <v>87.754019987657358</v>
      </c>
      <c r="BH19" s="264">
        <f>BH18*HR!$BL$28</f>
        <v>92.445339586910137</v>
      </c>
      <c r="BI19" s="265">
        <f>BI18*HR!$BL$28</f>
        <v>97.582366881677203</v>
      </c>
    </row>
    <row r="20" spans="1:61" s="264" customFormat="1" ht="15.75">
      <c r="A20" s="263" t="s">
        <v>287</v>
      </c>
      <c r="B20" s="264">
        <f t="shared" ref="B20:AG20" si="10">B7/16</f>
        <v>6.25</v>
      </c>
      <c r="C20" s="264">
        <f t="shared" si="10"/>
        <v>7.75</v>
      </c>
      <c r="D20" s="264">
        <f t="shared" si="10"/>
        <v>8.06</v>
      </c>
      <c r="E20" s="264">
        <f t="shared" si="10"/>
        <v>9.6324000000000005</v>
      </c>
      <c r="F20" s="264">
        <f t="shared" si="10"/>
        <v>10.017696000000003</v>
      </c>
      <c r="G20" s="264">
        <f t="shared" si="10"/>
        <v>10.418403840000003</v>
      </c>
      <c r="H20" s="264">
        <f t="shared" si="10"/>
        <v>10.835139993600002</v>
      </c>
      <c r="I20" s="264">
        <f t="shared" si="10"/>
        <v>12.518545593344005</v>
      </c>
      <c r="J20" s="264">
        <f t="shared" si="10"/>
        <v>13.019287417077766</v>
      </c>
      <c r="K20" s="264">
        <f t="shared" si="10"/>
        <v>14.790058913760879</v>
      </c>
      <c r="L20" s="264">
        <f t="shared" si="10"/>
        <v>15.381661270311316</v>
      </c>
      <c r="M20" s="265">
        <f t="shared" si="10"/>
        <v>17.246927721123768</v>
      </c>
      <c r="N20" s="266">
        <f t="shared" si="10"/>
        <v>17.936804829968718</v>
      </c>
      <c r="O20" s="264">
        <f t="shared" si="10"/>
        <v>19.904277023167467</v>
      </c>
      <c r="P20" s="264">
        <f t="shared" si="10"/>
        <v>20.700448104094164</v>
      </c>
      <c r="Q20" s="264">
        <f t="shared" si="10"/>
        <v>21.528466028257935</v>
      </c>
      <c r="R20" s="264">
        <f t="shared" si="10"/>
        <v>23.639604669388252</v>
      </c>
      <c r="S20" s="264">
        <f t="shared" si="10"/>
        <v>24.585188856163786</v>
      </c>
      <c r="T20" s="264">
        <f t="shared" si="10"/>
        <v>25.568596410410336</v>
      </c>
      <c r="U20" s="264">
        <f t="shared" si="10"/>
        <v>27.841340266826752</v>
      </c>
      <c r="V20" s="264">
        <f t="shared" si="10"/>
        <v>28.954993877499824</v>
      </c>
      <c r="W20" s="264">
        <f t="shared" si="10"/>
        <v>31.36319363259982</v>
      </c>
      <c r="X20" s="264">
        <f t="shared" si="10"/>
        <v>32.617721377903813</v>
      </c>
      <c r="Y20" s="265">
        <f t="shared" si="10"/>
        <v>35.172430233019966</v>
      </c>
      <c r="Z20" s="266">
        <f t="shared" si="10"/>
        <v>36.579327442340769</v>
      </c>
      <c r="AA20" s="264">
        <f t="shared" si="10"/>
        <v>39.292500540034396</v>
      </c>
      <c r="AB20" s="264">
        <f t="shared" si="10"/>
        <v>42.114200561635784</v>
      </c>
      <c r="AC20" s="264">
        <f t="shared" si="10"/>
        <v>45.048768584101197</v>
      </c>
      <c r="AD20" s="264">
        <f t="shared" si="10"/>
        <v>48.100719327465256</v>
      </c>
      <c r="AE20" s="264">
        <f t="shared" si="10"/>
        <v>51.274748100563862</v>
      </c>
      <c r="AF20" s="264">
        <f t="shared" si="10"/>
        <v>54.575738024586421</v>
      </c>
      <c r="AG20" s="264">
        <f t="shared" si="10"/>
        <v>56.758767545569896</v>
      </c>
      <c r="AH20" s="264">
        <f t="shared" ref="AH20:BI20" si="11">AH7/16</f>
        <v>60.279118247392688</v>
      </c>
      <c r="AI20" s="264">
        <f t="shared" si="11"/>
        <v>62.690282977288405</v>
      </c>
      <c r="AJ20" s="264">
        <f t="shared" si="11"/>
        <v>66.447894296379943</v>
      </c>
      <c r="AK20" s="265">
        <f t="shared" si="11"/>
        <v>69.105810068235158</v>
      </c>
      <c r="AL20" s="266">
        <f t="shared" si="11"/>
        <v>73.120042470964535</v>
      </c>
      <c r="AM20" s="264">
        <f t="shared" si="11"/>
        <v>77.294844169803142</v>
      </c>
      <c r="AN20" s="264">
        <f t="shared" si="11"/>
        <v>80.386637936595292</v>
      </c>
      <c r="AO20" s="264">
        <f t="shared" si="11"/>
        <v>84.852103454059105</v>
      </c>
      <c r="AP20" s="264">
        <f t="shared" si="11"/>
        <v>88.24618759222146</v>
      </c>
      <c r="AQ20" s="264">
        <f t="shared" si="11"/>
        <v>93.026035095910316</v>
      </c>
      <c r="AR20" s="264">
        <f t="shared" si="11"/>
        <v>97.997076499746711</v>
      </c>
      <c r="AS20" s="264">
        <f t="shared" si="11"/>
        <v>101.9169595597366</v>
      </c>
      <c r="AT20" s="264">
        <f t="shared" si="11"/>
        <v>107.24363794212609</v>
      </c>
      <c r="AU20" s="264">
        <f t="shared" si="11"/>
        <v>112.78338345981109</v>
      </c>
      <c r="AV20" s="264">
        <f t="shared" si="11"/>
        <v>117.29471879820353</v>
      </c>
      <c r="AW20" s="265">
        <f t="shared" si="11"/>
        <v>123.23650755013171</v>
      </c>
      <c r="AX20" s="266">
        <f t="shared" si="11"/>
        <v>129.41596785213696</v>
      </c>
      <c r="AY20" s="264">
        <f t="shared" si="11"/>
        <v>134.59260656622249</v>
      </c>
      <c r="AZ20" s="264">
        <f t="shared" si="11"/>
        <v>141.22631082887136</v>
      </c>
      <c r="BA20" s="264">
        <f t="shared" si="11"/>
        <v>148.12536326202633</v>
      </c>
      <c r="BB20" s="264">
        <f t="shared" si="11"/>
        <v>154.05037779250733</v>
      </c>
      <c r="BC20" s="264">
        <f t="shared" si="11"/>
        <v>160.2123929042076</v>
      </c>
      <c r="BD20" s="264">
        <f t="shared" si="11"/>
        <v>167.87088862037595</v>
      </c>
      <c r="BE20" s="264">
        <f t="shared" si="11"/>
        <v>174.58572416519101</v>
      </c>
      <c r="BF20" s="264">
        <f t="shared" si="11"/>
        <v>181.56915313179863</v>
      </c>
      <c r="BG20" s="264">
        <f t="shared" si="11"/>
        <v>190.08191925707055</v>
      </c>
      <c r="BH20" s="264">
        <f t="shared" si="11"/>
        <v>197.68519602735341</v>
      </c>
      <c r="BI20" s="265">
        <f t="shared" si="11"/>
        <v>206.84260386844747</v>
      </c>
    </row>
    <row r="21" spans="1:61" s="264" customFormat="1" ht="15.75">
      <c r="A21" s="263" t="s">
        <v>165</v>
      </c>
      <c r="B21" s="264">
        <f>B18*HR!$BL$43</f>
        <v>0</v>
      </c>
      <c r="C21" s="264">
        <f>C18*HR!$BL$43</f>
        <v>0</v>
      </c>
      <c r="D21" s="264">
        <f>D18*HR!$BL$43</f>
        <v>0</v>
      </c>
      <c r="E21" s="264">
        <f>E18*HR!$BL$43</f>
        <v>0</v>
      </c>
      <c r="F21" s="264">
        <f>F18*HR!$BL$43</f>
        <v>0</v>
      </c>
      <c r="G21" s="264">
        <f>G18*HR!$BL$43</f>
        <v>0</v>
      </c>
      <c r="H21" s="264">
        <f>H18*HR!$BL$43</f>
        <v>0</v>
      </c>
      <c r="I21" s="264">
        <f>I18*HR!$BL$43</f>
        <v>0</v>
      </c>
      <c r="J21" s="264">
        <f>J18*HR!$BL$43</f>
        <v>0</v>
      </c>
      <c r="K21" s="264">
        <f>K18*HR!$BL$43</f>
        <v>0</v>
      </c>
      <c r="L21" s="264">
        <f>L18*HR!$BL$43</f>
        <v>0</v>
      </c>
      <c r="M21" s="265">
        <f>M18*HR!$BL$43</f>
        <v>0</v>
      </c>
      <c r="N21" s="266">
        <f>N18*HR!$BL$43</f>
        <v>0</v>
      </c>
      <c r="O21" s="264">
        <f>O18*HR!$BL$43</f>
        <v>0</v>
      </c>
      <c r="P21" s="264">
        <f>P18*HR!$BL$43</f>
        <v>0</v>
      </c>
      <c r="Q21" s="264">
        <f>Q18*HR!$BL$43</f>
        <v>0</v>
      </c>
      <c r="R21" s="264">
        <f>R18*HR!$BL$43</f>
        <v>0</v>
      </c>
      <c r="S21" s="264">
        <f>S18*HR!$BL$43</f>
        <v>0</v>
      </c>
      <c r="T21" s="264">
        <f>T18*HR!$BL$43</f>
        <v>0</v>
      </c>
      <c r="U21" s="264">
        <f>U18*HR!$BL$43</f>
        <v>0</v>
      </c>
      <c r="V21" s="264">
        <f>V18*HR!$BL$43</f>
        <v>0</v>
      </c>
      <c r="W21" s="264">
        <f>W18*HR!$BL$43</f>
        <v>0</v>
      </c>
      <c r="X21" s="264">
        <f>X18*HR!$BL$43</f>
        <v>0</v>
      </c>
      <c r="Y21" s="265">
        <f>Y18*HR!$BL$43</f>
        <v>0</v>
      </c>
      <c r="Z21" s="266">
        <f>Z18*HR!$BL$43</f>
        <v>0</v>
      </c>
      <c r="AA21" s="264">
        <f>AA18*HR!$BL$43</f>
        <v>0</v>
      </c>
      <c r="AB21" s="264">
        <f>AB18*HR!$BL$43</f>
        <v>0</v>
      </c>
      <c r="AC21" s="264">
        <f>AC18*HR!$BL$43</f>
        <v>0</v>
      </c>
      <c r="AD21" s="264">
        <f>AD18*HR!$BL$43</f>
        <v>0</v>
      </c>
      <c r="AE21" s="264">
        <f>AE18*HR!$BL$43</f>
        <v>0</v>
      </c>
      <c r="AF21" s="264">
        <f>AF18*HR!$BL$43</f>
        <v>0</v>
      </c>
      <c r="AG21" s="264">
        <f>AG18*HR!$BL$43</f>
        <v>0</v>
      </c>
      <c r="AH21" s="264">
        <f>AH18*HR!$BL$43</f>
        <v>0</v>
      </c>
      <c r="AI21" s="264">
        <f>AI18*HR!$BL$43</f>
        <v>0</v>
      </c>
      <c r="AJ21" s="264">
        <f>AJ18*HR!$BL$43</f>
        <v>0</v>
      </c>
      <c r="AK21" s="265">
        <f>AK18*HR!$BL$43</f>
        <v>0</v>
      </c>
      <c r="AL21" s="266">
        <f>AL18*HR!$BL$43</f>
        <v>0</v>
      </c>
      <c r="AM21" s="264">
        <f>AM18*HR!$BL$43</f>
        <v>0</v>
      </c>
      <c r="AN21" s="264">
        <f>AN18*HR!$BL$43</f>
        <v>0</v>
      </c>
      <c r="AO21" s="264">
        <f>AO18*HR!$BL$43</f>
        <v>0</v>
      </c>
      <c r="AP21" s="264">
        <f>AP18*HR!$BL$43</f>
        <v>0</v>
      </c>
      <c r="AQ21" s="264">
        <f>AQ18*HR!$BL$43</f>
        <v>0</v>
      </c>
      <c r="AR21" s="264">
        <f>AR18*HR!$BL$43</f>
        <v>0</v>
      </c>
      <c r="AS21" s="264">
        <f>AS18*HR!$BL$43</f>
        <v>0</v>
      </c>
      <c r="AT21" s="264">
        <f>AT18*HR!$BL$43</f>
        <v>0</v>
      </c>
      <c r="AU21" s="264">
        <f>AU18*HR!$BL$43</f>
        <v>0</v>
      </c>
      <c r="AV21" s="264">
        <f>AV18*HR!$BL$43</f>
        <v>0</v>
      </c>
      <c r="AW21" s="265">
        <f>AW18*HR!$BL$43</f>
        <v>0</v>
      </c>
      <c r="AX21" s="266">
        <f>AX18*HR!$BL$43</f>
        <v>0</v>
      </c>
      <c r="AY21" s="264">
        <f>AY18*HR!$BL$43</f>
        <v>0</v>
      </c>
      <c r="AZ21" s="264">
        <f>AZ18*HR!$BL$43</f>
        <v>0</v>
      </c>
      <c r="BA21" s="264">
        <f>BA18*HR!$BL$43</f>
        <v>0</v>
      </c>
      <c r="BB21" s="264">
        <f>BB18*HR!$BL$43</f>
        <v>0</v>
      </c>
      <c r="BC21" s="264">
        <f>BC18*HR!$BL$43</f>
        <v>0</v>
      </c>
      <c r="BD21" s="264">
        <f>BD18*HR!$BL$43</f>
        <v>0</v>
      </c>
      <c r="BE21" s="264">
        <f>BE18*HR!$BL$43</f>
        <v>0</v>
      </c>
      <c r="BF21" s="264">
        <f>BF18*HR!$BL$43</f>
        <v>0</v>
      </c>
      <c r="BG21" s="264">
        <f>BG18*HR!$BL$43</f>
        <v>0</v>
      </c>
      <c r="BH21" s="264">
        <f>BH18*HR!$BL$43</f>
        <v>0</v>
      </c>
      <c r="BI21" s="265">
        <f>BI18*HR!$BL$43</f>
        <v>0</v>
      </c>
    </row>
    <row r="22" spans="1:61" s="212" customFormat="1" ht="15.75">
      <c r="A22" s="214" t="s">
        <v>313</v>
      </c>
      <c r="B22" s="212">
        <f t="shared" ref="B22:AG22" si="12">SUM(B18:B21)</f>
        <v>13.12249601313691</v>
      </c>
      <c r="C22" s="212">
        <f t="shared" si="12"/>
        <v>16.529404827264088</v>
      </c>
      <c r="D22" s="212">
        <f t="shared" si="12"/>
        <v>17.584628336757088</v>
      </c>
      <c r="E22" s="212">
        <f t="shared" si="12"/>
        <v>21.603393308982145</v>
      </c>
      <c r="F22" s="212">
        <f t="shared" si="12"/>
        <v>23.047192838773391</v>
      </c>
      <c r="G22" s="212">
        <f t="shared" si="12"/>
        <v>24.555059559523524</v>
      </c>
      <c r="H22" s="212">
        <f t="shared" si="12"/>
        <v>26.07286446104531</v>
      </c>
      <c r="I22" s="212">
        <f t="shared" si="12"/>
        <v>30.237645546078433</v>
      </c>
      <c r="J22" s="212">
        <f t="shared" si="12"/>
        <v>32.038798925668473</v>
      </c>
      <c r="K22" s="212">
        <f t="shared" si="12"/>
        <v>36.393244501990225</v>
      </c>
      <c r="L22" s="212">
        <f t="shared" si="12"/>
        <v>38.403457247284805</v>
      </c>
      <c r="M22" s="220">
        <f t="shared" si="12"/>
        <v>43.125572988680474</v>
      </c>
      <c r="N22" s="212">
        <f t="shared" si="12"/>
        <v>45.351916573999162</v>
      </c>
      <c r="O22" s="212">
        <f t="shared" si="12"/>
        <v>50.408729844175397</v>
      </c>
      <c r="P22" s="212">
        <f t="shared" si="12"/>
        <v>53.23696498407368</v>
      </c>
      <c r="Q22" s="212">
        <f t="shared" si="12"/>
        <v>56.144324425039031</v>
      </c>
      <c r="R22" s="212">
        <f t="shared" si="12"/>
        <v>61.912086182710823</v>
      </c>
      <c r="S22" s="212">
        <f t="shared" si="12"/>
        <v>65.332216654586645</v>
      </c>
      <c r="T22" s="212">
        <f t="shared" si="12"/>
        <v>68.947737247987391</v>
      </c>
      <c r="U22" s="212">
        <f t="shared" si="12"/>
        <v>75.402513556514464</v>
      </c>
      <c r="V22" s="212">
        <f t="shared" si="12"/>
        <v>79.577747482640007</v>
      </c>
      <c r="W22" s="212">
        <f t="shared" si="12"/>
        <v>86.616489084208965</v>
      </c>
      <c r="X22" s="212">
        <f t="shared" si="12"/>
        <v>91.482324559906203</v>
      </c>
      <c r="Y22" s="220">
        <f t="shared" si="12"/>
        <v>99.200353872855814</v>
      </c>
      <c r="Z22" s="212">
        <f t="shared" si="12"/>
        <v>104.85092059495278</v>
      </c>
      <c r="AA22" s="212">
        <f t="shared" si="12"/>
        <v>113.24570218689722</v>
      </c>
      <c r="AB22" s="212">
        <f t="shared" si="12"/>
        <v>122.20981042327419</v>
      </c>
      <c r="AC22" s="212">
        <f t="shared" si="12"/>
        <v>131.64304719423677</v>
      </c>
      <c r="AD22" s="212">
        <f t="shared" si="12"/>
        <v>141.613748017364</v>
      </c>
      <c r="AE22" s="212">
        <f t="shared" si="12"/>
        <v>152.19236427266398</v>
      </c>
      <c r="AF22" s="212">
        <f t="shared" si="12"/>
        <v>163.37395208721986</v>
      </c>
      <c r="AG22" s="212">
        <f t="shared" si="12"/>
        <v>172.53775698651808</v>
      </c>
      <c r="AH22" s="212">
        <f t="shared" ref="AH22:BI22" si="13">SUM(AH18:AH21)</f>
        <v>184.82404960202257</v>
      </c>
      <c r="AI22" s="212">
        <f t="shared" si="13"/>
        <v>195.13526581357689</v>
      </c>
      <c r="AJ22" s="212">
        <f t="shared" si="13"/>
        <v>208.57478141628258</v>
      </c>
      <c r="AK22" s="220">
        <f t="shared" si="13"/>
        <v>220.10995524070626</v>
      </c>
      <c r="AL22" s="212">
        <f t="shared" si="13"/>
        <v>234.82960339460993</v>
      </c>
      <c r="AM22" s="212">
        <f t="shared" si="13"/>
        <v>249.9790031369489</v>
      </c>
      <c r="AN22" s="212">
        <f t="shared" si="13"/>
        <v>263.14010681304319</v>
      </c>
      <c r="AO22" s="212">
        <f t="shared" si="13"/>
        <v>279.65645063825502</v>
      </c>
      <c r="AP22" s="212">
        <f t="shared" si="13"/>
        <v>294.33714353083423</v>
      </c>
      <c r="AQ22" s="212">
        <f t="shared" si="13"/>
        <v>312.32484722638844</v>
      </c>
      <c r="AR22" s="212">
        <f t="shared" si="13"/>
        <v>331.29341303963037</v>
      </c>
      <c r="AS22" s="212">
        <f t="shared" si="13"/>
        <v>348.57848192779488</v>
      </c>
      <c r="AT22" s="212">
        <f t="shared" si="13"/>
        <v>369.31987280490307</v>
      </c>
      <c r="AU22" s="212">
        <f t="shared" si="13"/>
        <v>391.11942838125259</v>
      </c>
      <c r="AV22" s="212">
        <f t="shared" si="13"/>
        <v>411.23040003107917</v>
      </c>
      <c r="AW22" s="220">
        <f t="shared" si="13"/>
        <v>435.05411278930137</v>
      </c>
      <c r="AX22" s="212">
        <f t="shared" si="13"/>
        <v>459.91083517379366</v>
      </c>
      <c r="AY22" s="212">
        <f t="shared" si="13"/>
        <v>483.55606994742641</v>
      </c>
      <c r="AZ22" s="212">
        <f t="shared" si="13"/>
        <v>510.99749980380381</v>
      </c>
      <c r="BA22" s="212">
        <f t="shared" si="13"/>
        <v>539.72426395077196</v>
      </c>
      <c r="BB22" s="212">
        <f t="shared" si="13"/>
        <v>567.30013499794632</v>
      </c>
      <c r="BC22" s="212">
        <f t="shared" si="13"/>
        <v>596.12107244587128</v>
      </c>
      <c r="BD22" s="212">
        <f t="shared" si="13"/>
        <v>628.90551096669344</v>
      </c>
      <c r="BE22" s="212">
        <f t="shared" si="13"/>
        <v>660.66447049464034</v>
      </c>
      <c r="BF22" s="212">
        <f t="shared" si="13"/>
        <v>693.84833418283199</v>
      </c>
      <c r="BG22" s="212">
        <f t="shared" si="13"/>
        <v>731.23170918095764</v>
      </c>
      <c r="BH22" s="212">
        <f t="shared" si="13"/>
        <v>767.76479014663266</v>
      </c>
      <c r="BI22" s="220">
        <f t="shared" si="13"/>
        <v>808.60053297212346</v>
      </c>
    </row>
    <row r="23" spans="1:61" s="203" customFormat="1" ht="15.75">
      <c r="A23" s="211"/>
      <c r="M23" s="217"/>
      <c r="N23" s="213"/>
      <c r="Y23" s="217"/>
      <c r="Z23" s="213"/>
      <c r="AK23" s="217"/>
      <c r="AL23" s="213"/>
      <c r="AW23" s="217"/>
      <c r="AX23" s="213"/>
      <c r="BI23" s="217"/>
    </row>
    <row r="24" spans="1:61" s="611" customFormat="1" ht="18.75">
      <c r="A24" s="610" t="s">
        <v>311</v>
      </c>
      <c r="B24" s="611">
        <f t="shared" ref="B24:AG24" si="14">B50+B58+B66+B74+B82+B89+B96+B104+B112+B120+B128+B136+B144+B152+B160+B168+B176+B184+B192+B200+B208+B216+B224+B232+B240+B248+B256+B264+B272+B280+B288+B296+B304+B312+B320+B328+B336+B344+B352+B360+B368+B376+B384+B392+B400+B408+B416+B424+B432+B440+B448+B456+B464+B472+B480+B488+B496+B504+B512+B520</f>
        <v>9250</v>
      </c>
      <c r="C24" s="611">
        <f t="shared" si="14"/>
        <v>11535.779375999999</v>
      </c>
      <c r="D24" s="611">
        <f t="shared" si="14"/>
        <v>12087.251169124353</v>
      </c>
      <c r="E24" s="611">
        <f t="shared" si="14"/>
        <v>14524.725151031666</v>
      </c>
      <c r="F24" s="611">
        <f t="shared" si="14"/>
        <v>15237.547255986176</v>
      </c>
      <c r="G24" s="611">
        <f t="shared" si="14"/>
        <v>15996.557108615441</v>
      </c>
      <c r="H24" s="611">
        <f t="shared" si="14"/>
        <v>16804.495187435896</v>
      </c>
      <c r="I24" s="611">
        <f t="shared" si="14"/>
        <v>19514.221094348846</v>
      </c>
      <c r="J24" s="611">
        <f t="shared" si="14"/>
        <v>20515.872345391468</v>
      </c>
      <c r="K24" s="611">
        <f t="shared" si="14"/>
        <v>23431.106980726079</v>
      </c>
      <c r="L24" s="611">
        <f t="shared" si="14"/>
        <v>24650.667058476414</v>
      </c>
      <c r="M24" s="612">
        <f t="shared" si="14"/>
        <v>27796.837074521503</v>
      </c>
      <c r="N24" s="611">
        <f t="shared" si="14"/>
        <v>29265.042913015026</v>
      </c>
      <c r="O24" s="611">
        <f t="shared" si="14"/>
        <v>32679.373459769511</v>
      </c>
      <c r="P24" s="611">
        <f t="shared" si="14"/>
        <v>34432.304879899966</v>
      </c>
      <c r="Q24" s="611">
        <f t="shared" si="14"/>
        <v>36298.707134925506</v>
      </c>
      <c r="R24" s="611">
        <f t="shared" si="14"/>
        <v>40134.70221192536</v>
      </c>
      <c r="S24" s="611">
        <f t="shared" si="14"/>
        <v>42333.779926698648</v>
      </c>
      <c r="T24" s="611">
        <f t="shared" si="14"/>
        <v>44671.040135659379</v>
      </c>
      <c r="U24" s="611">
        <f t="shared" si="14"/>
        <v>49004.406978945488</v>
      </c>
      <c r="V24" s="611">
        <f t="shared" si="14"/>
        <v>51728.454307206142</v>
      </c>
      <c r="W24" s="611">
        <f t="shared" si="14"/>
        <v>56470.197241200556</v>
      </c>
      <c r="X24" s="611">
        <f t="shared" si="14"/>
        <v>59625.106807343567</v>
      </c>
      <c r="Y24" s="612">
        <f t="shared" si="14"/>
        <v>64821.117220285189</v>
      </c>
      <c r="Z24" s="611">
        <f t="shared" si="14"/>
        <v>68459.908846911756</v>
      </c>
      <c r="AA24" s="611">
        <f t="shared" si="14"/>
        <v>74171.696840639212</v>
      </c>
      <c r="AB24" s="611">
        <f t="shared" si="14"/>
        <v>80204.175689457348</v>
      </c>
      <c r="AC24" s="611">
        <f t="shared" si="14"/>
        <v>86574.924592870986</v>
      </c>
      <c r="AD24" s="611">
        <f t="shared" si="14"/>
        <v>93301.962271253709</v>
      </c>
      <c r="AE24" s="611">
        <f t="shared" si="14"/>
        <v>100403.21344908761</v>
      </c>
      <c r="AF24" s="611">
        <f t="shared" si="14"/>
        <v>107897.26980388594</v>
      </c>
      <c r="AG24" s="611">
        <f t="shared" si="14"/>
        <v>113955.27053385583</v>
      </c>
      <c r="AH24" s="611">
        <f t="shared" ref="AH24:BH24" si="15">AH50+AH58+AH66+AH74+AH82+AH89+AH96+AH104+AH112+AH120+AH128+AH136+AH144+AH152+AH160+AH168+AH176+AH184+AH192+AH200+AH208+AH216+AH224+AH232+AH240+AH248+AH256+AH264+AH272+AH280+AH288+AH296+AH304+AH312+AH320+AH328+AH336+AH344+AH352+AH360+AH368+AH376+AH384+AH392+AH400+AH408+AH416+AH424+AH432+AH440+AH448+AH456+AH464+AH472+AH480+AH488+AH496+AH504+AH512+AH520</f>
        <v>122210.16423815746</v>
      </c>
      <c r="AI24" s="611">
        <f t="shared" si="15"/>
        <v>129066.09065588911</v>
      </c>
      <c r="AJ24" s="611">
        <f t="shared" si="15"/>
        <v>138157.23969587608</v>
      </c>
      <c r="AK24" s="612">
        <f t="shared" si="15"/>
        <v>145889.01939904242</v>
      </c>
      <c r="AL24" s="611">
        <f t="shared" si="15"/>
        <v>148856.04082590621</v>
      </c>
      <c r="AM24" s="611">
        <f t="shared" si="15"/>
        <v>157591.15047368643</v>
      </c>
      <c r="AN24" s="611">
        <f t="shared" si="15"/>
        <v>166342.88099469518</v>
      </c>
      <c r="AO24" s="611">
        <f t="shared" si="15"/>
        <v>176008.27893223704</v>
      </c>
      <c r="AP24" s="611">
        <f t="shared" si="15"/>
        <v>185732.46758841327</v>
      </c>
      <c r="AQ24" s="611">
        <f t="shared" si="15"/>
        <v>197822.05320166456</v>
      </c>
      <c r="AR24" s="611">
        <f t="shared" si="15"/>
        <v>210535.67080347639</v>
      </c>
      <c r="AS24" s="611">
        <f t="shared" si="15"/>
        <v>220643.19103844979</v>
      </c>
      <c r="AT24" s="611">
        <f t="shared" si="15"/>
        <v>234523.08426248754</v>
      </c>
      <c r="AU24" s="611">
        <f t="shared" si="15"/>
        <v>247696.02602316954</v>
      </c>
      <c r="AV24" s="611">
        <f t="shared" si="15"/>
        <v>261079.20453707423</v>
      </c>
      <c r="AW24" s="612">
        <f t="shared" si="15"/>
        <v>275576.30582812865</v>
      </c>
      <c r="AX24" s="611">
        <f t="shared" si="15"/>
        <v>250325.52270255843</v>
      </c>
      <c r="AY24" s="611">
        <f t="shared" si="15"/>
        <v>253994.07596703895</v>
      </c>
      <c r="AZ24" s="611">
        <f t="shared" si="15"/>
        <v>269461.97073406877</v>
      </c>
      <c r="BA24" s="611">
        <f t="shared" si="15"/>
        <v>277324.4709824801</v>
      </c>
      <c r="BB24" s="611">
        <f t="shared" si="15"/>
        <v>290675.62886132044</v>
      </c>
      <c r="BC24" s="611">
        <f t="shared" si="15"/>
        <v>306085.37401540542</v>
      </c>
      <c r="BD24" s="611">
        <f t="shared" si="15"/>
        <v>324100.96636890591</v>
      </c>
      <c r="BE24" s="611">
        <f t="shared" si="15"/>
        <v>331357.70266064856</v>
      </c>
      <c r="BF24" s="611">
        <f t="shared" si="15"/>
        <v>348711.75205188943</v>
      </c>
      <c r="BG24" s="611">
        <f t="shared" si="15"/>
        <v>358966.90392991662</v>
      </c>
      <c r="BH24" s="611">
        <f t="shared" si="15"/>
        <v>377598.71543961036</v>
      </c>
      <c r="BI24" s="612">
        <f>BI50+BI58+BI66+BI74+BI82+BI89+BI96+BI104+BI112+BI120+BI128+BI136+BI144+BI152+BI160+BI168+BI176+BI184+BI192+BI200+BI208+BI216+BI224+BI232+BI240+BI248+BI256+BI264+BI272+BI280+BI288+BI296+BI304+BI312+BI320+BI328+BI336+BI344+BI352+BI360+BI368+BI376+BI384+BI392+BI400+BI408+BI416+BI424+BI432+BI440+BI448+BI456+BI464+BI472+BI480+BI488+BI496+BI504+BI512+BI520</f>
        <v>389180.76199960092</v>
      </c>
    </row>
    <row r="25" spans="1:61" s="609" customFormat="1" ht="18.75">
      <c r="A25" s="608"/>
      <c r="L25" s="608" t="s">
        <v>289</v>
      </c>
      <c r="M25" s="798">
        <f>SUM(B24:M24)</f>
        <v>211345.05980165783</v>
      </c>
      <c r="X25" s="608" t="s">
        <v>289</v>
      </c>
      <c r="Y25" s="798">
        <f>SUM(N24:Y24)</f>
        <v>541464.2332168743</v>
      </c>
      <c r="AJ25" s="608" t="s">
        <v>289</v>
      </c>
      <c r="AK25" s="798">
        <f>SUM(Z24:AK24)</f>
        <v>1260290.9360169275</v>
      </c>
      <c r="AV25" s="608" t="s">
        <v>289</v>
      </c>
      <c r="AW25" s="798">
        <f>SUM(AL24:AW24)</f>
        <v>2482406.3545093886</v>
      </c>
      <c r="BH25" s="608" t="s">
        <v>289</v>
      </c>
      <c r="BI25" s="798">
        <f>SUM(AX24:BI24)</f>
        <v>3777783.8457134441</v>
      </c>
    </row>
    <row r="26" spans="1:61" s="204" customFormat="1" ht="15.75">
      <c r="A26" s="208"/>
      <c r="L26" s="206"/>
      <c r="M26" s="219"/>
      <c r="N26" s="216"/>
      <c r="Y26" s="219"/>
      <c r="Z26" s="216"/>
      <c r="AJ26" s="206"/>
      <c r="AK26" s="219"/>
      <c r="AL26" s="216"/>
      <c r="AV26" s="206"/>
      <c r="AW26" s="219"/>
      <c r="AX26" s="216"/>
      <c r="BH26" s="206"/>
      <c r="BI26" s="219"/>
    </row>
    <row r="27" spans="1:61" s="259" customFormat="1" ht="15.75">
      <c r="A27" s="420" t="s">
        <v>363</v>
      </c>
      <c r="B27" s="421">
        <f>B44+B52+B60+B68+B76+B83+B90+B98+B106+B114+B122+B130+B138+B146+B154+B162+B170+B178+B186+B194+B202+B210+B218+B226+B234+B242+B250+B258+B266+B274+B282+B290+B298+B306+B314+B322+B330+B338+B346+B354+B362+B370+B378+B386+B394+B402+B410+B418+B426+B434+B442+B450+B458+B466+B474+B482+B490+B498+B506+B514</f>
        <v>40</v>
      </c>
      <c r="C27" s="258">
        <f t="shared" ref="C27:BI27" si="16">C44+C52+C60+C68+C76+C83+C90+C98+C106+C114+C122+C130+C138+C146+C154+C162+C170+C178+C186+C194+C202+C210+C218+C226+C234+C242+C250+C258+C266+C274+C282+C290+C298+C306+C314+C322+C330+C338+C346+C354+C362+C370+C378+C386+C394+C402+C410+C418+C426+C434+C442+C450+C458+C466+C474+C482+C490+C498+C506+C514</f>
        <v>49.912000000000006</v>
      </c>
      <c r="D27" s="258">
        <f t="shared" si="16"/>
        <v>52.332480512000004</v>
      </c>
      <c r="E27" s="258">
        <f t="shared" si="16"/>
        <v>62.912125395738634</v>
      </c>
      <c r="F27" s="258">
        <f t="shared" si="16"/>
        <v>66.043143787617424</v>
      </c>
      <c r="G27" s="258">
        <f t="shared" si="16"/>
        <v>69.378612508508439</v>
      </c>
      <c r="H27" s="258">
        <f t="shared" si="16"/>
        <v>72.930829696250413</v>
      </c>
      <c r="I27" s="258">
        <f t="shared" si="16"/>
        <v>84.712643284514925</v>
      </c>
      <c r="J27" s="258">
        <f t="shared" si="16"/>
        <v>89.119865488287019</v>
      </c>
      <c r="K27" s="258">
        <f t="shared" si="16"/>
        <v>101.80930349987366</v>
      </c>
      <c r="L27" s="421">
        <f t="shared" si="16"/>
        <v>107.17951555196666</v>
      </c>
      <c r="M27" s="422">
        <f t="shared" si="16"/>
        <v>120.89015799332256</v>
      </c>
      <c r="N27" s="258">
        <f t="shared" si="16"/>
        <v>127.36033106421188</v>
      </c>
      <c r="O27" s="258">
        <f t="shared" si="16"/>
        <v>142.25772676858566</v>
      </c>
      <c r="P27" s="258">
        <f t="shared" si="16"/>
        <v>149.98877899944461</v>
      </c>
      <c r="Q27" s="258">
        <f t="shared" si="16"/>
        <v>158.2247526327069</v>
      </c>
      <c r="R27" s="258">
        <f t="shared" si="16"/>
        <v>174.99335451846872</v>
      </c>
      <c r="S27" s="258">
        <f t="shared" si="16"/>
        <v>184.70568974306988</v>
      </c>
      <c r="T27" s="258">
        <f t="shared" si="16"/>
        <v>195.03429206165131</v>
      </c>
      <c r="U27" s="258">
        <f t="shared" si="16"/>
        <v>214.01499726992841</v>
      </c>
      <c r="V27" s="258">
        <f t="shared" si="16"/>
        <v>226.06393039327131</v>
      </c>
      <c r="W27" s="258">
        <f t="shared" si="16"/>
        <v>246.8622832671717</v>
      </c>
      <c r="X27" s="258">
        <f t="shared" si="16"/>
        <v>260.83032866632516</v>
      </c>
      <c r="Y27" s="422">
        <f t="shared" si="16"/>
        <v>283.65351391088927</v>
      </c>
      <c r="Z27" s="258">
        <f t="shared" si="16"/>
        <v>299.77962246797415</v>
      </c>
      <c r="AA27" s="258">
        <f t="shared" si="16"/>
        <v>324.90441173416701</v>
      </c>
      <c r="AB27" s="258">
        <f t="shared" si="16"/>
        <v>351.45846622873165</v>
      </c>
      <c r="AC27" s="258">
        <f t="shared" si="16"/>
        <v>379.52116887622532</v>
      </c>
      <c r="AD27" s="258">
        <f t="shared" si="16"/>
        <v>409.17397217773572</v>
      </c>
      <c r="AE27" s="258">
        <f t="shared" si="16"/>
        <v>440.49811430399961</v>
      </c>
      <c r="AF27" s="258">
        <f t="shared" si="16"/>
        <v>473.57793803333089</v>
      </c>
      <c r="AG27" s="258">
        <f t="shared" si="16"/>
        <v>500.50913333273917</v>
      </c>
      <c r="AH27" s="258">
        <f t="shared" si="16"/>
        <v>537.00067757343322</v>
      </c>
      <c r="AI27" s="258">
        <f t="shared" si="16"/>
        <v>567.51267022152092</v>
      </c>
      <c r="AJ27" s="421">
        <f t="shared" si="16"/>
        <v>607.75994040074158</v>
      </c>
      <c r="AK27" s="422">
        <f t="shared" si="16"/>
        <v>642.20857496603765</v>
      </c>
      <c r="AL27" s="258">
        <f t="shared" si="16"/>
        <v>686.57953435590855</v>
      </c>
      <c r="AM27" s="258">
        <f t="shared" si="16"/>
        <v>733.34518979182928</v>
      </c>
      <c r="AN27" s="258">
        <f t="shared" si="16"/>
        <v>774.6188665833555</v>
      </c>
      <c r="AO27" s="258">
        <f t="shared" si="16"/>
        <v>826.13563540376833</v>
      </c>
      <c r="AP27" s="258">
        <f t="shared" si="16"/>
        <v>872.37906570142354</v>
      </c>
      <c r="AQ27" s="258">
        <f t="shared" si="16"/>
        <v>929.0916151652558</v>
      </c>
      <c r="AR27" s="258">
        <f t="shared" si="16"/>
        <v>988.75982431094064</v>
      </c>
      <c r="AS27" s="258">
        <f t="shared" si="16"/>
        <v>1043.5172477999249</v>
      </c>
      <c r="AT27" s="258">
        <f t="shared" si="16"/>
        <v>1109.1186347931873</v>
      </c>
      <c r="AU27" s="258">
        <f t="shared" si="16"/>
        <v>1178.0643456414562</v>
      </c>
      <c r="AV27" s="421">
        <f t="shared" si="16"/>
        <v>1242.4999236310998</v>
      </c>
      <c r="AW27" s="422">
        <f t="shared" si="16"/>
        <v>1318.1948312001575</v>
      </c>
      <c r="AX27" s="258">
        <f t="shared" si="16"/>
        <v>1397.6623653176141</v>
      </c>
      <c r="AY27" s="258">
        <f t="shared" si="16"/>
        <v>1473.0673052036907</v>
      </c>
      <c r="AZ27" s="258">
        <f t="shared" si="16"/>
        <v>1560.194517622898</v>
      </c>
      <c r="BA27" s="258">
        <f t="shared" si="16"/>
        <v>1651.5779038007126</v>
      </c>
      <c r="BB27" s="258">
        <f t="shared" si="16"/>
        <v>1739.3955436261838</v>
      </c>
      <c r="BC27" s="258">
        <f t="shared" si="16"/>
        <v>1831.4529652653439</v>
      </c>
      <c r="BD27" s="258">
        <f t="shared" si="16"/>
        <v>1935.919753700766</v>
      </c>
      <c r="BE27" s="258">
        <f t="shared" si="16"/>
        <v>2037.3453112337411</v>
      </c>
      <c r="BF27" s="258">
        <f t="shared" si="16"/>
        <v>2143.5528381315094</v>
      </c>
      <c r="BG27" s="258">
        <f t="shared" si="16"/>
        <v>2262.7256620268295</v>
      </c>
      <c r="BH27" s="421">
        <f t="shared" si="16"/>
        <v>2379.4366826755436</v>
      </c>
      <c r="BI27" s="422">
        <f t="shared" si="16"/>
        <v>2509.5243748874282</v>
      </c>
    </row>
    <row r="28" spans="1:61" s="624" customFormat="1" ht="15.75">
      <c r="A28" s="620" t="s">
        <v>364</v>
      </c>
      <c r="B28" s="621">
        <f>'Prg. Marketing'!D10</f>
        <v>37.833333333333329</v>
      </c>
      <c r="C28" s="622">
        <f>'Prg. Marketing'!E10</f>
        <v>41.493749999999999</v>
      </c>
      <c r="D28" s="622">
        <f>'Prg. Marketing'!F10</f>
        <v>45.602656250000003</v>
      </c>
      <c r="E28" s="622">
        <f>'Prg. Marketing'!G10</f>
        <v>50.225717013888897</v>
      </c>
      <c r="F28" s="622">
        <f>'Prg. Marketing'!H10</f>
        <v>55.439397721956986</v>
      </c>
      <c r="G28" s="622">
        <f>'Prg. Marketing'!I10</f>
        <v>61.332871057462967</v>
      </c>
      <c r="H28" s="622">
        <f>'Prg. Marketing'!J10</f>
        <v>68.01027489342205</v>
      </c>
      <c r="I28" s="622">
        <f>'Prg. Marketing'!K10</f>
        <v>75.593387770602305</v>
      </c>
      <c r="J28" s="622">
        <f>'Prg. Marketing'!L10</f>
        <v>84.224801012695238</v>
      </c>
      <c r="K28" s="622">
        <f>'Prg. Marketing'!M10</f>
        <v>94.071681782840301</v>
      </c>
      <c r="L28" s="621">
        <f>'Prg. Marketing'!N10</f>
        <v>105.33023954583022</v>
      </c>
      <c r="M28" s="623">
        <f>'Prg. Marketing'!O10</f>
        <v>118.23103008893722</v>
      </c>
      <c r="N28" s="622">
        <f>'Prg. Marketing'!P10</f>
        <v>125.57606484430841</v>
      </c>
      <c r="O28" s="622">
        <f>'Prg. Marketing'!Q10</f>
        <v>133.64059443921192</v>
      </c>
      <c r="P28" s="622">
        <f>'Prg. Marketing'!R10</f>
        <v>142.50928449057056</v>
      </c>
      <c r="Q28" s="622">
        <f>'Prg. Marketing'!S10</f>
        <v>152.27739732009837</v>
      </c>
      <c r="R28" s="622">
        <f>'Prg. Marketing'!T10</f>
        <v>163.05214997702629</v>
      </c>
      <c r="S28" s="622">
        <f>'Prg. Marketing'!U10</f>
        <v>174.95424832427929</v>
      </c>
      <c r="T28" s="622">
        <f>'Prg. Marketing'!V10</f>
        <v>188.11962017459092</v>
      </c>
      <c r="U28" s="622">
        <f>'Prg. Marketing'!W10</f>
        <v>202.70137347866557</v>
      </c>
      <c r="V28" s="622">
        <f>'Prg. Marketing'!X10</f>
        <v>218.87200898015993</v>
      </c>
      <c r="W28" s="622">
        <f>'Prg. Marketing'!Y10</f>
        <v>236.82592061438089</v>
      </c>
      <c r="X28" s="622">
        <f>'Prg. Marketing'!Z10</f>
        <v>256.78222129853225</v>
      </c>
      <c r="Y28" s="623">
        <f>'Prg. Marketing'!AA10</f>
        <v>278.98793670830793</v>
      </c>
      <c r="Z28" s="622">
        <f>'Prg. Marketing'!AB10</f>
        <v>296.86292418803214</v>
      </c>
      <c r="AA28" s="622">
        <f>'Prg. Marketing'!AC10</f>
        <v>316.32480806111812</v>
      </c>
      <c r="AB28" s="622">
        <f>'Prg. Marketing'!AD10</f>
        <v>337.52521369023827</v>
      </c>
      <c r="AC28" s="622">
        <f>'Prg. Marketing'!AE10</f>
        <v>360.63049957355003</v>
      </c>
      <c r="AD28" s="622">
        <f>'Prg. Marketing'!AF10</f>
        <v>385.82319765091955</v>
      </c>
      <c r="AE28" s="622">
        <f>'Prg. Marketing'!AG10</f>
        <v>413.30359494039857</v>
      </c>
      <c r="AF28" s="622">
        <f>'Prg. Marketing'!AH10</f>
        <v>443.29147041388143</v>
      </c>
      <c r="AG28" s="622">
        <f>'Prg. Marketing'!AI10</f>
        <v>476.02800239310801</v>
      </c>
      <c r="AH28" s="622">
        <f>'Prg. Marketing'!AJ10</f>
        <v>511.77786325507873</v>
      </c>
      <c r="AI28" s="622">
        <f>'Prg. Marketing'!AK10</f>
        <v>550.83151989296414</v>
      </c>
      <c r="AJ28" s="621">
        <f>'Prg. Marketing'!AL10</f>
        <v>593.5077601994758</v>
      </c>
      <c r="AK28" s="623">
        <f>'Prg. Marketing'!AM10</f>
        <v>640.15646784066928</v>
      </c>
      <c r="AL28" s="622">
        <f>'Prg. Marketing'!AN10</f>
        <v>678.57055439716851</v>
      </c>
      <c r="AM28" s="622">
        <f>'Prg. Marketing'!AO10</f>
        <v>719.484677067951</v>
      </c>
      <c r="AN28" s="622">
        <f>'Prg. Marketing'!AP10</f>
        <v>763.06662650834551</v>
      </c>
      <c r="AO28" s="622">
        <f>'Prg. Marketing'!AQ10</f>
        <v>809.49561797823833</v>
      </c>
      <c r="AP28" s="622">
        <f>'Prg. Marketing'!AR10</f>
        <v>858.96307578645178</v>
      </c>
      <c r="AQ28" s="622">
        <f>'Prg. Marketing'!AS10</f>
        <v>911.67347191563749</v>
      </c>
      <c r="AR28" s="622">
        <f>'Prg. Marketing'!AT10</f>
        <v>967.84522258761274</v>
      </c>
      <c r="AS28" s="622">
        <f>'Prg. Marketing'!AU10</f>
        <v>1027.7116467910821</v>
      </c>
      <c r="AT28" s="622">
        <f>'Prg. Marketing'!AV10</f>
        <v>1091.5219910740263</v>
      </c>
      <c r="AU28" s="622">
        <f>'Prg. Marketing'!AW10</f>
        <v>1159.5425252029968</v>
      </c>
      <c r="AV28" s="621">
        <f>'Prg. Marketing'!AX10</f>
        <v>1232.0577136125089</v>
      </c>
      <c r="AW28" s="623">
        <f>'Prg. Marketing'!AY10</f>
        <v>1309.3714679111465</v>
      </c>
      <c r="AX28" s="622">
        <f>'Prg. Marketing'!AZ10</f>
        <v>1381.1445054446938</v>
      </c>
      <c r="AY28" s="622">
        <f>'Prg. Marketing'!BA10</f>
        <v>1457.0377498497649</v>
      </c>
      <c r="AZ28" s="622">
        <f>'Prg. Marketing'!BB10</f>
        <v>1537.2945368164339</v>
      </c>
      <c r="BA28" s="622">
        <f>'Prg. Marketing'!BC10</f>
        <v>1622.1728342852825</v>
      </c>
      <c r="BB28" s="622">
        <f>'Prg. Marketing'!BD10</f>
        <v>1711.9461327581687</v>
      </c>
      <c r="BC28" s="622">
        <f>'Prg. Marketing'!BE10</f>
        <v>1806.9043902126068</v>
      </c>
      <c r="BD28" s="622">
        <f>'Prg. Marketing'!BF10</f>
        <v>1907.3550349869549</v>
      </c>
      <c r="BE28" s="622">
        <f>'Prg. Marketing'!BG10</f>
        <v>2013.6240302120029</v>
      </c>
      <c r="BF28" s="622">
        <f>'Prg. Marketing'!BH10</f>
        <v>2126.0570035859505</v>
      </c>
      <c r="BG28" s="622">
        <f>'Prg. Marketing'!BI10</f>
        <v>2245.0204465248516</v>
      </c>
      <c r="BH28" s="621">
        <f>'Prg. Marketing'!BJ10</f>
        <v>2370.9029869702977</v>
      </c>
      <c r="BI28" s="623">
        <f>'Prg. Marketing'!BK10</f>
        <v>2504.1167404013345</v>
      </c>
    </row>
    <row r="29" spans="1:61" s="619" customFormat="1" ht="15.75" customHeight="1">
      <c r="A29" s="616" t="s">
        <v>365</v>
      </c>
      <c r="B29" s="617">
        <f>B28/B27</f>
        <v>0.94583333333333319</v>
      </c>
      <c r="C29" s="618">
        <f t="shared" ref="C29:BI29" si="17">C28/C27</f>
        <v>0.8313381551530693</v>
      </c>
      <c r="D29" s="618">
        <f t="shared" si="17"/>
        <v>0.87140253631859033</v>
      </c>
      <c r="E29" s="618">
        <f t="shared" si="17"/>
        <v>0.7983471659549265</v>
      </c>
      <c r="F29" s="618">
        <f t="shared" si="17"/>
        <v>0.83944213649549859</v>
      </c>
      <c r="G29" s="618">
        <f t="shared" si="17"/>
        <v>0.88403138719358565</v>
      </c>
      <c r="H29" s="618">
        <f t="shared" si="17"/>
        <v>0.93253121041784415</v>
      </c>
      <c r="I29" s="618">
        <f t="shared" si="17"/>
        <v>0.89235071460012416</v>
      </c>
      <c r="J29" s="618">
        <f t="shared" si="17"/>
        <v>0.94507325107851359</v>
      </c>
      <c r="K29" s="618">
        <f t="shared" si="17"/>
        <v>0.92399887386477442</v>
      </c>
      <c r="L29" s="617">
        <f t="shared" si="17"/>
        <v>0.98274599398389895</v>
      </c>
      <c r="M29" s="799">
        <f t="shared" si="17"/>
        <v>0.97800376847441772</v>
      </c>
      <c r="N29" s="618">
        <f t="shared" si="17"/>
        <v>0.98599040843413099</v>
      </c>
      <c r="O29" s="618">
        <f t="shared" si="17"/>
        <v>0.93942591010615928</v>
      </c>
      <c r="P29" s="618">
        <f t="shared" si="17"/>
        <v>0.95013297288791354</v>
      </c>
      <c r="Q29" s="618">
        <f t="shared" si="17"/>
        <v>0.96241197907628051</v>
      </c>
      <c r="R29" s="618">
        <f t="shared" si="17"/>
        <v>0.93176195419362529</v>
      </c>
      <c r="S29" s="618">
        <f t="shared" si="17"/>
        <v>0.94720551688280374</v>
      </c>
      <c r="T29" s="618">
        <f t="shared" si="17"/>
        <v>0.96454637892666262</v>
      </c>
      <c r="U29" s="618">
        <f t="shared" si="17"/>
        <v>0.94713630383111225</v>
      </c>
      <c r="V29" s="618">
        <f t="shared" si="17"/>
        <v>0.9681863382601551</v>
      </c>
      <c r="W29" s="618">
        <f t="shared" si="17"/>
        <v>0.95934428491885593</v>
      </c>
      <c r="X29" s="618">
        <f t="shared" si="17"/>
        <v>0.98447992076499824</v>
      </c>
      <c r="Y29" s="799">
        <f t="shared" si="17"/>
        <v>0.98355184415572916</v>
      </c>
      <c r="Z29" s="618">
        <f t="shared" si="17"/>
        <v>0.99027052520805148</v>
      </c>
      <c r="AA29" s="618">
        <f t="shared" si="17"/>
        <v>0.97359345283354104</v>
      </c>
      <c r="AB29" s="618">
        <f t="shared" si="17"/>
        <v>0.96035590581156882</v>
      </c>
      <c r="AC29" s="618">
        <f t="shared" si="17"/>
        <v>0.95022499177421071</v>
      </c>
      <c r="AD29" s="618">
        <f t="shared" si="17"/>
        <v>0.94293191621515671</v>
      </c>
      <c r="AE29" s="618">
        <f t="shared" si="17"/>
        <v>0.93826416395318923</v>
      </c>
      <c r="AF29" s="618">
        <f t="shared" si="17"/>
        <v>0.93604755376649773</v>
      </c>
      <c r="AG29" s="618">
        <f t="shared" si="17"/>
        <v>0.95108754404416418</v>
      </c>
      <c r="AH29" s="618">
        <f t="shared" si="17"/>
        <v>0.95303020019950468</v>
      </c>
      <c r="AI29" s="618">
        <f t="shared" si="17"/>
        <v>0.97060655875392965</v>
      </c>
      <c r="AJ29" s="617">
        <f t="shared" si="17"/>
        <v>0.97654965512885195</v>
      </c>
      <c r="AK29" s="799">
        <f t="shared" si="17"/>
        <v>0.99680460958423533</v>
      </c>
      <c r="AL29" s="618">
        <f t="shared" si="17"/>
        <v>0.98833495675595195</v>
      </c>
      <c r="AM29" s="618">
        <f t="shared" si="17"/>
        <v>0.98109960641070981</v>
      </c>
      <c r="AN29" s="618">
        <f t="shared" si="17"/>
        <v>0.98508654956215569</v>
      </c>
      <c r="AO29" s="618">
        <f t="shared" si="17"/>
        <v>0.97985800791973188</v>
      </c>
      <c r="AP29" s="618">
        <f t="shared" si="17"/>
        <v>0.98462137568124142</v>
      </c>
      <c r="AQ29" s="618">
        <f t="shared" si="17"/>
        <v>0.981252501943503</v>
      </c>
      <c r="AR29" s="618">
        <f t="shared" si="17"/>
        <v>0.97884764205715669</v>
      </c>
      <c r="AS29" s="618">
        <f t="shared" si="17"/>
        <v>0.98485353160940448</v>
      </c>
      <c r="AT29" s="618">
        <f t="shared" si="17"/>
        <v>0.98413457030911566</v>
      </c>
      <c r="AU29" s="618">
        <f t="shared" si="17"/>
        <v>0.98427775145985408</v>
      </c>
      <c r="AV29" s="617">
        <f t="shared" si="17"/>
        <v>0.99159580630952926</v>
      </c>
      <c r="AW29" s="799">
        <f t="shared" si="17"/>
        <v>0.99330648013467193</v>
      </c>
      <c r="AX29" s="618">
        <f t="shared" si="17"/>
        <v>0.98818179534428063</v>
      </c>
      <c r="AY29" s="618">
        <f t="shared" si="17"/>
        <v>0.98911824646619972</v>
      </c>
      <c r="AZ29" s="618">
        <f t="shared" si="17"/>
        <v>0.98532235529108614</v>
      </c>
      <c r="BA29" s="618">
        <f t="shared" si="17"/>
        <v>0.98219577202639885</v>
      </c>
      <c r="BB29" s="618">
        <f t="shared" si="17"/>
        <v>0.9842189943692794</v>
      </c>
      <c r="BC29" s="618">
        <f t="shared" si="17"/>
        <v>0.98659612039276123</v>
      </c>
      <c r="BD29" s="618">
        <f t="shared" si="17"/>
        <v>0.98524488493946827</v>
      </c>
      <c r="BE29" s="618">
        <f t="shared" si="17"/>
        <v>0.98835676952211238</v>
      </c>
      <c r="BF29" s="618">
        <f t="shared" si="17"/>
        <v>0.99183792709266283</v>
      </c>
      <c r="BG29" s="618">
        <f t="shared" si="17"/>
        <v>0.99217527082531143</v>
      </c>
      <c r="BH29" s="617">
        <f t="shared" si="17"/>
        <v>0.99641356470320097</v>
      </c>
      <c r="BI29" s="799">
        <f t="shared" si="17"/>
        <v>0.99784515562382758</v>
      </c>
    </row>
    <row r="30" spans="1:61" s="204" customFormat="1" ht="15.75">
      <c r="A30" s="208"/>
      <c r="L30" s="206"/>
      <c r="M30" s="219"/>
      <c r="N30" s="216"/>
      <c r="Y30" s="219"/>
      <c r="Z30" s="216"/>
      <c r="AJ30" s="206"/>
      <c r="AK30" s="219"/>
      <c r="AL30" s="216"/>
      <c r="AV30" s="206"/>
      <c r="AW30" s="219"/>
      <c r="AX30" s="216"/>
      <c r="BH30" s="206"/>
      <c r="BI30" s="219"/>
    </row>
    <row r="31" spans="1:61" s="268" customFormat="1" ht="15.75">
      <c r="A31" s="267" t="s">
        <v>309</v>
      </c>
      <c r="B31" s="268">
        <f>'Prg. Marketing'!D24</f>
        <v>587.22466960352426</v>
      </c>
      <c r="C31" s="268">
        <f>'Prg. Marketing'!E24</f>
        <v>542.7343475423005</v>
      </c>
      <c r="D31" s="268">
        <f>'Prg. Marketing'!F24</f>
        <v>500.73542408325528</v>
      </c>
      <c r="E31" s="268">
        <f>'Prg. Marketing'!G24</f>
        <v>507.13542516555367</v>
      </c>
      <c r="F31" s="268">
        <f>'Prg. Marketing'!H24</f>
        <v>465.54333509946269</v>
      </c>
      <c r="G31" s="268">
        <f>'Prg. Marketing'!I24</f>
        <v>426.52024766464012</v>
      </c>
      <c r="H31" s="268">
        <f>'Prg. Marketing'!J24</f>
        <v>389.97483277658324</v>
      </c>
      <c r="I31" s="268">
        <f>'Prg. Marketing'!K24</f>
        <v>378.96766017201293</v>
      </c>
      <c r="J31" s="268">
        <f>'Prg. Marketing'!L24</f>
        <v>346.4688206745567</v>
      </c>
      <c r="K31" s="268">
        <f>'Prg. Marketing'!M24</f>
        <v>314.59526070503659</v>
      </c>
      <c r="L31" s="268">
        <f>'Prg. Marketing'!N24</f>
        <v>284.91323814841314</v>
      </c>
      <c r="M31" s="269">
        <f>'Prg. Marketing'!O24</f>
        <v>257.44668251159368</v>
      </c>
      <c r="N31" s="268">
        <f>'Prg. Marketing'!P24</f>
        <v>243.6025788068406</v>
      </c>
      <c r="O31" s="268">
        <f>'Prg. Marketing'!Q24</f>
        <v>232.3888122054789</v>
      </c>
      <c r="P31" s="268">
        <f>'Prg. Marketing'!R24</f>
        <v>220.31888255830754</v>
      </c>
      <c r="Q31" s="268">
        <f>'Prg. Marketing'!S24</f>
        <v>208.40938140566246</v>
      </c>
      <c r="R31" s="268">
        <f>'Prg. Marketing'!T24</f>
        <v>196.76264137243686</v>
      </c>
      <c r="S31" s="268">
        <f>'Prg. Marketing'!U24</f>
        <v>212.41591210516202</v>
      </c>
      <c r="T31" s="268">
        <f>'Prg. Marketing'!V24</f>
        <v>199.48862304008279</v>
      </c>
      <c r="U31" s="268">
        <f>'Prg. Marketing'!W24</f>
        <v>186.9828734761052</v>
      </c>
      <c r="V31" s="268">
        <f>'Prg. Marketing'!X24</f>
        <v>174.91998259976603</v>
      </c>
      <c r="W31" s="268">
        <f>'Prg. Marketing'!Y24</f>
        <v>163.31857895348003</v>
      </c>
      <c r="X31" s="268">
        <f>'Prg. Marketing'!Z24</f>
        <v>152.19427293809696</v>
      </c>
      <c r="Y31" s="269">
        <f>'Prg. Marketing'!AA24</f>
        <v>148.40232297773736</v>
      </c>
      <c r="Z31" s="268">
        <f>'Prg. Marketing'!AB24</f>
        <v>148.44940330941131</v>
      </c>
      <c r="AA31" s="268">
        <f>'Prg. Marketing'!AC24</f>
        <v>139.64878080252714</v>
      </c>
      <c r="AB31" s="268">
        <f>'Prg. Marketing'!AD24</f>
        <v>131.09727804524786</v>
      </c>
      <c r="AC31" s="268">
        <f>'Prg. Marketing'!AE24</f>
        <v>122.91871466012431</v>
      </c>
      <c r="AD31" s="268">
        <f>'Prg. Marketing'!AF24</f>
        <v>115.12744302985251</v>
      </c>
      <c r="AE31" s="268">
        <f>'Prg. Marketing'!AG24</f>
        <v>107.71987577524709</v>
      </c>
      <c r="AF31" s="268">
        <f>'Prg. Marketing'!AH24</f>
        <v>100.68883819004732</v>
      </c>
      <c r="AG31" s="268">
        <f>'Prg. Marketing'!AI24</f>
        <v>98.437354457846013</v>
      </c>
      <c r="AH31" s="268">
        <f>'Prg. Marketing'!AJ24</f>
        <v>92.850709939513749</v>
      </c>
      <c r="AI31" s="268">
        <f>'Prg. Marketing'!AK24</f>
        <v>86.769536051478994</v>
      </c>
      <c r="AJ31" s="268">
        <f>'Prg. Marketing'!AL24</f>
        <v>84.73904624241969</v>
      </c>
      <c r="AK31" s="269">
        <f>'Prg. Marketing'!AM24</f>
        <v>78.834011569062852</v>
      </c>
      <c r="AL31" s="268">
        <f>'Prg. Marketing'!AN24</f>
        <v>77.938630257962089</v>
      </c>
      <c r="AM31" s="268">
        <f>'Prg. Marketing'!AO24</f>
        <v>73.013242487671974</v>
      </c>
      <c r="AN31" s="268">
        <f>'Prg. Marketing'!AP24</f>
        <v>68.81072324720671</v>
      </c>
      <c r="AO31" s="268">
        <f>'Prg. Marketing'!AQ24</f>
        <v>64.907765166002193</v>
      </c>
      <c r="AP31" s="268">
        <f>'Prg. Marketing'!AR24</f>
        <v>63.673296045961301</v>
      </c>
      <c r="AQ31" s="268">
        <f>'Prg. Marketing'!AS24</f>
        <v>63.164423923563888</v>
      </c>
      <c r="AR31" s="268">
        <f>'Prg. Marketing'!AT24</f>
        <v>59.699223396921511</v>
      </c>
      <c r="AS31" s="268">
        <f>'Prg. Marketing'!AU24</f>
        <v>56.319982291486426</v>
      </c>
      <c r="AT31" s="268">
        <f>'Prg. Marketing'!AV24</f>
        <v>53.102149981504823</v>
      </c>
      <c r="AU31" s="268">
        <f>'Prg. Marketing'!AW24</f>
        <v>50.05614868482148</v>
      </c>
      <c r="AV31" s="268">
        <f>'Prg. Marketing'!AX24</f>
        <v>51.012482512465695</v>
      </c>
      <c r="AW31" s="269">
        <f>'Prg. Marketing'!AY24</f>
        <v>51.613099017370757</v>
      </c>
      <c r="AX31" s="268">
        <f>'Prg. Marketing'!AZ24</f>
        <v>49.447081787763345</v>
      </c>
      <c r="AY31" s="268">
        <f>'Prg. Marketing'!BA24</f>
        <v>47.007097853338365</v>
      </c>
      <c r="AZ31" s="268">
        <f>'Prg. Marketing'!BB24</f>
        <v>44.571097679883295</v>
      </c>
      <c r="BA31" s="268">
        <f>'Prg. Marketing'!BC24</f>
        <v>42.222387263779048</v>
      </c>
      <c r="BB31" s="268">
        <f>'Prg. Marketing'!BD24</f>
        <v>41.332313417443849</v>
      </c>
      <c r="BC31" s="268">
        <f>'Prg. Marketing'!BE24</f>
        <v>43.201634271665313</v>
      </c>
      <c r="BD31" s="268">
        <f>'Prg. Marketing'!BF24</f>
        <v>41.475435627953836</v>
      </c>
      <c r="BE31" s="268">
        <f>'Prg. Marketing'!BG24</f>
        <v>39.490602256549167</v>
      </c>
      <c r="BF31" s="268">
        <f>'Prg. Marketing'!BH24</f>
        <v>38.557862328948886</v>
      </c>
      <c r="BG31" s="268">
        <f>'Prg. Marketing'!BI24</f>
        <v>37.862976040045538</v>
      </c>
      <c r="BH31" s="268">
        <f>'Prg. Marketing'!BJ24</f>
        <v>36.4832305388734</v>
      </c>
      <c r="BI31" s="269">
        <f>'Prg. Marketing'!BK24</f>
        <v>36.720819099354074</v>
      </c>
    </row>
    <row r="32" spans="1:61" s="271" customFormat="1" ht="15.75">
      <c r="A32" s="270" t="s">
        <v>316</v>
      </c>
      <c r="B32" s="271">
        <f>B27*B31</f>
        <v>23488.986784140972</v>
      </c>
      <c r="C32" s="271">
        <f t="shared" ref="C32:BI32" si="18">C27*C31</f>
        <v>27088.956754531308</v>
      </c>
      <c r="D32" s="271">
        <f t="shared" si="18"/>
        <v>26204.726822505014</v>
      </c>
      <c r="E32" s="271">
        <f t="shared" si="18"/>
        <v>31904.967460636537</v>
      </c>
      <c r="F32" s="271">
        <f t="shared" si="18"/>
        <v>30745.945419340776</v>
      </c>
      <c r="G32" s="271">
        <f t="shared" si="18"/>
        <v>29591.38298975812</v>
      </c>
      <c r="H32" s="271">
        <f t="shared" si="18"/>
        <v>28441.188115052726</v>
      </c>
      <c r="I32" s="271">
        <f t="shared" si="18"/>
        <v>32103.352212519007</v>
      </c>
      <c r="J32" s="271">
        <f t="shared" si="18"/>
        <v>30877.25469440193</v>
      </c>
      <c r="K32" s="271">
        <f t="shared" si="18"/>
        <v>32028.724376740949</v>
      </c>
      <c r="L32" s="271">
        <f t="shared" si="18"/>
        <v>30536.862839089026</v>
      </c>
      <c r="M32" s="272">
        <f t="shared" si="18"/>
        <v>31122.770123683313</v>
      </c>
      <c r="N32" s="273">
        <f t="shared" si="18"/>
        <v>31025.305084934982</v>
      </c>
      <c r="O32" s="273">
        <f t="shared" si="18"/>
        <v>33059.104150803178</v>
      </c>
      <c r="P32" s="271">
        <f t="shared" si="18"/>
        <v>33045.36018544258</v>
      </c>
      <c r="Q32" s="271">
        <f t="shared" si="18"/>
        <v>32975.522819246406</v>
      </c>
      <c r="R32" s="271">
        <f t="shared" si="18"/>
        <v>34432.154657677165</v>
      </c>
      <c r="S32" s="271">
        <f t="shared" si="18"/>
        <v>39234.427557787261</v>
      </c>
      <c r="T32" s="271">
        <f t="shared" si="18"/>
        <v>38907.122368976168</v>
      </c>
      <c r="U32" s="271">
        <f t="shared" si="18"/>
        <v>40017.139156512021</v>
      </c>
      <c r="V32" s="271">
        <f t="shared" si="18"/>
        <v>39543.098770825738</v>
      </c>
      <c r="W32" s="271">
        <f t="shared" si="18"/>
        <v>40317.197300405933</v>
      </c>
      <c r="X32" s="271">
        <f t="shared" si="18"/>
        <v>39696.882231576223</v>
      </c>
      <c r="Y32" s="272">
        <f t="shared" si="18"/>
        <v>42094.840385173906</v>
      </c>
      <c r="Z32" s="273">
        <f t="shared" si="18"/>
        <v>44502.106079691352</v>
      </c>
      <c r="AA32" s="271">
        <f t="shared" si="18"/>
        <v>45372.504976038719</v>
      </c>
      <c r="AB32" s="271">
        <f t="shared" si="18"/>
        <v>46075.24826854439</v>
      </c>
      <c r="AC32" s="271">
        <f t="shared" si="18"/>
        <v>46650.254264573588</v>
      </c>
      <c r="AD32" s="271">
        <f t="shared" si="18"/>
        <v>47107.15317119073</v>
      </c>
      <c r="AE32" s="271">
        <f t="shared" si="18"/>
        <v>47450.402152057432</v>
      </c>
      <c r="AF32" s="271">
        <f t="shared" si="18"/>
        <v>47684.01237301431</v>
      </c>
      <c r="AG32" s="271">
        <f t="shared" si="18"/>
        <v>49268.794967264155</v>
      </c>
      <c r="AH32" s="271">
        <f t="shared" si="18"/>
        <v>49860.894150693195</v>
      </c>
      <c r="AI32" s="271">
        <f t="shared" si="18"/>
        <v>49242.811098457372</v>
      </c>
      <c r="AJ32" s="271">
        <f t="shared" si="18"/>
        <v>51500.997693908677</v>
      </c>
      <c r="AK32" s="272">
        <f t="shared" si="18"/>
        <v>50627.87822862398</v>
      </c>
      <c r="AL32" s="273">
        <f t="shared" si="18"/>
        <v>53511.068470848935</v>
      </c>
      <c r="AM32" s="271">
        <f t="shared" si="18"/>
        <v>53543.910169438655</v>
      </c>
      <c r="AN32" s="271">
        <f t="shared" si="18"/>
        <v>53302.084450532209</v>
      </c>
      <c r="AO32" s="271">
        <f t="shared" si="18"/>
        <v>53622.617818053805</v>
      </c>
      <c r="AP32" s="271">
        <f t="shared" si="18"/>
        <v>55547.250514705869</v>
      </c>
      <c r="AQ32" s="271">
        <f t="shared" si="18"/>
        <v>58685.5366441269</v>
      </c>
      <c r="AR32" s="271">
        <f t="shared" si="18"/>
        <v>59028.193637439712</v>
      </c>
      <c r="AS32" s="271">
        <f t="shared" si="18"/>
        <v>58770.872916952423</v>
      </c>
      <c r="AT32" s="271">
        <f t="shared" si="18"/>
        <v>58896.584092069708</v>
      </c>
      <c r="AU32" s="271">
        <f t="shared" si="18"/>
        <v>58969.364045715651</v>
      </c>
      <c r="AV32" s="271">
        <f t="shared" si="18"/>
        <v>63383.00562597144</v>
      </c>
      <c r="AW32" s="272">
        <f t="shared" si="18"/>
        <v>68036.120346920055</v>
      </c>
      <c r="AX32" s="273">
        <f t="shared" si="18"/>
        <v>69110.325289538829</v>
      </c>
      <c r="AY32" s="271">
        <f t="shared" si="18"/>
        <v>69244.618960263339</v>
      </c>
      <c r="AZ32" s="271">
        <f t="shared" si="18"/>
        <v>69539.582244588586</v>
      </c>
      <c r="BA32" s="271">
        <f t="shared" si="18"/>
        <v>69733.5618505741</v>
      </c>
      <c r="BB32" s="271">
        <f t="shared" si="18"/>
        <v>71893.241766062551</v>
      </c>
      <c r="BC32" s="271">
        <f t="shared" si="18"/>
        <v>79121.761191150348</v>
      </c>
      <c r="BD32" s="271">
        <f t="shared" si="18"/>
        <v>80293.115125500364</v>
      </c>
      <c r="BE32" s="271">
        <f t="shared" si="18"/>
        <v>80455.993345177034</v>
      </c>
      <c r="BF32" s="271">
        <f t="shared" si="18"/>
        <v>82650.815227502389</v>
      </c>
      <c r="BG32" s="271">
        <f t="shared" si="18"/>
        <v>85673.527526518024</v>
      </c>
      <c r="BH32" s="271">
        <f t="shared" si="18"/>
        <v>86809.537046704005</v>
      </c>
      <c r="BI32" s="272">
        <f t="shared" si="18"/>
        <v>92151.790595660859</v>
      </c>
    </row>
    <row r="33" spans="1:61" s="275" customFormat="1" ht="15.75">
      <c r="A33" s="274" t="s">
        <v>307</v>
      </c>
      <c r="B33" s="271">
        <f>'Prg. Expenses'!I77</f>
        <v>6137.5</v>
      </c>
      <c r="C33" s="271">
        <f>'Prg. Expenses'!J77</f>
        <v>6228.9311750400002</v>
      </c>
      <c r="D33" s="271">
        <f>'Prg. Expenses'!K77</f>
        <v>6250.9900467649741</v>
      </c>
      <c r="E33" s="271">
        <f>'Prg. Expenses'!L77</f>
        <v>7461.4890060412663</v>
      </c>
      <c r="F33" s="271">
        <f>'Prg. Expenses'!M77</f>
        <v>6490.0018902394468</v>
      </c>
      <c r="G33" s="271">
        <f>'Prg. Expenses'!N77</f>
        <v>6520.3622843446174</v>
      </c>
      <c r="H33" s="271">
        <f>'Prg. Expenses'!O77</f>
        <v>6552.6798074974358</v>
      </c>
      <c r="I33" s="271">
        <f>'Prg. Expenses'!P77</f>
        <v>7824.0688437739536</v>
      </c>
      <c r="J33" s="271">
        <f>'Prg. Expenses'!Q77</f>
        <v>6864.1348938156589</v>
      </c>
      <c r="K33" s="271">
        <f>'Prg. Expenses'!R77</f>
        <v>6980.7442792290431</v>
      </c>
      <c r="L33" s="271">
        <f>'Prg. Expenses'!S77</f>
        <v>7029.5266823390566</v>
      </c>
      <c r="M33" s="272">
        <f>'Prg. Expenses'!T77</f>
        <v>7155.37348298086</v>
      </c>
      <c r="N33" s="271">
        <f>'Prg. Expenses'!U77</f>
        <v>7214.1017165206013</v>
      </c>
      <c r="O33" s="271">
        <f>'Prg. Expenses'!V77</f>
        <v>8364.0082717241148</v>
      </c>
      <c r="P33" s="271">
        <f>'Prg. Expenses'!W77</f>
        <v>8434.1255285293319</v>
      </c>
      <c r="Q33" s="271">
        <f>'Prg. Expenses'!X77</f>
        <v>9671.7816187303542</v>
      </c>
      <c r="R33" s="271">
        <f>'Prg. Expenses'!Y77</f>
        <v>8825.2214218103472</v>
      </c>
      <c r="S33" s="271">
        <f>'Prg. Expenses'!Z77</f>
        <v>10076.18453040128</v>
      </c>
      <c r="T33" s="271">
        <f>'Prg. Expenses'!AA77</f>
        <v>9751.1749387597101</v>
      </c>
      <c r="U33" s="271">
        <f>'Prg. Expenses'!AB77</f>
        <v>10587.509612491152</v>
      </c>
      <c r="V33" s="271">
        <f>'Prg. Expenses'!AC77</f>
        <v>9696.4715056215791</v>
      </c>
      <c r="W33" s="271">
        <f>'Prg. Expenses'!AD77</f>
        <v>9886.1412229813559</v>
      </c>
      <c r="X33" s="271">
        <f>'Prg. Expenses'!AE77</f>
        <v>10012.337605627077</v>
      </c>
      <c r="Y33" s="272">
        <f>'Prg. Expenses'!AF77</f>
        <v>11383.178022144742</v>
      </c>
      <c r="Z33" s="271">
        <f>'Prg. Expenses'!AG77</f>
        <v>12804.729687209803</v>
      </c>
      <c r="AA33" s="271">
        <f>'Prg. Expenses'!AH77</f>
        <v>11033.201206958902</v>
      </c>
      <c r="AB33" s="271">
        <f>'Prg. Expenses'!AI77</f>
        <v>11274.500360911628</v>
      </c>
      <c r="AC33" s="271">
        <f>'Prg. Expenses'!AJ77</f>
        <v>11529.330317048174</v>
      </c>
      <c r="AD33" s="271">
        <f>'Prg. Expenses'!AK77</f>
        <v>11798.411824183482</v>
      </c>
      <c r="AE33" s="271">
        <f>'Prg. Expenses'!AL77</f>
        <v>12082.461871296839</v>
      </c>
      <c r="AF33" s="271">
        <f>'Prg. Expenses'!AM77</f>
        <v>13545.224125488772</v>
      </c>
      <c r="AG33" s="271">
        <f>'Prg. Expenses'!AN77</f>
        <v>14963.8774880209</v>
      </c>
      <c r="AH33" s="271">
        <f>'Prg. Expenses'!AO77</f>
        <v>14294.073236192964</v>
      </c>
      <c r="AI33" s="271">
        <f>'Prg. Expenses'!AP77</f>
        <v>14568.31029290223</v>
      </c>
      <c r="AJ33" s="271">
        <f>'Prg. Expenses'!AQ77</f>
        <v>16044.956254501709</v>
      </c>
      <c r="AK33" s="272">
        <f>'Prg. Expenses'!AR77</f>
        <v>15354.227442628364</v>
      </c>
      <c r="AL33" s="271">
        <f>'Prg. Expenses'!AS77</f>
        <v>15472.908299702915</v>
      </c>
      <c r="AM33" s="271">
        <f>'Prg. Expenses'!AT77</f>
        <v>15822.312685614123</v>
      </c>
      <c r="AN33" s="271">
        <f>'Prg. Expenses'!AU77</f>
        <v>16172.381906454473</v>
      </c>
      <c r="AO33" s="271">
        <f>'Prg. Expenses'!AV77</f>
        <v>16558.99782395615</v>
      </c>
      <c r="AP33" s="271">
        <f>'Prg. Expenses'!AW77</f>
        <v>18110.965370203197</v>
      </c>
      <c r="AQ33" s="271">
        <f>'Prg. Expenses'!AX77</f>
        <v>18707.548794733251</v>
      </c>
      <c r="AR33" s="271">
        <f>'Prg. Expenses'!AY77</f>
        <v>19229.426832139055</v>
      </c>
      <c r="AS33" s="271">
        <f>'Prg. Expenses'!AZ77</f>
        <v>19633.727641537989</v>
      </c>
      <c r="AT33" s="271">
        <f>'Prg. Expenses'!BA77</f>
        <v>21351.923370499502</v>
      </c>
      <c r="AU33" s="271">
        <f>'Prg. Expenses'!BB77</f>
        <v>20878.841040926782</v>
      </c>
      <c r="AV33" s="271">
        <f>'Prg. Expenses'!BC77</f>
        <v>22577.168181482972</v>
      </c>
      <c r="AW33" s="272">
        <f>'Prg. Expenses'!BD77</f>
        <v>28273.052233125149</v>
      </c>
      <c r="AX33" s="271">
        <f>'Prg. Expenses'!BE77</f>
        <v>25263.020908102335</v>
      </c>
      <c r="AY33" s="271">
        <f>'Prg. Expenses'!BF77</f>
        <v>26423.09637201489</v>
      </c>
      <c r="AZ33" s="271">
        <f>'Prg. Expenses'!BG77</f>
        <v>27041.812162696082</v>
      </c>
      <c r="BA33" s="271">
        <f>'Prg. Expenses'!BH77</f>
        <v>27356.312172632537</v>
      </c>
      <c r="BB33" s="271">
        <f>'Prg. Expenses'!BI77</f>
        <v>29003.35848778615</v>
      </c>
      <c r="BC33" s="271">
        <f>'Prg. Expenses'!BJ77</f>
        <v>30945.748293949549</v>
      </c>
      <c r="BD33" s="271">
        <f>'Prg. Expenses'!BK77</f>
        <v>29666.37198808957</v>
      </c>
      <c r="BE33" s="271">
        <f>'Prg. Expenses'!BL77</f>
        <v>30969.97477309261</v>
      </c>
      <c r="BF33" s="271">
        <f>'Prg. Expenses'!BM77</f>
        <v>32777.136748742239</v>
      </c>
      <c r="BG33" s="271">
        <f>'Prg. Expenses'!BN77</f>
        <v>33350.342823863328</v>
      </c>
      <c r="BH33" s="271">
        <f>'Prg. Expenses'!BO77</f>
        <v>33095.615284251078</v>
      </c>
      <c r="BI33" s="272">
        <f>'Prg. Expenses'!BP77</f>
        <v>36898.230479984035</v>
      </c>
    </row>
    <row r="34" spans="1:61" s="275" customFormat="1" ht="15.75">
      <c r="A34" s="274" t="s">
        <v>308</v>
      </c>
      <c r="B34" s="276">
        <f t="shared" ref="B34:AG34" si="19">B7*B31</f>
        <v>58722.466960352423</v>
      </c>
      <c r="C34" s="271">
        <f t="shared" si="19"/>
        <v>67299.059095245262</v>
      </c>
      <c r="D34" s="271">
        <f t="shared" si="19"/>
        <v>64574.840289776606</v>
      </c>
      <c r="E34" s="271">
        <f t="shared" si="19"/>
        <v>78158.900309834877</v>
      </c>
      <c r="F34" s="271">
        <f t="shared" si="19"/>
        <v>74618.745693640769</v>
      </c>
      <c r="G34" s="271">
        <f t="shared" si="19"/>
        <v>71098.562977712631</v>
      </c>
      <c r="H34" s="271">
        <f t="shared" si="19"/>
        <v>67606.910513840485</v>
      </c>
      <c r="I34" s="271">
        <f t="shared" si="19"/>
        <v>75905.982916259847</v>
      </c>
      <c r="J34" s="271">
        <f t="shared" si="19"/>
        <v>72172.43451868846</v>
      </c>
      <c r="K34" s="271">
        <f t="shared" si="19"/>
        <v>74446.119037079261</v>
      </c>
      <c r="L34" s="271">
        <f t="shared" si="19"/>
        <v>70119.022730022902</v>
      </c>
      <c r="M34" s="272">
        <f t="shared" si="19"/>
        <v>71042.629205128876</v>
      </c>
      <c r="N34" s="273">
        <f t="shared" si="19"/>
        <v>69911.230594165972</v>
      </c>
      <c r="O34" s="271">
        <f t="shared" si="19"/>
        <v>74008.500723563091</v>
      </c>
      <c r="P34" s="271">
        <f t="shared" si="19"/>
        <v>72971.19351600419</v>
      </c>
      <c r="Q34" s="271">
        <f t="shared" si="19"/>
        <v>71787.748600992883</v>
      </c>
      <c r="R34" s="271">
        <f t="shared" si="19"/>
        <v>74422.256891984391</v>
      </c>
      <c r="S34" s="271">
        <f t="shared" si="19"/>
        <v>83556.565042555128</v>
      </c>
      <c r="T34" s="271">
        <f t="shared" si="19"/>
        <v>81610.305455685782</v>
      </c>
      <c r="U34" s="271">
        <f t="shared" si="19"/>
        <v>83293.660872276145</v>
      </c>
      <c r="V34" s="271">
        <f t="shared" si="19"/>
        <v>81036.912403657625</v>
      </c>
      <c r="W34" s="271">
        <f t="shared" si="19"/>
        <v>81955.075448304575</v>
      </c>
      <c r="X34" s="271">
        <f t="shared" si="19"/>
        <v>79427.686240119889</v>
      </c>
      <c r="Y34" s="272">
        <f t="shared" si="19"/>
        <v>83514.725621641002</v>
      </c>
      <c r="Z34" s="273">
        <f t="shared" si="19"/>
        <v>86882.869316400989</v>
      </c>
      <c r="AA34" s="271">
        <f t="shared" si="19"/>
        <v>87794.396721575089</v>
      </c>
      <c r="AB34" s="271">
        <f t="shared" si="19"/>
        <v>88336.912970913603</v>
      </c>
      <c r="AC34" s="271">
        <f t="shared" si="19"/>
        <v>88597.387702065709</v>
      </c>
      <c r="AD34" s="271">
        <f t="shared" si="19"/>
        <v>88603.405185082913</v>
      </c>
      <c r="AE34" s="271">
        <f t="shared" si="19"/>
        <v>88372.951932797208</v>
      </c>
      <c r="AF34" s="271">
        <f t="shared" si="19"/>
        <v>87922.68248095992</v>
      </c>
      <c r="AG34" s="271">
        <f t="shared" si="19"/>
        <v>89394.926711580003</v>
      </c>
      <c r="AH34" s="271">
        <f t="shared" ref="AH34:BI34" si="20">AH7*AH31</f>
        <v>89551.342780772946</v>
      </c>
      <c r="AI34" s="271">
        <f t="shared" si="20"/>
        <v>87033.708302003943</v>
      </c>
      <c r="AJ34" s="271">
        <f t="shared" si="20"/>
        <v>90091.698999877684</v>
      </c>
      <c r="AK34" s="272">
        <f t="shared" si="20"/>
        <v>87166.211686539376</v>
      </c>
      <c r="AL34" s="273">
        <f t="shared" si="20"/>
        <v>91182.015273455836</v>
      </c>
      <c r="AM34" s="271">
        <f t="shared" si="20"/>
        <v>90296.755206666479</v>
      </c>
      <c r="AN34" s="271">
        <f t="shared" si="20"/>
        <v>88503.403133255459</v>
      </c>
      <c r="AO34" s="271">
        <f t="shared" si="20"/>
        <v>88120.966477398266</v>
      </c>
      <c r="AP34" s="271">
        <f t="shared" si="20"/>
        <v>89902.810039791264</v>
      </c>
      <c r="AQ34" s="271">
        <f t="shared" si="20"/>
        <v>94014.974667622577</v>
      </c>
      <c r="AR34" s="271">
        <f t="shared" si="20"/>
        <v>93605.589795257372</v>
      </c>
      <c r="AS34" s="271">
        <f t="shared" si="20"/>
        <v>91839.381721704049</v>
      </c>
      <c r="AT34" s="271">
        <f t="shared" si="20"/>
        <v>91117.883945039692</v>
      </c>
      <c r="AU34" s="271">
        <f t="shared" si="20"/>
        <v>90328.028986264631</v>
      </c>
      <c r="AV34" s="271">
        <f t="shared" si="20"/>
        <v>95735.916663967029</v>
      </c>
      <c r="AW34" s="272">
        <f t="shared" si="20"/>
        <v>101769.88906783851</v>
      </c>
      <c r="AX34" s="273">
        <f t="shared" si="20"/>
        <v>102387.87115243469</v>
      </c>
      <c r="AY34" s="271">
        <f t="shared" si="20"/>
        <v>101228.92523510868</v>
      </c>
      <c r="AZ34" s="271">
        <f t="shared" si="20"/>
        <v>100713.78711877097</v>
      </c>
      <c r="BA34" s="271">
        <f t="shared" si="20"/>
        <v>100067.30321979561</v>
      </c>
      <c r="BB34" s="271">
        <f t="shared" si="20"/>
        <v>101876.13595192872</v>
      </c>
      <c r="BC34" s="271">
        <f t="shared" si="20"/>
        <v>110742.99526457478</v>
      </c>
      <c r="BD34" s="271">
        <f t="shared" si="20"/>
        <v>111400.29175650897</v>
      </c>
      <c r="BE34" s="271">
        <f t="shared" si="20"/>
        <v>110311.9262828666</v>
      </c>
      <c r="BF34" s="271">
        <f t="shared" si="20"/>
        <v>112014.69455423568</v>
      </c>
      <c r="BG34" s="271">
        <f t="shared" si="20"/>
        <v>115153.07447162132</v>
      </c>
      <c r="BH34" s="271">
        <f t="shared" si="20"/>
        <v>115395.11329261304</v>
      </c>
      <c r="BI34" s="272">
        <f t="shared" si="20"/>
        <v>121526.87741908184</v>
      </c>
    </row>
    <row r="35" spans="1:61" s="275" customFormat="1" ht="15.75">
      <c r="A35" s="274" t="s">
        <v>340</v>
      </c>
      <c r="B35" s="271">
        <f>'Prg. HR'!D39</f>
        <v>15802.5</v>
      </c>
      <c r="C35" s="271">
        <f>'Prg. HR'!E39</f>
        <v>15897</v>
      </c>
      <c r="D35" s="271">
        <f>'Prg. HR'!F39</f>
        <v>15990.0825</v>
      </c>
      <c r="E35" s="271">
        <f>'Prg. HR'!G39</f>
        <v>16081.7687625</v>
      </c>
      <c r="F35" s="271">
        <f>'Prg. HR'!H39</f>
        <v>16172.0797310625</v>
      </c>
      <c r="G35" s="271">
        <f>'Prg. HR'!I39</f>
        <v>16261.036035096562</v>
      </c>
      <c r="H35" s="271">
        <f>'Prg. HR'!J39</f>
        <v>16348.657994570114</v>
      </c>
      <c r="I35" s="271">
        <f>'Prg. HR'!K39</f>
        <v>17018.298957984898</v>
      </c>
      <c r="J35" s="271">
        <f>'Prg. HR'!L39</f>
        <v>17151.923084726233</v>
      </c>
      <c r="K35" s="271">
        <f>'Prg. HR'!M39</f>
        <v>17239.711831047935</v>
      </c>
      <c r="L35" s="271">
        <f>'Prg. HR'!N39</f>
        <v>17322.531161298262</v>
      </c>
      <c r="M35" s="272">
        <f>'Prg. HR'!O39</f>
        <v>17403.803819521789</v>
      </c>
      <c r="N35" s="271">
        <f>'Prg. HR'!P39</f>
        <v>17430.801932785813</v>
      </c>
      <c r="O35" s="271">
        <f>'Prg. HR'!Q39</f>
        <v>17558.238514905133</v>
      </c>
      <c r="P35" s="271">
        <f>'Prg. HR'!R39</f>
        <v>17639.932529774149</v>
      </c>
      <c r="Q35" s="271">
        <f>'Prg. HR'!S39</f>
        <v>21076.748549543583</v>
      </c>
      <c r="R35" s="271">
        <f>'Prg. HR'!T39</f>
        <v>21152.107946943433</v>
      </c>
      <c r="S35" s="271">
        <f>'Prg. HR'!U39</f>
        <v>21226.31158820953</v>
      </c>
      <c r="T35" s="271">
        <f>'Prg. HR'!V39</f>
        <v>25761.900061092245</v>
      </c>
      <c r="U35" s="271">
        <f>'Prg. HR'!W39</f>
        <v>30873.892030734689</v>
      </c>
      <c r="V35" s="271">
        <f>'Prg. HR'!X39</f>
        <v>30944.804106153566</v>
      </c>
      <c r="W35" s="271">
        <f>'Prg. HR'!Y39</f>
        <v>31014.652499217922</v>
      </c>
      <c r="X35" s="271">
        <f>'Prg. HR'!Z39</f>
        <v>31083.453166284373</v>
      </c>
      <c r="Y35" s="272">
        <f>'Prg. HR'!AA39</f>
        <v>31787.585459699898</v>
      </c>
      <c r="Z35" s="271">
        <f>'Prg. HR'!AB39</f>
        <v>34321.15315641198</v>
      </c>
      <c r="AA35" s="271">
        <f>'Prg. HR'!AC39</f>
        <v>34550.211660207569</v>
      </c>
      <c r="AB35" s="271">
        <f>'Prg. HR'!AD39</f>
        <v>34753.97043746656</v>
      </c>
      <c r="AC35" s="271">
        <f>'Prg. HR'!AE39</f>
        <v>34945.233475638117</v>
      </c>
      <c r="AD35" s="271">
        <f>'Prg. HR'!AF39</f>
        <v>35126.548728530361</v>
      </c>
      <c r="AE35" s="271">
        <f>'Prg. HR'!AG39</f>
        <v>35298.734113216204</v>
      </c>
      <c r="AF35" s="271">
        <f>'Prg. HR'!AH39</f>
        <v>40502.299544407448</v>
      </c>
      <c r="AG35" s="271">
        <f>'Prg. HR'!AI39</f>
        <v>41357.684885441646</v>
      </c>
      <c r="AH35" s="271">
        <f>'Prg. HR'!AJ39</f>
        <v>41680.300720733198</v>
      </c>
      <c r="AI35" s="271">
        <f>'Prg. HR'!AK39</f>
        <v>41864.285704587455</v>
      </c>
      <c r="AJ35" s="271">
        <f>'Prg. HR'!AL39</f>
        <v>44213.446424330803</v>
      </c>
      <c r="AK35" s="272">
        <f>'Prg. HR'!AM39</f>
        <v>44342.74285435745</v>
      </c>
      <c r="AL35" s="271">
        <f>'Prg. HR'!AN39</f>
        <v>43685.958576570709</v>
      </c>
      <c r="AM35" s="271">
        <f>'Prg. HR'!AO39</f>
        <v>43670.677791897368</v>
      </c>
      <c r="AN35" s="271">
        <f>'Prg. HR'!AP39</f>
        <v>43757.605092995014</v>
      </c>
      <c r="AO35" s="271">
        <f>'Prg. HR'!AQ39</f>
        <v>43857.093370127353</v>
      </c>
      <c r="AP35" s="271">
        <f>'Prg. HR'!AR39</f>
        <v>44654.485078694925</v>
      </c>
      <c r="AQ35" s="271">
        <f>'Prg. HR'!AS39</f>
        <v>44922.384919028664</v>
      </c>
      <c r="AR35" s="271">
        <f>'Prg. HR'!AT39</f>
        <v>45054.484196644349</v>
      </c>
      <c r="AS35" s="271">
        <f>'Prg. HR'!AU39</f>
        <v>45149.377117703902</v>
      </c>
      <c r="AT35" s="271">
        <f>'Prg. HR'!AV39</f>
        <v>50271.875044541652</v>
      </c>
      <c r="AU35" s="271">
        <f>'Prg. HR'!AW39</f>
        <v>50348.335487995311</v>
      </c>
      <c r="AV35" s="271">
        <f>'Prg. HR'!AX39</f>
        <v>50420.494762515722</v>
      </c>
      <c r="AW35" s="272">
        <f>'Prg. HR'!AY39</f>
        <v>51266.699570878307</v>
      </c>
      <c r="AX35" s="271">
        <f>'Prg. HR'!AZ39</f>
        <v>51590.941107830535</v>
      </c>
      <c r="AY35" s="271">
        <f>'Prg. HR'!BA39</f>
        <v>51739.086224271043</v>
      </c>
      <c r="AZ35" s="271">
        <f>'Prg. HR'!BB39</f>
        <v>51826.529303668161</v>
      </c>
      <c r="BA35" s="271">
        <f>'Prg. HR'!BC39</f>
        <v>51891.83530202166</v>
      </c>
      <c r="BB35" s="271">
        <f>'Prg. HR'!BD39</f>
        <v>51947.954358099531</v>
      </c>
      <c r="BC35" s="271">
        <f>'Prg. HR'!BE39</f>
        <v>52874.160210264177</v>
      </c>
      <c r="BD35" s="271">
        <f>'Prg. HR'!BF39</f>
        <v>53286.891187279973</v>
      </c>
      <c r="BE35" s="271">
        <f>'Prg. HR'!BG39</f>
        <v>53484.333706053047</v>
      </c>
      <c r="BF35" s="271">
        <f>'Prg. HR'!BH39</f>
        <v>53590.799136640846</v>
      </c>
      <c r="BG35" s="271">
        <f>'Prg. HR'!BI39</f>
        <v>54654.375939301535</v>
      </c>
      <c r="BH35" s="271">
        <f>'Prg. HR'!BJ39</f>
        <v>55204.590522082828</v>
      </c>
      <c r="BI35" s="272">
        <f>'Prg. HR'!BK39</f>
        <v>60537.202685851873</v>
      </c>
    </row>
    <row r="36" spans="1:61" s="275" customFormat="1" ht="15.75">
      <c r="A36" s="274" t="str">
        <f>'Prg. HR'!A41</f>
        <v>Total Employees</v>
      </c>
      <c r="B36" s="275">
        <f>'Prg. HR'!D41</f>
        <v>2.5</v>
      </c>
      <c r="C36" s="275">
        <f>'Prg. HR'!E41</f>
        <v>2.5</v>
      </c>
      <c r="D36" s="275">
        <f>'Prg. HR'!F41</f>
        <v>2.5</v>
      </c>
      <c r="E36" s="275">
        <f>'Prg. HR'!G41</f>
        <v>3.5</v>
      </c>
      <c r="F36" s="275">
        <f>'Prg. HR'!H41</f>
        <v>3.5</v>
      </c>
      <c r="G36" s="275">
        <f>'Prg. HR'!I41</f>
        <v>3.5</v>
      </c>
      <c r="H36" s="275">
        <f>'Prg. HR'!J41</f>
        <v>3.5</v>
      </c>
      <c r="I36" s="275">
        <f>'Prg. HR'!K41</f>
        <v>4.5</v>
      </c>
      <c r="J36" s="275">
        <f>'Prg. HR'!L41</f>
        <v>4.5</v>
      </c>
      <c r="K36" s="275">
        <f>'Prg. HR'!M41</f>
        <v>4.5</v>
      </c>
      <c r="L36" s="275">
        <f>'Prg. HR'!N41</f>
        <v>4.5</v>
      </c>
      <c r="M36" s="419">
        <f>'Prg. HR'!O41</f>
        <v>4.5</v>
      </c>
      <c r="N36" s="275">
        <f>'Prg. HR'!P41</f>
        <v>4.5</v>
      </c>
      <c r="O36" s="275">
        <f>'Prg. HR'!Q41</f>
        <v>4.5</v>
      </c>
      <c r="P36" s="275">
        <f>'Prg. HR'!R41</f>
        <v>4.5</v>
      </c>
      <c r="Q36" s="275">
        <f>'Prg. HR'!S41</f>
        <v>5.5</v>
      </c>
      <c r="R36" s="275">
        <f>'Prg. HR'!T41</f>
        <v>5.5</v>
      </c>
      <c r="S36" s="275">
        <f>'Prg. HR'!U41</f>
        <v>6.5</v>
      </c>
      <c r="T36" s="275">
        <f>'Prg. HR'!V41</f>
        <v>7</v>
      </c>
      <c r="U36" s="275">
        <f>'Prg. HR'!W41</f>
        <v>8</v>
      </c>
      <c r="V36" s="275">
        <f>'Prg. HR'!X41</f>
        <v>8</v>
      </c>
      <c r="W36" s="275">
        <f>'Prg. HR'!Y41</f>
        <v>8</v>
      </c>
      <c r="X36" s="275">
        <f>'Prg. HR'!Z41</f>
        <v>8</v>
      </c>
      <c r="Y36" s="419">
        <f>'Prg. HR'!AA41</f>
        <v>9</v>
      </c>
      <c r="Z36" s="275">
        <f>'Prg. HR'!AB41</f>
        <v>11</v>
      </c>
      <c r="AA36" s="275">
        <f>'Prg. HR'!AC41</f>
        <v>11</v>
      </c>
      <c r="AB36" s="275">
        <f>'Prg. HR'!AD41</f>
        <v>11</v>
      </c>
      <c r="AC36" s="275">
        <f>'Prg. HR'!AE41</f>
        <v>11</v>
      </c>
      <c r="AD36" s="275">
        <f>'Prg. HR'!AF41</f>
        <v>11</v>
      </c>
      <c r="AE36" s="275">
        <f>'Prg. HR'!AG41</f>
        <v>11</v>
      </c>
      <c r="AF36" s="275">
        <f>'Prg. HR'!AH41</f>
        <v>12</v>
      </c>
      <c r="AG36" s="275">
        <f>'Prg. HR'!AI41</f>
        <v>13</v>
      </c>
      <c r="AH36" s="275">
        <f>'Prg. HR'!AJ41</f>
        <v>13</v>
      </c>
      <c r="AI36" s="275">
        <f>'Prg. HR'!AK41</f>
        <v>13</v>
      </c>
      <c r="AJ36" s="275">
        <f>'Prg. HR'!AL41</f>
        <v>14</v>
      </c>
      <c r="AK36" s="419">
        <f>'Prg. HR'!AM41</f>
        <v>14</v>
      </c>
      <c r="AL36" s="275">
        <f>'Prg. HR'!AN41</f>
        <v>14</v>
      </c>
      <c r="AM36" s="275">
        <f>'Prg. HR'!AO41</f>
        <v>14</v>
      </c>
      <c r="AN36" s="275">
        <f>'Prg. HR'!AP41</f>
        <v>14</v>
      </c>
      <c r="AO36" s="275">
        <f>'Prg. HR'!AQ41</f>
        <v>14</v>
      </c>
      <c r="AP36" s="275">
        <f>'Prg. HR'!AR41</f>
        <v>15</v>
      </c>
      <c r="AQ36" s="275">
        <f>'Prg. HR'!AS41</f>
        <v>16</v>
      </c>
      <c r="AR36" s="275">
        <f>'Prg. HR'!AT41</f>
        <v>16</v>
      </c>
      <c r="AS36" s="275">
        <f>'Prg. HR'!AU41</f>
        <v>16</v>
      </c>
      <c r="AT36" s="275">
        <f>'Prg. HR'!AV41</f>
        <v>17</v>
      </c>
      <c r="AU36" s="275">
        <f>'Prg. HR'!AW41</f>
        <v>17</v>
      </c>
      <c r="AV36" s="275">
        <f>'Prg. HR'!AX41</f>
        <v>18</v>
      </c>
      <c r="AW36" s="419">
        <f>'Prg. HR'!AY41</f>
        <v>20</v>
      </c>
      <c r="AX36" s="275">
        <f>'Prg. HR'!AZ41</f>
        <v>20</v>
      </c>
      <c r="AY36" s="275">
        <f>'Prg. HR'!BA41</f>
        <v>20</v>
      </c>
      <c r="AZ36" s="275">
        <f>'Prg. HR'!BB41</f>
        <v>20</v>
      </c>
      <c r="BA36" s="275">
        <f>'Prg. HR'!BC41</f>
        <v>20</v>
      </c>
      <c r="BB36" s="275">
        <f>'Prg. HR'!BD41</f>
        <v>21</v>
      </c>
      <c r="BC36" s="275">
        <f>'Prg. HR'!BE41</f>
        <v>23</v>
      </c>
      <c r="BD36" s="275">
        <f>'Prg. HR'!BF41</f>
        <v>23</v>
      </c>
      <c r="BE36" s="275">
        <f>'Prg. HR'!BG41</f>
        <v>23</v>
      </c>
      <c r="BF36" s="275">
        <f>'Prg. HR'!BH41</f>
        <v>24</v>
      </c>
      <c r="BG36" s="275">
        <f>'Prg. HR'!BI41</f>
        <v>25</v>
      </c>
      <c r="BH36" s="275">
        <f>'Prg. HR'!BJ41</f>
        <v>25</v>
      </c>
      <c r="BI36" s="419">
        <f>'Prg. HR'!BK41</f>
        <v>27</v>
      </c>
    </row>
    <row r="37" spans="1:61" s="281" customFormat="1" ht="15.75">
      <c r="A37" s="277"/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80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80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80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80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80"/>
    </row>
    <row r="38" spans="1:61" s="602" customFormat="1" ht="15.75">
      <c r="A38" s="598" t="s">
        <v>306</v>
      </c>
      <c r="B38" s="599">
        <f>SUM(B32:B34)</f>
        <v>88348.953744493396</v>
      </c>
      <c r="C38" s="600">
        <f t="shared" ref="C38:BI38" si="21">SUM(C32:C34)</f>
        <v>100616.94702481656</v>
      </c>
      <c r="D38" s="600">
        <f t="shared" si="21"/>
        <v>97030.557159046599</v>
      </c>
      <c r="E38" s="600">
        <f t="shared" si="21"/>
        <v>117525.35677651268</v>
      </c>
      <c r="F38" s="600">
        <f t="shared" si="21"/>
        <v>111854.69300322099</v>
      </c>
      <c r="G38" s="600">
        <f t="shared" si="21"/>
        <v>107210.30825181537</v>
      </c>
      <c r="H38" s="600">
        <f t="shared" si="21"/>
        <v>102600.77843639065</v>
      </c>
      <c r="I38" s="600">
        <f t="shared" si="21"/>
        <v>115833.4039725528</v>
      </c>
      <c r="J38" s="600">
        <f t="shared" si="21"/>
        <v>109913.82410690605</v>
      </c>
      <c r="K38" s="600">
        <f t="shared" si="21"/>
        <v>113455.58769304925</v>
      </c>
      <c r="L38" s="600">
        <f t="shared" si="21"/>
        <v>107685.41225145099</v>
      </c>
      <c r="M38" s="601">
        <f t="shared" si="21"/>
        <v>109320.77281179305</v>
      </c>
      <c r="N38" s="600">
        <f t="shared" si="21"/>
        <v>108150.63739562155</v>
      </c>
      <c r="O38" s="600">
        <f t="shared" si="21"/>
        <v>115431.61314609039</v>
      </c>
      <c r="P38" s="600">
        <f t="shared" si="21"/>
        <v>114450.6792299761</v>
      </c>
      <c r="Q38" s="600">
        <f t="shared" si="21"/>
        <v>114435.05303896964</v>
      </c>
      <c r="R38" s="600">
        <f t="shared" si="21"/>
        <v>117679.6329714719</v>
      </c>
      <c r="S38" s="600">
        <f t="shared" si="21"/>
        <v>132867.17713074369</v>
      </c>
      <c r="T38" s="600">
        <f t="shared" si="21"/>
        <v>130268.60276342166</v>
      </c>
      <c r="U38" s="600">
        <f t="shared" si="21"/>
        <v>133898.30964127931</v>
      </c>
      <c r="V38" s="600">
        <f t="shared" si="21"/>
        <v>130276.48268010493</v>
      </c>
      <c r="W38" s="600">
        <f t="shared" si="21"/>
        <v>132158.41397169186</v>
      </c>
      <c r="X38" s="600">
        <f t="shared" si="21"/>
        <v>129136.90607732319</v>
      </c>
      <c r="Y38" s="601">
        <f t="shared" si="21"/>
        <v>136992.74402895966</v>
      </c>
      <c r="Z38" s="600">
        <f t="shared" si="21"/>
        <v>144189.70508330213</v>
      </c>
      <c r="AA38" s="600">
        <f t="shared" si="21"/>
        <v>144200.1029045727</v>
      </c>
      <c r="AB38" s="600">
        <f t="shared" si="21"/>
        <v>145686.66160036961</v>
      </c>
      <c r="AC38" s="600">
        <f t="shared" si="21"/>
        <v>146776.97228368747</v>
      </c>
      <c r="AD38" s="600">
        <f t="shared" si="21"/>
        <v>147508.97018045711</v>
      </c>
      <c r="AE38" s="600">
        <f t="shared" si="21"/>
        <v>147905.81595615146</v>
      </c>
      <c r="AF38" s="600">
        <f t="shared" si="21"/>
        <v>149151.91897946299</v>
      </c>
      <c r="AG38" s="600">
        <f t="shared" si="21"/>
        <v>153627.59916686505</v>
      </c>
      <c r="AH38" s="600">
        <f t="shared" si="21"/>
        <v>153706.3101676591</v>
      </c>
      <c r="AI38" s="600">
        <f t="shared" si="21"/>
        <v>150844.82969336354</v>
      </c>
      <c r="AJ38" s="600">
        <f t="shared" si="21"/>
        <v>157637.65294828807</v>
      </c>
      <c r="AK38" s="601">
        <f t="shared" si="21"/>
        <v>153148.3173577917</v>
      </c>
      <c r="AL38" s="600">
        <f t="shared" si="21"/>
        <v>160165.9920440077</v>
      </c>
      <c r="AM38" s="600">
        <f t="shared" si="21"/>
        <v>159662.97806171927</v>
      </c>
      <c r="AN38" s="600">
        <f t="shared" si="21"/>
        <v>157977.86949024216</v>
      </c>
      <c r="AO38" s="600">
        <f t="shared" si="21"/>
        <v>158302.58211940824</v>
      </c>
      <c r="AP38" s="600">
        <f t="shared" si="21"/>
        <v>163561.02592470031</v>
      </c>
      <c r="AQ38" s="600">
        <f t="shared" si="21"/>
        <v>171408.06010648271</v>
      </c>
      <c r="AR38" s="600">
        <f t="shared" si="21"/>
        <v>171863.21026483615</v>
      </c>
      <c r="AS38" s="600">
        <f t="shared" si="21"/>
        <v>170243.98228019447</v>
      </c>
      <c r="AT38" s="600">
        <f t="shared" si="21"/>
        <v>171366.3914076089</v>
      </c>
      <c r="AU38" s="600">
        <f t="shared" si="21"/>
        <v>170176.23407290707</v>
      </c>
      <c r="AV38" s="600">
        <f t="shared" si="21"/>
        <v>181696.09047142143</v>
      </c>
      <c r="AW38" s="601">
        <f t="shared" si="21"/>
        <v>198079.06164788373</v>
      </c>
      <c r="AX38" s="600">
        <f t="shared" si="21"/>
        <v>196761.21735007584</v>
      </c>
      <c r="AY38" s="600">
        <f t="shared" si="21"/>
        <v>196896.6405673869</v>
      </c>
      <c r="AZ38" s="600">
        <f t="shared" si="21"/>
        <v>197295.18152605562</v>
      </c>
      <c r="BA38" s="600">
        <f t="shared" si="21"/>
        <v>197157.17724300222</v>
      </c>
      <c r="BB38" s="600">
        <f t="shared" si="21"/>
        <v>202772.73620577744</v>
      </c>
      <c r="BC38" s="600">
        <f t="shared" si="21"/>
        <v>220810.5047496747</v>
      </c>
      <c r="BD38" s="600">
        <f t="shared" si="21"/>
        <v>221359.7788700989</v>
      </c>
      <c r="BE38" s="600">
        <f t="shared" si="21"/>
        <v>221737.89440113623</v>
      </c>
      <c r="BF38" s="600">
        <f t="shared" si="21"/>
        <v>227442.6465304803</v>
      </c>
      <c r="BG38" s="600">
        <f t="shared" si="21"/>
        <v>234176.94482200267</v>
      </c>
      <c r="BH38" s="600">
        <f t="shared" si="21"/>
        <v>235300.26562356812</v>
      </c>
      <c r="BI38" s="601">
        <f t="shared" si="21"/>
        <v>250576.89849472675</v>
      </c>
    </row>
    <row r="39" spans="1:61" s="607" customFormat="1" ht="18.75">
      <c r="A39" s="603"/>
      <c r="B39" s="604"/>
      <c r="C39" s="605"/>
      <c r="D39" s="605"/>
      <c r="E39" s="605"/>
      <c r="F39" s="605"/>
      <c r="G39" s="605"/>
      <c r="H39" s="605"/>
      <c r="I39" s="605"/>
      <c r="J39" s="605"/>
      <c r="K39" s="605"/>
      <c r="L39" s="606" t="s">
        <v>310</v>
      </c>
      <c r="M39" s="800">
        <f>SUM(B38:M38)</f>
        <v>1281396.5952320485</v>
      </c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800"/>
      <c r="Z39" s="605"/>
      <c r="AA39" s="605"/>
      <c r="AB39" s="605"/>
      <c r="AC39" s="605"/>
      <c r="AD39" s="605"/>
      <c r="AE39" s="605"/>
      <c r="AF39" s="605"/>
      <c r="AG39" s="605"/>
      <c r="AH39" s="605"/>
      <c r="AI39" s="605"/>
      <c r="AJ39" s="605"/>
      <c r="AK39" s="800"/>
      <c r="AL39" s="605"/>
      <c r="AM39" s="605"/>
      <c r="AN39" s="605"/>
      <c r="AO39" s="605"/>
      <c r="AP39" s="605"/>
      <c r="AQ39" s="605"/>
      <c r="AR39" s="605"/>
      <c r="AS39" s="605"/>
      <c r="AT39" s="605"/>
      <c r="AU39" s="605"/>
      <c r="AV39" s="605"/>
      <c r="AW39" s="800"/>
      <c r="AX39" s="605"/>
      <c r="AY39" s="605"/>
      <c r="AZ39" s="605"/>
      <c r="BA39" s="605"/>
      <c r="BB39" s="605"/>
      <c r="BC39" s="605"/>
      <c r="BD39" s="605"/>
      <c r="BE39" s="605"/>
      <c r="BF39" s="605"/>
      <c r="BG39" s="605"/>
      <c r="BH39" s="605"/>
      <c r="BI39" s="800"/>
    </row>
    <row r="40" spans="1:61" s="203" customFormat="1" ht="16.5" thickBot="1">
      <c r="A40" s="211"/>
      <c r="M40" s="217"/>
      <c r="N40" s="213"/>
      <c r="Y40" s="217"/>
      <c r="Z40" s="213"/>
      <c r="AK40" s="217"/>
      <c r="AL40" s="213"/>
      <c r="AW40" s="217"/>
      <c r="AX40" s="213"/>
      <c r="BI40" s="217"/>
    </row>
    <row r="41" spans="1:61" s="791" customFormat="1" ht="18.75">
      <c r="A41" s="790" t="s">
        <v>344</v>
      </c>
      <c r="B41" s="791">
        <f t="shared" ref="B41:AG41" si="22">B24-B38</f>
        <v>-79098.953744493396</v>
      </c>
      <c r="C41" s="791">
        <f t="shared" si="22"/>
        <v>-89081.167648816569</v>
      </c>
      <c r="D41" s="791">
        <f t="shared" si="22"/>
        <v>-84943.305989922243</v>
      </c>
      <c r="E41" s="791">
        <f t="shared" si="22"/>
        <v>-103000.63162548101</v>
      </c>
      <c r="F41" s="791">
        <f t="shared" si="22"/>
        <v>-96617.145747234812</v>
      </c>
      <c r="G41" s="791">
        <f t="shared" si="22"/>
        <v>-91213.75114319993</v>
      </c>
      <c r="H41" s="791">
        <f t="shared" si="22"/>
        <v>-85796.283248954758</v>
      </c>
      <c r="I41" s="791">
        <f t="shared" si="22"/>
        <v>-96319.182878203952</v>
      </c>
      <c r="J41" s="791">
        <f t="shared" si="22"/>
        <v>-89397.951761514574</v>
      </c>
      <c r="K41" s="791">
        <f t="shared" si="22"/>
        <v>-90024.480712323173</v>
      </c>
      <c r="L41" s="791">
        <f t="shared" si="22"/>
        <v>-83034.745192974573</v>
      </c>
      <c r="M41" s="792">
        <f t="shared" si="22"/>
        <v>-81523.935737271546</v>
      </c>
      <c r="N41" s="791">
        <f t="shared" si="22"/>
        <v>-78885.594482606524</v>
      </c>
      <c r="O41" s="791">
        <f t="shared" si="22"/>
        <v>-82752.239686320871</v>
      </c>
      <c r="P41" s="791">
        <f t="shared" si="22"/>
        <v>-80018.374350076134</v>
      </c>
      <c r="Q41" s="791">
        <f t="shared" si="22"/>
        <v>-78136.345904044138</v>
      </c>
      <c r="R41" s="791">
        <f t="shared" si="22"/>
        <v>-77544.930759546551</v>
      </c>
      <c r="S41" s="791">
        <f t="shared" si="22"/>
        <v>-90533.397204045032</v>
      </c>
      <c r="T41" s="791">
        <f t="shared" si="22"/>
        <v>-85597.56262776228</v>
      </c>
      <c r="U41" s="791">
        <f t="shared" si="22"/>
        <v>-84893.902662333829</v>
      </c>
      <c r="V41" s="791">
        <f t="shared" si="22"/>
        <v>-78548.028372898785</v>
      </c>
      <c r="W41" s="791">
        <f t="shared" si="22"/>
        <v>-75688.216730491302</v>
      </c>
      <c r="X41" s="791">
        <f t="shared" si="22"/>
        <v>-69511.799269979616</v>
      </c>
      <c r="Y41" s="792">
        <f t="shared" si="22"/>
        <v>-72171.626808674468</v>
      </c>
      <c r="Z41" s="791">
        <f t="shared" si="22"/>
        <v>-75729.796236390379</v>
      </c>
      <c r="AA41" s="791">
        <f t="shared" si="22"/>
        <v>-70028.406063933493</v>
      </c>
      <c r="AB41" s="791">
        <f t="shared" si="22"/>
        <v>-65482.485910912263</v>
      </c>
      <c r="AC41" s="791">
        <f t="shared" si="22"/>
        <v>-60202.047690816486</v>
      </c>
      <c r="AD41" s="791">
        <f t="shared" si="22"/>
        <v>-54207.007909203399</v>
      </c>
      <c r="AE41" s="791">
        <f t="shared" si="22"/>
        <v>-47502.602507063857</v>
      </c>
      <c r="AF41" s="791">
        <f t="shared" si="22"/>
        <v>-41254.649175577055</v>
      </c>
      <c r="AG41" s="791">
        <f t="shared" si="22"/>
        <v>-39672.328633009223</v>
      </c>
      <c r="AH41" s="791">
        <f t="shared" ref="AH41:BI41" si="23">AH24-AH38</f>
        <v>-31496.145929501639</v>
      </c>
      <c r="AI41" s="791">
        <f t="shared" si="23"/>
        <v>-21778.739037474428</v>
      </c>
      <c r="AJ41" s="791">
        <f t="shared" si="23"/>
        <v>-19480.413252411992</v>
      </c>
      <c r="AK41" s="792">
        <f t="shared" si="23"/>
        <v>-7259.2979587492882</v>
      </c>
      <c r="AL41" s="791">
        <f t="shared" si="23"/>
        <v>-11309.951218101487</v>
      </c>
      <c r="AM41" s="791">
        <f t="shared" si="23"/>
        <v>-2071.8275880328438</v>
      </c>
      <c r="AN41" s="791">
        <f t="shared" si="23"/>
        <v>8365.0115044530248</v>
      </c>
      <c r="AO41" s="791">
        <f t="shared" si="23"/>
        <v>17705.696812828799</v>
      </c>
      <c r="AP41" s="791">
        <f t="shared" si="23"/>
        <v>22171.441663712962</v>
      </c>
      <c r="AQ41" s="791">
        <f t="shared" si="23"/>
        <v>26413.993095181853</v>
      </c>
      <c r="AR41" s="791">
        <f t="shared" si="23"/>
        <v>38672.46053864024</v>
      </c>
      <c r="AS41" s="791">
        <f t="shared" si="23"/>
        <v>50399.208758255321</v>
      </c>
      <c r="AT41" s="791">
        <f t="shared" si="23"/>
        <v>63156.692854878638</v>
      </c>
      <c r="AU41" s="791">
        <f t="shared" si="23"/>
        <v>77519.791950262472</v>
      </c>
      <c r="AV41" s="791">
        <f t="shared" si="23"/>
        <v>79383.1140656528</v>
      </c>
      <c r="AW41" s="792">
        <f t="shared" si="23"/>
        <v>77497.244180244918</v>
      </c>
      <c r="AX41" s="791">
        <f t="shared" si="23"/>
        <v>53564.305352482595</v>
      </c>
      <c r="AY41" s="791">
        <f t="shared" si="23"/>
        <v>57097.435399652051</v>
      </c>
      <c r="AZ41" s="791">
        <f t="shared" si="23"/>
        <v>72166.789208013157</v>
      </c>
      <c r="BA41" s="791">
        <f t="shared" si="23"/>
        <v>80167.293739477871</v>
      </c>
      <c r="BB41" s="791">
        <f t="shared" si="23"/>
        <v>87902.892655542993</v>
      </c>
      <c r="BC41" s="791">
        <f t="shared" si="23"/>
        <v>85274.869265730726</v>
      </c>
      <c r="BD41" s="791">
        <f t="shared" si="23"/>
        <v>102741.187498807</v>
      </c>
      <c r="BE41" s="791">
        <f t="shared" si="23"/>
        <v>109619.80825951233</v>
      </c>
      <c r="BF41" s="791">
        <f t="shared" si="23"/>
        <v>121269.10552140913</v>
      </c>
      <c r="BG41" s="791">
        <f t="shared" si="23"/>
        <v>124789.95910791395</v>
      </c>
      <c r="BH41" s="791">
        <f t="shared" si="23"/>
        <v>142298.44981604224</v>
      </c>
      <c r="BI41" s="792">
        <f t="shared" si="23"/>
        <v>138603.86350487417</v>
      </c>
    </row>
    <row r="42" spans="1:61" s="789" customFormat="1" ht="30.75" customHeight="1">
      <c r="A42" s="794"/>
      <c r="L42" s="793" t="s">
        <v>312</v>
      </c>
      <c r="M42" s="788">
        <f>SUM(B41:M41)</f>
        <v>-1070051.5354303906</v>
      </c>
      <c r="X42" s="793" t="s">
        <v>312</v>
      </c>
      <c r="Y42" s="788">
        <f>SUM(N41:Y41)</f>
        <v>-954282.01885877945</v>
      </c>
      <c r="AJ42" s="793" t="s">
        <v>312</v>
      </c>
      <c r="AK42" s="788">
        <f>SUM(Z41:AK41)</f>
        <v>-534093.92030504346</v>
      </c>
      <c r="AV42" s="793" t="s">
        <v>312</v>
      </c>
      <c r="AW42" s="788">
        <f>SUM(AL41:AW41)</f>
        <v>447902.87661797676</v>
      </c>
      <c r="BH42" s="793" t="s">
        <v>312</v>
      </c>
      <c r="BI42" s="788">
        <f>SUM(AX41:BI41)</f>
        <v>1175495.9593294582</v>
      </c>
    </row>
    <row r="43" spans="1:61" s="796" customFormat="1" ht="9.75" customHeight="1" thickBot="1">
      <c r="A43" s="795"/>
      <c r="M43" s="801"/>
      <c r="Y43" s="801"/>
      <c r="AK43" s="801"/>
      <c r="AW43" s="801"/>
      <c r="BI43" s="801"/>
    </row>
    <row r="44" spans="1:61" s="780" customFormat="1" hidden="1" outlineLevel="1">
      <c r="A44" s="780" t="s">
        <v>359</v>
      </c>
      <c r="B44" s="780">
        <f t="shared" ref="B44:AG44" si="24">$B$5*B535</f>
        <v>40</v>
      </c>
      <c r="C44" s="780">
        <f t="shared" si="24"/>
        <v>41.912000000000006</v>
      </c>
      <c r="D44" s="780">
        <f t="shared" si="24"/>
        <v>43.950080512000007</v>
      </c>
      <c r="E44" s="780">
        <f t="shared" si="24"/>
        <v>46.122109293338632</v>
      </c>
      <c r="F44" s="780">
        <f t="shared" si="24"/>
        <v>48.436321928949695</v>
      </c>
      <c r="G44" s="780">
        <f t="shared" si="24"/>
        <v>50.901332020318499</v>
      </c>
      <c r="H44" s="780">
        <f t="shared" si="24"/>
        <v>53.526141433518987</v>
      </c>
      <c r="I44" s="780">
        <f t="shared" si="24"/>
        <v>56.32015061202118</v>
      </c>
      <c r="J44" s="780">
        <f t="shared" si="24"/>
        <v>59.293168961819077</v>
      </c>
      <c r="K44" s="780">
        <f t="shared" si="24"/>
        <v>62.455425318406043</v>
      </c>
      <c r="L44" s="780">
        <f t="shared" si="24"/>
        <v>65.817578507213483</v>
      </c>
      <c r="M44" s="781">
        <f t="shared" si="24"/>
        <v>69.390728011326104</v>
      </c>
      <c r="N44" s="782">
        <f t="shared" si="24"/>
        <v>73.204012135534015</v>
      </c>
      <c r="O44" s="780">
        <f t="shared" si="24"/>
        <v>77.270899865142425</v>
      </c>
      <c r="P44" s="780">
        <f t="shared" si="24"/>
        <v>81.605335039015245</v>
      </c>
      <c r="Q44" s="780">
        <f t="shared" si="24"/>
        <v>86.2217406305395</v>
      </c>
      <c r="R44" s="780">
        <f t="shared" si="24"/>
        <v>91.135022970515479</v>
      </c>
      <c r="S44" s="780">
        <f t="shared" si="24"/>
        <v>96.360575974863508</v>
      </c>
      <c r="T44" s="780">
        <f t="shared" si="24"/>
        <v>101.91428544575638</v>
      </c>
      <c r="U44" s="780">
        <f t="shared" si="24"/>
        <v>107.8125335203892</v>
      </c>
      <c r="V44" s="780">
        <f t="shared" si="24"/>
        <v>114.07220334705167</v>
      </c>
      <c r="W44" s="780">
        <f t="shared" si="24"/>
        <v>120.71068407343006</v>
      </c>
      <c r="X44" s="780">
        <f t="shared" si="24"/>
        <v>127.745876237107</v>
      </c>
      <c r="Y44" s="781">
        <f t="shared" si="24"/>
        <v>135.19619765300772</v>
      </c>
      <c r="Z44" s="782">
        <f t="shared" si="24"/>
        <v>143.10373517121701</v>
      </c>
      <c r="AA44" s="780">
        <f t="shared" si="24"/>
        <v>151.48916449576302</v>
      </c>
      <c r="AB44" s="780">
        <f t="shared" si="24"/>
        <v>160.37360971421225</v>
      </c>
      <c r="AC44" s="780">
        <f t="shared" si="24"/>
        <v>169.77864236914886</v>
      </c>
      <c r="AD44" s="780">
        <f t="shared" si="24"/>
        <v>179.72628198658521</v>
      </c>
      <c r="AE44" s="780">
        <f t="shared" si="24"/>
        <v>190.23899826335753</v>
      </c>
      <c r="AF44" s="780">
        <f t="shared" si="24"/>
        <v>201.33971511541642</v>
      </c>
      <c r="AG44" s="780">
        <f t="shared" si="24"/>
        <v>213.05181678746609</v>
      </c>
      <c r="AH44" s="780">
        <f t="shared" ref="AH44:BI44" si="25">$B$5*AH535</f>
        <v>225.39915622164295</v>
      </c>
      <c r="AI44" s="780">
        <f t="shared" si="25"/>
        <v>238.40606587887316</v>
      </c>
      <c r="AJ44" s="780">
        <f t="shared" si="25"/>
        <v>252.09737120124416</v>
      </c>
      <c r="AK44" s="781">
        <f t="shared" si="25"/>
        <v>266.49840689721793</v>
      </c>
      <c r="AL44" s="782">
        <f t="shared" si="25"/>
        <v>281.63503622386446</v>
      </c>
      <c r="AM44" s="780">
        <f t="shared" si="25"/>
        <v>297.53367343158266</v>
      </c>
      <c r="AN44" s="780">
        <f t="shared" si="25"/>
        <v>314.22130952708653</v>
      </c>
      <c r="AO44" s="780">
        <f t="shared" si="25"/>
        <v>331.72554149987729</v>
      </c>
      <c r="AP44" s="780">
        <f t="shared" si="25"/>
        <v>350.07460514610301</v>
      </c>
      <c r="AQ44" s="780">
        <f t="shared" si="25"/>
        <v>369.29741161175093</v>
      </c>
      <c r="AR44" s="780">
        <f t="shared" si="25"/>
        <v>389.42358776466074</v>
      </c>
      <c r="AS44" s="780">
        <f t="shared" si="25"/>
        <v>410.48352049202293</v>
      </c>
      <c r="AT44" s="780">
        <f t="shared" si="25"/>
        <v>432.50840500698257</v>
      </c>
      <c r="AU44" s="780">
        <f t="shared" si="25"/>
        <v>455.53029723485804</v>
      </c>
      <c r="AV44" s="780">
        <f t="shared" si="25"/>
        <v>479.5821703364536</v>
      </c>
      <c r="AW44" s="781">
        <f t="shared" si="25"/>
        <v>504.69797541315194</v>
      </c>
      <c r="AX44" s="782">
        <f t="shared" si="25"/>
        <v>530.91270642607117</v>
      </c>
      <c r="AY44" s="780">
        <f t="shared" si="25"/>
        <v>558.26246934970504</v>
      </c>
      <c r="AZ44" s="780">
        <f t="shared" si="25"/>
        <v>586.78455556929021</v>
      </c>
      <c r="BA44" s="780">
        <f t="shared" si="25"/>
        <v>616.51751952079667</v>
      </c>
      <c r="BB44" s="780">
        <f t="shared" si="25"/>
        <v>647.50126056304771</v>
      </c>
      <c r="BC44" s="780">
        <f t="shared" si="25"/>
        <v>679.77710906317748</v>
      </c>
      <c r="BD44" s="780">
        <f t="shared" si="25"/>
        <v>713.38791666954057</v>
      </c>
      <c r="BE44" s="780">
        <f t="shared" si="25"/>
        <v>748.37815074038667</v>
      </c>
      <c r="BF44" s="780">
        <f t="shared" si="25"/>
        <v>784.79399289223477</v>
      </c>
      <c r="BG44" s="780">
        <f t="shared" si="25"/>
        <v>822.68344162895357</v>
      </c>
      <c r="BH44" s="780">
        <f t="shared" si="25"/>
        <v>862.09641901119301</v>
      </c>
      <c r="BI44" s="781">
        <f t="shared" si="25"/>
        <v>903.08488132602292</v>
      </c>
    </row>
    <row r="45" spans="1:61" s="780" customFormat="1" hidden="1" outlineLevel="1">
      <c r="A45" s="780" t="s">
        <v>226</v>
      </c>
      <c r="B45" s="780">
        <f t="shared" ref="B45:AG45" si="26">$B$5*B536</f>
        <v>100</v>
      </c>
      <c r="C45" s="780">
        <f t="shared" si="26"/>
        <v>104</v>
      </c>
      <c r="D45" s="780">
        <f t="shared" si="26"/>
        <v>108.16000000000001</v>
      </c>
      <c r="E45" s="780">
        <f t="shared" si="26"/>
        <v>112.48640000000002</v>
      </c>
      <c r="F45" s="780">
        <f t="shared" si="26"/>
        <v>116.98585600000003</v>
      </c>
      <c r="G45" s="780">
        <f t="shared" si="26"/>
        <v>121.66529024000005</v>
      </c>
      <c r="H45" s="780">
        <f t="shared" si="26"/>
        <v>126.53190184960005</v>
      </c>
      <c r="I45" s="780">
        <f t="shared" si="26"/>
        <v>131.59317792358405</v>
      </c>
      <c r="J45" s="780">
        <f t="shared" si="26"/>
        <v>136.85690504052744</v>
      </c>
      <c r="K45" s="780">
        <f t="shared" si="26"/>
        <v>142.33118124214855</v>
      </c>
      <c r="L45" s="780">
        <f t="shared" si="26"/>
        <v>148.0244284918345</v>
      </c>
      <c r="M45" s="781">
        <f t="shared" si="26"/>
        <v>153.9454056315079</v>
      </c>
      <c r="N45" s="782">
        <f t="shared" si="26"/>
        <v>160.10322185676819</v>
      </c>
      <c r="O45" s="780">
        <f t="shared" si="26"/>
        <v>166.50735073103891</v>
      </c>
      <c r="P45" s="780">
        <f t="shared" si="26"/>
        <v>173.1676447602805</v>
      </c>
      <c r="Q45" s="780">
        <f t="shared" si="26"/>
        <v>180.09435055069173</v>
      </c>
      <c r="R45" s="780">
        <f t="shared" si="26"/>
        <v>187.29812457271942</v>
      </c>
      <c r="S45" s="780">
        <f t="shared" si="26"/>
        <v>194.79004955562817</v>
      </c>
      <c r="T45" s="780">
        <f t="shared" si="26"/>
        <v>202.5816515378533</v>
      </c>
      <c r="U45" s="780">
        <f t="shared" si="26"/>
        <v>210.68491759936745</v>
      </c>
      <c r="V45" s="780">
        <f t="shared" si="26"/>
        <v>219.11231430334212</v>
      </c>
      <c r="W45" s="780">
        <f t="shared" si="26"/>
        <v>227.87680687547584</v>
      </c>
      <c r="X45" s="780">
        <f t="shared" si="26"/>
        <v>236.9918791504949</v>
      </c>
      <c r="Y45" s="781">
        <f t="shared" si="26"/>
        <v>246.4715543165147</v>
      </c>
      <c r="Z45" s="782">
        <f t="shared" si="26"/>
        <v>256.33041648917532</v>
      </c>
      <c r="AA45" s="780">
        <f t="shared" si="26"/>
        <v>266.58363314874231</v>
      </c>
      <c r="AB45" s="780">
        <f t="shared" si="26"/>
        <v>277.24697847469207</v>
      </c>
      <c r="AC45" s="780">
        <f t="shared" si="26"/>
        <v>288.33685761367974</v>
      </c>
      <c r="AD45" s="780">
        <f t="shared" si="26"/>
        <v>299.87033191822695</v>
      </c>
      <c r="AE45" s="780">
        <f t="shared" si="26"/>
        <v>311.86514519495603</v>
      </c>
      <c r="AF45" s="780">
        <f t="shared" si="26"/>
        <v>324.33975100275427</v>
      </c>
      <c r="AG45" s="780">
        <f t="shared" si="26"/>
        <v>337.31334104286447</v>
      </c>
      <c r="AH45" s="780">
        <f t="shared" ref="AH45:BI45" si="27">$B$5*AH536</f>
        <v>350.80587468457907</v>
      </c>
      <c r="AI45" s="780">
        <f t="shared" si="27"/>
        <v>364.83810967196229</v>
      </c>
      <c r="AJ45" s="780">
        <f t="shared" si="27"/>
        <v>379.43163405884081</v>
      </c>
      <c r="AK45" s="781">
        <f t="shared" si="27"/>
        <v>394.60889942119445</v>
      </c>
      <c r="AL45" s="782">
        <f t="shared" si="27"/>
        <v>410.39325539804224</v>
      </c>
      <c r="AM45" s="780">
        <f t="shared" si="27"/>
        <v>426.80898561396396</v>
      </c>
      <c r="AN45" s="780">
        <f t="shared" si="27"/>
        <v>443.88134503852257</v>
      </c>
      <c r="AO45" s="780">
        <f t="shared" si="27"/>
        <v>461.63659884006347</v>
      </c>
      <c r="AP45" s="780">
        <f t="shared" si="27"/>
        <v>480.10206279366599</v>
      </c>
      <c r="AQ45" s="780">
        <f t="shared" si="27"/>
        <v>499.30614530541271</v>
      </c>
      <c r="AR45" s="780">
        <f t="shared" si="27"/>
        <v>519.27839111762921</v>
      </c>
      <c r="AS45" s="780">
        <f t="shared" si="27"/>
        <v>540.04952676233438</v>
      </c>
      <c r="AT45" s="780">
        <f t="shared" si="27"/>
        <v>561.65150783282786</v>
      </c>
      <c r="AU45" s="780">
        <f t="shared" si="27"/>
        <v>584.1175681461408</v>
      </c>
      <c r="AV45" s="780">
        <f t="shared" si="27"/>
        <v>607.48227087198654</v>
      </c>
      <c r="AW45" s="781">
        <f t="shared" si="27"/>
        <v>631.781561706866</v>
      </c>
      <c r="AX45" s="782">
        <f t="shared" si="27"/>
        <v>657.0528241751407</v>
      </c>
      <c r="AY45" s="780">
        <f t="shared" si="27"/>
        <v>683.33493714214637</v>
      </c>
      <c r="AZ45" s="780">
        <f t="shared" si="27"/>
        <v>710.66833462783222</v>
      </c>
      <c r="BA45" s="780">
        <f t="shared" si="27"/>
        <v>739.0950680129456</v>
      </c>
      <c r="BB45" s="780">
        <f t="shared" si="27"/>
        <v>768.65887073346346</v>
      </c>
      <c r="BC45" s="780">
        <f t="shared" si="27"/>
        <v>799.405225562802</v>
      </c>
      <c r="BD45" s="780">
        <f t="shared" si="27"/>
        <v>831.3814345853142</v>
      </c>
      <c r="BE45" s="780">
        <f t="shared" si="27"/>
        <v>864.63669196872684</v>
      </c>
      <c r="BF45" s="780">
        <f t="shared" si="27"/>
        <v>899.22215964747591</v>
      </c>
      <c r="BG45" s="780">
        <f t="shared" si="27"/>
        <v>935.19104603337473</v>
      </c>
      <c r="BH45" s="780">
        <f t="shared" si="27"/>
        <v>972.59868787470964</v>
      </c>
      <c r="BI45" s="781">
        <f t="shared" si="27"/>
        <v>1011.5026353896983</v>
      </c>
    </row>
    <row r="46" spans="1:61" s="780" customFormat="1" hidden="1" outlineLevel="1">
      <c r="A46" s="780" t="str">
        <f>$A$537</f>
        <v>Audits</v>
      </c>
      <c r="B46" s="780">
        <f t="shared" ref="B46:BI46" si="28">$B$5*B537</f>
        <v>39.233480176211451</v>
      </c>
      <c r="C46" s="780">
        <f t="shared" si="28"/>
        <v>40.902780128634362</v>
      </c>
      <c r="D46" s="780">
        <f t="shared" si="28"/>
        <v>42.780790695416833</v>
      </c>
      <c r="E46" s="780">
        <f t="shared" si="28"/>
        <v>44.761512342121335</v>
      </c>
      <c r="F46" s="780">
        <f t="shared" si="28"/>
        <v>46.851393858381954</v>
      </c>
      <c r="G46" s="780">
        <f t="shared" si="28"/>
        <v>49.057269063362945</v>
      </c>
      <c r="H46" s="780">
        <f t="shared" si="28"/>
        <v>51.386365467732688</v>
      </c>
      <c r="I46" s="780">
        <f t="shared" si="28"/>
        <v>53.84631066221413</v>
      </c>
      <c r="J46" s="780">
        <f t="shared" si="28"/>
        <v>56.445136340725732</v>
      </c>
      <c r="K46" s="780">
        <f t="shared" si="28"/>
        <v>59.19127997906331</v>
      </c>
      <c r="L46" s="780">
        <f t="shared" si="28"/>
        <v>62.093584316003572</v>
      </c>
      <c r="M46" s="781">
        <f t="shared" si="28"/>
        <v>65.16129491485745</v>
      </c>
      <c r="N46" s="782">
        <f t="shared" si="28"/>
        <v>68.40874256821094</v>
      </c>
      <c r="O46" s="780">
        <f t="shared" si="28"/>
        <v>71.838768066867814</v>
      </c>
      <c r="P46" s="780">
        <f t="shared" si="28"/>
        <v>75.472253598891626</v>
      </c>
      <c r="Q46" s="780">
        <f t="shared" si="28"/>
        <v>79.321373523972809</v>
      </c>
      <c r="R46" s="780">
        <f t="shared" si="28"/>
        <v>83.398781900055212</v>
      </c>
      <c r="S46" s="780">
        <f t="shared" si="28"/>
        <v>87.71759541999954</v>
      </c>
      <c r="T46" s="780">
        <f t="shared" si="28"/>
        <v>92.291374766162562</v>
      </c>
      <c r="U46" s="780">
        <f t="shared" si="28"/>
        <v>97.134105375960061</v>
      </c>
      <c r="V46" s="780">
        <f t="shared" si="28"/>
        <v>102.26017869260534</v>
      </c>
      <c r="W46" s="780">
        <f t="shared" si="28"/>
        <v>107.68437499946508</v>
      </c>
      <c r="X46" s="780">
        <f t="shared" si="28"/>
        <v>113.42184890057266</v>
      </c>
      <c r="Y46" s="781">
        <f t="shared" si="28"/>
        <v>119.48811841568056</v>
      </c>
      <c r="Z46" s="782">
        <f t="shared" si="28"/>
        <v>125.90652930044311</v>
      </c>
      <c r="AA46" s="780">
        <f t="shared" si="28"/>
        <v>132.54769961923901</v>
      </c>
      <c r="AB46" s="780">
        <f t="shared" si="28"/>
        <v>139.55633575194537</v>
      </c>
      <c r="AC46" s="780">
        <f t="shared" si="28"/>
        <v>146.949278775153</v>
      </c>
      <c r="AD46" s="780">
        <f t="shared" si="28"/>
        <v>154.74377066163703</v>
      </c>
      <c r="AE46" s="780">
        <f t="shared" si="28"/>
        <v>162.95745906013425</v>
      </c>
      <c r="AF46" s="780">
        <f t="shared" si="28"/>
        <v>171.60840544499251</v>
      </c>
      <c r="AG46" s="780">
        <f t="shared" si="28"/>
        <v>180.71509675571147</v>
      </c>
      <c r="AH46" s="780">
        <f t="shared" si="28"/>
        <v>190.29646057999975</v>
      </c>
      <c r="AI46" s="780">
        <f t="shared" si="28"/>
        <v>200.37188387520052</v>
      </c>
      <c r="AJ46" s="780">
        <f t="shared" si="28"/>
        <v>210.96123517369227</v>
      </c>
      <c r="AK46" s="781">
        <f t="shared" si="28"/>
        <v>222.08489017932129</v>
      </c>
      <c r="AL46" s="782">
        <f t="shared" si="28"/>
        <v>233.76376063443163</v>
      </c>
      <c r="AM46" s="780">
        <f t="shared" si="28"/>
        <v>245.414606581333</v>
      </c>
      <c r="AN46" s="780">
        <f t="shared" si="28"/>
        <v>257.61271989660963</v>
      </c>
      <c r="AO46" s="780">
        <f t="shared" si="28"/>
        <v>270.37900035320041</v>
      </c>
      <c r="AP46" s="780">
        <f t="shared" si="28"/>
        <v>283.7349746690137</v>
      </c>
      <c r="AQ46" s="780">
        <f t="shared" si="28"/>
        <v>297.70282565501878</v>
      </c>
      <c r="AR46" s="780">
        <f t="shared" si="28"/>
        <v>312.30542372062769</v>
      </c>
      <c r="AS46" s="780">
        <f t="shared" si="28"/>
        <v>327.56636080359328</v>
      </c>
      <c r="AT46" s="780">
        <f t="shared" si="28"/>
        <v>343.50998678588866</v>
      </c>
      <c r="AU46" s="780">
        <f t="shared" si="28"/>
        <v>360.16144845138319</v>
      </c>
      <c r="AV46" s="780">
        <f t="shared" si="28"/>
        <v>377.5467310356471</v>
      </c>
      <c r="AW46" s="781">
        <f t="shared" si="28"/>
        <v>395.69270241297966</v>
      </c>
      <c r="AX46" s="782">
        <f t="shared" si="28"/>
        <v>414.62715996083762</v>
      </c>
      <c r="AY46" s="780">
        <f t="shared" si="28"/>
        <v>434.67902005470086</v>
      </c>
      <c r="AZ46" s="780">
        <f t="shared" si="28"/>
        <v>455.6189164203455</v>
      </c>
      <c r="BA46" s="780">
        <f t="shared" si="28"/>
        <v>477.48080362113194</v>
      </c>
      <c r="BB46" s="780">
        <f t="shared" si="28"/>
        <v>500.29991091322188</v>
      </c>
      <c r="BC46" s="780">
        <f t="shared" si="28"/>
        <v>524.11280667027631</v>
      </c>
      <c r="BD46" s="780">
        <f t="shared" si="28"/>
        <v>548.95746605107036</v>
      </c>
      <c r="BE46" s="780">
        <f t="shared" si="28"/>
        <v>574.87334196222014</v>
      </c>
      <c r="BF46" s="780">
        <f t="shared" si="28"/>
        <v>601.90143936661661</v>
      </c>
      <c r="BG46" s="780">
        <f t="shared" si="28"/>
        <v>630.0843929872135</v>
      </c>
      <c r="BH46" s="780">
        <f t="shared" si="28"/>
        <v>659.46654845562136</v>
      </c>
      <c r="BI46" s="781">
        <f t="shared" si="28"/>
        <v>690.09404695551279</v>
      </c>
    </row>
    <row r="47" spans="1:61" s="780" customFormat="1" hidden="1" outlineLevel="1">
      <c r="A47" s="780" t="str">
        <f>$A$538</f>
        <v>Retrofit</v>
      </c>
      <c r="B47" s="780">
        <f t="shared" ref="B47:BI47" si="29">$B$5*B538</f>
        <v>16.370572687224669</v>
      </c>
      <c r="C47" s="780">
        <f t="shared" si="29"/>
        <v>17.105714806834008</v>
      </c>
      <c r="D47" s="780">
        <f t="shared" si="29"/>
        <v>18.044873964366552</v>
      </c>
      <c r="E47" s="780">
        <f t="shared" si="29"/>
        <v>19.047167808618749</v>
      </c>
      <c r="F47" s="780">
        <f t="shared" si="29"/>
        <v>20.117477038175</v>
      </c>
      <c r="G47" s="780">
        <f t="shared" si="29"/>
        <v>21.261017512734924</v>
      </c>
      <c r="H47" s="780">
        <f t="shared" si="29"/>
        <v>22.48334556084933</v>
      </c>
      <c r="I47" s="780">
        <f t="shared" si="29"/>
        <v>23.790360480971394</v>
      </c>
      <c r="J47" s="780">
        <f t="shared" si="29"/>
        <v>25.188304165727491</v>
      </c>
      <c r="K47" s="780">
        <f t="shared" si="29"/>
        <v>26.683757917304433</v>
      </c>
      <c r="L47" s="780">
        <f t="shared" si="29"/>
        <v>28.283636672918881</v>
      </c>
      <c r="M47" s="781">
        <f t="shared" si="29"/>
        <v>29.995181013804945</v>
      </c>
      <c r="N47" s="782">
        <f t="shared" si="29"/>
        <v>31.828355378137712</v>
      </c>
      <c r="O47" s="780">
        <f t="shared" si="29"/>
        <v>33.763952748883611</v>
      </c>
      <c r="P47" s="780">
        <f t="shared" si="29"/>
        <v>35.839973078480796</v>
      </c>
      <c r="Q47" s="780">
        <f t="shared" si="29"/>
        <v>38.066343610351574</v>
      </c>
      <c r="R47" s="780">
        <f t="shared" si="29"/>
        <v>40.453401218410654</v>
      </c>
      <c r="S47" s="780">
        <f t="shared" si="29"/>
        <v>43.011866856615775</v>
      </c>
      <c r="T47" s="780">
        <f t="shared" si="29"/>
        <v>45.752817817982098</v>
      </c>
      <c r="U47" s="780">
        <f t="shared" si="29"/>
        <v>48.687659019148441</v>
      </c>
      <c r="V47" s="780">
        <f t="shared" si="29"/>
        <v>51.828094631027085</v>
      </c>
      <c r="W47" s="780">
        <f t="shared" si="29"/>
        <v>55.186101409737269</v>
      </c>
      <c r="X47" s="780">
        <f t="shared" si="29"/>
        <v>58.773905040496984</v>
      </c>
      <c r="Y47" s="781">
        <f t="shared" si="29"/>
        <v>62.603960692468021</v>
      </c>
      <c r="Z47" s="782">
        <f t="shared" si="29"/>
        <v>66.693622017366465</v>
      </c>
      <c r="AA47" s="780">
        <f t="shared" si="29"/>
        <v>70.869497286221915</v>
      </c>
      <c r="AB47" s="780">
        <f t="shared" si="29"/>
        <v>75.308004696409753</v>
      </c>
      <c r="AC47" s="780">
        <f t="shared" si="29"/>
        <v>80.021980914175856</v>
      </c>
      <c r="AD47" s="780">
        <f t="shared" si="29"/>
        <v>85.02451755157054</v>
      </c>
      <c r="AE47" s="780">
        <f t="shared" si="29"/>
        <v>90.328960542502656</v>
      </c>
      <c r="AF47" s="780">
        <f t="shared" si="29"/>
        <v>95.948913187377457</v>
      </c>
      <c r="AG47" s="780">
        <f t="shared" si="29"/>
        <v>101.89824298329043</v>
      </c>
      <c r="AH47" s="780">
        <f t="shared" si="29"/>
        <v>108.19109227219255</v>
      </c>
      <c r="AI47" s="780">
        <f t="shared" si="29"/>
        <v>114.84189266418825</v>
      </c>
      <c r="AJ47" s="780">
        <f t="shared" si="29"/>
        <v>121.86538312970146</v>
      </c>
      <c r="AK47" s="781">
        <f t="shared" si="29"/>
        <v>129.27663160421429</v>
      </c>
      <c r="AL47" s="782">
        <f t="shared" si="29"/>
        <v>137.09105991324608</v>
      </c>
      <c r="AM47" s="780">
        <f t="shared" si="29"/>
        <v>144.56411818719673</v>
      </c>
      <c r="AN47" s="780">
        <f t="shared" si="29"/>
        <v>152.4063210570051</v>
      </c>
      <c r="AO47" s="780">
        <f t="shared" si="29"/>
        <v>160.6318776023723</v>
      </c>
      <c r="AP47" s="780">
        <f t="shared" si="29"/>
        <v>169.25540065827488</v>
      </c>
      <c r="AQ47" s="780">
        <f t="shared" si="29"/>
        <v>178.29192666513066</v>
      </c>
      <c r="AR47" s="780">
        <f t="shared" si="29"/>
        <v>187.75693733511193</v>
      </c>
      <c r="AS47" s="780">
        <f t="shared" si="29"/>
        <v>197.66638317911233</v>
      </c>
      <c r="AT47" s="780">
        <f t="shared" si="29"/>
        <v>208.03670893326969</v>
      </c>
      <c r="AU47" s="780">
        <f t="shared" si="29"/>
        <v>218.88488091851005</v>
      </c>
      <c r="AV47" s="780">
        <f t="shared" si="29"/>
        <v>230.22841636135655</v>
      </c>
      <c r="AW47" s="781">
        <f t="shared" si="29"/>
        <v>242.08541469930825</v>
      </c>
      <c r="AX47" s="782">
        <f t="shared" si="29"/>
        <v>254.4745908895014</v>
      </c>
      <c r="AY47" s="780">
        <f t="shared" si="29"/>
        <v>267.78491596862796</v>
      </c>
      <c r="AZ47" s="780">
        <f t="shared" si="29"/>
        <v>281.71858917721505</v>
      </c>
      <c r="BA47" s="780">
        <f t="shared" si="29"/>
        <v>296.30037248928966</v>
      </c>
      <c r="BB47" s="780">
        <f t="shared" si="29"/>
        <v>311.55597476771055</v>
      </c>
      <c r="BC47" s="780">
        <f t="shared" si="29"/>
        <v>327.51210062561256</v>
      </c>
      <c r="BD47" s="780">
        <f t="shared" si="29"/>
        <v>344.19650186771884</v>
      </c>
      <c r="BE47" s="780">
        <f t="shared" si="29"/>
        <v>361.63803155655302</v>
      </c>
      <c r="BF47" s="780">
        <f t="shared" si="29"/>
        <v>379.86670074699708</v>
      </c>
      <c r="BG47" s="780">
        <f t="shared" si="29"/>
        <v>398.91373793159187</v>
      </c>
      <c r="BH47" s="780">
        <f t="shared" si="29"/>
        <v>418.81165123852207</v>
      </c>
      <c r="BI47" s="781">
        <f t="shared" si="29"/>
        <v>439.59429342440149</v>
      </c>
    </row>
    <row r="48" spans="1:61" s="780" customFormat="1" hidden="1" outlineLevel="1">
      <c r="A48" s="780" t="str">
        <f>$A$539</f>
        <v>Revenue</v>
      </c>
      <c r="B48" s="780">
        <f t="shared" ref="B48:BI48" si="30">$B$5*B539</f>
        <v>103644.66960352423</v>
      </c>
      <c r="C48" s="780">
        <f t="shared" si="30"/>
        <v>111673.98212289948</v>
      </c>
      <c r="D48" s="780">
        <f t="shared" si="30"/>
        <v>121306.89578921619</v>
      </c>
      <c r="E48" s="780">
        <f t="shared" si="30"/>
        <v>135545.20763529075</v>
      </c>
      <c r="F48" s="780">
        <f t="shared" si="30"/>
        <v>147055.06031959309</v>
      </c>
      <c r="G48" s="780">
        <f t="shared" si="30"/>
        <v>159523.65989970099</v>
      </c>
      <c r="H48" s="780">
        <f t="shared" si="30"/>
        <v>170787.58467771739</v>
      </c>
      <c r="I48" s="780">
        <f t="shared" si="30"/>
        <v>182925.72015080092</v>
      </c>
      <c r="J48" s="780">
        <f t="shared" si="30"/>
        <v>196010.12274893091</v>
      </c>
      <c r="K48" s="780">
        <f t="shared" si="30"/>
        <v>207449.53890185134</v>
      </c>
      <c r="L48" s="780">
        <f t="shared" si="30"/>
        <v>219674.68199867496</v>
      </c>
      <c r="M48" s="781">
        <f t="shared" si="30"/>
        <v>232739.66145657003</v>
      </c>
      <c r="N48" s="782">
        <f t="shared" si="30"/>
        <v>244063.11305535876</v>
      </c>
      <c r="O48" s="780">
        <f t="shared" si="30"/>
        <v>258733.72523881617</v>
      </c>
      <c r="P48" s="780">
        <f t="shared" si="30"/>
        <v>274457.45786211855</v>
      </c>
      <c r="Q48" s="780">
        <f t="shared" si="30"/>
        <v>291308.52028249</v>
      </c>
      <c r="R48" s="780">
        <f t="shared" si="30"/>
        <v>309364.18853409967</v>
      </c>
      <c r="S48" s="780">
        <f t="shared" si="30"/>
        <v>328704.61438827304</v>
      </c>
      <c r="T48" s="780">
        <f t="shared" si="30"/>
        <v>349412.61802535475</v>
      </c>
      <c r="U48" s="780">
        <f t="shared" si="30"/>
        <v>371573.47343733779</v>
      </c>
      <c r="V48" s="780">
        <f t="shared" si="30"/>
        <v>395274.69646348036</v>
      </c>
      <c r="W48" s="780">
        <f t="shared" si="30"/>
        <v>420605.84561337397</v>
      </c>
      <c r="X48" s="780">
        <f t="shared" si="30"/>
        <v>447658.34552017209</v>
      </c>
      <c r="Y48" s="781">
        <f t="shared" si="30"/>
        <v>476525.34200622467</v>
      </c>
      <c r="Z48" s="782">
        <f t="shared" si="30"/>
        <v>507335.29559060762</v>
      </c>
      <c r="AA48" s="780">
        <f t="shared" si="30"/>
        <v>538787.27666595462</v>
      </c>
      <c r="AB48" s="780">
        <f t="shared" si="30"/>
        <v>572204.21187600866</v>
      </c>
      <c r="AC48" s="780">
        <f t="shared" si="30"/>
        <v>607682.04786315572</v>
      </c>
      <c r="AD48" s="780">
        <f t="shared" si="30"/>
        <v>645318.65472797898</v>
      </c>
      <c r="AE48" s="780">
        <f t="shared" si="30"/>
        <v>685213.82294450991</v>
      </c>
      <c r="AF48" s="780">
        <f t="shared" si="30"/>
        <v>727469.28775650274</v>
      </c>
      <c r="AG48" s="780">
        <f t="shared" si="30"/>
        <v>772188.78192177613</v>
      </c>
      <c r="AH48" s="780">
        <f t="shared" si="30"/>
        <v>819478.11703757953</v>
      </c>
      <c r="AI48" s="780">
        <f t="shared" si="30"/>
        <v>869445.29311571689</v>
      </c>
      <c r="AJ48" s="780">
        <f t="shared" si="30"/>
        <v>922200.63560075697</v>
      </c>
      <c r="AK48" s="781">
        <f t="shared" si="30"/>
        <v>977856.95864979806</v>
      </c>
      <c r="AL48" s="782">
        <f t="shared" si="30"/>
        <v>1036529.7532224572</v>
      </c>
      <c r="AM48" s="780">
        <f t="shared" si="30"/>
        <v>1092634.1415252481</v>
      </c>
      <c r="AN48" s="780">
        <f t="shared" si="30"/>
        <v>1151499.4120728702</v>
      </c>
      <c r="AO48" s="780">
        <f t="shared" si="30"/>
        <v>1213232.0321690312</v>
      </c>
      <c r="AP48" s="780">
        <f t="shared" si="30"/>
        <v>1277941.5233942294</v>
      </c>
      <c r="AQ48" s="780">
        <f t="shared" si="30"/>
        <v>1345740.6110527029</v>
      </c>
      <c r="AR48" s="780">
        <f t="shared" si="30"/>
        <v>1416745.3871102897</v>
      </c>
      <c r="AS48" s="780">
        <f t="shared" si="30"/>
        <v>1491075.4869537756</v>
      </c>
      <c r="AT48" s="780">
        <f t="shared" si="30"/>
        <v>1568854.2802612428</v>
      </c>
      <c r="AU48" s="780">
        <f t="shared" si="30"/>
        <v>1650209.0762331418</v>
      </c>
      <c r="AV48" s="780">
        <f t="shared" si="30"/>
        <v>1735271.3433956632</v>
      </c>
      <c r="AW48" s="781">
        <f t="shared" si="30"/>
        <v>1824176.944151951</v>
      </c>
      <c r="AX48" s="782">
        <f t="shared" si="30"/>
        <v>1917066.38422327</v>
      </c>
      <c r="AY48" s="780">
        <f t="shared" si="30"/>
        <v>2016857.4164826195</v>
      </c>
      <c r="AZ48" s="780">
        <f t="shared" si="30"/>
        <v>2121316.4717990048</v>
      </c>
      <c r="BA48" s="780">
        <f t="shared" si="30"/>
        <v>2230629.4888009848</v>
      </c>
      <c r="BB48" s="780">
        <f t="shared" si="30"/>
        <v>2344989.5320624048</v>
      </c>
      <c r="BC48" s="780">
        <f t="shared" si="30"/>
        <v>2464597.1575802807</v>
      </c>
      <c r="BD48" s="780">
        <f t="shared" si="30"/>
        <v>2589660.797497889</v>
      </c>
      <c r="BE48" s="780">
        <f t="shared" si="30"/>
        <v>2720397.1644188319</v>
      </c>
      <c r="BF48" s="780">
        <f t="shared" si="30"/>
        <v>2857031.6756465775</v>
      </c>
      <c r="BG48" s="780">
        <f t="shared" si="30"/>
        <v>2999798.8976767445</v>
      </c>
      <c r="BH48" s="780">
        <f t="shared" si="30"/>
        <v>3148943.0112664476</v>
      </c>
      <c r="BI48" s="781">
        <f t="shared" si="30"/>
        <v>3304718.2974067973</v>
      </c>
    </row>
    <row r="49" spans="1:61" s="780" customFormat="1" hidden="1" outlineLevel="1">
      <c r="A49" s="780" t="str">
        <f>$A$540</f>
        <v>Net Income</v>
      </c>
      <c r="B49" s="780">
        <f t="shared" ref="B49:AG49" si="31">$B$5*B540</f>
        <v>-165924.82085403817</v>
      </c>
      <c r="C49" s="780">
        <f t="shared" si="31"/>
        <v>-74185.72840500735</v>
      </c>
      <c r="D49" s="780">
        <f t="shared" si="31"/>
        <v>-71343.585018907266</v>
      </c>
      <c r="E49" s="780">
        <f t="shared" si="31"/>
        <v>-67025.066713529508</v>
      </c>
      <c r="F49" s="780">
        <f t="shared" si="31"/>
        <v>-63425.36270153091</v>
      </c>
      <c r="G49" s="780">
        <f t="shared" si="31"/>
        <v>-88022.024029620632</v>
      </c>
      <c r="H49" s="780">
        <f t="shared" si="31"/>
        <v>-75780.623082622536</v>
      </c>
      <c r="I49" s="780">
        <f t="shared" si="31"/>
        <v>-69856.580475637602</v>
      </c>
      <c r="J49" s="780">
        <f t="shared" si="31"/>
        <v>-65137.77859123495</v>
      </c>
      <c r="K49" s="780">
        <f t="shared" si="31"/>
        <v>-60837.221057100614</v>
      </c>
      <c r="L49" s="780">
        <f t="shared" si="31"/>
        <v>-56141.288968481895</v>
      </c>
      <c r="M49" s="781">
        <f t="shared" si="31"/>
        <v>-51018.780708125159</v>
      </c>
      <c r="N49" s="782">
        <f t="shared" si="31"/>
        <v>-44644.822527743439</v>
      </c>
      <c r="O49" s="780">
        <f t="shared" si="31"/>
        <v>-32826.475802304471</v>
      </c>
      <c r="P49" s="780">
        <f t="shared" si="31"/>
        <v>-39758.161849947079</v>
      </c>
      <c r="Q49" s="780">
        <f t="shared" si="31"/>
        <v>-32417.896190194551</v>
      </c>
      <c r="R49" s="780">
        <f t="shared" si="31"/>
        <v>-26535.861024827827</v>
      </c>
      <c r="S49" s="780">
        <f t="shared" si="31"/>
        <v>-19831.737943877088</v>
      </c>
      <c r="T49" s="780">
        <f t="shared" si="31"/>
        <v>-12334.324746214679</v>
      </c>
      <c r="U49" s="780">
        <f t="shared" si="31"/>
        <v>-4133.2203453654984</v>
      </c>
      <c r="V49" s="780">
        <f t="shared" si="31"/>
        <v>-53851.207547648679</v>
      </c>
      <c r="W49" s="780">
        <f t="shared" si="31"/>
        <v>-95874.813211304136</v>
      </c>
      <c r="X49" s="780">
        <f t="shared" si="31"/>
        <v>-84627.219858265773</v>
      </c>
      <c r="Y49" s="781">
        <f t="shared" si="31"/>
        <v>-128481.03756630284</v>
      </c>
      <c r="Z49" s="782">
        <f t="shared" si="31"/>
        <v>-152332.62166806936</v>
      </c>
      <c r="AA49" s="780">
        <f t="shared" si="31"/>
        <v>-153221.04630134886</v>
      </c>
      <c r="AB49" s="780">
        <f t="shared" si="31"/>
        <v>-128719.05105634185</v>
      </c>
      <c r="AC49" s="780">
        <f t="shared" si="31"/>
        <v>-126874.82677164349</v>
      </c>
      <c r="AD49" s="780">
        <f t="shared" si="31"/>
        <v>-108428.1635458415</v>
      </c>
      <c r="AE49" s="780">
        <f t="shared" si="31"/>
        <v>-88678.495265017409</v>
      </c>
      <c r="AF49" s="780">
        <f t="shared" si="31"/>
        <v>-129122.58897752425</v>
      </c>
      <c r="AG49" s="780">
        <f t="shared" si="31"/>
        <v>-69061.907380944613</v>
      </c>
      <c r="AH49" s="780">
        <f t="shared" ref="AH49:BI49" si="32">$B$5*AH540</f>
        <v>-78669.039846374581</v>
      </c>
      <c r="AI49" s="780">
        <f t="shared" si="32"/>
        <v>-64905.541010194429</v>
      </c>
      <c r="AJ49" s="780">
        <f t="shared" si="32"/>
        <v>-138297.42876345228</v>
      </c>
      <c r="AK49" s="781">
        <f t="shared" si="32"/>
        <v>-71844.462370775145</v>
      </c>
      <c r="AL49" s="782">
        <f t="shared" si="32"/>
        <v>-81113.920893266259</v>
      </c>
      <c r="AM49" s="780">
        <f t="shared" si="32"/>
        <v>-53787.060593953793</v>
      </c>
      <c r="AN49" s="780">
        <f t="shared" si="32"/>
        <v>-36381.786834014347</v>
      </c>
      <c r="AO49" s="780">
        <f t="shared" si="32"/>
        <v>-3641.6571701514476</v>
      </c>
      <c r="AP49" s="780">
        <f t="shared" si="32"/>
        <v>-31719.650834922359</v>
      </c>
      <c r="AQ49" s="780">
        <f t="shared" si="32"/>
        <v>14032.725465653275</v>
      </c>
      <c r="AR49" s="780">
        <f t="shared" si="32"/>
        <v>52215.509658728988</v>
      </c>
      <c r="AS49" s="780">
        <f t="shared" si="32"/>
        <v>21280.370749048088</v>
      </c>
      <c r="AT49" s="780">
        <f t="shared" si="32"/>
        <v>-1219.2953840810515</v>
      </c>
      <c r="AU49" s="780">
        <f t="shared" si="32"/>
        <v>42021.740331097244</v>
      </c>
      <c r="AV49" s="780">
        <f t="shared" si="32"/>
        <v>52527.322730689266</v>
      </c>
      <c r="AW49" s="781">
        <f t="shared" si="32"/>
        <v>29981.70526142625</v>
      </c>
      <c r="AX49" s="782">
        <f t="shared" si="32"/>
        <v>159435.90430686605</v>
      </c>
      <c r="AY49" s="780">
        <f t="shared" si="32"/>
        <v>150008.4892396318</v>
      </c>
      <c r="AZ49" s="780">
        <f t="shared" si="32"/>
        <v>233883.8621890432</v>
      </c>
      <c r="BA49" s="780">
        <f t="shared" si="32"/>
        <v>282265.11752343434</v>
      </c>
      <c r="BB49" s="780">
        <f t="shared" si="32"/>
        <v>173060.24480309221</v>
      </c>
      <c r="BC49" s="780">
        <f t="shared" si="32"/>
        <v>250760.06364344517</v>
      </c>
      <c r="BD49" s="780">
        <f t="shared" si="32"/>
        <v>268375.79721575009</v>
      </c>
      <c r="BE49" s="780">
        <f t="shared" si="32"/>
        <v>325486.21501989069</v>
      </c>
      <c r="BF49" s="780">
        <f t="shared" si="32"/>
        <v>320131.3714309677</v>
      </c>
      <c r="BG49" s="780">
        <f t="shared" si="32"/>
        <v>434259.24245501315</v>
      </c>
      <c r="BH49" s="780">
        <f t="shared" si="32"/>
        <v>459426.79527792818</v>
      </c>
      <c r="BI49" s="781">
        <f t="shared" si="32"/>
        <v>518956.15804001293</v>
      </c>
    </row>
    <row r="50" spans="1:61" s="780" customFormat="1" hidden="1" outlineLevel="1">
      <c r="A50" s="780" t="str">
        <f>$A$541</f>
        <v>Program Revenue</v>
      </c>
      <c r="B50" s="780">
        <f t="shared" ref="B50:AG50" si="33">$B$5*B541</f>
        <v>9250</v>
      </c>
      <c r="C50" s="780">
        <f t="shared" si="33"/>
        <v>9685.7793759999986</v>
      </c>
      <c r="D50" s="780">
        <f t="shared" si="33"/>
        <v>10150.095293924353</v>
      </c>
      <c r="E50" s="780">
        <f t="shared" si="33"/>
        <v>10644.706092246795</v>
      </c>
      <c r="F50" s="780">
        <f t="shared" si="33"/>
        <v>11171.450162336816</v>
      </c>
      <c r="G50" s="780">
        <f t="shared" si="33"/>
        <v>11732.248017363208</v>
      </c>
      <c r="H50" s="780">
        <f t="shared" si="33"/>
        <v>12329.104365513895</v>
      </c>
      <c r="I50" s="780">
        <f t="shared" si="33"/>
        <v>12964.110188778704</v>
      </c>
      <c r="J50" s="780">
        <f t="shared" si="33"/>
        <v>13639.444828963087</v>
      </c>
      <c r="K50" s="780">
        <f t="shared" si="33"/>
        <v>14357.378083045814</v>
      </c>
      <c r="L50" s="780">
        <f t="shared" si="33"/>
        <v>15120.272310462151</v>
      </c>
      <c r="M50" s="781">
        <f t="shared" si="33"/>
        <v>15930.584555384221</v>
      </c>
      <c r="N50" s="782">
        <f t="shared" si="33"/>
        <v>16794.903688207021</v>
      </c>
      <c r="O50" s="780">
        <f t="shared" si="33"/>
        <v>17716.208295680659</v>
      </c>
      <c r="P50" s="780">
        <f t="shared" si="33"/>
        <v>18697.577574809246</v>
      </c>
      <c r="Q50" s="780">
        <f t="shared" si="33"/>
        <v>19742.191952174624</v>
      </c>
      <c r="R50" s="780">
        <f t="shared" si="33"/>
        <v>20853.333686067403</v>
      </c>
      <c r="S50" s="780">
        <f t="shared" si="33"/>
        <v>22034.387465868134</v>
      </c>
      <c r="T50" s="780">
        <f t="shared" si="33"/>
        <v>23288.841024351565</v>
      </c>
      <c r="U50" s="780">
        <f t="shared" si="33"/>
        <v>24620.285779783109</v>
      </c>
      <c r="V50" s="780">
        <f t="shared" si="33"/>
        <v>26032.41752583065</v>
      </c>
      <c r="W50" s="780">
        <f t="shared" si="33"/>
        <v>27529.037188418301</v>
      </c>
      <c r="X50" s="780">
        <f t="shared" si="33"/>
        <v>29114.051669694087</v>
      </c>
      <c r="Y50" s="781">
        <f t="shared" si="33"/>
        <v>30791.474800263102</v>
      </c>
      <c r="Z50" s="782">
        <f t="shared" si="33"/>
        <v>32570.696332439325</v>
      </c>
      <c r="AA50" s="780">
        <f t="shared" si="33"/>
        <v>34456.210464561278</v>
      </c>
      <c r="AB50" s="780">
        <f t="shared" si="33"/>
        <v>36452.600740820992</v>
      </c>
      <c r="AC50" s="780">
        <f t="shared" si="33"/>
        <v>38564.539499582665</v>
      </c>
      <c r="AD50" s="780">
        <f t="shared" si="33"/>
        <v>40796.787653262894</v>
      </c>
      <c r="AE50" s="780">
        <f t="shared" si="33"/>
        <v>43154.194844056517</v>
      </c>
      <c r="AF50" s="780">
        <f t="shared" si="33"/>
        <v>45641.700019513723</v>
      </c>
      <c r="AG50" s="780">
        <f t="shared" si="33"/>
        <v>48264.332471398964</v>
      </c>
      <c r="AH50" s="780">
        <f t="shared" ref="AH50:BI50" si="34">$B$5*AH541</f>
        <v>51027.213380392815</v>
      </c>
      <c r="AI50" s="780">
        <f t="shared" si="34"/>
        <v>53935.557908040944</v>
      </c>
      <c r="AJ50" s="780">
        <f t="shared" si="34"/>
        <v>56994.677875919631</v>
      </c>
      <c r="AK50" s="781">
        <f t="shared" si="34"/>
        <v>60209.9850702884</v>
      </c>
      <c r="AL50" s="782">
        <f t="shared" si="34"/>
        <v>56546.119302955005</v>
      </c>
      <c r="AM50" s="780">
        <f t="shared" si="34"/>
        <v>59692.99076588465</v>
      </c>
      <c r="AN50" s="780">
        <f t="shared" si="34"/>
        <v>62993.202806133086</v>
      </c>
      <c r="AO50" s="780">
        <f t="shared" si="34"/>
        <v>66451.923924338364</v>
      </c>
      <c r="AP50" s="780">
        <f t="shared" si="34"/>
        <v>70074.433712095371</v>
      </c>
      <c r="AQ50" s="780">
        <f t="shared" si="34"/>
        <v>73866.129675759134</v>
      </c>
      <c r="AR50" s="780">
        <f t="shared" si="34"/>
        <v>77832.534792171602</v>
      </c>
      <c r="AS50" s="780">
        <f t="shared" si="34"/>
        <v>81979.305811543774</v>
      </c>
      <c r="AT50" s="780">
        <f t="shared" si="34"/>
        <v>86312.242320003366</v>
      </c>
      <c r="AU50" s="780">
        <f t="shared" si="34"/>
        <v>90837.296571602943</v>
      </c>
      <c r="AV50" s="780">
        <f t="shared" si="34"/>
        <v>95560.584096900988</v>
      </c>
      <c r="AW50" s="781">
        <f t="shared" si="34"/>
        <v>100488.39509261091</v>
      </c>
      <c r="AX50" s="782">
        <f t="shared" si="34"/>
        <v>63764.739692596806</v>
      </c>
      <c r="AY50" s="780">
        <f t="shared" si="34"/>
        <v>66992.612846903241</v>
      </c>
      <c r="AZ50" s="780">
        <f t="shared" si="34"/>
        <v>70355.468212757827</v>
      </c>
      <c r="BA50" s="780">
        <f t="shared" si="34"/>
        <v>73857.565803552337</v>
      </c>
      <c r="BB50" s="780">
        <f t="shared" si="34"/>
        <v>77503.310884354491</v>
      </c>
      <c r="BC50" s="780">
        <f t="shared" si="34"/>
        <v>81297.26358130158</v>
      </c>
      <c r="BD50" s="780">
        <f t="shared" si="34"/>
        <v>85244.148938676648</v>
      </c>
      <c r="BE50" s="780">
        <f t="shared" si="34"/>
        <v>89348.867416894704</v>
      </c>
      <c r="BF50" s="780">
        <f t="shared" si="34"/>
        <v>93616.505824128821</v>
      </c>
      <c r="BG50" s="780">
        <f t="shared" si="34"/>
        <v>98052.348673988366</v>
      </c>
      <c r="BH50" s="780">
        <f t="shared" si="34"/>
        <v>102661.8899615288</v>
      </c>
      <c r="BI50" s="781">
        <f t="shared" si="34"/>
        <v>107450.84534993276</v>
      </c>
    </row>
    <row r="51" spans="1:61" s="780" customFormat="1" hidden="1" outlineLevel="1">
      <c r="M51" s="781"/>
      <c r="N51" s="782"/>
      <c r="Y51" s="781"/>
      <c r="Z51" s="782"/>
      <c r="AK51" s="781"/>
      <c r="AL51" s="782"/>
      <c r="AW51" s="781"/>
      <c r="AX51" s="782"/>
      <c r="BI51" s="781"/>
    </row>
    <row r="52" spans="1:61" s="780" customFormat="1" hidden="1" outlineLevel="1">
      <c r="A52" s="780" t="str">
        <f>$A$535</f>
        <v>Program Leads</v>
      </c>
      <c r="C52" s="780">
        <f>IF($C$5&gt;$B$5,($C$5-$B$5)*B535,0)</f>
        <v>8</v>
      </c>
      <c r="D52" s="780">
        <f t="shared" ref="D52" si="35">IF($C$5&gt;$B$5,($C$5-$B$5)*C535,0)</f>
        <v>8.3824000000000005</v>
      </c>
      <c r="E52" s="780">
        <f t="shared" ref="E52" si="36">IF($C$5&gt;$B$5,($C$5-$B$5)*D535,0)</f>
        <v>8.790016102400001</v>
      </c>
      <c r="F52" s="780">
        <f t="shared" ref="F52" si="37">IF($C$5&gt;$B$5,($C$5-$B$5)*E535,0)</f>
        <v>9.2244218586677267</v>
      </c>
      <c r="G52" s="780">
        <f t="shared" ref="G52" si="38">IF($C$5&gt;$B$5,($C$5-$B$5)*F535,0)</f>
        <v>9.6872643857899394</v>
      </c>
      <c r="H52" s="780">
        <f t="shared" ref="H52" si="39">IF($C$5&gt;$B$5,($C$5-$B$5)*G535,0)</f>
        <v>10.180266404063699</v>
      </c>
      <c r="I52" s="780">
        <f t="shared" ref="I52" si="40">IF($C$5&gt;$B$5,($C$5-$B$5)*H535,0)</f>
        <v>10.705228286703797</v>
      </c>
      <c r="J52" s="780">
        <f t="shared" ref="J52" si="41">IF($C$5&gt;$B$5,($C$5-$B$5)*I535,0)</f>
        <v>11.264030122404236</v>
      </c>
      <c r="K52" s="780">
        <f t="shared" ref="K52" si="42">IF($C$5&gt;$B$5,($C$5-$B$5)*J535,0)</f>
        <v>11.858633792363815</v>
      </c>
      <c r="L52" s="780">
        <f t="shared" ref="L52" si="43">IF($C$5&gt;$B$5,($C$5-$B$5)*K535,0)</f>
        <v>12.491085063681208</v>
      </c>
      <c r="M52" s="781">
        <f t="shared" ref="M52" si="44">IF($C$5&gt;$B$5,($C$5-$B$5)*L535,0)</f>
        <v>13.163515701442698</v>
      </c>
      <c r="N52" s="782">
        <f t="shared" ref="N52" si="45">IF($C$5&gt;$B$5,($C$5-$B$5)*M535,0)</f>
        <v>13.878145602265221</v>
      </c>
      <c r="O52" s="780">
        <f t="shared" ref="O52" si="46">IF($C$5&gt;$B$5,($C$5-$B$5)*N535,0)</f>
        <v>14.640802427106802</v>
      </c>
      <c r="P52" s="780">
        <f t="shared" ref="P52" si="47">IF($C$5&gt;$B$5,($C$5-$B$5)*O535,0)</f>
        <v>15.454179973028484</v>
      </c>
      <c r="Q52" s="780">
        <f t="shared" ref="Q52" si="48">IF($C$5&gt;$B$5,($C$5-$B$5)*P535,0)</f>
        <v>16.321067007803048</v>
      </c>
      <c r="R52" s="780">
        <f t="shared" ref="R52" si="49">IF($C$5&gt;$B$5,($C$5-$B$5)*Q535,0)</f>
        <v>17.244348126107901</v>
      </c>
      <c r="S52" s="780">
        <f t="shared" ref="S52" si="50">IF($C$5&gt;$B$5,($C$5-$B$5)*R535,0)</f>
        <v>18.227004594103096</v>
      </c>
      <c r="T52" s="780">
        <f t="shared" ref="T52" si="51">IF($C$5&gt;$B$5,($C$5-$B$5)*S535,0)</f>
        <v>19.272115194972702</v>
      </c>
      <c r="U52" s="780">
        <f t="shared" ref="U52" si="52">IF($C$5&gt;$B$5,($C$5-$B$5)*T535,0)</f>
        <v>20.382857089151276</v>
      </c>
      <c r="V52" s="780">
        <f t="shared" ref="V52" si="53">IF($C$5&gt;$B$5,($C$5-$B$5)*U535,0)</f>
        <v>21.56250670407784</v>
      </c>
      <c r="W52" s="780">
        <f t="shared" ref="W52" si="54">IF($C$5&gt;$B$5,($C$5-$B$5)*V535,0)</f>
        <v>22.814440669410335</v>
      </c>
      <c r="X52" s="780">
        <f t="shared" ref="X52" si="55">IF($C$5&gt;$B$5,($C$5-$B$5)*W535,0)</f>
        <v>24.142136814686012</v>
      </c>
      <c r="Y52" s="781">
        <f t="shared" ref="Y52" si="56">IF($C$5&gt;$B$5,($C$5-$B$5)*X535,0)</f>
        <v>25.549175247421399</v>
      </c>
      <c r="Z52" s="782">
        <f t="shared" ref="Z52" si="57">IF($C$5&gt;$B$5,($C$5-$B$5)*Y535,0)</f>
        <v>27.039239530601542</v>
      </c>
      <c r="AA52" s="780">
        <f t="shared" ref="AA52" si="58">IF($C$5&gt;$B$5,($C$5-$B$5)*Z535,0)</f>
        <v>28.620747034243404</v>
      </c>
      <c r="AB52" s="780">
        <f t="shared" ref="AB52" si="59">IF($C$5&gt;$B$5,($C$5-$B$5)*AA535,0)</f>
        <v>30.297832899152603</v>
      </c>
      <c r="AC52" s="780">
        <f t="shared" ref="AC52" si="60">IF($C$5&gt;$B$5,($C$5-$B$5)*AB535,0)</f>
        <v>32.074721942842451</v>
      </c>
      <c r="AD52" s="780">
        <f t="shared" ref="AD52" si="61">IF($C$5&gt;$B$5,($C$5-$B$5)*AC535,0)</f>
        <v>33.955728473829772</v>
      </c>
      <c r="AE52" s="780">
        <f t="shared" ref="AE52" si="62">IF($C$5&gt;$B$5,($C$5-$B$5)*AD535,0)</f>
        <v>35.945256397317038</v>
      </c>
      <c r="AF52" s="780">
        <f t="shared" ref="AF52" si="63">IF($C$5&gt;$B$5,($C$5-$B$5)*AE535,0)</f>
        <v>38.047799652671507</v>
      </c>
      <c r="AG52" s="780">
        <f t="shared" ref="AG52" si="64">IF($C$5&gt;$B$5,($C$5-$B$5)*AF535,0)</f>
        <v>40.267943023083284</v>
      </c>
      <c r="AH52" s="780">
        <f t="shared" ref="AH52" si="65">IF($C$5&gt;$B$5,($C$5-$B$5)*AG535,0)</f>
        <v>42.61036335749322</v>
      </c>
      <c r="AI52" s="780">
        <f t="shared" ref="AI52" si="66">IF($C$5&gt;$B$5,($C$5-$B$5)*AH535,0)</f>
        <v>45.079831244328588</v>
      </c>
      <c r="AJ52" s="780">
        <f t="shared" ref="AJ52" si="67">IF($C$5&gt;$B$5,($C$5-$B$5)*AI535,0)</f>
        <v>47.68121317577463</v>
      </c>
      <c r="AK52" s="781">
        <f t="shared" ref="AK52" si="68">IF($C$5&gt;$B$5,($C$5-$B$5)*AJ535,0)</f>
        <v>50.419474240248832</v>
      </c>
      <c r="AL52" s="782">
        <f t="shared" ref="AL52" si="69">IF($C$5&gt;$B$5,($C$5-$B$5)*AK535,0)</f>
        <v>53.299681379443584</v>
      </c>
      <c r="AM52" s="780">
        <f t="shared" ref="AM52" si="70">IF($C$5&gt;$B$5,($C$5-$B$5)*AL535,0)</f>
        <v>56.327007244772894</v>
      </c>
      <c r="AN52" s="780">
        <f t="shared" ref="AN52" si="71">IF($C$5&gt;$B$5,($C$5-$B$5)*AM535,0)</f>
        <v>59.506734686316534</v>
      </c>
      <c r="AO52" s="780">
        <f t="shared" ref="AO52" si="72">IF($C$5&gt;$B$5,($C$5-$B$5)*AN535,0)</f>
        <v>62.844261905417305</v>
      </c>
      <c r="AP52" s="780">
        <f t="shared" ref="AP52" si="73">IF($C$5&gt;$B$5,($C$5-$B$5)*AO535,0)</f>
        <v>66.345108299975465</v>
      </c>
      <c r="AQ52" s="780">
        <f t="shared" ref="AQ52" si="74">IF($C$5&gt;$B$5,($C$5-$B$5)*AP535,0)</f>
        <v>70.014921029220602</v>
      </c>
      <c r="AR52" s="780">
        <f t="shared" ref="AR52" si="75">IF($C$5&gt;$B$5,($C$5-$B$5)*AQ535,0)</f>
        <v>73.859482322350189</v>
      </c>
      <c r="AS52" s="780">
        <f t="shared" ref="AS52" si="76">IF($C$5&gt;$B$5,($C$5-$B$5)*AR535,0)</f>
        <v>77.884717552932145</v>
      </c>
      <c r="AT52" s="780">
        <f t="shared" ref="AT52" si="77">IF($C$5&gt;$B$5,($C$5-$B$5)*AS535,0)</f>
        <v>82.096704098404587</v>
      </c>
      <c r="AU52" s="780">
        <f t="shared" ref="AU52" si="78">IF($C$5&gt;$B$5,($C$5-$B$5)*AT535,0)</f>
        <v>86.50168100139652</v>
      </c>
      <c r="AV52" s="780">
        <f t="shared" ref="AV52" si="79">IF($C$5&gt;$B$5,($C$5-$B$5)*AU535,0)</f>
        <v>91.106059446971614</v>
      </c>
      <c r="AW52" s="781">
        <f t="shared" ref="AW52" si="80">IF($C$5&gt;$B$5,($C$5-$B$5)*AV535,0)</f>
        <v>95.916434067290723</v>
      </c>
      <c r="AX52" s="782">
        <f t="shared" ref="AX52" si="81">IF($C$5&gt;$B$5,($C$5-$B$5)*AW535,0)</f>
        <v>100.93959508263039</v>
      </c>
      <c r="AY52" s="780">
        <f t="shared" ref="AY52" si="82">IF($C$5&gt;$B$5,($C$5-$B$5)*AX535,0)</f>
        <v>106.18254128521424</v>
      </c>
      <c r="AZ52" s="780">
        <f t="shared" ref="AZ52" si="83">IF($C$5&gt;$B$5,($C$5-$B$5)*AY535,0)</f>
        <v>111.652493869941</v>
      </c>
      <c r="BA52" s="780">
        <f t="shared" ref="BA52" si="84">IF($C$5&gt;$B$5,($C$5-$B$5)*AZ535,0)</f>
        <v>117.35691111385803</v>
      </c>
      <c r="BB52" s="780">
        <f t="shared" ref="BB52" si="85">IF($C$5&gt;$B$5,($C$5-$B$5)*BA535,0)</f>
        <v>123.30350390415934</v>
      </c>
      <c r="BC52" s="780">
        <f t="shared" ref="BC52" si="86">IF($C$5&gt;$B$5,($C$5-$B$5)*BB535,0)</f>
        <v>129.50025211260953</v>
      </c>
      <c r="BD52" s="780">
        <f t="shared" ref="BD52" si="87">IF($C$5&gt;$B$5,($C$5-$B$5)*BC535,0)</f>
        <v>135.95542181263551</v>
      </c>
      <c r="BE52" s="780">
        <f t="shared" ref="BE52" si="88">IF($C$5&gt;$B$5,($C$5-$B$5)*BD535,0)</f>
        <v>142.6775833339081</v>
      </c>
      <c r="BF52" s="780">
        <f t="shared" ref="BF52" si="89">IF($C$5&gt;$B$5,($C$5-$B$5)*BE535,0)</f>
        <v>149.67563014807735</v>
      </c>
      <c r="BG52" s="780">
        <f t="shared" ref="BG52" si="90">IF($C$5&gt;$B$5,($C$5-$B$5)*BF535,0)</f>
        <v>156.95879857844696</v>
      </c>
      <c r="BH52" s="780">
        <f t="shared" ref="BH52" si="91">IF($C$5&gt;$B$5,($C$5-$B$5)*BG535,0)</f>
        <v>164.53668832579072</v>
      </c>
      <c r="BI52" s="781">
        <f t="shared" ref="BI52" si="92">IF($C$5&gt;$B$5,($C$5-$B$5)*BH535,0)</f>
        <v>172.4192838022386</v>
      </c>
    </row>
    <row r="53" spans="1:61" s="780" customFormat="1" hidden="1" outlineLevel="1">
      <c r="A53" s="780" t="str">
        <f>$A$536</f>
        <v>Leads</v>
      </c>
      <c r="C53" s="780">
        <f>IF($C$5&gt;$B$5,($C$5-$B$5)*B536,0)</f>
        <v>20</v>
      </c>
      <c r="D53" s="780">
        <f t="shared" ref="D53:BI53" si="93">IF($C$5&gt;$B$5,($C$5-$B$5)*C536,0)</f>
        <v>20.8</v>
      </c>
      <c r="E53" s="780">
        <f t="shared" si="93"/>
        <v>21.632000000000001</v>
      </c>
      <c r="F53" s="780">
        <f t="shared" si="93"/>
        <v>22.497280000000003</v>
      </c>
      <c r="G53" s="780">
        <f t="shared" si="93"/>
        <v>23.397171200000006</v>
      </c>
      <c r="H53" s="780">
        <f t="shared" si="93"/>
        <v>24.333058048000009</v>
      </c>
      <c r="I53" s="780">
        <f t="shared" si="93"/>
        <v>25.30638036992001</v>
      </c>
      <c r="J53" s="780">
        <f t="shared" si="93"/>
        <v>26.318635584716812</v>
      </c>
      <c r="K53" s="780">
        <f t="shared" si="93"/>
        <v>27.371381008105487</v>
      </c>
      <c r="L53" s="780">
        <f t="shared" si="93"/>
        <v>28.466236248429709</v>
      </c>
      <c r="M53" s="781">
        <f t="shared" si="93"/>
        <v>29.6048856983669</v>
      </c>
      <c r="N53" s="782">
        <f t="shared" si="93"/>
        <v>30.789081126301578</v>
      </c>
      <c r="O53" s="780">
        <f t="shared" si="93"/>
        <v>32.02064437135364</v>
      </c>
      <c r="P53" s="780">
        <f t="shared" si="93"/>
        <v>33.301470146207784</v>
      </c>
      <c r="Q53" s="780">
        <f t="shared" si="93"/>
        <v>34.633528952056096</v>
      </c>
      <c r="R53" s="780">
        <f t="shared" si="93"/>
        <v>36.018870110138344</v>
      </c>
      <c r="S53" s="780">
        <f t="shared" si="93"/>
        <v>37.45962491454388</v>
      </c>
      <c r="T53" s="780">
        <f t="shared" si="93"/>
        <v>38.958009911125636</v>
      </c>
      <c r="U53" s="780">
        <f t="shared" si="93"/>
        <v>40.516330307570662</v>
      </c>
      <c r="V53" s="780">
        <f t="shared" si="93"/>
        <v>42.136983519873489</v>
      </c>
      <c r="W53" s="780">
        <f t="shared" si="93"/>
        <v>43.822462860668423</v>
      </c>
      <c r="X53" s="780">
        <f t="shared" si="93"/>
        <v>45.57536137509517</v>
      </c>
      <c r="Y53" s="781">
        <f t="shared" si="93"/>
        <v>47.398375830098978</v>
      </c>
      <c r="Z53" s="782">
        <f t="shared" si="93"/>
        <v>49.29431086330294</v>
      </c>
      <c r="AA53" s="780">
        <f t="shared" si="93"/>
        <v>51.26608329783506</v>
      </c>
      <c r="AB53" s="780">
        <f t="shared" si="93"/>
        <v>53.316726629748466</v>
      </c>
      <c r="AC53" s="780">
        <f t="shared" si="93"/>
        <v>55.44939569493841</v>
      </c>
      <c r="AD53" s="780">
        <f t="shared" si="93"/>
        <v>57.667371522735948</v>
      </c>
      <c r="AE53" s="780">
        <f t="shared" si="93"/>
        <v>59.974066383645386</v>
      </c>
      <c r="AF53" s="780">
        <f t="shared" si="93"/>
        <v>62.373029038991206</v>
      </c>
      <c r="AG53" s="780">
        <f t="shared" si="93"/>
        <v>64.867950200550851</v>
      </c>
      <c r="AH53" s="780">
        <f t="shared" si="93"/>
        <v>67.462668208572893</v>
      </c>
      <c r="AI53" s="780">
        <f t="shared" si="93"/>
        <v>70.161174936915813</v>
      </c>
      <c r="AJ53" s="780">
        <f t="shared" si="93"/>
        <v>72.967621934392454</v>
      </c>
      <c r="AK53" s="781">
        <f t="shared" si="93"/>
        <v>75.886326811768157</v>
      </c>
      <c r="AL53" s="782">
        <f t="shared" si="93"/>
        <v>78.921779884238887</v>
      </c>
      <c r="AM53" s="780">
        <f t="shared" si="93"/>
        <v>82.078651079608449</v>
      </c>
      <c r="AN53" s="780">
        <f t="shared" si="93"/>
        <v>85.361797122792794</v>
      </c>
      <c r="AO53" s="780">
        <f t="shared" si="93"/>
        <v>88.776269007704514</v>
      </c>
      <c r="AP53" s="780">
        <f t="shared" si="93"/>
        <v>92.3273197680127</v>
      </c>
      <c r="AQ53" s="780">
        <f t="shared" si="93"/>
        <v>96.020412558733199</v>
      </c>
      <c r="AR53" s="780">
        <f t="shared" si="93"/>
        <v>99.86122906108254</v>
      </c>
      <c r="AS53" s="780">
        <f t="shared" si="93"/>
        <v>103.85567822352584</v>
      </c>
      <c r="AT53" s="780">
        <f t="shared" si="93"/>
        <v>108.00990535246689</v>
      </c>
      <c r="AU53" s="780">
        <f t="shared" si="93"/>
        <v>112.33030156656557</v>
      </c>
      <c r="AV53" s="780">
        <f t="shared" si="93"/>
        <v>116.82351362922816</v>
      </c>
      <c r="AW53" s="781">
        <f t="shared" si="93"/>
        <v>121.4964541743973</v>
      </c>
      <c r="AX53" s="782">
        <f t="shared" si="93"/>
        <v>126.3563123413732</v>
      </c>
      <c r="AY53" s="780">
        <f t="shared" si="93"/>
        <v>131.41056483502814</v>
      </c>
      <c r="AZ53" s="780">
        <f t="shared" si="93"/>
        <v>136.66698742842928</v>
      </c>
      <c r="BA53" s="780">
        <f t="shared" si="93"/>
        <v>142.13366692556644</v>
      </c>
      <c r="BB53" s="780">
        <f t="shared" si="93"/>
        <v>147.81901360258911</v>
      </c>
      <c r="BC53" s="780">
        <f t="shared" si="93"/>
        <v>153.73177414669269</v>
      </c>
      <c r="BD53" s="780">
        <f t="shared" si="93"/>
        <v>159.8810451125604</v>
      </c>
      <c r="BE53" s="780">
        <f t="shared" si="93"/>
        <v>166.27628691706283</v>
      </c>
      <c r="BF53" s="780">
        <f t="shared" si="93"/>
        <v>172.92733839374537</v>
      </c>
      <c r="BG53" s="780">
        <f t="shared" si="93"/>
        <v>179.84443192949519</v>
      </c>
      <c r="BH53" s="780">
        <f t="shared" si="93"/>
        <v>187.03820920667494</v>
      </c>
      <c r="BI53" s="781">
        <f t="shared" si="93"/>
        <v>194.51973757494193</v>
      </c>
    </row>
    <row r="54" spans="1:61" s="780" customFormat="1" hidden="1" outlineLevel="1">
      <c r="A54" s="780" t="str">
        <f>$A$537</f>
        <v>Audits</v>
      </c>
      <c r="C54" s="780">
        <f t="shared" ref="C54:BI54" si="94">IF($C$5&gt;$B$5,($C$5-$B$5)*B537,0)</f>
        <v>7.8466960352422905</v>
      </c>
      <c r="D54" s="780">
        <f t="shared" si="94"/>
        <v>8.1805560257268723</v>
      </c>
      <c r="E54" s="780">
        <f t="shared" si="94"/>
        <v>8.556158139083367</v>
      </c>
      <c r="F54" s="780">
        <f t="shared" si="94"/>
        <v>8.9523024684242678</v>
      </c>
      <c r="G54" s="780">
        <f t="shared" si="94"/>
        <v>9.3702787716763911</v>
      </c>
      <c r="H54" s="780">
        <f t="shared" si="94"/>
        <v>9.811453812672589</v>
      </c>
      <c r="I54" s="780">
        <f t="shared" si="94"/>
        <v>10.277273093546537</v>
      </c>
      <c r="J54" s="780">
        <f t="shared" si="94"/>
        <v>10.769262132442826</v>
      </c>
      <c r="K54" s="780">
        <f t="shared" si="94"/>
        <v>11.289027268145146</v>
      </c>
      <c r="L54" s="780">
        <f t="shared" si="94"/>
        <v>11.838255995812663</v>
      </c>
      <c r="M54" s="781">
        <f t="shared" si="94"/>
        <v>12.418716863200714</v>
      </c>
      <c r="N54" s="782">
        <f t="shared" si="94"/>
        <v>13.032258982971491</v>
      </c>
      <c r="O54" s="780">
        <f t="shared" si="94"/>
        <v>13.681748513642187</v>
      </c>
      <c r="P54" s="780">
        <f t="shared" si="94"/>
        <v>14.367753613373562</v>
      </c>
      <c r="Q54" s="780">
        <f t="shared" si="94"/>
        <v>15.094450719778326</v>
      </c>
      <c r="R54" s="780">
        <f t="shared" si="94"/>
        <v>15.864274704794562</v>
      </c>
      <c r="S54" s="780">
        <f t="shared" si="94"/>
        <v>16.679756380011042</v>
      </c>
      <c r="T54" s="780">
        <f t="shared" si="94"/>
        <v>17.543519083999907</v>
      </c>
      <c r="U54" s="780">
        <f t="shared" si="94"/>
        <v>18.458274953232511</v>
      </c>
      <c r="V54" s="780">
        <f t="shared" si="94"/>
        <v>19.426821075192013</v>
      </c>
      <c r="W54" s="780">
        <f t="shared" si="94"/>
        <v>20.452035738521069</v>
      </c>
      <c r="X54" s="780">
        <f t="shared" si="94"/>
        <v>21.536874999893016</v>
      </c>
      <c r="Y54" s="781">
        <f t="shared" si="94"/>
        <v>22.68436978011453</v>
      </c>
      <c r="Z54" s="782">
        <f t="shared" si="94"/>
        <v>23.897623683136111</v>
      </c>
      <c r="AA54" s="780">
        <f t="shared" si="94"/>
        <v>25.181305860088621</v>
      </c>
      <c r="AB54" s="780">
        <f t="shared" si="94"/>
        <v>26.509539923847804</v>
      </c>
      <c r="AC54" s="780">
        <f t="shared" si="94"/>
        <v>27.911267150389076</v>
      </c>
      <c r="AD54" s="780">
        <f t="shared" si="94"/>
        <v>29.389855755030599</v>
      </c>
      <c r="AE54" s="780">
        <f t="shared" si="94"/>
        <v>30.948754132327405</v>
      </c>
      <c r="AF54" s="780">
        <f t="shared" si="94"/>
        <v>32.591491812026852</v>
      </c>
      <c r="AG54" s="780">
        <f t="shared" si="94"/>
        <v>34.321681088998503</v>
      </c>
      <c r="AH54" s="780">
        <f t="shared" si="94"/>
        <v>36.143019351142293</v>
      </c>
      <c r="AI54" s="780">
        <f t="shared" si="94"/>
        <v>38.059292115999952</v>
      </c>
      <c r="AJ54" s="780">
        <f t="shared" si="94"/>
        <v>40.074376775040108</v>
      </c>
      <c r="AK54" s="781">
        <f t="shared" si="94"/>
        <v>42.192247034738458</v>
      </c>
      <c r="AL54" s="782">
        <f t="shared" si="94"/>
        <v>44.416978035864261</v>
      </c>
      <c r="AM54" s="780">
        <f t="shared" si="94"/>
        <v>46.752752126886328</v>
      </c>
      <c r="AN54" s="780">
        <f t="shared" si="94"/>
        <v>49.082921316266599</v>
      </c>
      <c r="AO54" s="780">
        <f t="shared" si="94"/>
        <v>51.522543979321924</v>
      </c>
      <c r="AP54" s="780">
        <f t="shared" si="94"/>
        <v>54.075800070640085</v>
      </c>
      <c r="AQ54" s="780">
        <f t="shared" si="94"/>
        <v>56.746994933802739</v>
      </c>
      <c r="AR54" s="780">
        <f t="shared" si="94"/>
        <v>59.54056513100376</v>
      </c>
      <c r="AS54" s="780">
        <f t="shared" si="94"/>
        <v>62.461084744125536</v>
      </c>
      <c r="AT54" s="780">
        <f t="shared" si="94"/>
        <v>65.513272160718657</v>
      </c>
      <c r="AU54" s="780">
        <f t="shared" si="94"/>
        <v>68.701997357177731</v>
      </c>
      <c r="AV54" s="780">
        <f t="shared" si="94"/>
        <v>72.032289690276642</v>
      </c>
      <c r="AW54" s="781">
        <f t="shared" si="94"/>
        <v>75.509346207129425</v>
      </c>
      <c r="AX54" s="782">
        <f t="shared" si="94"/>
        <v>79.138540482595928</v>
      </c>
      <c r="AY54" s="780">
        <f t="shared" si="94"/>
        <v>82.925431992167518</v>
      </c>
      <c r="AZ54" s="780">
        <f t="shared" si="94"/>
        <v>86.935804010940174</v>
      </c>
      <c r="BA54" s="780">
        <f t="shared" si="94"/>
        <v>91.123783284069106</v>
      </c>
      <c r="BB54" s="780">
        <f t="shared" si="94"/>
        <v>95.496160724226385</v>
      </c>
      <c r="BC54" s="780">
        <f t="shared" si="94"/>
        <v>100.05998218264438</v>
      </c>
      <c r="BD54" s="780">
        <f t="shared" si="94"/>
        <v>104.82256133405527</v>
      </c>
      <c r="BE54" s="780">
        <f t="shared" si="94"/>
        <v>109.79149321021407</v>
      </c>
      <c r="BF54" s="780">
        <f t="shared" si="94"/>
        <v>114.97466839244403</v>
      </c>
      <c r="BG54" s="780">
        <f t="shared" si="94"/>
        <v>120.38028787332333</v>
      </c>
      <c r="BH54" s="780">
        <f t="shared" si="94"/>
        <v>126.01687859744271</v>
      </c>
      <c r="BI54" s="781">
        <f t="shared" si="94"/>
        <v>131.89330969112427</v>
      </c>
    </row>
    <row r="55" spans="1:61" s="780" customFormat="1" hidden="1" outlineLevel="1">
      <c r="A55" s="780" t="str">
        <f>$A$538</f>
        <v>Retrofit</v>
      </c>
      <c r="C55" s="780">
        <f t="shared" ref="C55:BI55" si="95">IF($C$5&gt;$B$5,($C$5-$B$5)*B538,0)</f>
        <v>3.2741145374449339</v>
      </c>
      <c r="D55" s="780">
        <f t="shared" si="95"/>
        <v>3.4211429613668018</v>
      </c>
      <c r="E55" s="780">
        <f t="shared" si="95"/>
        <v>3.6089747928733105</v>
      </c>
      <c r="F55" s="780">
        <f t="shared" si="95"/>
        <v>3.80943356172375</v>
      </c>
      <c r="G55" s="780">
        <f t="shared" si="95"/>
        <v>4.023495407635</v>
      </c>
      <c r="H55" s="780">
        <f t="shared" si="95"/>
        <v>4.2522035025469851</v>
      </c>
      <c r="I55" s="780">
        <f t="shared" si="95"/>
        <v>4.4966691121698661</v>
      </c>
      <c r="J55" s="780">
        <f t="shared" si="95"/>
        <v>4.7580720961942786</v>
      </c>
      <c r="K55" s="780">
        <f t="shared" si="95"/>
        <v>5.0376608331454982</v>
      </c>
      <c r="L55" s="780">
        <f t="shared" si="95"/>
        <v>5.3367515834608863</v>
      </c>
      <c r="M55" s="781">
        <f t="shared" si="95"/>
        <v>5.6567273345837759</v>
      </c>
      <c r="N55" s="782">
        <f t="shared" si="95"/>
        <v>5.9990362027609887</v>
      </c>
      <c r="O55" s="780">
        <f t="shared" si="95"/>
        <v>6.3656710756275423</v>
      </c>
      <c r="P55" s="780">
        <f t="shared" si="95"/>
        <v>6.7527905497767229</v>
      </c>
      <c r="Q55" s="780">
        <f t="shared" si="95"/>
        <v>7.1679946156961591</v>
      </c>
      <c r="R55" s="780">
        <f t="shared" si="95"/>
        <v>7.6132687220703144</v>
      </c>
      <c r="S55" s="780">
        <f t="shared" si="95"/>
        <v>8.0906802436821312</v>
      </c>
      <c r="T55" s="780">
        <f t="shared" si="95"/>
        <v>8.6023733713231554</v>
      </c>
      <c r="U55" s="780">
        <f t="shared" si="95"/>
        <v>9.1505635635964193</v>
      </c>
      <c r="V55" s="780">
        <f t="shared" si="95"/>
        <v>9.7375318038296879</v>
      </c>
      <c r="W55" s="780">
        <f t="shared" si="95"/>
        <v>10.365618926205418</v>
      </c>
      <c r="X55" s="780">
        <f t="shared" si="95"/>
        <v>11.037220281947453</v>
      </c>
      <c r="Y55" s="781">
        <f t="shared" si="95"/>
        <v>11.754781008099396</v>
      </c>
      <c r="Z55" s="782">
        <f t="shared" si="95"/>
        <v>12.520792138493604</v>
      </c>
      <c r="AA55" s="780">
        <f t="shared" si="95"/>
        <v>13.338724403473293</v>
      </c>
      <c r="AB55" s="780">
        <f t="shared" si="95"/>
        <v>14.173899457244383</v>
      </c>
      <c r="AC55" s="780">
        <f t="shared" si="95"/>
        <v>15.06160093928195</v>
      </c>
      <c r="AD55" s="780">
        <f t="shared" si="95"/>
        <v>16.004396182835173</v>
      </c>
      <c r="AE55" s="780">
        <f t="shared" si="95"/>
        <v>17.004903510314108</v>
      </c>
      <c r="AF55" s="780">
        <f t="shared" si="95"/>
        <v>18.065792108500531</v>
      </c>
      <c r="AG55" s="780">
        <f t="shared" si="95"/>
        <v>19.189782637475492</v>
      </c>
      <c r="AH55" s="780">
        <f t="shared" si="95"/>
        <v>20.379648596658086</v>
      </c>
      <c r="AI55" s="780">
        <f t="shared" si="95"/>
        <v>21.638218454438508</v>
      </c>
      <c r="AJ55" s="780">
        <f t="shared" si="95"/>
        <v>22.968378532837651</v>
      </c>
      <c r="AK55" s="781">
        <f t="shared" si="95"/>
        <v>24.373076625940293</v>
      </c>
      <c r="AL55" s="782">
        <f t="shared" si="95"/>
        <v>25.855326320842856</v>
      </c>
      <c r="AM55" s="780">
        <f t="shared" si="95"/>
        <v>27.418211982649215</v>
      </c>
      <c r="AN55" s="780">
        <f t="shared" si="95"/>
        <v>28.912823637439345</v>
      </c>
      <c r="AO55" s="780">
        <f t="shared" si="95"/>
        <v>30.481264211401022</v>
      </c>
      <c r="AP55" s="780">
        <f t="shared" si="95"/>
        <v>32.126375520474461</v>
      </c>
      <c r="AQ55" s="780">
        <f t="shared" si="95"/>
        <v>33.851080131654975</v>
      </c>
      <c r="AR55" s="780">
        <f t="shared" si="95"/>
        <v>35.658385333026132</v>
      </c>
      <c r="AS55" s="780">
        <f t="shared" si="95"/>
        <v>37.551387467022387</v>
      </c>
      <c r="AT55" s="780">
        <f t="shared" si="95"/>
        <v>39.533276635822467</v>
      </c>
      <c r="AU55" s="780">
        <f t="shared" si="95"/>
        <v>41.60734178665394</v>
      </c>
      <c r="AV55" s="780">
        <f t="shared" si="95"/>
        <v>43.776976183702011</v>
      </c>
      <c r="AW55" s="781">
        <f t="shared" si="95"/>
        <v>46.045683272271312</v>
      </c>
      <c r="AX55" s="782">
        <f t="shared" si="95"/>
        <v>48.41708293986165</v>
      </c>
      <c r="AY55" s="780">
        <f t="shared" si="95"/>
        <v>50.89491817790028</v>
      </c>
      <c r="AZ55" s="780">
        <f t="shared" si="95"/>
        <v>53.556983193725586</v>
      </c>
      <c r="BA55" s="780">
        <f t="shared" si="95"/>
        <v>56.343717835443009</v>
      </c>
      <c r="BB55" s="780">
        <f t="shared" si="95"/>
        <v>59.260074497857936</v>
      </c>
      <c r="BC55" s="780">
        <f t="shared" si="95"/>
        <v>62.311194953542106</v>
      </c>
      <c r="BD55" s="780">
        <f t="shared" si="95"/>
        <v>65.502420125122512</v>
      </c>
      <c r="BE55" s="780">
        <f t="shared" si="95"/>
        <v>68.839300373543765</v>
      </c>
      <c r="BF55" s="780">
        <f t="shared" si="95"/>
        <v>72.327606311310603</v>
      </c>
      <c r="BG55" s="780">
        <f t="shared" si="95"/>
        <v>75.973340149399419</v>
      </c>
      <c r="BH55" s="780">
        <f t="shared" si="95"/>
        <v>79.782747586318379</v>
      </c>
      <c r="BI55" s="781">
        <f t="shared" si="95"/>
        <v>83.762330247704412</v>
      </c>
    </row>
    <row r="56" spans="1:61" s="780" customFormat="1" hidden="1" outlineLevel="1">
      <c r="A56" s="780" t="str">
        <f>$A$539</f>
        <v>Revenue</v>
      </c>
      <c r="C56" s="780">
        <f t="shared" ref="C56:BI56" si="96">IF($C$5&gt;$B$5,($C$5-$B$5)*B539,0)</f>
        <v>20728.933920704847</v>
      </c>
      <c r="D56" s="780">
        <f t="shared" si="96"/>
        <v>22334.796424579898</v>
      </c>
      <c r="E56" s="780">
        <f t="shared" si="96"/>
        <v>24261.379157843236</v>
      </c>
      <c r="F56" s="780">
        <f t="shared" si="96"/>
        <v>27109.041527058151</v>
      </c>
      <c r="G56" s="780">
        <f t="shared" si="96"/>
        <v>29411.012063918617</v>
      </c>
      <c r="H56" s="780">
        <f t="shared" si="96"/>
        <v>31904.731979940196</v>
      </c>
      <c r="I56" s="780">
        <f t="shared" si="96"/>
        <v>34157.516935543477</v>
      </c>
      <c r="J56" s="780">
        <f t="shared" si="96"/>
        <v>36585.144030160183</v>
      </c>
      <c r="K56" s="780">
        <f t="shared" si="96"/>
        <v>39202.024549786183</v>
      </c>
      <c r="L56" s="780">
        <f t="shared" si="96"/>
        <v>41489.907780370268</v>
      </c>
      <c r="M56" s="781">
        <f t="shared" si="96"/>
        <v>43934.936399734994</v>
      </c>
      <c r="N56" s="782">
        <f t="shared" si="96"/>
        <v>46547.932291314006</v>
      </c>
      <c r="O56" s="780">
        <f t="shared" si="96"/>
        <v>48812.622611071754</v>
      </c>
      <c r="P56" s="780">
        <f t="shared" si="96"/>
        <v>51746.745047763237</v>
      </c>
      <c r="Q56" s="780">
        <f t="shared" si="96"/>
        <v>54891.491572423707</v>
      </c>
      <c r="R56" s="780">
        <f t="shared" si="96"/>
        <v>58261.704056497998</v>
      </c>
      <c r="S56" s="780">
        <f t="shared" si="96"/>
        <v>61872.837706819933</v>
      </c>
      <c r="T56" s="780">
        <f t="shared" si="96"/>
        <v>65740.922877654608</v>
      </c>
      <c r="U56" s="780">
        <f t="shared" si="96"/>
        <v>69882.52360507095</v>
      </c>
      <c r="V56" s="780">
        <f t="shared" si="96"/>
        <v>74314.694687467563</v>
      </c>
      <c r="W56" s="780">
        <f t="shared" si="96"/>
        <v>79054.939292696072</v>
      </c>
      <c r="X56" s="780">
        <f t="shared" si="96"/>
        <v>84121.169122674793</v>
      </c>
      <c r="Y56" s="781">
        <f t="shared" si="96"/>
        <v>89531.669104034416</v>
      </c>
      <c r="Z56" s="782">
        <f t="shared" si="96"/>
        <v>95305.068401244935</v>
      </c>
      <c r="AA56" s="780">
        <f t="shared" si="96"/>
        <v>101467.05911812153</v>
      </c>
      <c r="AB56" s="780">
        <f t="shared" si="96"/>
        <v>107757.45533319093</v>
      </c>
      <c r="AC56" s="780">
        <f t="shared" si="96"/>
        <v>114440.84237520174</v>
      </c>
      <c r="AD56" s="780">
        <f t="shared" si="96"/>
        <v>121536.40957263115</v>
      </c>
      <c r="AE56" s="780">
        <f t="shared" si="96"/>
        <v>129063.73094559579</v>
      </c>
      <c r="AF56" s="780">
        <f t="shared" si="96"/>
        <v>137042.76458890198</v>
      </c>
      <c r="AG56" s="780">
        <f t="shared" si="96"/>
        <v>145493.85755130055</v>
      </c>
      <c r="AH56" s="780">
        <f t="shared" si="96"/>
        <v>154437.75638435522</v>
      </c>
      <c r="AI56" s="780">
        <f t="shared" si="96"/>
        <v>163895.6234075159</v>
      </c>
      <c r="AJ56" s="780">
        <f t="shared" si="96"/>
        <v>173889.05862314338</v>
      </c>
      <c r="AK56" s="781">
        <f t="shared" si="96"/>
        <v>184440.12712015139</v>
      </c>
      <c r="AL56" s="782">
        <f t="shared" si="96"/>
        <v>195571.39172995961</v>
      </c>
      <c r="AM56" s="780">
        <f t="shared" si="96"/>
        <v>207305.95064449144</v>
      </c>
      <c r="AN56" s="780">
        <f t="shared" si="96"/>
        <v>218526.82830504962</v>
      </c>
      <c r="AO56" s="780">
        <f t="shared" si="96"/>
        <v>230299.88241457404</v>
      </c>
      <c r="AP56" s="780">
        <f t="shared" si="96"/>
        <v>242646.40643380623</v>
      </c>
      <c r="AQ56" s="780">
        <f t="shared" si="96"/>
        <v>255588.30467884589</v>
      </c>
      <c r="AR56" s="780">
        <f t="shared" si="96"/>
        <v>269148.12221054058</v>
      </c>
      <c r="AS56" s="780">
        <f t="shared" si="96"/>
        <v>283349.07742205792</v>
      </c>
      <c r="AT56" s="780">
        <f t="shared" si="96"/>
        <v>298215.09739075514</v>
      </c>
      <c r="AU56" s="780">
        <f t="shared" si="96"/>
        <v>313770.85605224856</v>
      </c>
      <c r="AV56" s="780">
        <f t="shared" si="96"/>
        <v>330041.81524662836</v>
      </c>
      <c r="AW56" s="781">
        <f t="shared" si="96"/>
        <v>347054.26867913263</v>
      </c>
      <c r="AX56" s="782">
        <f t="shared" si="96"/>
        <v>364835.38883039018</v>
      </c>
      <c r="AY56" s="780">
        <f t="shared" si="96"/>
        <v>383413.276844654</v>
      </c>
      <c r="AZ56" s="780">
        <f t="shared" si="96"/>
        <v>403371.48329652392</v>
      </c>
      <c r="BA56" s="780">
        <f t="shared" si="96"/>
        <v>424263.29435980099</v>
      </c>
      <c r="BB56" s="780">
        <f t="shared" si="96"/>
        <v>446125.89776019694</v>
      </c>
      <c r="BC56" s="780">
        <f t="shared" si="96"/>
        <v>468997.90641248098</v>
      </c>
      <c r="BD56" s="780">
        <f t="shared" si="96"/>
        <v>492919.43151605618</v>
      </c>
      <c r="BE56" s="780">
        <f t="shared" si="96"/>
        <v>517932.15949957783</v>
      </c>
      <c r="BF56" s="780">
        <f t="shared" si="96"/>
        <v>544079.43288376636</v>
      </c>
      <c r="BG56" s="780">
        <f t="shared" si="96"/>
        <v>571406.3351293155</v>
      </c>
      <c r="BH56" s="780">
        <f t="shared" si="96"/>
        <v>599959.77953534888</v>
      </c>
      <c r="BI56" s="781">
        <f t="shared" si="96"/>
        <v>629788.60225328954</v>
      </c>
    </row>
    <row r="57" spans="1:61" s="780" customFormat="1" hidden="1" outlineLevel="1">
      <c r="A57" s="780" t="str">
        <f>$A$540</f>
        <v>Net Income</v>
      </c>
      <c r="C57" s="780">
        <f t="shared" ref="C57:BI58" si="97">IF($C$5&gt;$B$5,($C$5-$B$5)*B540,0)</f>
        <v>-33184.964170807638</v>
      </c>
      <c r="D57" s="780">
        <f t="shared" si="97"/>
        <v>-14837.14568100147</v>
      </c>
      <c r="E57" s="780">
        <f t="shared" si="97"/>
        <v>-14268.717003781454</v>
      </c>
      <c r="F57" s="780">
        <f t="shared" si="97"/>
        <v>-13405.013342705901</v>
      </c>
      <c r="G57" s="780">
        <f t="shared" si="97"/>
        <v>-12685.072540306182</v>
      </c>
      <c r="H57" s="780">
        <f t="shared" si="97"/>
        <v>-17604.404805924125</v>
      </c>
      <c r="I57" s="780">
        <f t="shared" si="97"/>
        <v>-15156.124616524507</v>
      </c>
      <c r="J57" s="780">
        <f t="shared" si="97"/>
        <v>-13971.31609512752</v>
      </c>
      <c r="K57" s="780">
        <f t="shared" si="97"/>
        <v>-13027.555718246989</v>
      </c>
      <c r="L57" s="780">
        <f t="shared" si="97"/>
        <v>-12167.444211420123</v>
      </c>
      <c r="M57" s="781">
        <f t="shared" si="97"/>
        <v>-11228.257793696379</v>
      </c>
      <c r="N57" s="782">
        <f t="shared" si="97"/>
        <v>-10203.756141625032</v>
      </c>
      <c r="O57" s="780">
        <f t="shared" si="97"/>
        <v>-8928.9645055486872</v>
      </c>
      <c r="P57" s="780">
        <f t="shared" si="97"/>
        <v>-6565.2951604608934</v>
      </c>
      <c r="Q57" s="780">
        <f t="shared" si="97"/>
        <v>-7951.6323699894165</v>
      </c>
      <c r="R57" s="780">
        <f t="shared" si="97"/>
        <v>-6483.5792380389103</v>
      </c>
      <c r="S57" s="780">
        <f t="shared" si="97"/>
        <v>-5307.1722049655655</v>
      </c>
      <c r="T57" s="780">
        <f t="shared" si="97"/>
        <v>-3966.3475887754175</v>
      </c>
      <c r="U57" s="780">
        <f t="shared" si="97"/>
        <v>-2466.8649492429358</v>
      </c>
      <c r="V57" s="780">
        <f t="shared" si="97"/>
        <v>-826.64406907309967</v>
      </c>
      <c r="W57" s="780">
        <f t="shared" si="97"/>
        <v>-10770.241509529737</v>
      </c>
      <c r="X57" s="780">
        <f t="shared" si="97"/>
        <v>-19174.962642260827</v>
      </c>
      <c r="Y57" s="781">
        <f t="shared" si="97"/>
        <v>-16925.443971653156</v>
      </c>
      <c r="Z57" s="782">
        <f t="shared" si="97"/>
        <v>-25696.207513260568</v>
      </c>
      <c r="AA57" s="780">
        <f t="shared" si="97"/>
        <v>-30466.524333613874</v>
      </c>
      <c r="AB57" s="780">
        <f t="shared" si="97"/>
        <v>-30644.209260269774</v>
      </c>
      <c r="AC57" s="780">
        <f t="shared" si="97"/>
        <v>-25743.81021126837</v>
      </c>
      <c r="AD57" s="780">
        <f t="shared" si="97"/>
        <v>-25374.965354328699</v>
      </c>
      <c r="AE57" s="780">
        <f t="shared" si="97"/>
        <v>-21685.632709168298</v>
      </c>
      <c r="AF57" s="780">
        <f t="shared" si="97"/>
        <v>-17735.699053003482</v>
      </c>
      <c r="AG57" s="780">
        <f t="shared" si="97"/>
        <v>-25824.517795504849</v>
      </c>
      <c r="AH57" s="780">
        <f t="shared" si="97"/>
        <v>-13812.381476188923</v>
      </c>
      <c r="AI57" s="780">
        <f t="shared" si="97"/>
        <v>-15733.807969274916</v>
      </c>
      <c r="AJ57" s="780">
        <f t="shared" si="97"/>
        <v>-12981.108202038886</v>
      </c>
      <c r="AK57" s="781">
        <f t="shared" si="97"/>
        <v>-27659.485752690453</v>
      </c>
      <c r="AL57" s="782">
        <f t="shared" si="97"/>
        <v>-14368.892474155029</v>
      </c>
      <c r="AM57" s="780">
        <f t="shared" si="97"/>
        <v>-16222.784178653252</v>
      </c>
      <c r="AN57" s="780">
        <f t="shared" si="97"/>
        <v>-10757.412118790759</v>
      </c>
      <c r="AO57" s="780">
        <f t="shared" si="97"/>
        <v>-7276.3573668028694</v>
      </c>
      <c r="AP57" s="780">
        <f t="shared" si="97"/>
        <v>-728.33143403028953</v>
      </c>
      <c r="AQ57" s="780">
        <f t="shared" si="97"/>
        <v>-6343.9301669844717</v>
      </c>
      <c r="AR57" s="780">
        <f t="shared" si="97"/>
        <v>2806.545093130655</v>
      </c>
      <c r="AS57" s="780">
        <f t="shared" si="97"/>
        <v>10443.101931745798</v>
      </c>
      <c r="AT57" s="780">
        <f t="shared" si="97"/>
        <v>4256.0741498096177</v>
      </c>
      <c r="AU57" s="780">
        <f t="shared" si="97"/>
        <v>-243.85907681621029</v>
      </c>
      <c r="AV57" s="780">
        <f t="shared" si="97"/>
        <v>8404.3480662194488</v>
      </c>
      <c r="AW57" s="781">
        <f t="shared" si="97"/>
        <v>10505.464546137853</v>
      </c>
      <c r="AX57" s="782">
        <f t="shared" si="97"/>
        <v>5996.34105228525</v>
      </c>
      <c r="AY57" s="780">
        <f t="shared" si="97"/>
        <v>31887.180861373214</v>
      </c>
      <c r="AZ57" s="780">
        <f t="shared" si="97"/>
        <v>30001.697847926363</v>
      </c>
      <c r="BA57" s="780">
        <f t="shared" si="97"/>
        <v>46776.772437808642</v>
      </c>
      <c r="BB57" s="780">
        <f t="shared" si="97"/>
        <v>56453.023504686862</v>
      </c>
      <c r="BC57" s="780">
        <f t="shared" si="97"/>
        <v>34612.048960618442</v>
      </c>
      <c r="BD57" s="780">
        <f t="shared" si="97"/>
        <v>50152.012728689035</v>
      </c>
      <c r="BE57" s="780">
        <f t="shared" si="97"/>
        <v>53675.159443150013</v>
      </c>
      <c r="BF57" s="780">
        <f t="shared" si="97"/>
        <v>65097.243003978132</v>
      </c>
      <c r="BG57" s="780">
        <f t="shared" si="97"/>
        <v>64026.27428619354</v>
      </c>
      <c r="BH57" s="780">
        <f t="shared" si="97"/>
        <v>86851.848491002631</v>
      </c>
      <c r="BI57" s="781">
        <f t="shared" si="97"/>
        <v>91885.359055585635</v>
      </c>
    </row>
    <row r="58" spans="1:61" s="780" customFormat="1" hidden="1" outlineLevel="1">
      <c r="A58" s="780" t="s">
        <v>288</v>
      </c>
      <c r="C58" s="780">
        <f t="shared" si="97"/>
        <v>1850</v>
      </c>
      <c r="D58" s="780">
        <f t="shared" si="97"/>
        <v>1937.1558751999999</v>
      </c>
      <c r="E58" s="780">
        <f t="shared" si="97"/>
        <v>2030.0190587848704</v>
      </c>
      <c r="F58" s="780">
        <f t="shared" si="97"/>
        <v>2128.941218449359</v>
      </c>
      <c r="G58" s="780">
        <f t="shared" si="97"/>
        <v>2234.2900324673633</v>
      </c>
      <c r="H58" s="780">
        <f t="shared" si="97"/>
        <v>2346.4496034726417</v>
      </c>
      <c r="I58" s="780">
        <f t="shared" si="97"/>
        <v>2465.8208731027789</v>
      </c>
      <c r="J58" s="780">
        <f t="shared" si="97"/>
        <v>2592.8220377557409</v>
      </c>
      <c r="K58" s="780">
        <f t="shared" si="97"/>
        <v>2727.8889657926175</v>
      </c>
      <c r="L58" s="780">
        <f t="shared" si="97"/>
        <v>2871.4756166091629</v>
      </c>
      <c r="M58" s="781">
        <f t="shared" si="97"/>
        <v>3024.0544620924302</v>
      </c>
      <c r="N58" s="782">
        <f t="shared" si="97"/>
        <v>3186.1169110768442</v>
      </c>
      <c r="O58" s="780">
        <f t="shared" si="97"/>
        <v>3358.9807376414046</v>
      </c>
      <c r="P58" s="780">
        <f t="shared" si="97"/>
        <v>3543.2416591361321</v>
      </c>
      <c r="Q58" s="780">
        <f t="shared" si="97"/>
        <v>3739.515514961849</v>
      </c>
      <c r="R58" s="780">
        <f t="shared" si="97"/>
        <v>3948.4383904349252</v>
      </c>
      <c r="S58" s="780">
        <f t="shared" si="97"/>
        <v>4170.6667372134807</v>
      </c>
      <c r="T58" s="780">
        <f t="shared" si="97"/>
        <v>4406.877493173627</v>
      </c>
      <c r="U58" s="780">
        <f t="shared" si="97"/>
        <v>4657.7682048703127</v>
      </c>
      <c r="V58" s="780">
        <f t="shared" si="97"/>
        <v>4924.0571559566215</v>
      </c>
      <c r="W58" s="780">
        <f t="shared" si="97"/>
        <v>5206.4835051661303</v>
      </c>
      <c r="X58" s="780">
        <f t="shared" si="97"/>
        <v>5505.8074376836603</v>
      </c>
      <c r="Y58" s="781">
        <f t="shared" si="97"/>
        <v>5822.8103339388172</v>
      </c>
      <c r="Z58" s="782">
        <f t="shared" si="97"/>
        <v>6158.2949600526208</v>
      </c>
      <c r="AA58" s="780">
        <f t="shared" si="97"/>
        <v>6514.1392664878649</v>
      </c>
      <c r="AB58" s="780">
        <f t="shared" si="97"/>
        <v>6891.2420929122554</v>
      </c>
      <c r="AC58" s="780">
        <f t="shared" si="97"/>
        <v>7290.5201481641989</v>
      </c>
      <c r="AD58" s="780">
        <f t="shared" si="97"/>
        <v>7712.9078999165331</v>
      </c>
      <c r="AE58" s="780">
        <f t="shared" si="97"/>
        <v>8159.357530652579</v>
      </c>
      <c r="AF58" s="780">
        <f t="shared" si="97"/>
        <v>8630.8389688113039</v>
      </c>
      <c r="AG58" s="780">
        <f t="shared" si="97"/>
        <v>9128.3400039027438</v>
      </c>
      <c r="AH58" s="780">
        <f t="shared" si="97"/>
        <v>9652.8664942797932</v>
      </c>
      <c r="AI58" s="780">
        <f t="shared" si="97"/>
        <v>10205.442676078563</v>
      </c>
      <c r="AJ58" s="780">
        <f t="shared" si="97"/>
        <v>10787.111581608189</v>
      </c>
      <c r="AK58" s="781">
        <f t="shared" si="97"/>
        <v>11398.935575183927</v>
      </c>
      <c r="AL58" s="782">
        <f t="shared" si="97"/>
        <v>12041.997014057681</v>
      </c>
      <c r="AM58" s="780">
        <f t="shared" si="97"/>
        <v>11309.223860591001</v>
      </c>
      <c r="AN58" s="780">
        <f t="shared" si="97"/>
        <v>11938.59815317693</v>
      </c>
      <c r="AO58" s="780">
        <f t="shared" si="97"/>
        <v>12598.640561226617</v>
      </c>
      <c r="AP58" s="780">
        <f t="shared" si="97"/>
        <v>13290.384784867672</v>
      </c>
      <c r="AQ58" s="780">
        <f t="shared" si="97"/>
        <v>14014.886742419074</v>
      </c>
      <c r="AR58" s="780">
        <f t="shared" si="97"/>
        <v>14773.225935151826</v>
      </c>
      <c r="AS58" s="780">
        <f t="shared" si="97"/>
        <v>15566.50695843432</v>
      </c>
      <c r="AT58" s="780">
        <f t="shared" si="97"/>
        <v>16395.861162308756</v>
      </c>
      <c r="AU58" s="780">
        <f t="shared" si="97"/>
        <v>17262.448464000674</v>
      </c>
      <c r="AV58" s="780">
        <f t="shared" si="97"/>
        <v>18167.459314320589</v>
      </c>
      <c r="AW58" s="781">
        <f t="shared" si="97"/>
        <v>19112.116819380197</v>
      </c>
      <c r="AX58" s="782">
        <f t="shared" si="97"/>
        <v>20097.679018522183</v>
      </c>
      <c r="AY58" s="780">
        <f t="shared" si="97"/>
        <v>12752.947938519361</v>
      </c>
      <c r="AZ58" s="780">
        <f t="shared" si="97"/>
        <v>13398.522569380648</v>
      </c>
      <c r="BA58" s="780">
        <f t="shared" si="97"/>
        <v>14071.093642551565</v>
      </c>
      <c r="BB58" s="780">
        <f t="shared" si="97"/>
        <v>14771.513160710467</v>
      </c>
      <c r="BC58" s="780">
        <f t="shared" si="97"/>
        <v>15500.662176870897</v>
      </c>
      <c r="BD58" s="780">
        <f t="shared" si="97"/>
        <v>16259.452716260315</v>
      </c>
      <c r="BE58" s="780">
        <f t="shared" si="97"/>
        <v>17048.829787735329</v>
      </c>
      <c r="BF58" s="780">
        <f t="shared" si="97"/>
        <v>17869.77348337894</v>
      </c>
      <c r="BG58" s="780">
        <f t="shared" si="97"/>
        <v>18723.301164825763</v>
      </c>
      <c r="BH58" s="780">
        <f t="shared" si="97"/>
        <v>19610.469734797673</v>
      </c>
      <c r="BI58" s="781">
        <f t="shared" si="97"/>
        <v>20532.377992305759</v>
      </c>
    </row>
    <row r="59" spans="1:61" s="780" customFormat="1" hidden="1" outlineLevel="1">
      <c r="M59" s="781"/>
      <c r="N59" s="782"/>
      <c r="Y59" s="781"/>
      <c r="Z59" s="782"/>
      <c r="AK59" s="781"/>
      <c r="AL59" s="782"/>
      <c r="AW59" s="781"/>
      <c r="AX59" s="782"/>
      <c r="BI59" s="781"/>
    </row>
    <row r="60" spans="1:61" s="780" customFormat="1" hidden="1" outlineLevel="1">
      <c r="A60" s="780" t="s">
        <v>359</v>
      </c>
      <c r="D60" s="780">
        <f>IF($D$5&gt;$C$5,($D$5-$C$5)*B535,0)</f>
        <v>0</v>
      </c>
      <c r="E60" s="780">
        <f t="shared" ref="E60" si="98">IF($D$5&gt;$C$5,($D$5-$C$5)*C535,0)</f>
        <v>0</v>
      </c>
      <c r="F60" s="780">
        <f t="shared" ref="F60" si="99">IF($D$5&gt;$C$5,($D$5-$C$5)*D535,0)</f>
        <v>0</v>
      </c>
      <c r="G60" s="780">
        <f t="shared" ref="G60" si="100">IF($D$5&gt;$C$5,($D$5-$C$5)*E535,0)</f>
        <v>0</v>
      </c>
      <c r="H60" s="780">
        <f t="shared" ref="H60" si="101">IF($D$5&gt;$C$5,($D$5-$C$5)*F535,0)</f>
        <v>0</v>
      </c>
      <c r="I60" s="780">
        <f t="shared" ref="I60" si="102">IF($D$5&gt;$C$5,($D$5-$C$5)*G535,0)</f>
        <v>0</v>
      </c>
      <c r="J60" s="780">
        <f t="shared" ref="J60" si="103">IF($D$5&gt;$C$5,($D$5-$C$5)*H535,0)</f>
        <v>0</v>
      </c>
      <c r="K60" s="780">
        <f t="shared" ref="K60" si="104">IF($D$5&gt;$C$5,($D$5-$C$5)*I535,0)</f>
        <v>0</v>
      </c>
      <c r="L60" s="780">
        <f t="shared" ref="L60" si="105">IF($D$5&gt;$C$5,($D$5-$C$5)*J535,0)</f>
        <v>0</v>
      </c>
      <c r="M60" s="781">
        <f t="shared" ref="M60" si="106">IF($D$5&gt;$C$5,($D$5-$C$5)*K535,0)</f>
        <v>0</v>
      </c>
      <c r="N60" s="782">
        <f t="shared" ref="N60" si="107">IF($D$5&gt;$C$5,($D$5-$C$5)*L535,0)</f>
        <v>0</v>
      </c>
      <c r="O60" s="780">
        <f t="shared" ref="O60" si="108">IF($D$5&gt;$C$5,($D$5-$C$5)*M535,0)</f>
        <v>0</v>
      </c>
      <c r="P60" s="780">
        <f t="shared" ref="P60" si="109">IF($D$5&gt;$C$5,($D$5-$C$5)*N535,0)</f>
        <v>0</v>
      </c>
      <c r="Q60" s="780">
        <f t="shared" ref="Q60" si="110">IF($D$5&gt;$C$5,($D$5-$C$5)*O535,0)</f>
        <v>0</v>
      </c>
      <c r="R60" s="780">
        <f t="shared" ref="R60" si="111">IF($D$5&gt;$C$5,($D$5-$C$5)*P535,0)</f>
        <v>0</v>
      </c>
      <c r="S60" s="780">
        <f t="shared" ref="S60" si="112">IF($D$5&gt;$C$5,($D$5-$C$5)*Q535,0)</f>
        <v>0</v>
      </c>
      <c r="T60" s="780">
        <f t="shared" ref="T60" si="113">IF($D$5&gt;$C$5,($D$5-$C$5)*R535,0)</f>
        <v>0</v>
      </c>
      <c r="U60" s="780">
        <f t="shared" ref="U60" si="114">IF($D$5&gt;$C$5,($D$5-$C$5)*S535,0)</f>
        <v>0</v>
      </c>
      <c r="V60" s="780">
        <f t="shared" ref="V60" si="115">IF($D$5&gt;$C$5,($D$5-$C$5)*T535,0)</f>
        <v>0</v>
      </c>
      <c r="W60" s="780">
        <f t="shared" ref="W60" si="116">IF($D$5&gt;$C$5,($D$5-$C$5)*U535,0)</f>
        <v>0</v>
      </c>
      <c r="X60" s="780">
        <f t="shared" ref="X60" si="117">IF($D$5&gt;$C$5,($D$5-$C$5)*V535,0)</f>
        <v>0</v>
      </c>
      <c r="Y60" s="781">
        <f t="shared" ref="Y60" si="118">IF($D$5&gt;$C$5,($D$5-$C$5)*W535,0)</f>
        <v>0</v>
      </c>
      <c r="Z60" s="782">
        <f t="shared" ref="Z60" si="119">IF($D$5&gt;$C$5,($D$5-$C$5)*X535,0)</f>
        <v>0</v>
      </c>
      <c r="AA60" s="780">
        <f t="shared" ref="AA60" si="120">IF($D$5&gt;$C$5,($D$5-$C$5)*Y535,0)</f>
        <v>0</v>
      </c>
      <c r="AB60" s="780">
        <f t="shared" ref="AB60" si="121">IF($D$5&gt;$C$5,($D$5-$C$5)*Z535,0)</f>
        <v>0</v>
      </c>
      <c r="AC60" s="780">
        <f t="shared" ref="AC60" si="122">IF($D$5&gt;$C$5,($D$5-$C$5)*AA535,0)</f>
        <v>0</v>
      </c>
      <c r="AD60" s="780">
        <f t="shared" ref="AD60" si="123">IF($D$5&gt;$C$5,($D$5-$C$5)*AB535,0)</f>
        <v>0</v>
      </c>
      <c r="AE60" s="780">
        <f t="shared" ref="AE60" si="124">IF($D$5&gt;$C$5,($D$5-$C$5)*AC535,0)</f>
        <v>0</v>
      </c>
      <c r="AF60" s="780">
        <f t="shared" ref="AF60" si="125">IF($D$5&gt;$C$5,($D$5-$C$5)*AD535,0)</f>
        <v>0</v>
      </c>
      <c r="AG60" s="780">
        <f t="shared" ref="AG60" si="126">IF($D$5&gt;$C$5,($D$5-$C$5)*AE535,0)</f>
        <v>0</v>
      </c>
      <c r="AH60" s="780">
        <f t="shared" ref="AH60" si="127">IF($D$5&gt;$C$5,($D$5-$C$5)*AF535,0)</f>
        <v>0</v>
      </c>
      <c r="AI60" s="780">
        <f t="shared" ref="AI60" si="128">IF($D$5&gt;$C$5,($D$5-$C$5)*AG535,0)</f>
        <v>0</v>
      </c>
      <c r="AJ60" s="780">
        <f t="shared" ref="AJ60" si="129">IF($D$5&gt;$C$5,($D$5-$C$5)*AH535,0)</f>
        <v>0</v>
      </c>
      <c r="AK60" s="781">
        <f t="shared" ref="AK60" si="130">IF($D$5&gt;$C$5,($D$5-$C$5)*AI535,0)</f>
        <v>0</v>
      </c>
      <c r="AL60" s="782">
        <f t="shared" ref="AL60" si="131">IF($D$5&gt;$C$5,($D$5-$C$5)*AJ535,0)</f>
        <v>0</v>
      </c>
      <c r="AM60" s="780">
        <f t="shared" ref="AM60" si="132">IF($D$5&gt;$C$5,($D$5-$C$5)*AK535,0)</f>
        <v>0</v>
      </c>
      <c r="AN60" s="780">
        <f t="shared" ref="AN60" si="133">IF($D$5&gt;$C$5,($D$5-$C$5)*AL535,0)</f>
        <v>0</v>
      </c>
      <c r="AO60" s="780">
        <f t="shared" ref="AO60" si="134">IF($D$5&gt;$C$5,($D$5-$C$5)*AM535,0)</f>
        <v>0</v>
      </c>
      <c r="AP60" s="780">
        <f t="shared" ref="AP60" si="135">IF($D$5&gt;$C$5,($D$5-$C$5)*AN535,0)</f>
        <v>0</v>
      </c>
      <c r="AQ60" s="780">
        <f t="shared" ref="AQ60" si="136">IF($D$5&gt;$C$5,($D$5-$C$5)*AO535,0)</f>
        <v>0</v>
      </c>
      <c r="AR60" s="780">
        <f t="shared" ref="AR60" si="137">IF($D$5&gt;$C$5,($D$5-$C$5)*AP535,0)</f>
        <v>0</v>
      </c>
      <c r="AS60" s="780">
        <f t="shared" ref="AS60" si="138">IF($D$5&gt;$C$5,($D$5-$C$5)*AQ535,0)</f>
        <v>0</v>
      </c>
      <c r="AT60" s="780">
        <f t="shared" ref="AT60" si="139">IF($D$5&gt;$C$5,($D$5-$C$5)*AR535,0)</f>
        <v>0</v>
      </c>
      <c r="AU60" s="780">
        <f t="shared" ref="AU60" si="140">IF($D$5&gt;$C$5,($D$5-$C$5)*AS535,0)</f>
        <v>0</v>
      </c>
      <c r="AV60" s="780">
        <f t="shared" ref="AV60" si="141">IF($D$5&gt;$C$5,($D$5-$C$5)*AT535,0)</f>
        <v>0</v>
      </c>
      <c r="AW60" s="781">
        <f t="shared" ref="AW60" si="142">IF($D$5&gt;$C$5,($D$5-$C$5)*AU535,0)</f>
        <v>0</v>
      </c>
      <c r="AX60" s="782">
        <f t="shared" ref="AX60" si="143">IF($D$5&gt;$C$5,($D$5-$C$5)*AV535,0)</f>
        <v>0</v>
      </c>
      <c r="AY60" s="780">
        <f t="shared" ref="AY60" si="144">IF($D$5&gt;$C$5,($D$5-$C$5)*AW535,0)</f>
        <v>0</v>
      </c>
      <c r="AZ60" s="780">
        <f t="shared" ref="AZ60" si="145">IF($D$5&gt;$C$5,($D$5-$C$5)*AX535,0)</f>
        <v>0</v>
      </c>
      <c r="BA60" s="780">
        <f t="shared" ref="BA60" si="146">IF($D$5&gt;$C$5,($D$5-$C$5)*AY535,0)</f>
        <v>0</v>
      </c>
      <c r="BB60" s="780">
        <f t="shared" ref="BB60" si="147">IF($D$5&gt;$C$5,($D$5-$C$5)*AZ535,0)</f>
        <v>0</v>
      </c>
      <c r="BC60" s="780">
        <f t="shared" ref="BC60" si="148">IF($D$5&gt;$C$5,($D$5-$C$5)*BA535,0)</f>
        <v>0</v>
      </c>
      <c r="BD60" s="780">
        <f t="shared" ref="BD60" si="149">IF($D$5&gt;$C$5,($D$5-$C$5)*BB535,0)</f>
        <v>0</v>
      </c>
      <c r="BE60" s="780">
        <f t="shared" ref="BE60" si="150">IF($D$5&gt;$C$5,($D$5-$C$5)*BC535,0)</f>
        <v>0</v>
      </c>
      <c r="BF60" s="780">
        <f t="shared" ref="BF60" si="151">IF($D$5&gt;$C$5,($D$5-$C$5)*BD535,0)</f>
        <v>0</v>
      </c>
      <c r="BG60" s="780">
        <f t="shared" ref="BG60" si="152">IF($D$5&gt;$C$5,($D$5-$C$5)*BE535,0)</f>
        <v>0</v>
      </c>
      <c r="BH60" s="780">
        <f t="shared" ref="BH60" si="153">IF($D$5&gt;$C$5,($D$5-$C$5)*BF535,0)</f>
        <v>0</v>
      </c>
      <c r="BI60" s="781">
        <f t="shared" ref="BI60" si="154">IF($D$5&gt;$C$5,($D$5-$C$5)*BG535,0)</f>
        <v>0</v>
      </c>
    </row>
    <row r="61" spans="1:61" s="780" customFormat="1" hidden="1" outlineLevel="1">
      <c r="A61" s="780" t="str">
        <f>$A$536</f>
        <v>Leads</v>
      </c>
      <c r="D61" s="780">
        <f>IF($D$5&gt;$C$5,($D$5-$C$5)*B536,0)</f>
        <v>0</v>
      </c>
      <c r="E61" s="780">
        <f t="shared" ref="E61:BI61" si="155">IF($D$5&gt;$C$5,($D$5-$C$5)*C536,0)</f>
        <v>0</v>
      </c>
      <c r="F61" s="780">
        <f t="shared" si="155"/>
        <v>0</v>
      </c>
      <c r="G61" s="780">
        <f t="shared" si="155"/>
        <v>0</v>
      </c>
      <c r="H61" s="780">
        <f t="shared" si="155"/>
        <v>0</v>
      </c>
      <c r="I61" s="780">
        <f t="shared" si="155"/>
        <v>0</v>
      </c>
      <c r="J61" s="780">
        <f t="shared" si="155"/>
        <v>0</v>
      </c>
      <c r="K61" s="780">
        <f t="shared" si="155"/>
        <v>0</v>
      </c>
      <c r="L61" s="780">
        <f t="shared" si="155"/>
        <v>0</v>
      </c>
      <c r="M61" s="781">
        <f t="shared" si="155"/>
        <v>0</v>
      </c>
      <c r="N61" s="782">
        <f t="shared" si="155"/>
        <v>0</v>
      </c>
      <c r="O61" s="780">
        <f t="shared" si="155"/>
        <v>0</v>
      </c>
      <c r="P61" s="780">
        <f t="shared" si="155"/>
        <v>0</v>
      </c>
      <c r="Q61" s="780">
        <f t="shared" si="155"/>
        <v>0</v>
      </c>
      <c r="R61" s="780">
        <f t="shared" si="155"/>
        <v>0</v>
      </c>
      <c r="S61" s="780">
        <f t="shared" si="155"/>
        <v>0</v>
      </c>
      <c r="T61" s="780">
        <f t="shared" si="155"/>
        <v>0</v>
      </c>
      <c r="U61" s="780">
        <f t="shared" si="155"/>
        <v>0</v>
      </c>
      <c r="V61" s="780">
        <f t="shared" si="155"/>
        <v>0</v>
      </c>
      <c r="W61" s="780">
        <f t="shared" si="155"/>
        <v>0</v>
      </c>
      <c r="X61" s="780">
        <f t="shared" si="155"/>
        <v>0</v>
      </c>
      <c r="Y61" s="781">
        <f t="shared" si="155"/>
        <v>0</v>
      </c>
      <c r="Z61" s="782">
        <f t="shared" si="155"/>
        <v>0</v>
      </c>
      <c r="AA61" s="780">
        <f t="shared" si="155"/>
        <v>0</v>
      </c>
      <c r="AB61" s="780">
        <f t="shared" si="155"/>
        <v>0</v>
      </c>
      <c r="AC61" s="780">
        <f t="shared" si="155"/>
        <v>0</v>
      </c>
      <c r="AD61" s="780">
        <f t="shared" si="155"/>
        <v>0</v>
      </c>
      <c r="AE61" s="780">
        <f t="shared" si="155"/>
        <v>0</v>
      </c>
      <c r="AF61" s="780">
        <f t="shared" si="155"/>
        <v>0</v>
      </c>
      <c r="AG61" s="780">
        <f t="shared" si="155"/>
        <v>0</v>
      </c>
      <c r="AH61" s="780">
        <f t="shared" si="155"/>
        <v>0</v>
      </c>
      <c r="AI61" s="780">
        <f t="shared" si="155"/>
        <v>0</v>
      </c>
      <c r="AJ61" s="780">
        <f t="shared" si="155"/>
        <v>0</v>
      </c>
      <c r="AK61" s="781">
        <f t="shared" si="155"/>
        <v>0</v>
      </c>
      <c r="AL61" s="782">
        <f t="shared" si="155"/>
        <v>0</v>
      </c>
      <c r="AM61" s="780">
        <f t="shared" si="155"/>
        <v>0</v>
      </c>
      <c r="AN61" s="780">
        <f t="shared" si="155"/>
        <v>0</v>
      </c>
      <c r="AO61" s="780">
        <f t="shared" si="155"/>
        <v>0</v>
      </c>
      <c r="AP61" s="780">
        <f t="shared" si="155"/>
        <v>0</v>
      </c>
      <c r="AQ61" s="780">
        <f t="shared" si="155"/>
        <v>0</v>
      </c>
      <c r="AR61" s="780">
        <f t="shared" si="155"/>
        <v>0</v>
      </c>
      <c r="AS61" s="780">
        <f t="shared" si="155"/>
        <v>0</v>
      </c>
      <c r="AT61" s="780">
        <f t="shared" si="155"/>
        <v>0</v>
      </c>
      <c r="AU61" s="780">
        <f t="shared" si="155"/>
        <v>0</v>
      </c>
      <c r="AV61" s="780">
        <f t="shared" si="155"/>
        <v>0</v>
      </c>
      <c r="AW61" s="781">
        <f t="shared" si="155"/>
        <v>0</v>
      </c>
      <c r="AX61" s="782">
        <f t="shared" si="155"/>
        <v>0</v>
      </c>
      <c r="AY61" s="780">
        <f t="shared" si="155"/>
        <v>0</v>
      </c>
      <c r="AZ61" s="780">
        <f t="shared" si="155"/>
        <v>0</v>
      </c>
      <c r="BA61" s="780">
        <f t="shared" si="155"/>
        <v>0</v>
      </c>
      <c r="BB61" s="780">
        <f t="shared" si="155"/>
        <v>0</v>
      </c>
      <c r="BC61" s="780">
        <f t="shared" si="155"/>
        <v>0</v>
      </c>
      <c r="BD61" s="780">
        <f t="shared" si="155"/>
        <v>0</v>
      </c>
      <c r="BE61" s="780">
        <f t="shared" si="155"/>
        <v>0</v>
      </c>
      <c r="BF61" s="780">
        <f t="shared" si="155"/>
        <v>0</v>
      </c>
      <c r="BG61" s="780">
        <f t="shared" si="155"/>
        <v>0</v>
      </c>
      <c r="BH61" s="780">
        <f t="shared" si="155"/>
        <v>0</v>
      </c>
      <c r="BI61" s="781">
        <f t="shared" si="155"/>
        <v>0</v>
      </c>
    </row>
    <row r="62" spans="1:61" s="780" customFormat="1" hidden="1" outlineLevel="1">
      <c r="A62" s="780" t="str">
        <f>$A$537</f>
        <v>Audits</v>
      </c>
      <c r="D62" s="780">
        <f t="shared" ref="D62:BI62" si="156">IF($D$5&gt;$C$5,($D$5-$C$5)*B537,0)</f>
        <v>0</v>
      </c>
      <c r="E62" s="780">
        <f t="shared" si="156"/>
        <v>0</v>
      </c>
      <c r="F62" s="780">
        <f t="shared" si="156"/>
        <v>0</v>
      </c>
      <c r="G62" s="780">
        <f t="shared" si="156"/>
        <v>0</v>
      </c>
      <c r="H62" s="780">
        <f t="shared" si="156"/>
        <v>0</v>
      </c>
      <c r="I62" s="780">
        <f t="shared" si="156"/>
        <v>0</v>
      </c>
      <c r="J62" s="780">
        <f t="shared" si="156"/>
        <v>0</v>
      </c>
      <c r="K62" s="780">
        <f t="shared" si="156"/>
        <v>0</v>
      </c>
      <c r="L62" s="780">
        <f t="shared" si="156"/>
        <v>0</v>
      </c>
      <c r="M62" s="781">
        <f t="shared" si="156"/>
        <v>0</v>
      </c>
      <c r="N62" s="782">
        <f t="shared" si="156"/>
        <v>0</v>
      </c>
      <c r="O62" s="780">
        <f t="shared" si="156"/>
        <v>0</v>
      </c>
      <c r="P62" s="780">
        <f t="shared" si="156"/>
        <v>0</v>
      </c>
      <c r="Q62" s="780">
        <f t="shared" si="156"/>
        <v>0</v>
      </c>
      <c r="R62" s="780">
        <f t="shared" si="156"/>
        <v>0</v>
      </c>
      <c r="S62" s="780">
        <f t="shared" si="156"/>
        <v>0</v>
      </c>
      <c r="T62" s="780">
        <f t="shared" si="156"/>
        <v>0</v>
      </c>
      <c r="U62" s="780">
        <f t="shared" si="156"/>
        <v>0</v>
      </c>
      <c r="V62" s="780">
        <f t="shared" si="156"/>
        <v>0</v>
      </c>
      <c r="W62" s="780">
        <f t="shared" si="156"/>
        <v>0</v>
      </c>
      <c r="X62" s="780">
        <f t="shared" si="156"/>
        <v>0</v>
      </c>
      <c r="Y62" s="781">
        <f t="shared" si="156"/>
        <v>0</v>
      </c>
      <c r="Z62" s="782">
        <f t="shared" si="156"/>
        <v>0</v>
      </c>
      <c r="AA62" s="780">
        <f t="shared" si="156"/>
        <v>0</v>
      </c>
      <c r="AB62" s="780">
        <f t="shared" si="156"/>
        <v>0</v>
      </c>
      <c r="AC62" s="780">
        <f t="shared" si="156"/>
        <v>0</v>
      </c>
      <c r="AD62" s="780">
        <f t="shared" si="156"/>
        <v>0</v>
      </c>
      <c r="AE62" s="780">
        <f t="shared" si="156"/>
        <v>0</v>
      </c>
      <c r="AF62" s="780">
        <f t="shared" si="156"/>
        <v>0</v>
      </c>
      <c r="AG62" s="780">
        <f t="shared" si="156"/>
        <v>0</v>
      </c>
      <c r="AH62" s="780">
        <f t="shared" si="156"/>
        <v>0</v>
      </c>
      <c r="AI62" s="780">
        <f t="shared" si="156"/>
        <v>0</v>
      </c>
      <c r="AJ62" s="780">
        <f t="shared" si="156"/>
        <v>0</v>
      </c>
      <c r="AK62" s="781">
        <f t="shared" si="156"/>
        <v>0</v>
      </c>
      <c r="AL62" s="782">
        <f t="shared" si="156"/>
        <v>0</v>
      </c>
      <c r="AM62" s="780">
        <f t="shared" si="156"/>
        <v>0</v>
      </c>
      <c r="AN62" s="780">
        <f t="shared" si="156"/>
        <v>0</v>
      </c>
      <c r="AO62" s="780">
        <f t="shared" si="156"/>
        <v>0</v>
      </c>
      <c r="AP62" s="780">
        <f t="shared" si="156"/>
        <v>0</v>
      </c>
      <c r="AQ62" s="780">
        <f t="shared" si="156"/>
        <v>0</v>
      </c>
      <c r="AR62" s="780">
        <f t="shared" si="156"/>
        <v>0</v>
      </c>
      <c r="AS62" s="780">
        <f t="shared" si="156"/>
        <v>0</v>
      </c>
      <c r="AT62" s="780">
        <f t="shared" si="156"/>
        <v>0</v>
      </c>
      <c r="AU62" s="780">
        <f t="shared" si="156"/>
        <v>0</v>
      </c>
      <c r="AV62" s="780">
        <f t="shared" si="156"/>
        <v>0</v>
      </c>
      <c r="AW62" s="781">
        <f t="shared" si="156"/>
        <v>0</v>
      </c>
      <c r="AX62" s="782">
        <f t="shared" si="156"/>
        <v>0</v>
      </c>
      <c r="AY62" s="780">
        <f t="shared" si="156"/>
        <v>0</v>
      </c>
      <c r="AZ62" s="780">
        <f t="shared" si="156"/>
        <v>0</v>
      </c>
      <c r="BA62" s="780">
        <f t="shared" si="156"/>
        <v>0</v>
      </c>
      <c r="BB62" s="780">
        <f t="shared" si="156"/>
        <v>0</v>
      </c>
      <c r="BC62" s="780">
        <f t="shared" si="156"/>
        <v>0</v>
      </c>
      <c r="BD62" s="780">
        <f t="shared" si="156"/>
        <v>0</v>
      </c>
      <c r="BE62" s="780">
        <f t="shared" si="156"/>
        <v>0</v>
      </c>
      <c r="BF62" s="780">
        <f t="shared" si="156"/>
        <v>0</v>
      </c>
      <c r="BG62" s="780">
        <f t="shared" si="156"/>
        <v>0</v>
      </c>
      <c r="BH62" s="780">
        <f t="shared" si="156"/>
        <v>0</v>
      </c>
      <c r="BI62" s="781">
        <f t="shared" si="156"/>
        <v>0</v>
      </c>
    </row>
    <row r="63" spans="1:61" s="780" customFormat="1" hidden="1" outlineLevel="1">
      <c r="A63" s="780" t="str">
        <f>$A$538</f>
        <v>Retrofit</v>
      </c>
      <c r="D63" s="780">
        <f t="shared" ref="D63:BI63" si="157">IF($D$5&gt;$C$5,($D$5-$C$5)*B538,0)</f>
        <v>0</v>
      </c>
      <c r="E63" s="780">
        <f t="shared" si="157"/>
        <v>0</v>
      </c>
      <c r="F63" s="780">
        <f t="shared" si="157"/>
        <v>0</v>
      </c>
      <c r="G63" s="780">
        <f t="shared" si="157"/>
        <v>0</v>
      </c>
      <c r="H63" s="780">
        <f t="shared" si="157"/>
        <v>0</v>
      </c>
      <c r="I63" s="780">
        <f t="shared" si="157"/>
        <v>0</v>
      </c>
      <c r="J63" s="780">
        <f t="shared" si="157"/>
        <v>0</v>
      </c>
      <c r="K63" s="780">
        <f t="shared" si="157"/>
        <v>0</v>
      </c>
      <c r="L63" s="780">
        <f t="shared" si="157"/>
        <v>0</v>
      </c>
      <c r="M63" s="781">
        <f t="shared" si="157"/>
        <v>0</v>
      </c>
      <c r="N63" s="782">
        <f t="shared" si="157"/>
        <v>0</v>
      </c>
      <c r="O63" s="780">
        <f t="shared" si="157"/>
        <v>0</v>
      </c>
      <c r="P63" s="780">
        <f t="shared" si="157"/>
        <v>0</v>
      </c>
      <c r="Q63" s="780">
        <f t="shared" si="157"/>
        <v>0</v>
      </c>
      <c r="R63" s="780">
        <f t="shared" si="157"/>
        <v>0</v>
      </c>
      <c r="S63" s="780">
        <f t="shared" si="157"/>
        <v>0</v>
      </c>
      <c r="T63" s="780">
        <f t="shared" si="157"/>
        <v>0</v>
      </c>
      <c r="U63" s="780">
        <f t="shared" si="157"/>
        <v>0</v>
      </c>
      <c r="V63" s="780">
        <f t="shared" si="157"/>
        <v>0</v>
      </c>
      <c r="W63" s="780">
        <f t="shared" si="157"/>
        <v>0</v>
      </c>
      <c r="X63" s="780">
        <f t="shared" si="157"/>
        <v>0</v>
      </c>
      <c r="Y63" s="781">
        <f t="shared" si="157"/>
        <v>0</v>
      </c>
      <c r="Z63" s="782">
        <f t="shared" si="157"/>
        <v>0</v>
      </c>
      <c r="AA63" s="780">
        <f t="shared" si="157"/>
        <v>0</v>
      </c>
      <c r="AB63" s="780">
        <f t="shared" si="157"/>
        <v>0</v>
      </c>
      <c r="AC63" s="780">
        <f t="shared" si="157"/>
        <v>0</v>
      </c>
      <c r="AD63" s="780">
        <f t="shared" si="157"/>
        <v>0</v>
      </c>
      <c r="AE63" s="780">
        <f t="shared" si="157"/>
        <v>0</v>
      </c>
      <c r="AF63" s="780">
        <f t="shared" si="157"/>
        <v>0</v>
      </c>
      <c r="AG63" s="780">
        <f t="shared" si="157"/>
        <v>0</v>
      </c>
      <c r="AH63" s="780">
        <f t="shared" si="157"/>
        <v>0</v>
      </c>
      <c r="AI63" s="780">
        <f t="shared" si="157"/>
        <v>0</v>
      </c>
      <c r="AJ63" s="780">
        <f t="shared" si="157"/>
        <v>0</v>
      </c>
      <c r="AK63" s="781">
        <f t="shared" si="157"/>
        <v>0</v>
      </c>
      <c r="AL63" s="782">
        <f t="shared" si="157"/>
        <v>0</v>
      </c>
      <c r="AM63" s="780">
        <f t="shared" si="157"/>
        <v>0</v>
      </c>
      <c r="AN63" s="780">
        <f t="shared" si="157"/>
        <v>0</v>
      </c>
      <c r="AO63" s="780">
        <f t="shared" si="157"/>
        <v>0</v>
      </c>
      <c r="AP63" s="780">
        <f t="shared" si="157"/>
        <v>0</v>
      </c>
      <c r="AQ63" s="780">
        <f t="shared" si="157"/>
        <v>0</v>
      </c>
      <c r="AR63" s="780">
        <f t="shared" si="157"/>
        <v>0</v>
      </c>
      <c r="AS63" s="780">
        <f t="shared" si="157"/>
        <v>0</v>
      </c>
      <c r="AT63" s="780">
        <f t="shared" si="157"/>
        <v>0</v>
      </c>
      <c r="AU63" s="780">
        <f t="shared" si="157"/>
        <v>0</v>
      </c>
      <c r="AV63" s="780">
        <f t="shared" si="157"/>
        <v>0</v>
      </c>
      <c r="AW63" s="781">
        <f t="shared" si="157"/>
        <v>0</v>
      </c>
      <c r="AX63" s="782">
        <f t="shared" si="157"/>
        <v>0</v>
      </c>
      <c r="AY63" s="780">
        <f t="shared" si="157"/>
        <v>0</v>
      </c>
      <c r="AZ63" s="780">
        <f t="shared" si="157"/>
        <v>0</v>
      </c>
      <c r="BA63" s="780">
        <f t="shared" si="157"/>
        <v>0</v>
      </c>
      <c r="BB63" s="780">
        <f t="shared" si="157"/>
        <v>0</v>
      </c>
      <c r="BC63" s="780">
        <f t="shared" si="157"/>
        <v>0</v>
      </c>
      <c r="BD63" s="780">
        <f t="shared" si="157"/>
        <v>0</v>
      </c>
      <c r="BE63" s="780">
        <f t="shared" si="157"/>
        <v>0</v>
      </c>
      <c r="BF63" s="780">
        <f t="shared" si="157"/>
        <v>0</v>
      </c>
      <c r="BG63" s="780">
        <f t="shared" si="157"/>
        <v>0</v>
      </c>
      <c r="BH63" s="780">
        <f t="shared" si="157"/>
        <v>0</v>
      </c>
      <c r="BI63" s="781">
        <f t="shared" si="157"/>
        <v>0</v>
      </c>
    </row>
    <row r="64" spans="1:61" s="780" customFormat="1" hidden="1" outlineLevel="1">
      <c r="A64" s="780" t="str">
        <f>$A$539</f>
        <v>Revenue</v>
      </c>
      <c r="D64" s="780">
        <f t="shared" ref="D64:BI64" si="158">IF($D$5&gt;$C$5,($D$5-$C$5)*B539,0)</f>
        <v>0</v>
      </c>
      <c r="E64" s="780">
        <f t="shared" si="158"/>
        <v>0</v>
      </c>
      <c r="F64" s="780">
        <f t="shared" si="158"/>
        <v>0</v>
      </c>
      <c r="G64" s="780">
        <f t="shared" si="158"/>
        <v>0</v>
      </c>
      <c r="H64" s="780">
        <f t="shared" si="158"/>
        <v>0</v>
      </c>
      <c r="I64" s="780">
        <f t="shared" si="158"/>
        <v>0</v>
      </c>
      <c r="J64" s="780">
        <f t="shared" si="158"/>
        <v>0</v>
      </c>
      <c r="K64" s="780">
        <f t="shared" si="158"/>
        <v>0</v>
      </c>
      <c r="L64" s="780">
        <f t="shared" si="158"/>
        <v>0</v>
      </c>
      <c r="M64" s="781">
        <f t="shared" si="158"/>
        <v>0</v>
      </c>
      <c r="N64" s="782">
        <f t="shared" si="158"/>
        <v>0</v>
      </c>
      <c r="O64" s="780">
        <f t="shared" si="158"/>
        <v>0</v>
      </c>
      <c r="P64" s="780">
        <f t="shared" si="158"/>
        <v>0</v>
      </c>
      <c r="Q64" s="780">
        <f t="shared" si="158"/>
        <v>0</v>
      </c>
      <c r="R64" s="780">
        <f t="shared" si="158"/>
        <v>0</v>
      </c>
      <c r="S64" s="780">
        <f t="shared" si="158"/>
        <v>0</v>
      </c>
      <c r="T64" s="780">
        <f t="shared" si="158"/>
        <v>0</v>
      </c>
      <c r="U64" s="780">
        <f t="shared" si="158"/>
        <v>0</v>
      </c>
      <c r="V64" s="780">
        <f t="shared" si="158"/>
        <v>0</v>
      </c>
      <c r="W64" s="780">
        <f t="shared" si="158"/>
        <v>0</v>
      </c>
      <c r="X64" s="780">
        <f t="shared" si="158"/>
        <v>0</v>
      </c>
      <c r="Y64" s="781">
        <f t="shared" si="158"/>
        <v>0</v>
      </c>
      <c r="Z64" s="782">
        <f t="shared" si="158"/>
        <v>0</v>
      </c>
      <c r="AA64" s="780">
        <f t="shared" si="158"/>
        <v>0</v>
      </c>
      <c r="AB64" s="780">
        <f t="shared" si="158"/>
        <v>0</v>
      </c>
      <c r="AC64" s="780">
        <f t="shared" si="158"/>
        <v>0</v>
      </c>
      <c r="AD64" s="780">
        <f t="shared" si="158"/>
        <v>0</v>
      </c>
      <c r="AE64" s="780">
        <f t="shared" si="158"/>
        <v>0</v>
      </c>
      <c r="AF64" s="780">
        <f t="shared" si="158"/>
        <v>0</v>
      </c>
      <c r="AG64" s="780">
        <f t="shared" si="158"/>
        <v>0</v>
      </c>
      <c r="AH64" s="780">
        <f t="shared" si="158"/>
        <v>0</v>
      </c>
      <c r="AI64" s="780">
        <f t="shared" si="158"/>
        <v>0</v>
      </c>
      <c r="AJ64" s="780">
        <f t="shared" si="158"/>
        <v>0</v>
      </c>
      <c r="AK64" s="781">
        <f t="shared" si="158"/>
        <v>0</v>
      </c>
      <c r="AL64" s="782">
        <f t="shared" si="158"/>
        <v>0</v>
      </c>
      <c r="AM64" s="780">
        <f t="shared" si="158"/>
        <v>0</v>
      </c>
      <c r="AN64" s="780">
        <f t="shared" si="158"/>
        <v>0</v>
      </c>
      <c r="AO64" s="780">
        <f t="shared" si="158"/>
        <v>0</v>
      </c>
      <c r="AP64" s="780">
        <f t="shared" si="158"/>
        <v>0</v>
      </c>
      <c r="AQ64" s="780">
        <f t="shared" si="158"/>
        <v>0</v>
      </c>
      <c r="AR64" s="780">
        <f t="shared" si="158"/>
        <v>0</v>
      </c>
      <c r="AS64" s="780">
        <f t="shared" si="158"/>
        <v>0</v>
      </c>
      <c r="AT64" s="780">
        <f t="shared" si="158"/>
        <v>0</v>
      </c>
      <c r="AU64" s="780">
        <f t="shared" si="158"/>
        <v>0</v>
      </c>
      <c r="AV64" s="780">
        <f t="shared" si="158"/>
        <v>0</v>
      </c>
      <c r="AW64" s="781">
        <f t="shared" si="158"/>
        <v>0</v>
      </c>
      <c r="AX64" s="782">
        <f t="shared" si="158"/>
        <v>0</v>
      </c>
      <c r="AY64" s="780">
        <f t="shared" si="158"/>
        <v>0</v>
      </c>
      <c r="AZ64" s="780">
        <f t="shared" si="158"/>
        <v>0</v>
      </c>
      <c r="BA64" s="780">
        <f t="shared" si="158"/>
        <v>0</v>
      </c>
      <c r="BB64" s="780">
        <f t="shared" si="158"/>
        <v>0</v>
      </c>
      <c r="BC64" s="780">
        <f t="shared" si="158"/>
        <v>0</v>
      </c>
      <c r="BD64" s="780">
        <f t="shared" si="158"/>
        <v>0</v>
      </c>
      <c r="BE64" s="780">
        <f t="shared" si="158"/>
        <v>0</v>
      </c>
      <c r="BF64" s="780">
        <f t="shared" si="158"/>
        <v>0</v>
      </c>
      <c r="BG64" s="780">
        <f t="shared" si="158"/>
        <v>0</v>
      </c>
      <c r="BH64" s="780">
        <f t="shared" si="158"/>
        <v>0</v>
      </c>
      <c r="BI64" s="781">
        <f t="shared" si="158"/>
        <v>0</v>
      </c>
    </row>
    <row r="65" spans="1:61" s="780" customFormat="1" hidden="1" outlineLevel="1">
      <c r="A65" s="780" t="str">
        <f>$A$540</f>
        <v>Net Income</v>
      </c>
      <c r="D65" s="780">
        <f t="shared" ref="D65:BI65" si="159">IF($D$5&gt;$C$5,($D$5-$C$5)*B540,0)</f>
        <v>0</v>
      </c>
      <c r="E65" s="780">
        <f t="shared" si="159"/>
        <v>0</v>
      </c>
      <c r="F65" s="780">
        <f t="shared" si="159"/>
        <v>0</v>
      </c>
      <c r="G65" s="780">
        <f t="shared" si="159"/>
        <v>0</v>
      </c>
      <c r="H65" s="780">
        <f t="shared" si="159"/>
        <v>0</v>
      </c>
      <c r="I65" s="780">
        <f t="shared" si="159"/>
        <v>0</v>
      </c>
      <c r="J65" s="780">
        <f t="shared" si="159"/>
        <v>0</v>
      </c>
      <c r="K65" s="780">
        <f t="shared" si="159"/>
        <v>0</v>
      </c>
      <c r="L65" s="780">
        <f t="shared" si="159"/>
        <v>0</v>
      </c>
      <c r="M65" s="781">
        <f t="shared" si="159"/>
        <v>0</v>
      </c>
      <c r="N65" s="782">
        <f t="shared" si="159"/>
        <v>0</v>
      </c>
      <c r="O65" s="780">
        <f t="shared" si="159"/>
        <v>0</v>
      </c>
      <c r="P65" s="780">
        <f t="shared" si="159"/>
        <v>0</v>
      </c>
      <c r="Q65" s="780">
        <f t="shared" si="159"/>
        <v>0</v>
      </c>
      <c r="R65" s="780">
        <f t="shared" si="159"/>
        <v>0</v>
      </c>
      <c r="S65" s="780">
        <f t="shared" si="159"/>
        <v>0</v>
      </c>
      <c r="T65" s="780">
        <f t="shared" si="159"/>
        <v>0</v>
      </c>
      <c r="U65" s="780">
        <f t="shared" si="159"/>
        <v>0</v>
      </c>
      <c r="V65" s="780">
        <f t="shared" si="159"/>
        <v>0</v>
      </c>
      <c r="W65" s="780">
        <f t="shared" si="159"/>
        <v>0</v>
      </c>
      <c r="X65" s="780">
        <f t="shared" si="159"/>
        <v>0</v>
      </c>
      <c r="Y65" s="781">
        <f t="shared" si="159"/>
        <v>0</v>
      </c>
      <c r="Z65" s="782">
        <f t="shared" si="159"/>
        <v>0</v>
      </c>
      <c r="AA65" s="780">
        <f t="shared" si="159"/>
        <v>0</v>
      </c>
      <c r="AB65" s="780">
        <f t="shared" si="159"/>
        <v>0</v>
      </c>
      <c r="AC65" s="780">
        <f t="shared" si="159"/>
        <v>0</v>
      </c>
      <c r="AD65" s="780">
        <f t="shared" si="159"/>
        <v>0</v>
      </c>
      <c r="AE65" s="780">
        <f t="shared" si="159"/>
        <v>0</v>
      </c>
      <c r="AF65" s="780">
        <f t="shared" si="159"/>
        <v>0</v>
      </c>
      <c r="AG65" s="780">
        <f t="shared" si="159"/>
        <v>0</v>
      </c>
      <c r="AH65" s="780">
        <f t="shared" si="159"/>
        <v>0</v>
      </c>
      <c r="AI65" s="780">
        <f t="shared" si="159"/>
        <v>0</v>
      </c>
      <c r="AJ65" s="780">
        <f t="shared" si="159"/>
        <v>0</v>
      </c>
      <c r="AK65" s="781">
        <f t="shared" si="159"/>
        <v>0</v>
      </c>
      <c r="AL65" s="782">
        <f t="shared" si="159"/>
        <v>0</v>
      </c>
      <c r="AM65" s="780">
        <f t="shared" si="159"/>
        <v>0</v>
      </c>
      <c r="AN65" s="780">
        <f t="shared" si="159"/>
        <v>0</v>
      </c>
      <c r="AO65" s="780">
        <f t="shared" si="159"/>
        <v>0</v>
      </c>
      <c r="AP65" s="780">
        <f t="shared" si="159"/>
        <v>0</v>
      </c>
      <c r="AQ65" s="780">
        <f t="shared" si="159"/>
        <v>0</v>
      </c>
      <c r="AR65" s="780">
        <f t="shared" si="159"/>
        <v>0</v>
      </c>
      <c r="AS65" s="780">
        <f t="shared" si="159"/>
        <v>0</v>
      </c>
      <c r="AT65" s="780">
        <f t="shared" si="159"/>
        <v>0</v>
      </c>
      <c r="AU65" s="780">
        <f t="shared" si="159"/>
        <v>0</v>
      </c>
      <c r="AV65" s="780">
        <f t="shared" si="159"/>
        <v>0</v>
      </c>
      <c r="AW65" s="781">
        <f t="shared" si="159"/>
        <v>0</v>
      </c>
      <c r="AX65" s="782">
        <f t="shared" si="159"/>
        <v>0</v>
      </c>
      <c r="AY65" s="780">
        <f t="shared" si="159"/>
        <v>0</v>
      </c>
      <c r="AZ65" s="780">
        <f t="shared" si="159"/>
        <v>0</v>
      </c>
      <c r="BA65" s="780">
        <f t="shared" si="159"/>
        <v>0</v>
      </c>
      <c r="BB65" s="780">
        <f t="shared" si="159"/>
        <v>0</v>
      </c>
      <c r="BC65" s="780">
        <f t="shared" si="159"/>
        <v>0</v>
      </c>
      <c r="BD65" s="780">
        <f t="shared" si="159"/>
        <v>0</v>
      </c>
      <c r="BE65" s="780">
        <f t="shared" si="159"/>
        <v>0</v>
      </c>
      <c r="BF65" s="780">
        <f t="shared" si="159"/>
        <v>0</v>
      </c>
      <c r="BG65" s="780">
        <f t="shared" si="159"/>
        <v>0</v>
      </c>
      <c r="BH65" s="780">
        <f t="shared" si="159"/>
        <v>0</v>
      </c>
      <c r="BI65" s="781">
        <f t="shared" si="159"/>
        <v>0</v>
      </c>
    </row>
    <row r="66" spans="1:61" s="780" customFormat="1" hidden="1" outlineLevel="1">
      <c r="A66" s="780" t="s">
        <v>288</v>
      </c>
      <c r="D66" s="780">
        <f t="shared" ref="D66" si="160">IF($D$5&gt;$C$5,($D$5-$C$5)*B541,0)</f>
        <v>0</v>
      </c>
      <c r="E66" s="780">
        <f t="shared" ref="E66" si="161">IF($D$5&gt;$C$5,($D$5-$C$5)*C541,0)</f>
        <v>0</v>
      </c>
      <c r="F66" s="780">
        <f t="shared" ref="F66" si="162">IF($D$5&gt;$C$5,($D$5-$C$5)*D541,0)</f>
        <v>0</v>
      </c>
      <c r="G66" s="780">
        <f t="shared" ref="G66" si="163">IF($D$5&gt;$C$5,($D$5-$C$5)*E541,0)</f>
        <v>0</v>
      </c>
      <c r="H66" s="780">
        <f t="shared" ref="H66" si="164">IF($D$5&gt;$C$5,($D$5-$C$5)*F541,0)</f>
        <v>0</v>
      </c>
      <c r="I66" s="780">
        <f t="shared" ref="I66" si="165">IF($D$5&gt;$C$5,($D$5-$C$5)*G541,0)</f>
        <v>0</v>
      </c>
      <c r="J66" s="780">
        <f t="shared" ref="J66" si="166">IF($D$5&gt;$C$5,($D$5-$C$5)*H541,0)</f>
        <v>0</v>
      </c>
      <c r="K66" s="780">
        <f t="shared" ref="K66" si="167">IF($D$5&gt;$C$5,($D$5-$C$5)*I541,0)</f>
        <v>0</v>
      </c>
      <c r="L66" s="780">
        <f t="shared" ref="L66" si="168">IF($D$5&gt;$C$5,($D$5-$C$5)*J541,0)</f>
        <v>0</v>
      </c>
      <c r="M66" s="781">
        <f t="shared" ref="M66" si="169">IF($D$5&gt;$C$5,($D$5-$C$5)*K541,0)</f>
        <v>0</v>
      </c>
      <c r="N66" s="782">
        <f t="shared" ref="N66" si="170">IF($D$5&gt;$C$5,($D$5-$C$5)*L541,0)</f>
        <v>0</v>
      </c>
      <c r="O66" s="780">
        <f t="shared" ref="O66" si="171">IF($D$5&gt;$C$5,($D$5-$C$5)*M541,0)</f>
        <v>0</v>
      </c>
      <c r="P66" s="780">
        <f t="shared" ref="P66" si="172">IF($D$5&gt;$C$5,($D$5-$C$5)*N541,0)</f>
        <v>0</v>
      </c>
      <c r="Q66" s="780">
        <f t="shared" ref="Q66" si="173">IF($D$5&gt;$C$5,($D$5-$C$5)*O541,0)</f>
        <v>0</v>
      </c>
      <c r="R66" s="780">
        <f t="shared" ref="R66" si="174">IF($D$5&gt;$C$5,($D$5-$C$5)*P541,0)</f>
        <v>0</v>
      </c>
      <c r="S66" s="780">
        <f t="shared" ref="S66" si="175">IF($D$5&gt;$C$5,($D$5-$C$5)*Q541,0)</f>
        <v>0</v>
      </c>
      <c r="T66" s="780">
        <f t="shared" ref="T66" si="176">IF($D$5&gt;$C$5,($D$5-$C$5)*R541,0)</f>
        <v>0</v>
      </c>
      <c r="U66" s="780">
        <f t="shared" ref="U66" si="177">IF($D$5&gt;$C$5,($D$5-$C$5)*S541,0)</f>
        <v>0</v>
      </c>
      <c r="V66" s="780">
        <f t="shared" ref="V66" si="178">IF($D$5&gt;$C$5,($D$5-$C$5)*T541,0)</f>
        <v>0</v>
      </c>
      <c r="W66" s="780">
        <f t="shared" ref="W66" si="179">IF($D$5&gt;$C$5,($D$5-$C$5)*U541,0)</f>
        <v>0</v>
      </c>
      <c r="X66" s="780">
        <f t="shared" ref="X66" si="180">IF($D$5&gt;$C$5,($D$5-$C$5)*V541,0)</f>
        <v>0</v>
      </c>
      <c r="Y66" s="781">
        <f t="shared" ref="Y66" si="181">IF($D$5&gt;$C$5,($D$5-$C$5)*W541,0)</f>
        <v>0</v>
      </c>
      <c r="Z66" s="782">
        <f t="shared" ref="Z66" si="182">IF($D$5&gt;$C$5,($D$5-$C$5)*X541,0)</f>
        <v>0</v>
      </c>
      <c r="AA66" s="780">
        <f t="shared" ref="AA66" si="183">IF($D$5&gt;$C$5,($D$5-$C$5)*Y541,0)</f>
        <v>0</v>
      </c>
      <c r="AB66" s="780">
        <f t="shared" ref="AB66" si="184">IF($D$5&gt;$C$5,($D$5-$C$5)*Z541,0)</f>
        <v>0</v>
      </c>
      <c r="AC66" s="780">
        <f t="shared" ref="AC66" si="185">IF($D$5&gt;$C$5,($D$5-$C$5)*AA541,0)</f>
        <v>0</v>
      </c>
      <c r="AD66" s="780">
        <f t="shared" ref="AD66" si="186">IF($D$5&gt;$C$5,($D$5-$C$5)*AB541,0)</f>
        <v>0</v>
      </c>
      <c r="AE66" s="780">
        <f t="shared" ref="AE66" si="187">IF($D$5&gt;$C$5,($D$5-$C$5)*AC541,0)</f>
        <v>0</v>
      </c>
      <c r="AF66" s="780">
        <f t="shared" ref="AF66" si="188">IF($D$5&gt;$C$5,($D$5-$C$5)*AD541,0)</f>
        <v>0</v>
      </c>
      <c r="AG66" s="780">
        <f t="shared" ref="AG66" si="189">IF($D$5&gt;$C$5,($D$5-$C$5)*AE541,0)</f>
        <v>0</v>
      </c>
      <c r="AH66" s="780">
        <f t="shared" ref="AH66" si="190">IF($D$5&gt;$C$5,($D$5-$C$5)*AF541,0)</f>
        <v>0</v>
      </c>
      <c r="AI66" s="780">
        <f t="shared" ref="AI66" si="191">IF($D$5&gt;$C$5,($D$5-$C$5)*AG541,0)</f>
        <v>0</v>
      </c>
      <c r="AJ66" s="780">
        <f t="shared" ref="AJ66" si="192">IF($D$5&gt;$C$5,($D$5-$C$5)*AH541,0)</f>
        <v>0</v>
      </c>
      <c r="AK66" s="781">
        <f t="shared" ref="AK66" si="193">IF($D$5&gt;$C$5,($D$5-$C$5)*AI541,0)</f>
        <v>0</v>
      </c>
      <c r="AL66" s="782">
        <f t="shared" ref="AL66" si="194">IF($D$5&gt;$C$5,($D$5-$C$5)*AJ541,0)</f>
        <v>0</v>
      </c>
      <c r="AM66" s="780">
        <f t="shared" ref="AM66" si="195">IF($D$5&gt;$C$5,($D$5-$C$5)*AK541,0)</f>
        <v>0</v>
      </c>
      <c r="AN66" s="780">
        <f t="shared" ref="AN66" si="196">IF($D$5&gt;$C$5,($D$5-$C$5)*AL541,0)</f>
        <v>0</v>
      </c>
      <c r="AO66" s="780">
        <f t="shared" ref="AO66" si="197">IF($D$5&gt;$C$5,($D$5-$C$5)*AM541,0)</f>
        <v>0</v>
      </c>
      <c r="AP66" s="780">
        <f t="shared" ref="AP66" si="198">IF($D$5&gt;$C$5,($D$5-$C$5)*AN541,0)</f>
        <v>0</v>
      </c>
      <c r="AQ66" s="780">
        <f t="shared" ref="AQ66" si="199">IF($D$5&gt;$C$5,($D$5-$C$5)*AO541,0)</f>
        <v>0</v>
      </c>
      <c r="AR66" s="780">
        <f t="shared" ref="AR66" si="200">IF($D$5&gt;$C$5,($D$5-$C$5)*AP541,0)</f>
        <v>0</v>
      </c>
      <c r="AS66" s="780">
        <f t="shared" ref="AS66" si="201">IF($D$5&gt;$C$5,($D$5-$C$5)*AQ541,0)</f>
        <v>0</v>
      </c>
      <c r="AT66" s="780">
        <f t="shared" ref="AT66" si="202">IF($D$5&gt;$C$5,($D$5-$C$5)*AR541,0)</f>
        <v>0</v>
      </c>
      <c r="AU66" s="780">
        <f t="shared" ref="AU66" si="203">IF($D$5&gt;$C$5,($D$5-$C$5)*AS541,0)</f>
        <v>0</v>
      </c>
      <c r="AV66" s="780">
        <f t="shared" ref="AV66" si="204">IF($D$5&gt;$C$5,($D$5-$C$5)*AT541,0)</f>
        <v>0</v>
      </c>
      <c r="AW66" s="781">
        <f t="shared" ref="AW66" si="205">IF($D$5&gt;$C$5,($D$5-$C$5)*AU541,0)</f>
        <v>0</v>
      </c>
      <c r="AX66" s="782">
        <f t="shared" ref="AX66" si="206">IF($D$5&gt;$C$5,($D$5-$C$5)*AV541,0)</f>
        <v>0</v>
      </c>
      <c r="AY66" s="780">
        <f t="shared" ref="AY66" si="207">IF($D$5&gt;$C$5,($D$5-$C$5)*AW541,0)</f>
        <v>0</v>
      </c>
      <c r="AZ66" s="780">
        <f t="shared" ref="AZ66" si="208">IF($D$5&gt;$C$5,($D$5-$C$5)*AX541,0)</f>
        <v>0</v>
      </c>
      <c r="BA66" s="780">
        <f t="shared" ref="BA66" si="209">IF($D$5&gt;$C$5,($D$5-$C$5)*AY541,0)</f>
        <v>0</v>
      </c>
      <c r="BB66" s="780">
        <f t="shared" ref="BB66" si="210">IF($D$5&gt;$C$5,($D$5-$C$5)*AZ541,0)</f>
        <v>0</v>
      </c>
      <c r="BC66" s="780">
        <f t="shared" ref="BC66" si="211">IF($D$5&gt;$C$5,($D$5-$C$5)*BA541,0)</f>
        <v>0</v>
      </c>
      <c r="BD66" s="780">
        <f t="shared" ref="BD66" si="212">IF($D$5&gt;$C$5,($D$5-$C$5)*BB541,0)</f>
        <v>0</v>
      </c>
      <c r="BE66" s="780">
        <f t="shared" ref="BE66" si="213">IF($D$5&gt;$C$5,($D$5-$C$5)*BC541,0)</f>
        <v>0</v>
      </c>
      <c r="BF66" s="780">
        <f t="shared" ref="BF66" si="214">IF($D$5&gt;$C$5,($D$5-$C$5)*BD541,0)</f>
        <v>0</v>
      </c>
      <c r="BG66" s="780">
        <f t="shared" ref="BG66" si="215">IF($D$5&gt;$C$5,($D$5-$C$5)*BE541,0)</f>
        <v>0</v>
      </c>
      <c r="BH66" s="780">
        <f t="shared" ref="BH66" si="216">IF($D$5&gt;$C$5,($D$5-$C$5)*BF541,0)</f>
        <v>0</v>
      </c>
      <c r="BI66" s="781">
        <f t="shared" ref="BI66" si="217">IF($D$5&gt;$C$5,($D$5-$C$5)*BG541,0)</f>
        <v>0</v>
      </c>
    </row>
    <row r="67" spans="1:61" s="780" customFormat="1" hidden="1" outlineLevel="1">
      <c r="M67" s="781"/>
      <c r="N67" s="782"/>
      <c r="Y67" s="781"/>
      <c r="Z67" s="782"/>
      <c r="AK67" s="781"/>
      <c r="AL67" s="782"/>
      <c r="AW67" s="781"/>
      <c r="AX67" s="782"/>
      <c r="BI67" s="781"/>
    </row>
    <row r="68" spans="1:61" s="780" customFormat="1" hidden="1" outlineLevel="1">
      <c r="A68" s="780" t="s">
        <v>359</v>
      </c>
      <c r="E68" s="780">
        <f>IF($E$5&gt;$D$5,($E$5-$D$5)*B535,0)</f>
        <v>8</v>
      </c>
      <c r="F68" s="780">
        <f t="shared" ref="F68" si="218">IF($E$5&gt;$D$5,($E$5-$D$5)*C535,0)</f>
        <v>8.3824000000000005</v>
      </c>
      <c r="G68" s="780">
        <f t="shared" ref="G68" si="219">IF($E$5&gt;$D$5,($E$5-$D$5)*D535,0)</f>
        <v>8.790016102400001</v>
      </c>
      <c r="H68" s="780">
        <f t="shared" ref="H68" si="220">IF($E$5&gt;$D$5,($E$5-$D$5)*E535,0)</f>
        <v>9.2244218586677267</v>
      </c>
      <c r="I68" s="780">
        <f t="shared" ref="I68" si="221">IF($E$5&gt;$D$5,($E$5-$D$5)*F535,0)</f>
        <v>9.6872643857899394</v>
      </c>
      <c r="J68" s="780">
        <f t="shared" ref="J68" si="222">IF($E$5&gt;$D$5,($E$5-$D$5)*G535,0)</f>
        <v>10.180266404063699</v>
      </c>
      <c r="K68" s="780">
        <f t="shared" ref="K68" si="223">IF($E$5&gt;$D$5,($E$5-$D$5)*H535,0)</f>
        <v>10.705228286703797</v>
      </c>
      <c r="L68" s="780">
        <f t="shared" ref="L68" si="224">IF($E$5&gt;$D$5,($E$5-$D$5)*I535,0)</f>
        <v>11.264030122404236</v>
      </c>
      <c r="M68" s="781">
        <f t="shared" ref="M68" si="225">IF($E$5&gt;$D$5,($E$5-$D$5)*J535,0)</f>
        <v>11.858633792363815</v>
      </c>
      <c r="N68" s="782">
        <f t="shared" ref="N68" si="226">IF($E$5&gt;$D$5,($E$5-$D$5)*K535,0)</f>
        <v>12.491085063681208</v>
      </c>
      <c r="O68" s="780">
        <f t="shared" ref="O68" si="227">IF($E$5&gt;$D$5,($E$5-$D$5)*L535,0)</f>
        <v>13.163515701442698</v>
      </c>
      <c r="P68" s="780">
        <f t="shared" ref="P68" si="228">IF($E$5&gt;$D$5,($E$5-$D$5)*M535,0)</f>
        <v>13.878145602265221</v>
      </c>
      <c r="Q68" s="780">
        <f t="shared" ref="Q68" si="229">IF($E$5&gt;$D$5,($E$5-$D$5)*N535,0)</f>
        <v>14.640802427106802</v>
      </c>
      <c r="R68" s="780">
        <f t="shared" ref="R68" si="230">IF($E$5&gt;$D$5,($E$5-$D$5)*O535,0)</f>
        <v>15.454179973028484</v>
      </c>
      <c r="S68" s="780">
        <f t="shared" ref="S68" si="231">IF($E$5&gt;$D$5,($E$5-$D$5)*P535,0)</f>
        <v>16.321067007803048</v>
      </c>
      <c r="T68" s="780">
        <f t="shared" ref="T68" si="232">IF($E$5&gt;$D$5,($E$5-$D$5)*Q535,0)</f>
        <v>17.244348126107901</v>
      </c>
      <c r="U68" s="780">
        <f t="shared" ref="U68" si="233">IF($E$5&gt;$D$5,($E$5-$D$5)*R535,0)</f>
        <v>18.227004594103096</v>
      </c>
      <c r="V68" s="780">
        <f t="shared" ref="V68" si="234">IF($E$5&gt;$D$5,($E$5-$D$5)*S535,0)</f>
        <v>19.272115194972702</v>
      </c>
      <c r="W68" s="780">
        <f t="shared" ref="W68" si="235">IF($E$5&gt;$D$5,($E$5-$D$5)*T535,0)</f>
        <v>20.382857089151276</v>
      </c>
      <c r="X68" s="780">
        <f t="shared" ref="X68" si="236">IF($E$5&gt;$D$5,($E$5-$D$5)*U535,0)</f>
        <v>21.56250670407784</v>
      </c>
      <c r="Y68" s="781">
        <f t="shared" ref="Y68" si="237">IF($E$5&gt;$D$5,($E$5-$D$5)*V535,0)</f>
        <v>22.814440669410335</v>
      </c>
      <c r="Z68" s="782">
        <f t="shared" ref="Z68" si="238">IF($E$5&gt;$D$5,($E$5-$D$5)*W535,0)</f>
        <v>24.142136814686012</v>
      </c>
      <c r="AA68" s="780">
        <f t="shared" ref="AA68" si="239">IF($E$5&gt;$D$5,($E$5-$D$5)*X535,0)</f>
        <v>25.549175247421399</v>
      </c>
      <c r="AB68" s="780">
        <f t="shared" ref="AB68" si="240">IF($E$5&gt;$D$5,($E$5-$D$5)*Y535,0)</f>
        <v>27.039239530601542</v>
      </c>
      <c r="AC68" s="780">
        <f t="shared" ref="AC68" si="241">IF($E$5&gt;$D$5,($E$5-$D$5)*Z535,0)</f>
        <v>28.620747034243404</v>
      </c>
      <c r="AD68" s="780">
        <f t="shared" ref="AD68" si="242">IF($E$5&gt;$D$5,($E$5-$D$5)*AA535,0)</f>
        <v>30.297832899152603</v>
      </c>
      <c r="AE68" s="780">
        <f t="shared" ref="AE68" si="243">IF($E$5&gt;$D$5,($E$5-$D$5)*AB535,0)</f>
        <v>32.074721942842451</v>
      </c>
      <c r="AF68" s="780">
        <f t="shared" ref="AF68" si="244">IF($E$5&gt;$D$5,($E$5-$D$5)*AC535,0)</f>
        <v>33.955728473829772</v>
      </c>
      <c r="AG68" s="780">
        <f t="shared" ref="AG68" si="245">IF($E$5&gt;$D$5,($E$5-$D$5)*AD535,0)</f>
        <v>35.945256397317038</v>
      </c>
      <c r="AH68" s="780">
        <f t="shared" ref="AH68" si="246">IF($E$5&gt;$D$5,($E$5-$D$5)*AE535,0)</f>
        <v>38.047799652671507</v>
      </c>
      <c r="AI68" s="780">
        <f t="shared" ref="AI68" si="247">IF($E$5&gt;$D$5,($E$5-$D$5)*AF535,0)</f>
        <v>40.267943023083284</v>
      </c>
      <c r="AJ68" s="780">
        <f t="shared" ref="AJ68" si="248">IF($E$5&gt;$D$5,($E$5-$D$5)*AG535,0)</f>
        <v>42.61036335749322</v>
      </c>
      <c r="AK68" s="781">
        <f t="shared" ref="AK68" si="249">IF($E$5&gt;$D$5,($E$5-$D$5)*AH535,0)</f>
        <v>45.079831244328588</v>
      </c>
      <c r="AL68" s="782">
        <f t="shared" ref="AL68" si="250">IF($E$5&gt;$D$5,($E$5-$D$5)*AI535,0)</f>
        <v>47.68121317577463</v>
      </c>
      <c r="AM68" s="780">
        <f t="shared" ref="AM68" si="251">IF($E$5&gt;$D$5,($E$5-$D$5)*AJ535,0)</f>
        <v>50.419474240248832</v>
      </c>
      <c r="AN68" s="780">
        <f t="shared" ref="AN68" si="252">IF($E$5&gt;$D$5,($E$5-$D$5)*AK535,0)</f>
        <v>53.299681379443584</v>
      </c>
      <c r="AO68" s="780">
        <f t="shared" ref="AO68" si="253">IF($E$5&gt;$D$5,($E$5-$D$5)*AL535,0)</f>
        <v>56.327007244772894</v>
      </c>
      <c r="AP68" s="780">
        <f t="shared" ref="AP68" si="254">IF($E$5&gt;$D$5,($E$5-$D$5)*AM535,0)</f>
        <v>59.506734686316534</v>
      </c>
      <c r="AQ68" s="780">
        <f t="shared" ref="AQ68" si="255">IF($E$5&gt;$D$5,($E$5-$D$5)*AN535,0)</f>
        <v>62.844261905417305</v>
      </c>
      <c r="AR68" s="780">
        <f t="shared" ref="AR68" si="256">IF($E$5&gt;$D$5,($E$5-$D$5)*AO535,0)</f>
        <v>66.345108299975465</v>
      </c>
      <c r="AS68" s="780">
        <f t="shared" ref="AS68" si="257">IF($E$5&gt;$D$5,($E$5-$D$5)*AP535,0)</f>
        <v>70.014921029220602</v>
      </c>
      <c r="AT68" s="780">
        <f t="shared" ref="AT68" si="258">IF($E$5&gt;$D$5,($E$5-$D$5)*AQ535,0)</f>
        <v>73.859482322350189</v>
      </c>
      <c r="AU68" s="780">
        <f t="shared" ref="AU68" si="259">IF($E$5&gt;$D$5,($E$5-$D$5)*AR535,0)</f>
        <v>77.884717552932145</v>
      </c>
      <c r="AV68" s="780">
        <f t="shared" ref="AV68" si="260">IF($E$5&gt;$D$5,($E$5-$D$5)*AS535,0)</f>
        <v>82.096704098404587</v>
      </c>
      <c r="AW68" s="781">
        <f t="shared" ref="AW68" si="261">IF($E$5&gt;$D$5,($E$5-$D$5)*AT535,0)</f>
        <v>86.50168100139652</v>
      </c>
      <c r="AX68" s="782">
        <f t="shared" ref="AX68" si="262">IF($E$5&gt;$D$5,($E$5-$D$5)*AU535,0)</f>
        <v>91.106059446971614</v>
      </c>
      <c r="AY68" s="780">
        <f t="shared" ref="AY68" si="263">IF($E$5&gt;$D$5,($E$5-$D$5)*AV535,0)</f>
        <v>95.916434067290723</v>
      </c>
      <c r="AZ68" s="780">
        <f t="shared" ref="AZ68" si="264">IF($E$5&gt;$D$5,($E$5-$D$5)*AW535,0)</f>
        <v>100.93959508263039</v>
      </c>
      <c r="BA68" s="780">
        <f t="shared" ref="BA68" si="265">IF($E$5&gt;$D$5,($E$5-$D$5)*AX535,0)</f>
        <v>106.18254128521424</v>
      </c>
      <c r="BB68" s="780">
        <f t="shared" ref="BB68" si="266">IF($E$5&gt;$D$5,($E$5-$D$5)*AY535,0)</f>
        <v>111.652493869941</v>
      </c>
      <c r="BC68" s="780">
        <f t="shared" ref="BC68" si="267">IF($E$5&gt;$D$5,($E$5-$D$5)*AZ535,0)</f>
        <v>117.35691111385803</v>
      </c>
      <c r="BD68" s="780">
        <f t="shared" ref="BD68" si="268">IF($E$5&gt;$D$5,($E$5-$D$5)*BA535,0)</f>
        <v>123.30350390415934</v>
      </c>
      <c r="BE68" s="780">
        <f t="shared" ref="BE68" si="269">IF($E$5&gt;$D$5,($E$5-$D$5)*BB535,0)</f>
        <v>129.50025211260953</v>
      </c>
      <c r="BF68" s="780">
        <f t="shared" ref="BF68" si="270">IF($E$5&gt;$D$5,($E$5-$D$5)*BC535,0)</f>
        <v>135.95542181263551</v>
      </c>
      <c r="BG68" s="780">
        <f t="shared" ref="BG68" si="271">IF($E$5&gt;$D$5,($E$5-$D$5)*BD535,0)</f>
        <v>142.6775833339081</v>
      </c>
      <c r="BH68" s="780">
        <f t="shared" ref="BH68" si="272">IF($E$5&gt;$D$5,($E$5-$D$5)*BE535,0)</f>
        <v>149.67563014807735</v>
      </c>
      <c r="BI68" s="781">
        <f t="shared" ref="BI68" si="273">IF($E$5&gt;$D$5,($E$5-$D$5)*BF535,0)</f>
        <v>156.95879857844696</v>
      </c>
    </row>
    <row r="69" spans="1:61" s="780" customFormat="1" hidden="1" outlineLevel="1">
      <c r="A69" s="780" t="str">
        <f>$A$536</f>
        <v>Leads</v>
      </c>
      <c r="E69" s="780">
        <f>IF($E$5&gt;$D$5,($E$5-$D$5)*B536,0)</f>
        <v>20</v>
      </c>
      <c r="F69" s="780">
        <f t="shared" ref="F69:BI69" si="274">IF($E$5&gt;$D$5,($E$5-$D$5)*C536,0)</f>
        <v>20.8</v>
      </c>
      <c r="G69" s="780">
        <f t="shared" si="274"/>
        <v>21.632000000000001</v>
      </c>
      <c r="H69" s="780">
        <f t="shared" si="274"/>
        <v>22.497280000000003</v>
      </c>
      <c r="I69" s="780">
        <f t="shared" si="274"/>
        <v>23.397171200000006</v>
      </c>
      <c r="J69" s="780">
        <f t="shared" si="274"/>
        <v>24.333058048000009</v>
      </c>
      <c r="K69" s="780">
        <f t="shared" si="274"/>
        <v>25.30638036992001</v>
      </c>
      <c r="L69" s="780">
        <f t="shared" si="274"/>
        <v>26.318635584716812</v>
      </c>
      <c r="M69" s="781">
        <f t="shared" si="274"/>
        <v>27.371381008105487</v>
      </c>
      <c r="N69" s="782">
        <f t="shared" si="274"/>
        <v>28.466236248429709</v>
      </c>
      <c r="O69" s="780">
        <f t="shared" si="274"/>
        <v>29.6048856983669</v>
      </c>
      <c r="P69" s="780">
        <f t="shared" si="274"/>
        <v>30.789081126301578</v>
      </c>
      <c r="Q69" s="780">
        <f t="shared" si="274"/>
        <v>32.02064437135364</v>
      </c>
      <c r="R69" s="780">
        <f t="shared" si="274"/>
        <v>33.301470146207784</v>
      </c>
      <c r="S69" s="780">
        <f t="shared" si="274"/>
        <v>34.633528952056096</v>
      </c>
      <c r="T69" s="780">
        <f t="shared" si="274"/>
        <v>36.018870110138344</v>
      </c>
      <c r="U69" s="780">
        <f t="shared" si="274"/>
        <v>37.45962491454388</v>
      </c>
      <c r="V69" s="780">
        <f t="shared" si="274"/>
        <v>38.958009911125636</v>
      </c>
      <c r="W69" s="780">
        <f t="shared" si="274"/>
        <v>40.516330307570662</v>
      </c>
      <c r="X69" s="780">
        <f t="shared" si="274"/>
        <v>42.136983519873489</v>
      </c>
      <c r="Y69" s="781">
        <f t="shared" si="274"/>
        <v>43.822462860668423</v>
      </c>
      <c r="Z69" s="782">
        <f t="shared" si="274"/>
        <v>45.57536137509517</v>
      </c>
      <c r="AA69" s="780">
        <f t="shared" si="274"/>
        <v>47.398375830098978</v>
      </c>
      <c r="AB69" s="780">
        <f t="shared" si="274"/>
        <v>49.29431086330294</v>
      </c>
      <c r="AC69" s="780">
        <f t="shared" si="274"/>
        <v>51.26608329783506</v>
      </c>
      <c r="AD69" s="780">
        <f t="shared" si="274"/>
        <v>53.316726629748466</v>
      </c>
      <c r="AE69" s="780">
        <f t="shared" si="274"/>
        <v>55.44939569493841</v>
      </c>
      <c r="AF69" s="780">
        <f t="shared" si="274"/>
        <v>57.667371522735948</v>
      </c>
      <c r="AG69" s="780">
        <f t="shared" si="274"/>
        <v>59.974066383645386</v>
      </c>
      <c r="AH69" s="780">
        <f t="shared" si="274"/>
        <v>62.373029038991206</v>
      </c>
      <c r="AI69" s="780">
        <f t="shared" si="274"/>
        <v>64.867950200550851</v>
      </c>
      <c r="AJ69" s="780">
        <f t="shared" si="274"/>
        <v>67.462668208572893</v>
      </c>
      <c r="AK69" s="781">
        <f t="shared" si="274"/>
        <v>70.161174936915813</v>
      </c>
      <c r="AL69" s="782">
        <f t="shared" si="274"/>
        <v>72.967621934392454</v>
      </c>
      <c r="AM69" s="780">
        <f t="shared" si="274"/>
        <v>75.886326811768157</v>
      </c>
      <c r="AN69" s="780">
        <f t="shared" si="274"/>
        <v>78.921779884238887</v>
      </c>
      <c r="AO69" s="780">
        <f t="shared" si="274"/>
        <v>82.078651079608449</v>
      </c>
      <c r="AP69" s="780">
        <f t="shared" si="274"/>
        <v>85.361797122792794</v>
      </c>
      <c r="AQ69" s="780">
        <f t="shared" si="274"/>
        <v>88.776269007704514</v>
      </c>
      <c r="AR69" s="780">
        <f t="shared" si="274"/>
        <v>92.3273197680127</v>
      </c>
      <c r="AS69" s="780">
        <f t="shared" si="274"/>
        <v>96.020412558733199</v>
      </c>
      <c r="AT69" s="780">
        <f t="shared" si="274"/>
        <v>99.86122906108254</v>
      </c>
      <c r="AU69" s="780">
        <f t="shared" si="274"/>
        <v>103.85567822352584</v>
      </c>
      <c r="AV69" s="780">
        <f t="shared" si="274"/>
        <v>108.00990535246689</v>
      </c>
      <c r="AW69" s="781">
        <f t="shared" si="274"/>
        <v>112.33030156656557</v>
      </c>
      <c r="AX69" s="782">
        <f t="shared" si="274"/>
        <v>116.82351362922816</v>
      </c>
      <c r="AY69" s="780">
        <f t="shared" si="274"/>
        <v>121.4964541743973</v>
      </c>
      <c r="AZ69" s="780">
        <f t="shared" si="274"/>
        <v>126.3563123413732</v>
      </c>
      <c r="BA69" s="780">
        <f t="shared" si="274"/>
        <v>131.41056483502814</v>
      </c>
      <c r="BB69" s="780">
        <f t="shared" si="274"/>
        <v>136.66698742842928</v>
      </c>
      <c r="BC69" s="780">
        <f t="shared" si="274"/>
        <v>142.13366692556644</v>
      </c>
      <c r="BD69" s="780">
        <f t="shared" si="274"/>
        <v>147.81901360258911</v>
      </c>
      <c r="BE69" s="780">
        <f t="shared" si="274"/>
        <v>153.73177414669269</v>
      </c>
      <c r="BF69" s="780">
        <f t="shared" si="274"/>
        <v>159.8810451125604</v>
      </c>
      <c r="BG69" s="780">
        <f t="shared" si="274"/>
        <v>166.27628691706283</v>
      </c>
      <c r="BH69" s="780">
        <f t="shared" si="274"/>
        <v>172.92733839374537</v>
      </c>
      <c r="BI69" s="781">
        <f t="shared" si="274"/>
        <v>179.84443192949519</v>
      </c>
    </row>
    <row r="70" spans="1:61" s="780" customFormat="1" hidden="1" outlineLevel="1">
      <c r="A70" s="780" t="str">
        <f>$A$537</f>
        <v>Audits</v>
      </c>
      <c r="E70" s="780">
        <f t="shared" ref="E70:BI70" si="275">IF($E$5&gt;$D$5,($E$5-$D$5)*B537,0)</f>
        <v>7.8466960352422905</v>
      </c>
      <c r="F70" s="780">
        <f t="shared" si="275"/>
        <v>8.1805560257268723</v>
      </c>
      <c r="G70" s="780">
        <f t="shared" si="275"/>
        <v>8.556158139083367</v>
      </c>
      <c r="H70" s="780">
        <f t="shared" si="275"/>
        <v>8.9523024684242678</v>
      </c>
      <c r="I70" s="780">
        <f t="shared" si="275"/>
        <v>9.3702787716763911</v>
      </c>
      <c r="J70" s="780">
        <f t="shared" si="275"/>
        <v>9.811453812672589</v>
      </c>
      <c r="K70" s="780">
        <f t="shared" si="275"/>
        <v>10.277273093546537</v>
      </c>
      <c r="L70" s="780">
        <f t="shared" si="275"/>
        <v>10.769262132442826</v>
      </c>
      <c r="M70" s="781">
        <f t="shared" si="275"/>
        <v>11.289027268145146</v>
      </c>
      <c r="N70" s="782">
        <f t="shared" si="275"/>
        <v>11.838255995812663</v>
      </c>
      <c r="O70" s="780">
        <f t="shared" si="275"/>
        <v>12.418716863200714</v>
      </c>
      <c r="P70" s="780">
        <f t="shared" si="275"/>
        <v>13.032258982971491</v>
      </c>
      <c r="Q70" s="780">
        <f t="shared" si="275"/>
        <v>13.681748513642187</v>
      </c>
      <c r="R70" s="780">
        <f t="shared" si="275"/>
        <v>14.367753613373562</v>
      </c>
      <c r="S70" s="780">
        <f t="shared" si="275"/>
        <v>15.094450719778326</v>
      </c>
      <c r="T70" s="780">
        <f t="shared" si="275"/>
        <v>15.864274704794562</v>
      </c>
      <c r="U70" s="780">
        <f t="shared" si="275"/>
        <v>16.679756380011042</v>
      </c>
      <c r="V70" s="780">
        <f t="shared" si="275"/>
        <v>17.543519083999907</v>
      </c>
      <c r="W70" s="780">
        <f t="shared" si="275"/>
        <v>18.458274953232511</v>
      </c>
      <c r="X70" s="780">
        <f t="shared" si="275"/>
        <v>19.426821075192013</v>
      </c>
      <c r="Y70" s="781">
        <f t="shared" si="275"/>
        <v>20.452035738521069</v>
      </c>
      <c r="Z70" s="782">
        <f t="shared" si="275"/>
        <v>21.536874999893016</v>
      </c>
      <c r="AA70" s="780">
        <f t="shared" si="275"/>
        <v>22.68436978011453</v>
      </c>
      <c r="AB70" s="780">
        <f t="shared" si="275"/>
        <v>23.897623683136111</v>
      </c>
      <c r="AC70" s="780">
        <f t="shared" si="275"/>
        <v>25.181305860088621</v>
      </c>
      <c r="AD70" s="780">
        <f t="shared" si="275"/>
        <v>26.509539923847804</v>
      </c>
      <c r="AE70" s="780">
        <f t="shared" si="275"/>
        <v>27.911267150389076</v>
      </c>
      <c r="AF70" s="780">
        <f t="shared" si="275"/>
        <v>29.389855755030599</v>
      </c>
      <c r="AG70" s="780">
        <f t="shared" si="275"/>
        <v>30.948754132327405</v>
      </c>
      <c r="AH70" s="780">
        <f t="shared" si="275"/>
        <v>32.591491812026852</v>
      </c>
      <c r="AI70" s="780">
        <f t="shared" si="275"/>
        <v>34.321681088998503</v>
      </c>
      <c r="AJ70" s="780">
        <f t="shared" si="275"/>
        <v>36.143019351142293</v>
      </c>
      <c r="AK70" s="781">
        <f t="shared" si="275"/>
        <v>38.059292115999952</v>
      </c>
      <c r="AL70" s="782">
        <f t="shared" si="275"/>
        <v>40.074376775040108</v>
      </c>
      <c r="AM70" s="780">
        <f t="shared" si="275"/>
        <v>42.192247034738458</v>
      </c>
      <c r="AN70" s="780">
        <f t="shared" si="275"/>
        <v>44.416978035864261</v>
      </c>
      <c r="AO70" s="780">
        <f t="shared" si="275"/>
        <v>46.752752126886328</v>
      </c>
      <c r="AP70" s="780">
        <f t="shared" si="275"/>
        <v>49.082921316266599</v>
      </c>
      <c r="AQ70" s="780">
        <f t="shared" si="275"/>
        <v>51.522543979321924</v>
      </c>
      <c r="AR70" s="780">
        <f t="shared" si="275"/>
        <v>54.075800070640085</v>
      </c>
      <c r="AS70" s="780">
        <f t="shared" si="275"/>
        <v>56.746994933802739</v>
      </c>
      <c r="AT70" s="780">
        <f t="shared" si="275"/>
        <v>59.54056513100376</v>
      </c>
      <c r="AU70" s="780">
        <f t="shared" si="275"/>
        <v>62.461084744125536</v>
      </c>
      <c r="AV70" s="780">
        <f t="shared" si="275"/>
        <v>65.513272160718657</v>
      </c>
      <c r="AW70" s="781">
        <f t="shared" si="275"/>
        <v>68.701997357177731</v>
      </c>
      <c r="AX70" s="782">
        <f t="shared" si="275"/>
        <v>72.032289690276642</v>
      </c>
      <c r="AY70" s="780">
        <f t="shared" si="275"/>
        <v>75.509346207129425</v>
      </c>
      <c r="AZ70" s="780">
        <f t="shared" si="275"/>
        <v>79.138540482595928</v>
      </c>
      <c r="BA70" s="780">
        <f t="shared" si="275"/>
        <v>82.925431992167518</v>
      </c>
      <c r="BB70" s="780">
        <f t="shared" si="275"/>
        <v>86.935804010940174</v>
      </c>
      <c r="BC70" s="780">
        <f t="shared" si="275"/>
        <v>91.123783284069106</v>
      </c>
      <c r="BD70" s="780">
        <f t="shared" si="275"/>
        <v>95.496160724226385</v>
      </c>
      <c r="BE70" s="780">
        <f t="shared" si="275"/>
        <v>100.05998218264438</v>
      </c>
      <c r="BF70" s="780">
        <f t="shared" si="275"/>
        <v>104.82256133405527</v>
      </c>
      <c r="BG70" s="780">
        <f t="shared" si="275"/>
        <v>109.79149321021407</v>
      </c>
      <c r="BH70" s="780">
        <f t="shared" si="275"/>
        <v>114.97466839244403</v>
      </c>
      <c r="BI70" s="781">
        <f t="shared" si="275"/>
        <v>120.38028787332333</v>
      </c>
    </row>
    <row r="71" spans="1:61" s="780" customFormat="1" hidden="1" outlineLevel="1">
      <c r="A71" s="780" t="str">
        <f>$A$538</f>
        <v>Retrofit</v>
      </c>
      <c r="E71" s="780">
        <f t="shared" ref="E71:BI71" si="276">IF($E$5&gt;$D$5,($E$5-$D$5)*B538,0)</f>
        <v>3.2741145374449339</v>
      </c>
      <c r="F71" s="780">
        <f t="shared" si="276"/>
        <v>3.4211429613668018</v>
      </c>
      <c r="G71" s="780">
        <f t="shared" si="276"/>
        <v>3.6089747928733105</v>
      </c>
      <c r="H71" s="780">
        <f t="shared" si="276"/>
        <v>3.80943356172375</v>
      </c>
      <c r="I71" s="780">
        <f t="shared" si="276"/>
        <v>4.023495407635</v>
      </c>
      <c r="J71" s="780">
        <f t="shared" si="276"/>
        <v>4.2522035025469851</v>
      </c>
      <c r="K71" s="780">
        <f t="shared" si="276"/>
        <v>4.4966691121698661</v>
      </c>
      <c r="L71" s="780">
        <f t="shared" si="276"/>
        <v>4.7580720961942786</v>
      </c>
      <c r="M71" s="781">
        <f t="shared" si="276"/>
        <v>5.0376608331454982</v>
      </c>
      <c r="N71" s="782">
        <f t="shared" si="276"/>
        <v>5.3367515834608863</v>
      </c>
      <c r="O71" s="780">
        <f t="shared" si="276"/>
        <v>5.6567273345837759</v>
      </c>
      <c r="P71" s="780">
        <f t="shared" si="276"/>
        <v>5.9990362027609887</v>
      </c>
      <c r="Q71" s="780">
        <f t="shared" si="276"/>
        <v>6.3656710756275423</v>
      </c>
      <c r="R71" s="780">
        <f t="shared" si="276"/>
        <v>6.7527905497767229</v>
      </c>
      <c r="S71" s="780">
        <f t="shared" si="276"/>
        <v>7.1679946156961591</v>
      </c>
      <c r="T71" s="780">
        <f t="shared" si="276"/>
        <v>7.6132687220703144</v>
      </c>
      <c r="U71" s="780">
        <f t="shared" si="276"/>
        <v>8.0906802436821312</v>
      </c>
      <c r="V71" s="780">
        <f t="shared" si="276"/>
        <v>8.6023733713231554</v>
      </c>
      <c r="W71" s="780">
        <f t="shared" si="276"/>
        <v>9.1505635635964193</v>
      </c>
      <c r="X71" s="780">
        <f t="shared" si="276"/>
        <v>9.7375318038296879</v>
      </c>
      <c r="Y71" s="781">
        <f t="shared" si="276"/>
        <v>10.365618926205418</v>
      </c>
      <c r="Z71" s="782">
        <f t="shared" si="276"/>
        <v>11.037220281947453</v>
      </c>
      <c r="AA71" s="780">
        <f t="shared" si="276"/>
        <v>11.754781008099396</v>
      </c>
      <c r="AB71" s="780">
        <f t="shared" si="276"/>
        <v>12.520792138493604</v>
      </c>
      <c r="AC71" s="780">
        <f t="shared" si="276"/>
        <v>13.338724403473293</v>
      </c>
      <c r="AD71" s="780">
        <f t="shared" si="276"/>
        <v>14.173899457244383</v>
      </c>
      <c r="AE71" s="780">
        <f t="shared" si="276"/>
        <v>15.06160093928195</v>
      </c>
      <c r="AF71" s="780">
        <f t="shared" si="276"/>
        <v>16.004396182835173</v>
      </c>
      <c r="AG71" s="780">
        <f t="shared" si="276"/>
        <v>17.004903510314108</v>
      </c>
      <c r="AH71" s="780">
        <f t="shared" si="276"/>
        <v>18.065792108500531</v>
      </c>
      <c r="AI71" s="780">
        <f t="shared" si="276"/>
        <v>19.189782637475492</v>
      </c>
      <c r="AJ71" s="780">
        <f t="shared" si="276"/>
        <v>20.379648596658086</v>
      </c>
      <c r="AK71" s="781">
        <f t="shared" si="276"/>
        <v>21.638218454438508</v>
      </c>
      <c r="AL71" s="782">
        <f t="shared" si="276"/>
        <v>22.968378532837651</v>
      </c>
      <c r="AM71" s="780">
        <f t="shared" si="276"/>
        <v>24.373076625940293</v>
      </c>
      <c r="AN71" s="780">
        <f t="shared" si="276"/>
        <v>25.855326320842856</v>
      </c>
      <c r="AO71" s="780">
        <f t="shared" si="276"/>
        <v>27.418211982649215</v>
      </c>
      <c r="AP71" s="780">
        <f t="shared" si="276"/>
        <v>28.912823637439345</v>
      </c>
      <c r="AQ71" s="780">
        <f t="shared" si="276"/>
        <v>30.481264211401022</v>
      </c>
      <c r="AR71" s="780">
        <f t="shared" si="276"/>
        <v>32.126375520474461</v>
      </c>
      <c r="AS71" s="780">
        <f t="shared" si="276"/>
        <v>33.851080131654975</v>
      </c>
      <c r="AT71" s="780">
        <f t="shared" si="276"/>
        <v>35.658385333026132</v>
      </c>
      <c r="AU71" s="780">
        <f t="shared" si="276"/>
        <v>37.551387467022387</v>
      </c>
      <c r="AV71" s="780">
        <f t="shared" si="276"/>
        <v>39.533276635822467</v>
      </c>
      <c r="AW71" s="781">
        <f t="shared" si="276"/>
        <v>41.60734178665394</v>
      </c>
      <c r="AX71" s="782">
        <f t="shared" si="276"/>
        <v>43.776976183702011</v>
      </c>
      <c r="AY71" s="780">
        <f t="shared" si="276"/>
        <v>46.045683272271312</v>
      </c>
      <c r="AZ71" s="780">
        <f t="shared" si="276"/>
        <v>48.41708293986165</v>
      </c>
      <c r="BA71" s="780">
        <f t="shared" si="276"/>
        <v>50.89491817790028</v>
      </c>
      <c r="BB71" s="780">
        <f t="shared" si="276"/>
        <v>53.556983193725586</v>
      </c>
      <c r="BC71" s="780">
        <f t="shared" si="276"/>
        <v>56.343717835443009</v>
      </c>
      <c r="BD71" s="780">
        <f t="shared" si="276"/>
        <v>59.260074497857936</v>
      </c>
      <c r="BE71" s="780">
        <f t="shared" si="276"/>
        <v>62.311194953542106</v>
      </c>
      <c r="BF71" s="780">
        <f t="shared" si="276"/>
        <v>65.502420125122512</v>
      </c>
      <c r="BG71" s="780">
        <f t="shared" si="276"/>
        <v>68.839300373543765</v>
      </c>
      <c r="BH71" s="780">
        <f t="shared" si="276"/>
        <v>72.327606311310603</v>
      </c>
      <c r="BI71" s="781">
        <f t="shared" si="276"/>
        <v>75.973340149399419</v>
      </c>
    </row>
    <row r="72" spans="1:61" s="780" customFormat="1" hidden="1" outlineLevel="1">
      <c r="A72" s="780" t="str">
        <f>$A$539</f>
        <v>Revenue</v>
      </c>
      <c r="E72" s="780">
        <f t="shared" ref="E72:BI72" si="277">IF($E$5&gt;$D$5,($E$5-$D$5)*B539,0)</f>
        <v>20728.933920704847</v>
      </c>
      <c r="F72" s="780">
        <f t="shared" si="277"/>
        <v>22334.796424579898</v>
      </c>
      <c r="G72" s="780">
        <f t="shared" si="277"/>
        <v>24261.379157843236</v>
      </c>
      <c r="H72" s="780">
        <f t="shared" si="277"/>
        <v>27109.041527058151</v>
      </c>
      <c r="I72" s="780">
        <f t="shared" si="277"/>
        <v>29411.012063918617</v>
      </c>
      <c r="J72" s="780">
        <f t="shared" si="277"/>
        <v>31904.731979940196</v>
      </c>
      <c r="K72" s="780">
        <f t="shared" si="277"/>
        <v>34157.516935543477</v>
      </c>
      <c r="L72" s="780">
        <f t="shared" si="277"/>
        <v>36585.144030160183</v>
      </c>
      <c r="M72" s="781">
        <f t="shared" si="277"/>
        <v>39202.024549786183</v>
      </c>
      <c r="N72" s="782">
        <f t="shared" si="277"/>
        <v>41489.907780370268</v>
      </c>
      <c r="O72" s="780">
        <f t="shared" si="277"/>
        <v>43934.936399734994</v>
      </c>
      <c r="P72" s="780">
        <f t="shared" si="277"/>
        <v>46547.932291314006</v>
      </c>
      <c r="Q72" s="780">
        <f t="shared" si="277"/>
        <v>48812.622611071754</v>
      </c>
      <c r="R72" s="780">
        <f t="shared" si="277"/>
        <v>51746.745047763237</v>
      </c>
      <c r="S72" s="780">
        <f t="shared" si="277"/>
        <v>54891.491572423707</v>
      </c>
      <c r="T72" s="780">
        <f t="shared" si="277"/>
        <v>58261.704056497998</v>
      </c>
      <c r="U72" s="780">
        <f t="shared" si="277"/>
        <v>61872.837706819933</v>
      </c>
      <c r="V72" s="780">
        <f t="shared" si="277"/>
        <v>65740.922877654608</v>
      </c>
      <c r="W72" s="780">
        <f t="shared" si="277"/>
        <v>69882.52360507095</v>
      </c>
      <c r="X72" s="780">
        <f t="shared" si="277"/>
        <v>74314.694687467563</v>
      </c>
      <c r="Y72" s="781">
        <f t="shared" si="277"/>
        <v>79054.939292696072</v>
      </c>
      <c r="Z72" s="782">
        <f t="shared" si="277"/>
        <v>84121.169122674793</v>
      </c>
      <c r="AA72" s="780">
        <f t="shared" si="277"/>
        <v>89531.669104034416</v>
      </c>
      <c r="AB72" s="780">
        <f t="shared" si="277"/>
        <v>95305.068401244935</v>
      </c>
      <c r="AC72" s="780">
        <f t="shared" si="277"/>
        <v>101467.05911812153</v>
      </c>
      <c r="AD72" s="780">
        <f t="shared" si="277"/>
        <v>107757.45533319093</v>
      </c>
      <c r="AE72" s="780">
        <f t="shared" si="277"/>
        <v>114440.84237520174</v>
      </c>
      <c r="AF72" s="780">
        <f t="shared" si="277"/>
        <v>121536.40957263115</v>
      </c>
      <c r="AG72" s="780">
        <f t="shared" si="277"/>
        <v>129063.73094559579</v>
      </c>
      <c r="AH72" s="780">
        <f t="shared" si="277"/>
        <v>137042.76458890198</v>
      </c>
      <c r="AI72" s="780">
        <f t="shared" si="277"/>
        <v>145493.85755130055</v>
      </c>
      <c r="AJ72" s="780">
        <f t="shared" si="277"/>
        <v>154437.75638435522</v>
      </c>
      <c r="AK72" s="781">
        <f t="shared" si="277"/>
        <v>163895.6234075159</v>
      </c>
      <c r="AL72" s="782">
        <f t="shared" si="277"/>
        <v>173889.05862314338</v>
      </c>
      <c r="AM72" s="780">
        <f t="shared" si="277"/>
        <v>184440.12712015139</v>
      </c>
      <c r="AN72" s="780">
        <f t="shared" si="277"/>
        <v>195571.39172995961</v>
      </c>
      <c r="AO72" s="780">
        <f t="shared" si="277"/>
        <v>207305.95064449144</v>
      </c>
      <c r="AP72" s="780">
        <f t="shared" si="277"/>
        <v>218526.82830504962</v>
      </c>
      <c r="AQ72" s="780">
        <f t="shared" si="277"/>
        <v>230299.88241457404</v>
      </c>
      <c r="AR72" s="780">
        <f t="shared" si="277"/>
        <v>242646.40643380623</v>
      </c>
      <c r="AS72" s="780">
        <f t="shared" si="277"/>
        <v>255588.30467884589</v>
      </c>
      <c r="AT72" s="780">
        <f t="shared" si="277"/>
        <v>269148.12221054058</v>
      </c>
      <c r="AU72" s="780">
        <f t="shared" si="277"/>
        <v>283349.07742205792</v>
      </c>
      <c r="AV72" s="780">
        <f t="shared" si="277"/>
        <v>298215.09739075514</v>
      </c>
      <c r="AW72" s="781">
        <f t="shared" si="277"/>
        <v>313770.85605224856</v>
      </c>
      <c r="AX72" s="782">
        <f t="shared" si="277"/>
        <v>330041.81524662836</v>
      </c>
      <c r="AY72" s="780">
        <f t="shared" si="277"/>
        <v>347054.26867913263</v>
      </c>
      <c r="AZ72" s="780">
        <f t="shared" si="277"/>
        <v>364835.38883039018</v>
      </c>
      <c r="BA72" s="780">
        <f t="shared" si="277"/>
        <v>383413.276844654</v>
      </c>
      <c r="BB72" s="780">
        <f t="shared" si="277"/>
        <v>403371.48329652392</v>
      </c>
      <c r="BC72" s="780">
        <f t="shared" si="277"/>
        <v>424263.29435980099</v>
      </c>
      <c r="BD72" s="780">
        <f t="shared" si="277"/>
        <v>446125.89776019694</v>
      </c>
      <c r="BE72" s="780">
        <f t="shared" si="277"/>
        <v>468997.90641248098</v>
      </c>
      <c r="BF72" s="780">
        <f t="shared" si="277"/>
        <v>492919.43151605618</v>
      </c>
      <c r="BG72" s="780">
        <f t="shared" si="277"/>
        <v>517932.15949957783</v>
      </c>
      <c r="BH72" s="780">
        <f t="shared" si="277"/>
        <v>544079.43288376636</v>
      </c>
      <c r="BI72" s="781">
        <f t="shared" si="277"/>
        <v>571406.3351293155</v>
      </c>
    </row>
    <row r="73" spans="1:61" s="780" customFormat="1" hidden="1" outlineLevel="1">
      <c r="A73" s="780" t="str">
        <f>$A$540</f>
        <v>Net Income</v>
      </c>
      <c r="E73" s="780">
        <f t="shared" ref="E73:BI73" si="278">IF($E$5&gt;$D$5,($E$5-$D$5)*B540,0)</f>
        <v>-33184.964170807638</v>
      </c>
      <c r="F73" s="780">
        <f t="shared" si="278"/>
        <v>-14837.14568100147</v>
      </c>
      <c r="G73" s="780">
        <f t="shared" si="278"/>
        <v>-14268.717003781454</v>
      </c>
      <c r="H73" s="780">
        <f t="shared" si="278"/>
        <v>-13405.013342705901</v>
      </c>
      <c r="I73" s="780">
        <f t="shared" si="278"/>
        <v>-12685.072540306182</v>
      </c>
      <c r="J73" s="780">
        <f t="shared" si="278"/>
        <v>-17604.404805924125</v>
      </c>
      <c r="K73" s="780">
        <f t="shared" si="278"/>
        <v>-15156.124616524507</v>
      </c>
      <c r="L73" s="780">
        <f t="shared" si="278"/>
        <v>-13971.31609512752</v>
      </c>
      <c r="M73" s="781">
        <f t="shared" si="278"/>
        <v>-13027.555718246989</v>
      </c>
      <c r="N73" s="782">
        <f t="shared" si="278"/>
        <v>-12167.444211420123</v>
      </c>
      <c r="O73" s="780">
        <f t="shared" si="278"/>
        <v>-11228.257793696379</v>
      </c>
      <c r="P73" s="780">
        <f t="shared" si="278"/>
        <v>-10203.756141625032</v>
      </c>
      <c r="Q73" s="780">
        <f t="shared" si="278"/>
        <v>-8928.9645055486872</v>
      </c>
      <c r="R73" s="780">
        <f t="shared" si="278"/>
        <v>-6565.2951604608934</v>
      </c>
      <c r="S73" s="780">
        <f t="shared" si="278"/>
        <v>-7951.6323699894165</v>
      </c>
      <c r="T73" s="780">
        <f t="shared" si="278"/>
        <v>-6483.5792380389103</v>
      </c>
      <c r="U73" s="780">
        <f t="shared" si="278"/>
        <v>-5307.1722049655655</v>
      </c>
      <c r="V73" s="780">
        <f t="shared" si="278"/>
        <v>-3966.3475887754175</v>
      </c>
      <c r="W73" s="780">
        <f t="shared" si="278"/>
        <v>-2466.8649492429358</v>
      </c>
      <c r="X73" s="780">
        <f t="shared" si="278"/>
        <v>-826.64406907309967</v>
      </c>
      <c r="Y73" s="781">
        <f t="shared" si="278"/>
        <v>-10770.241509529737</v>
      </c>
      <c r="Z73" s="782">
        <f t="shared" si="278"/>
        <v>-19174.962642260827</v>
      </c>
      <c r="AA73" s="780">
        <f t="shared" si="278"/>
        <v>-16925.443971653156</v>
      </c>
      <c r="AB73" s="780">
        <f t="shared" si="278"/>
        <v>-25696.207513260568</v>
      </c>
      <c r="AC73" s="780">
        <f t="shared" si="278"/>
        <v>-30466.524333613874</v>
      </c>
      <c r="AD73" s="780">
        <f t="shared" si="278"/>
        <v>-30644.209260269774</v>
      </c>
      <c r="AE73" s="780">
        <f t="shared" si="278"/>
        <v>-25743.81021126837</v>
      </c>
      <c r="AF73" s="780">
        <f t="shared" si="278"/>
        <v>-25374.965354328699</v>
      </c>
      <c r="AG73" s="780">
        <f t="shared" si="278"/>
        <v>-21685.632709168298</v>
      </c>
      <c r="AH73" s="780">
        <f t="shared" si="278"/>
        <v>-17735.699053003482</v>
      </c>
      <c r="AI73" s="780">
        <f t="shared" si="278"/>
        <v>-25824.517795504849</v>
      </c>
      <c r="AJ73" s="780">
        <f t="shared" si="278"/>
        <v>-13812.381476188923</v>
      </c>
      <c r="AK73" s="781">
        <f t="shared" si="278"/>
        <v>-15733.807969274916</v>
      </c>
      <c r="AL73" s="782">
        <f t="shared" si="278"/>
        <v>-12981.108202038886</v>
      </c>
      <c r="AM73" s="780">
        <f t="shared" si="278"/>
        <v>-27659.485752690453</v>
      </c>
      <c r="AN73" s="780">
        <f t="shared" si="278"/>
        <v>-14368.892474155029</v>
      </c>
      <c r="AO73" s="780">
        <f t="shared" si="278"/>
        <v>-16222.784178653252</v>
      </c>
      <c r="AP73" s="780">
        <f t="shared" si="278"/>
        <v>-10757.412118790759</v>
      </c>
      <c r="AQ73" s="780">
        <f t="shared" si="278"/>
        <v>-7276.3573668028694</v>
      </c>
      <c r="AR73" s="780">
        <f t="shared" si="278"/>
        <v>-728.33143403028953</v>
      </c>
      <c r="AS73" s="780">
        <f t="shared" si="278"/>
        <v>-6343.9301669844717</v>
      </c>
      <c r="AT73" s="780">
        <f t="shared" si="278"/>
        <v>2806.545093130655</v>
      </c>
      <c r="AU73" s="780">
        <f t="shared" si="278"/>
        <v>10443.101931745798</v>
      </c>
      <c r="AV73" s="780">
        <f t="shared" si="278"/>
        <v>4256.0741498096177</v>
      </c>
      <c r="AW73" s="781">
        <f t="shared" si="278"/>
        <v>-243.85907681621029</v>
      </c>
      <c r="AX73" s="782">
        <f t="shared" si="278"/>
        <v>8404.3480662194488</v>
      </c>
      <c r="AY73" s="780">
        <f t="shared" si="278"/>
        <v>10505.464546137853</v>
      </c>
      <c r="AZ73" s="780">
        <f t="shared" si="278"/>
        <v>5996.34105228525</v>
      </c>
      <c r="BA73" s="780">
        <f t="shared" si="278"/>
        <v>31887.180861373214</v>
      </c>
      <c r="BB73" s="780">
        <f t="shared" si="278"/>
        <v>30001.697847926363</v>
      </c>
      <c r="BC73" s="780">
        <f t="shared" si="278"/>
        <v>46776.772437808642</v>
      </c>
      <c r="BD73" s="780">
        <f t="shared" si="278"/>
        <v>56453.023504686862</v>
      </c>
      <c r="BE73" s="780">
        <f t="shared" si="278"/>
        <v>34612.048960618442</v>
      </c>
      <c r="BF73" s="780">
        <f t="shared" si="278"/>
        <v>50152.012728689035</v>
      </c>
      <c r="BG73" s="780">
        <f t="shared" si="278"/>
        <v>53675.159443150013</v>
      </c>
      <c r="BH73" s="780">
        <f t="shared" si="278"/>
        <v>65097.243003978132</v>
      </c>
      <c r="BI73" s="781">
        <f t="shared" si="278"/>
        <v>64026.27428619354</v>
      </c>
    </row>
    <row r="74" spans="1:61" s="780" customFormat="1" hidden="1" outlineLevel="1">
      <c r="A74" s="780" t="s">
        <v>288</v>
      </c>
      <c r="E74" s="780">
        <f t="shared" ref="E74" si="279">IF($E$5&gt;$D$5,($E$5-$D$5)*B541,0)</f>
        <v>1850</v>
      </c>
      <c r="F74" s="780">
        <f t="shared" ref="F74" si="280">IF($E$5&gt;$D$5,($E$5-$D$5)*C541,0)</f>
        <v>1937.1558751999999</v>
      </c>
      <c r="G74" s="780">
        <f t="shared" ref="G74" si="281">IF($E$5&gt;$D$5,($E$5-$D$5)*D541,0)</f>
        <v>2030.0190587848704</v>
      </c>
      <c r="H74" s="780">
        <f t="shared" ref="H74" si="282">IF($E$5&gt;$D$5,($E$5-$D$5)*E541,0)</f>
        <v>2128.941218449359</v>
      </c>
      <c r="I74" s="780">
        <f t="shared" ref="I74" si="283">IF($E$5&gt;$D$5,($E$5-$D$5)*F541,0)</f>
        <v>2234.2900324673633</v>
      </c>
      <c r="J74" s="780">
        <f t="shared" ref="J74" si="284">IF($E$5&gt;$D$5,($E$5-$D$5)*G541,0)</f>
        <v>2346.4496034726417</v>
      </c>
      <c r="K74" s="780">
        <f t="shared" ref="K74" si="285">IF($E$5&gt;$D$5,($E$5-$D$5)*H541,0)</f>
        <v>2465.8208731027789</v>
      </c>
      <c r="L74" s="780">
        <f t="shared" ref="L74" si="286">IF($E$5&gt;$D$5,($E$5-$D$5)*I541,0)</f>
        <v>2592.8220377557409</v>
      </c>
      <c r="M74" s="781">
        <f t="shared" ref="M74" si="287">IF($E$5&gt;$D$5,($E$5-$D$5)*J541,0)</f>
        <v>2727.8889657926175</v>
      </c>
      <c r="N74" s="782">
        <f t="shared" ref="N74" si="288">IF($E$5&gt;$D$5,($E$5-$D$5)*K541,0)</f>
        <v>2871.4756166091629</v>
      </c>
      <c r="O74" s="780">
        <f t="shared" ref="O74" si="289">IF($E$5&gt;$D$5,($E$5-$D$5)*L541,0)</f>
        <v>3024.0544620924302</v>
      </c>
      <c r="P74" s="780">
        <f t="shared" ref="P74" si="290">IF($E$5&gt;$D$5,($E$5-$D$5)*M541,0)</f>
        <v>3186.1169110768442</v>
      </c>
      <c r="Q74" s="780">
        <f t="shared" ref="Q74" si="291">IF($E$5&gt;$D$5,($E$5-$D$5)*N541,0)</f>
        <v>3358.9807376414046</v>
      </c>
      <c r="R74" s="780">
        <f t="shared" ref="R74" si="292">IF($E$5&gt;$D$5,($E$5-$D$5)*O541,0)</f>
        <v>3543.2416591361321</v>
      </c>
      <c r="S74" s="780">
        <f t="shared" ref="S74" si="293">IF($E$5&gt;$D$5,($E$5-$D$5)*P541,0)</f>
        <v>3739.515514961849</v>
      </c>
      <c r="T74" s="780">
        <f t="shared" ref="T74" si="294">IF($E$5&gt;$D$5,($E$5-$D$5)*Q541,0)</f>
        <v>3948.4383904349252</v>
      </c>
      <c r="U74" s="780">
        <f t="shared" ref="U74" si="295">IF($E$5&gt;$D$5,($E$5-$D$5)*R541,0)</f>
        <v>4170.6667372134807</v>
      </c>
      <c r="V74" s="780">
        <f t="shared" ref="V74" si="296">IF($E$5&gt;$D$5,($E$5-$D$5)*S541,0)</f>
        <v>4406.877493173627</v>
      </c>
      <c r="W74" s="780">
        <f t="shared" ref="W74" si="297">IF($E$5&gt;$D$5,($E$5-$D$5)*T541,0)</f>
        <v>4657.7682048703127</v>
      </c>
      <c r="X74" s="780">
        <f t="shared" ref="X74" si="298">IF($E$5&gt;$D$5,($E$5-$D$5)*U541,0)</f>
        <v>4924.0571559566215</v>
      </c>
      <c r="Y74" s="781">
        <f t="shared" ref="Y74" si="299">IF($E$5&gt;$D$5,($E$5-$D$5)*V541,0)</f>
        <v>5206.4835051661303</v>
      </c>
      <c r="Z74" s="782">
        <f t="shared" ref="Z74" si="300">IF($E$5&gt;$D$5,($E$5-$D$5)*W541,0)</f>
        <v>5505.8074376836603</v>
      </c>
      <c r="AA74" s="780">
        <f t="shared" ref="AA74" si="301">IF($E$5&gt;$D$5,($E$5-$D$5)*X541,0)</f>
        <v>5822.8103339388172</v>
      </c>
      <c r="AB74" s="780">
        <f t="shared" ref="AB74" si="302">IF($E$5&gt;$D$5,($E$5-$D$5)*Y541,0)</f>
        <v>6158.2949600526208</v>
      </c>
      <c r="AC74" s="780">
        <f t="shared" ref="AC74" si="303">IF($E$5&gt;$D$5,($E$5-$D$5)*Z541,0)</f>
        <v>6514.1392664878649</v>
      </c>
      <c r="AD74" s="780">
        <f t="shared" ref="AD74" si="304">IF($E$5&gt;$D$5,($E$5-$D$5)*AA541,0)</f>
        <v>6891.2420929122554</v>
      </c>
      <c r="AE74" s="780">
        <f t="shared" ref="AE74" si="305">IF($E$5&gt;$D$5,($E$5-$D$5)*AB541,0)</f>
        <v>7290.5201481641989</v>
      </c>
      <c r="AF74" s="780">
        <f t="shared" ref="AF74" si="306">IF($E$5&gt;$D$5,($E$5-$D$5)*AC541,0)</f>
        <v>7712.9078999165331</v>
      </c>
      <c r="AG74" s="780">
        <f t="shared" ref="AG74" si="307">IF($E$5&gt;$D$5,($E$5-$D$5)*AD541,0)</f>
        <v>8159.357530652579</v>
      </c>
      <c r="AH74" s="780">
        <f t="shared" ref="AH74" si="308">IF($E$5&gt;$D$5,($E$5-$D$5)*AE541,0)</f>
        <v>8630.8389688113039</v>
      </c>
      <c r="AI74" s="780">
        <f t="shared" ref="AI74" si="309">IF($E$5&gt;$D$5,($E$5-$D$5)*AF541,0)</f>
        <v>9128.3400039027438</v>
      </c>
      <c r="AJ74" s="780">
        <f t="shared" ref="AJ74" si="310">IF($E$5&gt;$D$5,($E$5-$D$5)*AG541,0)</f>
        <v>9652.8664942797932</v>
      </c>
      <c r="AK74" s="781">
        <f t="shared" ref="AK74" si="311">IF($E$5&gt;$D$5,($E$5-$D$5)*AH541,0)</f>
        <v>10205.442676078563</v>
      </c>
      <c r="AL74" s="782">
        <f t="shared" ref="AL74" si="312">IF($E$5&gt;$D$5,($E$5-$D$5)*AI541,0)</f>
        <v>10787.111581608189</v>
      </c>
      <c r="AM74" s="780">
        <f t="shared" ref="AM74" si="313">IF($E$5&gt;$D$5,($E$5-$D$5)*AJ541,0)</f>
        <v>11398.935575183927</v>
      </c>
      <c r="AN74" s="780">
        <f t="shared" ref="AN74" si="314">IF($E$5&gt;$D$5,($E$5-$D$5)*AK541,0)</f>
        <v>12041.997014057681</v>
      </c>
      <c r="AO74" s="780">
        <f t="shared" ref="AO74" si="315">IF($E$5&gt;$D$5,($E$5-$D$5)*AL541,0)</f>
        <v>11309.223860591001</v>
      </c>
      <c r="AP74" s="780">
        <f t="shared" ref="AP74" si="316">IF($E$5&gt;$D$5,($E$5-$D$5)*AM541,0)</f>
        <v>11938.59815317693</v>
      </c>
      <c r="AQ74" s="780">
        <f t="shared" ref="AQ74" si="317">IF($E$5&gt;$D$5,($E$5-$D$5)*AN541,0)</f>
        <v>12598.640561226617</v>
      </c>
      <c r="AR74" s="780">
        <f t="shared" ref="AR74" si="318">IF($E$5&gt;$D$5,($E$5-$D$5)*AO541,0)</f>
        <v>13290.384784867672</v>
      </c>
      <c r="AS74" s="780">
        <f t="shared" ref="AS74" si="319">IF($E$5&gt;$D$5,($E$5-$D$5)*AP541,0)</f>
        <v>14014.886742419074</v>
      </c>
      <c r="AT74" s="780">
        <f t="shared" ref="AT74" si="320">IF($E$5&gt;$D$5,($E$5-$D$5)*AQ541,0)</f>
        <v>14773.225935151826</v>
      </c>
      <c r="AU74" s="780">
        <f t="shared" ref="AU74" si="321">IF($E$5&gt;$D$5,($E$5-$D$5)*AR541,0)</f>
        <v>15566.50695843432</v>
      </c>
      <c r="AV74" s="780">
        <f t="shared" ref="AV74" si="322">IF($E$5&gt;$D$5,($E$5-$D$5)*AS541,0)</f>
        <v>16395.861162308756</v>
      </c>
      <c r="AW74" s="781">
        <f t="shared" ref="AW74" si="323">IF($E$5&gt;$D$5,($E$5-$D$5)*AT541,0)</f>
        <v>17262.448464000674</v>
      </c>
      <c r="AX74" s="782">
        <f t="shared" ref="AX74" si="324">IF($E$5&gt;$D$5,($E$5-$D$5)*AU541,0)</f>
        <v>18167.459314320589</v>
      </c>
      <c r="AY74" s="780">
        <f t="shared" ref="AY74" si="325">IF($E$5&gt;$D$5,($E$5-$D$5)*AV541,0)</f>
        <v>19112.116819380197</v>
      </c>
      <c r="AZ74" s="780">
        <f t="shared" ref="AZ74" si="326">IF($E$5&gt;$D$5,($E$5-$D$5)*AW541,0)</f>
        <v>20097.679018522183</v>
      </c>
      <c r="BA74" s="780">
        <f t="shared" ref="BA74" si="327">IF($E$5&gt;$D$5,($E$5-$D$5)*AX541,0)</f>
        <v>12752.947938519361</v>
      </c>
      <c r="BB74" s="780">
        <f t="shared" ref="BB74" si="328">IF($E$5&gt;$D$5,($E$5-$D$5)*AY541,0)</f>
        <v>13398.522569380648</v>
      </c>
      <c r="BC74" s="780">
        <f t="shared" ref="BC74" si="329">IF($E$5&gt;$D$5,($E$5-$D$5)*AZ541,0)</f>
        <v>14071.093642551565</v>
      </c>
      <c r="BD74" s="780">
        <f t="shared" ref="BD74" si="330">IF($E$5&gt;$D$5,($E$5-$D$5)*BA541,0)</f>
        <v>14771.513160710467</v>
      </c>
      <c r="BE74" s="780">
        <f t="shared" ref="BE74" si="331">IF($E$5&gt;$D$5,($E$5-$D$5)*BB541,0)</f>
        <v>15500.662176870897</v>
      </c>
      <c r="BF74" s="780">
        <f t="shared" ref="BF74" si="332">IF($E$5&gt;$D$5,($E$5-$D$5)*BC541,0)</f>
        <v>16259.452716260315</v>
      </c>
      <c r="BG74" s="780">
        <f t="shared" ref="BG74" si="333">IF($E$5&gt;$D$5,($E$5-$D$5)*BD541,0)</f>
        <v>17048.829787735329</v>
      </c>
      <c r="BH74" s="780">
        <f t="shared" ref="BH74" si="334">IF($E$5&gt;$D$5,($E$5-$D$5)*BE541,0)</f>
        <v>17869.77348337894</v>
      </c>
      <c r="BI74" s="781">
        <f t="shared" ref="BI74" si="335">IF($E$5&gt;$D$5,($E$5-$D$5)*BF541,0)</f>
        <v>18723.301164825763</v>
      </c>
    </row>
    <row r="75" spans="1:61" s="780" customFormat="1" hidden="1" outlineLevel="1">
      <c r="M75" s="781"/>
      <c r="N75" s="782"/>
      <c r="Y75" s="781"/>
      <c r="Z75" s="782"/>
      <c r="AK75" s="781"/>
      <c r="AL75" s="782"/>
      <c r="AW75" s="781"/>
      <c r="AX75" s="782"/>
      <c r="BI75" s="781"/>
    </row>
    <row r="76" spans="1:61" s="780" customFormat="1" hidden="1" outlineLevel="1">
      <c r="A76" s="780" t="s">
        <v>359</v>
      </c>
      <c r="F76" s="780">
        <f>IF($F$5&gt;$E$5,($F$5-$E$5)*B535,0)</f>
        <v>0</v>
      </c>
      <c r="G76" s="780">
        <f t="shared" ref="G76" si="336">IF($F$5&gt;$E$5,($F$5-$E$5)*C535,0)</f>
        <v>0</v>
      </c>
      <c r="H76" s="780">
        <f t="shared" ref="H76" si="337">IF($F$5&gt;$E$5,($F$5-$E$5)*D535,0)</f>
        <v>0</v>
      </c>
      <c r="I76" s="780">
        <f t="shared" ref="I76" si="338">IF($F$5&gt;$E$5,($F$5-$E$5)*E535,0)</f>
        <v>0</v>
      </c>
      <c r="J76" s="780">
        <f t="shared" ref="J76" si="339">IF($F$5&gt;$E$5,($F$5-$E$5)*F535,0)</f>
        <v>0</v>
      </c>
      <c r="K76" s="780">
        <f t="shared" ref="K76" si="340">IF($F$5&gt;$E$5,($F$5-$E$5)*G535,0)</f>
        <v>0</v>
      </c>
      <c r="L76" s="780">
        <f t="shared" ref="L76" si="341">IF($F$5&gt;$E$5,($F$5-$E$5)*H535,0)</f>
        <v>0</v>
      </c>
      <c r="M76" s="781">
        <f t="shared" ref="M76" si="342">IF($F$5&gt;$E$5,($F$5-$E$5)*I535,0)</f>
        <v>0</v>
      </c>
      <c r="N76" s="782">
        <f t="shared" ref="N76" si="343">IF($F$5&gt;$E$5,($F$5-$E$5)*J535,0)</f>
        <v>0</v>
      </c>
      <c r="O76" s="780">
        <f t="shared" ref="O76" si="344">IF($F$5&gt;$E$5,($F$5-$E$5)*K535,0)</f>
        <v>0</v>
      </c>
      <c r="P76" s="780">
        <f t="shared" ref="P76" si="345">IF($F$5&gt;$E$5,($F$5-$E$5)*L535,0)</f>
        <v>0</v>
      </c>
      <c r="Q76" s="780">
        <f t="shared" ref="Q76" si="346">IF($F$5&gt;$E$5,($F$5-$E$5)*M535,0)</f>
        <v>0</v>
      </c>
      <c r="R76" s="780">
        <f t="shared" ref="R76" si="347">IF($F$5&gt;$E$5,($F$5-$E$5)*N535,0)</f>
        <v>0</v>
      </c>
      <c r="S76" s="780">
        <f t="shared" ref="S76" si="348">IF($F$5&gt;$E$5,($F$5-$E$5)*O535,0)</f>
        <v>0</v>
      </c>
      <c r="T76" s="780">
        <f t="shared" ref="T76" si="349">IF($F$5&gt;$E$5,($F$5-$E$5)*P535,0)</f>
        <v>0</v>
      </c>
      <c r="U76" s="780">
        <f t="shared" ref="U76" si="350">IF($F$5&gt;$E$5,($F$5-$E$5)*Q535,0)</f>
        <v>0</v>
      </c>
      <c r="V76" s="780">
        <f t="shared" ref="V76" si="351">IF($F$5&gt;$E$5,($F$5-$E$5)*R535,0)</f>
        <v>0</v>
      </c>
      <c r="W76" s="780">
        <f t="shared" ref="W76" si="352">IF($F$5&gt;$E$5,($F$5-$E$5)*S535,0)</f>
        <v>0</v>
      </c>
      <c r="X76" s="780">
        <f t="shared" ref="X76" si="353">IF($F$5&gt;$E$5,($F$5-$E$5)*T535,0)</f>
        <v>0</v>
      </c>
      <c r="Y76" s="781">
        <f t="shared" ref="Y76" si="354">IF($F$5&gt;$E$5,($F$5-$E$5)*U535,0)</f>
        <v>0</v>
      </c>
      <c r="Z76" s="782">
        <f t="shared" ref="Z76" si="355">IF($F$5&gt;$E$5,($F$5-$E$5)*V535,0)</f>
        <v>0</v>
      </c>
      <c r="AA76" s="780">
        <f t="shared" ref="AA76" si="356">IF($F$5&gt;$E$5,($F$5-$E$5)*W535,0)</f>
        <v>0</v>
      </c>
      <c r="AB76" s="780">
        <f t="shared" ref="AB76" si="357">IF($F$5&gt;$E$5,($F$5-$E$5)*X535,0)</f>
        <v>0</v>
      </c>
      <c r="AC76" s="780">
        <f t="shared" ref="AC76" si="358">IF($F$5&gt;$E$5,($F$5-$E$5)*Y535,0)</f>
        <v>0</v>
      </c>
      <c r="AD76" s="780">
        <f t="shared" ref="AD76" si="359">IF($F$5&gt;$E$5,($F$5-$E$5)*Z535,0)</f>
        <v>0</v>
      </c>
      <c r="AE76" s="780">
        <f t="shared" ref="AE76" si="360">IF($F$5&gt;$E$5,($F$5-$E$5)*AA535,0)</f>
        <v>0</v>
      </c>
      <c r="AF76" s="780">
        <f t="shared" ref="AF76" si="361">IF($F$5&gt;$E$5,($F$5-$E$5)*AB535,0)</f>
        <v>0</v>
      </c>
      <c r="AG76" s="780">
        <f t="shared" ref="AG76" si="362">IF($F$5&gt;$E$5,($F$5-$E$5)*AC535,0)</f>
        <v>0</v>
      </c>
      <c r="AH76" s="780">
        <f t="shared" ref="AH76" si="363">IF($F$5&gt;$E$5,($F$5-$E$5)*AD535,0)</f>
        <v>0</v>
      </c>
      <c r="AI76" s="780">
        <f t="shared" ref="AI76" si="364">IF($F$5&gt;$E$5,($F$5-$E$5)*AE535,0)</f>
        <v>0</v>
      </c>
      <c r="AJ76" s="780">
        <f t="shared" ref="AJ76" si="365">IF($F$5&gt;$E$5,($F$5-$E$5)*AF535,0)</f>
        <v>0</v>
      </c>
      <c r="AK76" s="781">
        <f t="shared" ref="AK76" si="366">IF($F$5&gt;$E$5,($F$5-$E$5)*AG535,0)</f>
        <v>0</v>
      </c>
      <c r="AL76" s="782">
        <f t="shared" ref="AL76" si="367">IF($F$5&gt;$E$5,($F$5-$E$5)*AH535,0)</f>
        <v>0</v>
      </c>
      <c r="AM76" s="780">
        <f t="shared" ref="AM76" si="368">IF($F$5&gt;$E$5,($F$5-$E$5)*AI535,0)</f>
        <v>0</v>
      </c>
      <c r="AN76" s="780">
        <f t="shared" ref="AN76" si="369">IF($F$5&gt;$E$5,($F$5-$E$5)*AJ535,0)</f>
        <v>0</v>
      </c>
      <c r="AO76" s="780">
        <f t="shared" ref="AO76" si="370">IF($F$5&gt;$E$5,($F$5-$E$5)*AK535,0)</f>
        <v>0</v>
      </c>
      <c r="AP76" s="780">
        <f t="shared" ref="AP76" si="371">IF($F$5&gt;$E$5,($F$5-$E$5)*AL535,0)</f>
        <v>0</v>
      </c>
      <c r="AQ76" s="780">
        <f t="shared" ref="AQ76" si="372">IF($F$5&gt;$E$5,($F$5-$E$5)*AM535,0)</f>
        <v>0</v>
      </c>
      <c r="AR76" s="780">
        <f t="shared" ref="AR76" si="373">IF($F$5&gt;$E$5,($F$5-$E$5)*AN535,0)</f>
        <v>0</v>
      </c>
      <c r="AS76" s="780">
        <f t="shared" ref="AS76" si="374">IF($F$5&gt;$E$5,($F$5-$E$5)*AO535,0)</f>
        <v>0</v>
      </c>
      <c r="AT76" s="780">
        <f t="shared" ref="AT76" si="375">IF($F$5&gt;$E$5,($F$5-$E$5)*AP535,0)</f>
        <v>0</v>
      </c>
      <c r="AU76" s="780">
        <f t="shared" ref="AU76" si="376">IF($F$5&gt;$E$5,($F$5-$E$5)*AQ535,0)</f>
        <v>0</v>
      </c>
      <c r="AV76" s="780">
        <f t="shared" ref="AV76" si="377">IF($F$5&gt;$E$5,($F$5-$E$5)*AR535,0)</f>
        <v>0</v>
      </c>
      <c r="AW76" s="781">
        <f t="shared" ref="AW76" si="378">IF($F$5&gt;$E$5,($F$5-$E$5)*AS535,0)</f>
        <v>0</v>
      </c>
      <c r="AX76" s="782">
        <f t="shared" ref="AX76" si="379">IF($F$5&gt;$E$5,($F$5-$E$5)*AT535,0)</f>
        <v>0</v>
      </c>
      <c r="AY76" s="780">
        <f t="shared" ref="AY76" si="380">IF($F$5&gt;$E$5,($F$5-$E$5)*AU535,0)</f>
        <v>0</v>
      </c>
      <c r="AZ76" s="780">
        <f t="shared" ref="AZ76" si="381">IF($F$5&gt;$E$5,($F$5-$E$5)*AV535,0)</f>
        <v>0</v>
      </c>
      <c r="BA76" s="780">
        <f t="shared" ref="BA76" si="382">IF($F$5&gt;$E$5,($F$5-$E$5)*AW535,0)</f>
        <v>0</v>
      </c>
      <c r="BB76" s="780">
        <f t="shared" ref="BB76" si="383">IF($F$5&gt;$E$5,($F$5-$E$5)*AX535,0)</f>
        <v>0</v>
      </c>
      <c r="BC76" s="780">
        <f t="shared" ref="BC76" si="384">IF($F$5&gt;$E$5,($F$5-$E$5)*AY535,0)</f>
        <v>0</v>
      </c>
      <c r="BD76" s="780">
        <f t="shared" ref="BD76" si="385">IF($F$5&gt;$E$5,($F$5-$E$5)*AZ535,0)</f>
        <v>0</v>
      </c>
      <c r="BE76" s="780">
        <f t="shared" ref="BE76" si="386">IF($F$5&gt;$E$5,($F$5-$E$5)*BA535,0)</f>
        <v>0</v>
      </c>
      <c r="BF76" s="780">
        <f t="shared" ref="BF76" si="387">IF($F$5&gt;$E$5,($F$5-$E$5)*BB535,0)</f>
        <v>0</v>
      </c>
      <c r="BG76" s="780">
        <f t="shared" ref="BG76" si="388">IF($F$5&gt;$E$5,($F$5-$E$5)*BC535,0)</f>
        <v>0</v>
      </c>
      <c r="BH76" s="780">
        <f t="shared" ref="BH76" si="389">IF($F$5&gt;$E$5,($F$5-$E$5)*BD535,0)</f>
        <v>0</v>
      </c>
      <c r="BI76" s="781">
        <f t="shared" ref="BI76" si="390">IF($F$5&gt;$E$5,($F$5-$E$5)*BE535,0)</f>
        <v>0</v>
      </c>
    </row>
    <row r="77" spans="1:61" s="780" customFormat="1" hidden="1" outlineLevel="1">
      <c r="A77" s="780" t="str">
        <f>$A$536</f>
        <v>Leads</v>
      </c>
      <c r="F77" s="780">
        <f>IF($F$5&gt;$E$5,($F$5-$E$5)*B536,0)</f>
        <v>0</v>
      </c>
      <c r="G77" s="780">
        <f t="shared" ref="G77:BI77" si="391">IF($F$5&gt;$E$5,($F$5-$E$5)*C536,0)</f>
        <v>0</v>
      </c>
      <c r="H77" s="780">
        <f t="shared" si="391"/>
        <v>0</v>
      </c>
      <c r="I77" s="780">
        <f t="shared" si="391"/>
        <v>0</v>
      </c>
      <c r="J77" s="780">
        <f t="shared" si="391"/>
        <v>0</v>
      </c>
      <c r="K77" s="780">
        <f t="shared" si="391"/>
        <v>0</v>
      </c>
      <c r="L77" s="780">
        <f t="shared" si="391"/>
        <v>0</v>
      </c>
      <c r="M77" s="781">
        <f t="shared" si="391"/>
        <v>0</v>
      </c>
      <c r="N77" s="782">
        <f t="shared" si="391"/>
        <v>0</v>
      </c>
      <c r="O77" s="780">
        <f t="shared" si="391"/>
        <v>0</v>
      </c>
      <c r="P77" s="780">
        <f t="shared" si="391"/>
        <v>0</v>
      </c>
      <c r="Q77" s="780">
        <f t="shared" si="391"/>
        <v>0</v>
      </c>
      <c r="R77" s="780">
        <f t="shared" si="391"/>
        <v>0</v>
      </c>
      <c r="S77" s="780">
        <f t="shared" si="391"/>
        <v>0</v>
      </c>
      <c r="T77" s="780">
        <f t="shared" si="391"/>
        <v>0</v>
      </c>
      <c r="U77" s="780">
        <f t="shared" si="391"/>
        <v>0</v>
      </c>
      <c r="V77" s="780">
        <f t="shared" si="391"/>
        <v>0</v>
      </c>
      <c r="W77" s="780">
        <f t="shared" si="391"/>
        <v>0</v>
      </c>
      <c r="X77" s="780">
        <f t="shared" si="391"/>
        <v>0</v>
      </c>
      <c r="Y77" s="781">
        <f t="shared" si="391"/>
        <v>0</v>
      </c>
      <c r="Z77" s="782">
        <f t="shared" si="391"/>
        <v>0</v>
      </c>
      <c r="AA77" s="780">
        <f t="shared" si="391"/>
        <v>0</v>
      </c>
      <c r="AB77" s="780">
        <f t="shared" si="391"/>
        <v>0</v>
      </c>
      <c r="AC77" s="780">
        <f t="shared" si="391"/>
        <v>0</v>
      </c>
      <c r="AD77" s="780">
        <f t="shared" si="391"/>
        <v>0</v>
      </c>
      <c r="AE77" s="780">
        <f t="shared" si="391"/>
        <v>0</v>
      </c>
      <c r="AF77" s="780">
        <f t="shared" si="391"/>
        <v>0</v>
      </c>
      <c r="AG77" s="780">
        <f t="shared" si="391"/>
        <v>0</v>
      </c>
      <c r="AH77" s="780">
        <f t="shared" si="391"/>
        <v>0</v>
      </c>
      <c r="AI77" s="780">
        <f t="shared" si="391"/>
        <v>0</v>
      </c>
      <c r="AJ77" s="780">
        <f t="shared" si="391"/>
        <v>0</v>
      </c>
      <c r="AK77" s="781">
        <f t="shared" si="391"/>
        <v>0</v>
      </c>
      <c r="AL77" s="782">
        <f t="shared" si="391"/>
        <v>0</v>
      </c>
      <c r="AM77" s="780">
        <f t="shared" si="391"/>
        <v>0</v>
      </c>
      <c r="AN77" s="780">
        <f t="shared" si="391"/>
        <v>0</v>
      </c>
      <c r="AO77" s="780">
        <f t="shared" si="391"/>
        <v>0</v>
      </c>
      <c r="AP77" s="780">
        <f t="shared" si="391"/>
        <v>0</v>
      </c>
      <c r="AQ77" s="780">
        <f t="shared" si="391"/>
        <v>0</v>
      </c>
      <c r="AR77" s="780">
        <f t="shared" si="391"/>
        <v>0</v>
      </c>
      <c r="AS77" s="780">
        <f t="shared" si="391"/>
        <v>0</v>
      </c>
      <c r="AT77" s="780">
        <f t="shared" si="391"/>
        <v>0</v>
      </c>
      <c r="AU77" s="780">
        <f t="shared" si="391"/>
        <v>0</v>
      </c>
      <c r="AV77" s="780">
        <f t="shared" si="391"/>
        <v>0</v>
      </c>
      <c r="AW77" s="781">
        <f t="shared" si="391"/>
        <v>0</v>
      </c>
      <c r="AX77" s="782">
        <f t="shared" si="391"/>
        <v>0</v>
      </c>
      <c r="AY77" s="780">
        <f t="shared" si="391"/>
        <v>0</v>
      </c>
      <c r="AZ77" s="780">
        <f t="shared" si="391"/>
        <v>0</v>
      </c>
      <c r="BA77" s="780">
        <f t="shared" si="391"/>
        <v>0</v>
      </c>
      <c r="BB77" s="780">
        <f t="shared" si="391"/>
        <v>0</v>
      </c>
      <c r="BC77" s="780">
        <f t="shared" si="391"/>
        <v>0</v>
      </c>
      <c r="BD77" s="780">
        <f t="shared" si="391"/>
        <v>0</v>
      </c>
      <c r="BE77" s="780">
        <f t="shared" si="391"/>
        <v>0</v>
      </c>
      <c r="BF77" s="780">
        <f t="shared" si="391"/>
        <v>0</v>
      </c>
      <c r="BG77" s="780">
        <f t="shared" si="391"/>
        <v>0</v>
      </c>
      <c r="BH77" s="780">
        <f t="shared" si="391"/>
        <v>0</v>
      </c>
      <c r="BI77" s="781">
        <f t="shared" si="391"/>
        <v>0</v>
      </c>
    </row>
    <row r="78" spans="1:61" s="780" customFormat="1" hidden="1" outlineLevel="1">
      <c r="A78" s="780" t="str">
        <f>$A$537</f>
        <v>Audits</v>
      </c>
      <c r="F78" s="780">
        <f t="shared" ref="F78:BI78" si="392">IF($F$5&gt;$E$5,($F$5-$E$5)*B537,0)</f>
        <v>0</v>
      </c>
      <c r="G78" s="780">
        <f t="shared" si="392"/>
        <v>0</v>
      </c>
      <c r="H78" s="780">
        <f t="shared" si="392"/>
        <v>0</v>
      </c>
      <c r="I78" s="780">
        <f t="shared" si="392"/>
        <v>0</v>
      </c>
      <c r="J78" s="780">
        <f t="shared" si="392"/>
        <v>0</v>
      </c>
      <c r="K78" s="780">
        <f t="shared" si="392"/>
        <v>0</v>
      </c>
      <c r="L78" s="780">
        <f t="shared" si="392"/>
        <v>0</v>
      </c>
      <c r="M78" s="781">
        <f t="shared" si="392"/>
        <v>0</v>
      </c>
      <c r="N78" s="782">
        <f t="shared" si="392"/>
        <v>0</v>
      </c>
      <c r="O78" s="780">
        <f t="shared" si="392"/>
        <v>0</v>
      </c>
      <c r="P78" s="780">
        <f t="shared" si="392"/>
        <v>0</v>
      </c>
      <c r="Q78" s="780">
        <f t="shared" si="392"/>
        <v>0</v>
      </c>
      <c r="R78" s="780">
        <f t="shared" si="392"/>
        <v>0</v>
      </c>
      <c r="S78" s="780">
        <f t="shared" si="392"/>
        <v>0</v>
      </c>
      <c r="T78" s="780">
        <f t="shared" si="392"/>
        <v>0</v>
      </c>
      <c r="U78" s="780">
        <f t="shared" si="392"/>
        <v>0</v>
      </c>
      <c r="V78" s="780">
        <f t="shared" si="392"/>
        <v>0</v>
      </c>
      <c r="W78" s="780">
        <f t="shared" si="392"/>
        <v>0</v>
      </c>
      <c r="X78" s="780">
        <f t="shared" si="392"/>
        <v>0</v>
      </c>
      <c r="Y78" s="781">
        <f t="shared" si="392"/>
        <v>0</v>
      </c>
      <c r="Z78" s="782">
        <f t="shared" si="392"/>
        <v>0</v>
      </c>
      <c r="AA78" s="780">
        <f t="shared" si="392"/>
        <v>0</v>
      </c>
      <c r="AB78" s="780">
        <f t="shared" si="392"/>
        <v>0</v>
      </c>
      <c r="AC78" s="780">
        <f t="shared" si="392"/>
        <v>0</v>
      </c>
      <c r="AD78" s="780">
        <f t="shared" si="392"/>
        <v>0</v>
      </c>
      <c r="AE78" s="780">
        <f t="shared" si="392"/>
        <v>0</v>
      </c>
      <c r="AF78" s="780">
        <f t="shared" si="392"/>
        <v>0</v>
      </c>
      <c r="AG78" s="780">
        <f t="shared" si="392"/>
        <v>0</v>
      </c>
      <c r="AH78" s="780">
        <f t="shared" si="392"/>
        <v>0</v>
      </c>
      <c r="AI78" s="780">
        <f t="shared" si="392"/>
        <v>0</v>
      </c>
      <c r="AJ78" s="780">
        <f t="shared" si="392"/>
        <v>0</v>
      </c>
      <c r="AK78" s="781">
        <f t="shared" si="392"/>
        <v>0</v>
      </c>
      <c r="AL78" s="782">
        <f t="shared" si="392"/>
        <v>0</v>
      </c>
      <c r="AM78" s="780">
        <f t="shared" si="392"/>
        <v>0</v>
      </c>
      <c r="AN78" s="780">
        <f t="shared" si="392"/>
        <v>0</v>
      </c>
      <c r="AO78" s="780">
        <f t="shared" si="392"/>
        <v>0</v>
      </c>
      <c r="AP78" s="780">
        <f t="shared" si="392"/>
        <v>0</v>
      </c>
      <c r="AQ78" s="780">
        <f t="shared" si="392"/>
        <v>0</v>
      </c>
      <c r="AR78" s="780">
        <f t="shared" si="392"/>
        <v>0</v>
      </c>
      <c r="AS78" s="780">
        <f t="shared" si="392"/>
        <v>0</v>
      </c>
      <c r="AT78" s="780">
        <f t="shared" si="392"/>
        <v>0</v>
      </c>
      <c r="AU78" s="780">
        <f t="shared" si="392"/>
        <v>0</v>
      </c>
      <c r="AV78" s="780">
        <f t="shared" si="392"/>
        <v>0</v>
      </c>
      <c r="AW78" s="781">
        <f t="shared" si="392"/>
        <v>0</v>
      </c>
      <c r="AX78" s="782">
        <f t="shared" si="392"/>
        <v>0</v>
      </c>
      <c r="AY78" s="780">
        <f t="shared" si="392"/>
        <v>0</v>
      </c>
      <c r="AZ78" s="780">
        <f t="shared" si="392"/>
        <v>0</v>
      </c>
      <c r="BA78" s="780">
        <f t="shared" si="392"/>
        <v>0</v>
      </c>
      <c r="BB78" s="780">
        <f t="shared" si="392"/>
        <v>0</v>
      </c>
      <c r="BC78" s="780">
        <f t="shared" si="392"/>
        <v>0</v>
      </c>
      <c r="BD78" s="780">
        <f t="shared" si="392"/>
        <v>0</v>
      </c>
      <c r="BE78" s="780">
        <f t="shared" si="392"/>
        <v>0</v>
      </c>
      <c r="BF78" s="780">
        <f t="shared" si="392"/>
        <v>0</v>
      </c>
      <c r="BG78" s="780">
        <f t="shared" si="392"/>
        <v>0</v>
      </c>
      <c r="BH78" s="780">
        <f t="shared" si="392"/>
        <v>0</v>
      </c>
      <c r="BI78" s="781">
        <f t="shared" si="392"/>
        <v>0</v>
      </c>
    </row>
    <row r="79" spans="1:61" s="780" customFormat="1" hidden="1" outlineLevel="1">
      <c r="A79" s="780" t="str">
        <f>$A$538</f>
        <v>Retrofit</v>
      </c>
      <c r="F79" s="780">
        <f t="shared" ref="F79:BI79" si="393">IF($F$5&gt;$E$5,($F$5-$E$5)*B538,0)</f>
        <v>0</v>
      </c>
      <c r="G79" s="780">
        <f t="shared" si="393"/>
        <v>0</v>
      </c>
      <c r="H79" s="780">
        <f t="shared" si="393"/>
        <v>0</v>
      </c>
      <c r="I79" s="780">
        <f t="shared" si="393"/>
        <v>0</v>
      </c>
      <c r="J79" s="780">
        <f t="shared" si="393"/>
        <v>0</v>
      </c>
      <c r="K79" s="780">
        <f t="shared" si="393"/>
        <v>0</v>
      </c>
      <c r="L79" s="780">
        <f t="shared" si="393"/>
        <v>0</v>
      </c>
      <c r="M79" s="781">
        <f t="shared" si="393"/>
        <v>0</v>
      </c>
      <c r="N79" s="782">
        <f t="shared" si="393"/>
        <v>0</v>
      </c>
      <c r="O79" s="780">
        <f t="shared" si="393"/>
        <v>0</v>
      </c>
      <c r="P79" s="780">
        <f t="shared" si="393"/>
        <v>0</v>
      </c>
      <c r="Q79" s="780">
        <f t="shared" si="393"/>
        <v>0</v>
      </c>
      <c r="R79" s="780">
        <f t="shared" si="393"/>
        <v>0</v>
      </c>
      <c r="S79" s="780">
        <f t="shared" si="393"/>
        <v>0</v>
      </c>
      <c r="T79" s="780">
        <f t="shared" si="393"/>
        <v>0</v>
      </c>
      <c r="U79" s="780">
        <f t="shared" si="393"/>
        <v>0</v>
      </c>
      <c r="V79" s="780">
        <f t="shared" si="393"/>
        <v>0</v>
      </c>
      <c r="W79" s="780">
        <f t="shared" si="393"/>
        <v>0</v>
      </c>
      <c r="X79" s="780">
        <f t="shared" si="393"/>
        <v>0</v>
      </c>
      <c r="Y79" s="781">
        <f t="shared" si="393"/>
        <v>0</v>
      </c>
      <c r="Z79" s="782">
        <f t="shared" si="393"/>
        <v>0</v>
      </c>
      <c r="AA79" s="780">
        <f t="shared" si="393"/>
        <v>0</v>
      </c>
      <c r="AB79" s="780">
        <f t="shared" si="393"/>
        <v>0</v>
      </c>
      <c r="AC79" s="780">
        <f t="shared" si="393"/>
        <v>0</v>
      </c>
      <c r="AD79" s="780">
        <f t="shared" si="393"/>
        <v>0</v>
      </c>
      <c r="AE79" s="780">
        <f t="shared" si="393"/>
        <v>0</v>
      </c>
      <c r="AF79" s="780">
        <f t="shared" si="393"/>
        <v>0</v>
      </c>
      <c r="AG79" s="780">
        <f t="shared" si="393"/>
        <v>0</v>
      </c>
      <c r="AH79" s="780">
        <f t="shared" si="393"/>
        <v>0</v>
      </c>
      <c r="AI79" s="780">
        <f t="shared" si="393"/>
        <v>0</v>
      </c>
      <c r="AJ79" s="780">
        <f t="shared" si="393"/>
        <v>0</v>
      </c>
      <c r="AK79" s="781">
        <f t="shared" si="393"/>
        <v>0</v>
      </c>
      <c r="AL79" s="782">
        <f t="shared" si="393"/>
        <v>0</v>
      </c>
      <c r="AM79" s="780">
        <f t="shared" si="393"/>
        <v>0</v>
      </c>
      <c r="AN79" s="780">
        <f t="shared" si="393"/>
        <v>0</v>
      </c>
      <c r="AO79" s="780">
        <f t="shared" si="393"/>
        <v>0</v>
      </c>
      <c r="AP79" s="780">
        <f t="shared" si="393"/>
        <v>0</v>
      </c>
      <c r="AQ79" s="780">
        <f t="shared" si="393"/>
        <v>0</v>
      </c>
      <c r="AR79" s="780">
        <f t="shared" si="393"/>
        <v>0</v>
      </c>
      <c r="AS79" s="780">
        <f t="shared" si="393"/>
        <v>0</v>
      </c>
      <c r="AT79" s="780">
        <f t="shared" si="393"/>
        <v>0</v>
      </c>
      <c r="AU79" s="780">
        <f t="shared" si="393"/>
        <v>0</v>
      </c>
      <c r="AV79" s="780">
        <f t="shared" si="393"/>
        <v>0</v>
      </c>
      <c r="AW79" s="781">
        <f t="shared" si="393"/>
        <v>0</v>
      </c>
      <c r="AX79" s="782">
        <f t="shared" si="393"/>
        <v>0</v>
      </c>
      <c r="AY79" s="780">
        <f t="shared" si="393"/>
        <v>0</v>
      </c>
      <c r="AZ79" s="780">
        <f t="shared" si="393"/>
        <v>0</v>
      </c>
      <c r="BA79" s="780">
        <f t="shared" si="393"/>
        <v>0</v>
      </c>
      <c r="BB79" s="780">
        <f t="shared" si="393"/>
        <v>0</v>
      </c>
      <c r="BC79" s="780">
        <f t="shared" si="393"/>
        <v>0</v>
      </c>
      <c r="BD79" s="780">
        <f t="shared" si="393"/>
        <v>0</v>
      </c>
      <c r="BE79" s="780">
        <f t="shared" si="393"/>
        <v>0</v>
      </c>
      <c r="BF79" s="780">
        <f t="shared" si="393"/>
        <v>0</v>
      </c>
      <c r="BG79" s="780">
        <f t="shared" si="393"/>
        <v>0</v>
      </c>
      <c r="BH79" s="780">
        <f t="shared" si="393"/>
        <v>0</v>
      </c>
      <c r="BI79" s="781">
        <f t="shared" si="393"/>
        <v>0</v>
      </c>
    </row>
    <row r="80" spans="1:61" s="780" customFormat="1" hidden="1" outlineLevel="1">
      <c r="A80" s="780" t="str">
        <f>$A$539</f>
        <v>Revenue</v>
      </c>
      <c r="F80" s="780">
        <f t="shared" ref="F80:BI80" si="394">IF($F$5&gt;$E$5,($F$5-$E$5)*B539,0)</f>
        <v>0</v>
      </c>
      <c r="G80" s="780">
        <f t="shared" si="394"/>
        <v>0</v>
      </c>
      <c r="H80" s="780">
        <f t="shared" si="394"/>
        <v>0</v>
      </c>
      <c r="I80" s="780">
        <f t="shared" si="394"/>
        <v>0</v>
      </c>
      <c r="J80" s="780">
        <f t="shared" si="394"/>
        <v>0</v>
      </c>
      <c r="K80" s="780">
        <f t="shared" si="394"/>
        <v>0</v>
      </c>
      <c r="L80" s="780">
        <f t="shared" si="394"/>
        <v>0</v>
      </c>
      <c r="M80" s="781">
        <f t="shared" si="394"/>
        <v>0</v>
      </c>
      <c r="N80" s="782">
        <f t="shared" si="394"/>
        <v>0</v>
      </c>
      <c r="O80" s="780">
        <f t="shared" si="394"/>
        <v>0</v>
      </c>
      <c r="P80" s="780">
        <f t="shared" si="394"/>
        <v>0</v>
      </c>
      <c r="Q80" s="780">
        <f t="shared" si="394"/>
        <v>0</v>
      </c>
      <c r="R80" s="780">
        <f t="shared" si="394"/>
        <v>0</v>
      </c>
      <c r="S80" s="780">
        <f t="shared" si="394"/>
        <v>0</v>
      </c>
      <c r="T80" s="780">
        <f t="shared" si="394"/>
        <v>0</v>
      </c>
      <c r="U80" s="780">
        <f t="shared" si="394"/>
        <v>0</v>
      </c>
      <c r="V80" s="780">
        <f t="shared" si="394"/>
        <v>0</v>
      </c>
      <c r="W80" s="780">
        <f t="shared" si="394"/>
        <v>0</v>
      </c>
      <c r="X80" s="780">
        <f t="shared" si="394"/>
        <v>0</v>
      </c>
      <c r="Y80" s="781">
        <f t="shared" si="394"/>
        <v>0</v>
      </c>
      <c r="Z80" s="782">
        <f t="shared" si="394"/>
        <v>0</v>
      </c>
      <c r="AA80" s="780">
        <f t="shared" si="394"/>
        <v>0</v>
      </c>
      <c r="AB80" s="780">
        <f t="shared" si="394"/>
        <v>0</v>
      </c>
      <c r="AC80" s="780">
        <f t="shared" si="394"/>
        <v>0</v>
      </c>
      <c r="AD80" s="780">
        <f t="shared" si="394"/>
        <v>0</v>
      </c>
      <c r="AE80" s="780">
        <f t="shared" si="394"/>
        <v>0</v>
      </c>
      <c r="AF80" s="780">
        <f t="shared" si="394"/>
        <v>0</v>
      </c>
      <c r="AG80" s="780">
        <f t="shared" si="394"/>
        <v>0</v>
      </c>
      <c r="AH80" s="780">
        <f t="shared" si="394"/>
        <v>0</v>
      </c>
      <c r="AI80" s="780">
        <f t="shared" si="394"/>
        <v>0</v>
      </c>
      <c r="AJ80" s="780">
        <f t="shared" si="394"/>
        <v>0</v>
      </c>
      <c r="AK80" s="781">
        <f t="shared" si="394"/>
        <v>0</v>
      </c>
      <c r="AL80" s="782">
        <f t="shared" si="394"/>
        <v>0</v>
      </c>
      <c r="AM80" s="780">
        <f t="shared" si="394"/>
        <v>0</v>
      </c>
      <c r="AN80" s="780">
        <f t="shared" si="394"/>
        <v>0</v>
      </c>
      <c r="AO80" s="780">
        <f t="shared" si="394"/>
        <v>0</v>
      </c>
      <c r="AP80" s="780">
        <f t="shared" si="394"/>
        <v>0</v>
      </c>
      <c r="AQ80" s="780">
        <f t="shared" si="394"/>
        <v>0</v>
      </c>
      <c r="AR80" s="780">
        <f t="shared" si="394"/>
        <v>0</v>
      </c>
      <c r="AS80" s="780">
        <f t="shared" si="394"/>
        <v>0</v>
      </c>
      <c r="AT80" s="780">
        <f t="shared" si="394"/>
        <v>0</v>
      </c>
      <c r="AU80" s="780">
        <f t="shared" si="394"/>
        <v>0</v>
      </c>
      <c r="AV80" s="780">
        <f t="shared" si="394"/>
        <v>0</v>
      </c>
      <c r="AW80" s="781">
        <f t="shared" si="394"/>
        <v>0</v>
      </c>
      <c r="AX80" s="782">
        <f t="shared" si="394"/>
        <v>0</v>
      </c>
      <c r="AY80" s="780">
        <f t="shared" si="394"/>
        <v>0</v>
      </c>
      <c r="AZ80" s="780">
        <f t="shared" si="394"/>
        <v>0</v>
      </c>
      <c r="BA80" s="780">
        <f t="shared" si="394"/>
        <v>0</v>
      </c>
      <c r="BB80" s="780">
        <f t="shared" si="394"/>
        <v>0</v>
      </c>
      <c r="BC80" s="780">
        <f t="shared" si="394"/>
        <v>0</v>
      </c>
      <c r="BD80" s="780">
        <f t="shared" si="394"/>
        <v>0</v>
      </c>
      <c r="BE80" s="780">
        <f t="shared" si="394"/>
        <v>0</v>
      </c>
      <c r="BF80" s="780">
        <f t="shared" si="394"/>
        <v>0</v>
      </c>
      <c r="BG80" s="780">
        <f t="shared" si="394"/>
        <v>0</v>
      </c>
      <c r="BH80" s="780">
        <f t="shared" si="394"/>
        <v>0</v>
      </c>
      <c r="BI80" s="781">
        <f t="shared" si="394"/>
        <v>0</v>
      </c>
    </row>
    <row r="81" spans="1:61" s="780" customFormat="1" hidden="1" outlineLevel="1">
      <c r="A81" s="780" t="str">
        <f>$A$540</f>
        <v>Net Income</v>
      </c>
      <c r="F81" s="780">
        <f t="shared" ref="F81:BI81" si="395">IF($F$5&gt;$E$5,($F$5-$E$5)*B540,0)</f>
        <v>0</v>
      </c>
      <c r="G81" s="780">
        <f t="shared" si="395"/>
        <v>0</v>
      </c>
      <c r="H81" s="780">
        <f t="shared" si="395"/>
        <v>0</v>
      </c>
      <c r="I81" s="780">
        <f t="shared" si="395"/>
        <v>0</v>
      </c>
      <c r="J81" s="780">
        <f t="shared" si="395"/>
        <v>0</v>
      </c>
      <c r="K81" s="780">
        <f t="shared" si="395"/>
        <v>0</v>
      </c>
      <c r="L81" s="780">
        <f t="shared" si="395"/>
        <v>0</v>
      </c>
      <c r="M81" s="781">
        <f t="shared" si="395"/>
        <v>0</v>
      </c>
      <c r="N81" s="782">
        <f t="shared" si="395"/>
        <v>0</v>
      </c>
      <c r="O81" s="780">
        <f t="shared" si="395"/>
        <v>0</v>
      </c>
      <c r="P81" s="780">
        <f t="shared" si="395"/>
        <v>0</v>
      </c>
      <c r="Q81" s="780">
        <f t="shared" si="395"/>
        <v>0</v>
      </c>
      <c r="R81" s="780">
        <f t="shared" si="395"/>
        <v>0</v>
      </c>
      <c r="S81" s="780">
        <f t="shared" si="395"/>
        <v>0</v>
      </c>
      <c r="T81" s="780">
        <f t="shared" si="395"/>
        <v>0</v>
      </c>
      <c r="U81" s="780">
        <f t="shared" si="395"/>
        <v>0</v>
      </c>
      <c r="V81" s="780">
        <f t="shared" si="395"/>
        <v>0</v>
      </c>
      <c r="W81" s="780">
        <f t="shared" si="395"/>
        <v>0</v>
      </c>
      <c r="X81" s="780">
        <f t="shared" si="395"/>
        <v>0</v>
      </c>
      <c r="Y81" s="781">
        <f t="shared" si="395"/>
        <v>0</v>
      </c>
      <c r="Z81" s="782">
        <f t="shared" si="395"/>
        <v>0</v>
      </c>
      <c r="AA81" s="780">
        <f t="shared" si="395"/>
        <v>0</v>
      </c>
      <c r="AB81" s="780">
        <f t="shared" si="395"/>
        <v>0</v>
      </c>
      <c r="AC81" s="780">
        <f t="shared" si="395"/>
        <v>0</v>
      </c>
      <c r="AD81" s="780">
        <f t="shared" si="395"/>
        <v>0</v>
      </c>
      <c r="AE81" s="780">
        <f t="shared" si="395"/>
        <v>0</v>
      </c>
      <c r="AF81" s="780">
        <f t="shared" si="395"/>
        <v>0</v>
      </c>
      <c r="AG81" s="780">
        <f t="shared" si="395"/>
        <v>0</v>
      </c>
      <c r="AH81" s="780">
        <f t="shared" si="395"/>
        <v>0</v>
      </c>
      <c r="AI81" s="780">
        <f t="shared" si="395"/>
        <v>0</v>
      </c>
      <c r="AJ81" s="780">
        <f t="shared" si="395"/>
        <v>0</v>
      </c>
      <c r="AK81" s="781">
        <f t="shared" si="395"/>
        <v>0</v>
      </c>
      <c r="AL81" s="782">
        <f t="shared" si="395"/>
        <v>0</v>
      </c>
      <c r="AM81" s="780">
        <f t="shared" si="395"/>
        <v>0</v>
      </c>
      <c r="AN81" s="780">
        <f t="shared" si="395"/>
        <v>0</v>
      </c>
      <c r="AO81" s="780">
        <f t="shared" si="395"/>
        <v>0</v>
      </c>
      <c r="AP81" s="780">
        <f t="shared" si="395"/>
        <v>0</v>
      </c>
      <c r="AQ81" s="780">
        <f t="shared" si="395"/>
        <v>0</v>
      </c>
      <c r="AR81" s="780">
        <f t="shared" si="395"/>
        <v>0</v>
      </c>
      <c r="AS81" s="780">
        <f t="shared" si="395"/>
        <v>0</v>
      </c>
      <c r="AT81" s="780">
        <f t="shared" si="395"/>
        <v>0</v>
      </c>
      <c r="AU81" s="780">
        <f t="shared" si="395"/>
        <v>0</v>
      </c>
      <c r="AV81" s="780">
        <f t="shared" si="395"/>
        <v>0</v>
      </c>
      <c r="AW81" s="781">
        <f t="shared" si="395"/>
        <v>0</v>
      </c>
      <c r="AX81" s="782">
        <f t="shared" si="395"/>
        <v>0</v>
      </c>
      <c r="AY81" s="780">
        <f t="shared" si="395"/>
        <v>0</v>
      </c>
      <c r="AZ81" s="780">
        <f t="shared" si="395"/>
        <v>0</v>
      </c>
      <c r="BA81" s="780">
        <f t="shared" si="395"/>
        <v>0</v>
      </c>
      <c r="BB81" s="780">
        <f t="shared" si="395"/>
        <v>0</v>
      </c>
      <c r="BC81" s="780">
        <f t="shared" si="395"/>
        <v>0</v>
      </c>
      <c r="BD81" s="780">
        <f t="shared" si="395"/>
        <v>0</v>
      </c>
      <c r="BE81" s="780">
        <f t="shared" si="395"/>
        <v>0</v>
      </c>
      <c r="BF81" s="780">
        <f t="shared" si="395"/>
        <v>0</v>
      </c>
      <c r="BG81" s="780">
        <f t="shared" si="395"/>
        <v>0</v>
      </c>
      <c r="BH81" s="780">
        <f t="shared" si="395"/>
        <v>0</v>
      </c>
      <c r="BI81" s="781">
        <f t="shared" si="395"/>
        <v>0</v>
      </c>
    </row>
    <row r="82" spans="1:61" s="780" customFormat="1" hidden="1" outlineLevel="1">
      <c r="A82" s="780" t="s">
        <v>288</v>
      </c>
      <c r="F82" s="780">
        <f t="shared" ref="F82" si="396">IF($F$5&gt;$E$5,($F$5-$E$5)*B541,0)</f>
        <v>0</v>
      </c>
      <c r="G82" s="780">
        <f t="shared" ref="G82" si="397">IF($F$5&gt;$E$5,($F$5-$E$5)*C541,0)</f>
        <v>0</v>
      </c>
      <c r="H82" s="780">
        <f t="shared" ref="H82" si="398">IF($F$5&gt;$E$5,($F$5-$E$5)*D541,0)</f>
        <v>0</v>
      </c>
      <c r="I82" s="780">
        <f t="shared" ref="I82" si="399">IF($F$5&gt;$E$5,($F$5-$E$5)*E541,0)</f>
        <v>0</v>
      </c>
      <c r="J82" s="780">
        <f t="shared" ref="J82" si="400">IF($F$5&gt;$E$5,($F$5-$E$5)*F541,0)</f>
        <v>0</v>
      </c>
      <c r="K82" s="780">
        <f t="shared" ref="K82" si="401">IF($F$5&gt;$E$5,($F$5-$E$5)*G541,0)</f>
        <v>0</v>
      </c>
      <c r="L82" s="780">
        <f t="shared" ref="L82" si="402">IF($F$5&gt;$E$5,($F$5-$E$5)*H541,0)</f>
        <v>0</v>
      </c>
      <c r="M82" s="781">
        <f t="shared" ref="M82" si="403">IF($F$5&gt;$E$5,($F$5-$E$5)*I541,0)</f>
        <v>0</v>
      </c>
      <c r="N82" s="782">
        <f t="shared" ref="N82" si="404">IF($F$5&gt;$E$5,($F$5-$E$5)*J541,0)</f>
        <v>0</v>
      </c>
      <c r="O82" s="780">
        <f t="shared" ref="O82" si="405">IF($F$5&gt;$E$5,($F$5-$E$5)*K541,0)</f>
        <v>0</v>
      </c>
      <c r="P82" s="780">
        <f t="shared" ref="P82" si="406">IF($F$5&gt;$E$5,($F$5-$E$5)*L541,0)</f>
        <v>0</v>
      </c>
      <c r="Q82" s="780">
        <f t="shared" ref="Q82" si="407">IF($F$5&gt;$E$5,($F$5-$E$5)*M541,0)</f>
        <v>0</v>
      </c>
      <c r="R82" s="780">
        <f t="shared" ref="R82" si="408">IF($F$5&gt;$E$5,($F$5-$E$5)*N541,0)</f>
        <v>0</v>
      </c>
      <c r="S82" s="780">
        <f t="shared" ref="S82" si="409">IF($F$5&gt;$E$5,($F$5-$E$5)*O541,0)</f>
        <v>0</v>
      </c>
      <c r="T82" s="780">
        <f t="shared" ref="T82" si="410">IF($F$5&gt;$E$5,($F$5-$E$5)*P541,0)</f>
        <v>0</v>
      </c>
      <c r="U82" s="780">
        <f t="shared" ref="U82" si="411">IF($F$5&gt;$E$5,($F$5-$E$5)*Q541,0)</f>
        <v>0</v>
      </c>
      <c r="V82" s="780">
        <f t="shared" ref="V82" si="412">IF($F$5&gt;$E$5,($F$5-$E$5)*R541,0)</f>
        <v>0</v>
      </c>
      <c r="W82" s="780">
        <f t="shared" ref="W82" si="413">IF($F$5&gt;$E$5,($F$5-$E$5)*S541,0)</f>
        <v>0</v>
      </c>
      <c r="X82" s="780">
        <f t="shared" ref="X82" si="414">IF($F$5&gt;$E$5,($F$5-$E$5)*T541,0)</f>
        <v>0</v>
      </c>
      <c r="Y82" s="781">
        <f t="shared" ref="Y82" si="415">IF($F$5&gt;$E$5,($F$5-$E$5)*U541,0)</f>
        <v>0</v>
      </c>
      <c r="Z82" s="782">
        <f t="shared" ref="Z82" si="416">IF($F$5&gt;$E$5,($F$5-$E$5)*V541,0)</f>
        <v>0</v>
      </c>
      <c r="AA82" s="780">
        <f t="shared" ref="AA82" si="417">IF($F$5&gt;$E$5,($F$5-$E$5)*W541,0)</f>
        <v>0</v>
      </c>
      <c r="AB82" s="780">
        <f t="shared" ref="AB82" si="418">IF($F$5&gt;$E$5,($F$5-$E$5)*X541,0)</f>
        <v>0</v>
      </c>
      <c r="AC82" s="780">
        <f t="shared" ref="AC82" si="419">IF($F$5&gt;$E$5,($F$5-$E$5)*Y541,0)</f>
        <v>0</v>
      </c>
      <c r="AD82" s="780">
        <f t="shared" ref="AD82" si="420">IF($F$5&gt;$E$5,($F$5-$E$5)*Z541,0)</f>
        <v>0</v>
      </c>
      <c r="AE82" s="780">
        <f t="shared" ref="AE82" si="421">IF($F$5&gt;$E$5,($F$5-$E$5)*AA541,0)</f>
        <v>0</v>
      </c>
      <c r="AF82" s="780">
        <f t="shared" ref="AF82" si="422">IF($F$5&gt;$E$5,($F$5-$E$5)*AB541,0)</f>
        <v>0</v>
      </c>
      <c r="AG82" s="780">
        <f t="shared" ref="AG82" si="423">IF($F$5&gt;$E$5,($F$5-$E$5)*AC541,0)</f>
        <v>0</v>
      </c>
      <c r="AH82" s="780">
        <f t="shared" ref="AH82" si="424">IF($F$5&gt;$E$5,($F$5-$E$5)*AD541,0)</f>
        <v>0</v>
      </c>
      <c r="AI82" s="780">
        <f t="shared" ref="AI82" si="425">IF($F$5&gt;$E$5,($F$5-$E$5)*AE541,0)</f>
        <v>0</v>
      </c>
      <c r="AJ82" s="780">
        <f t="shared" ref="AJ82" si="426">IF($F$5&gt;$E$5,($F$5-$E$5)*AF541,0)</f>
        <v>0</v>
      </c>
      <c r="AK82" s="781">
        <f t="shared" ref="AK82" si="427">IF($F$5&gt;$E$5,($F$5-$E$5)*AG541,0)</f>
        <v>0</v>
      </c>
      <c r="AL82" s="782">
        <f t="shared" ref="AL82" si="428">IF($F$5&gt;$E$5,($F$5-$E$5)*AH541,0)</f>
        <v>0</v>
      </c>
      <c r="AM82" s="780">
        <f t="shared" ref="AM82" si="429">IF($F$5&gt;$E$5,($F$5-$E$5)*AI541,0)</f>
        <v>0</v>
      </c>
      <c r="AN82" s="780">
        <f t="shared" ref="AN82" si="430">IF($F$5&gt;$E$5,($F$5-$E$5)*AJ541,0)</f>
        <v>0</v>
      </c>
      <c r="AO82" s="780">
        <f t="shared" ref="AO82" si="431">IF($F$5&gt;$E$5,($F$5-$E$5)*AK541,0)</f>
        <v>0</v>
      </c>
      <c r="AP82" s="780">
        <f t="shared" ref="AP82" si="432">IF($F$5&gt;$E$5,($F$5-$E$5)*AL541,0)</f>
        <v>0</v>
      </c>
      <c r="AQ82" s="780">
        <f t="shared" ref="AQ82" si="433">IF($F$5&gt;$E$5,($F$5-$E$5)*AM541,0)</f>
        <v>0</v>
      </c>
      <c r="AR82" s="780">
        <f t="shared" ref="AR82" si="434">IF($F$5&gt;$E$5,($F$5-$E$5)*AN541,0)</f>
        <v>0</v>
      </c>
      <c r="AS82" s="780">
        <f t="shared" ref="AS82" si="435">IF($F$5&gt;$E$5,($F$5-$E$5)*AO541,0)</f>
        <v>0</v>
      </c>
      <c r="AT82" s="780">
        <f t="shared" ref="AT82" si="436">IF($F$5&gt;$E$5,($F$5-$E$5)*AP541,0)</f>
        <v>0</v>
      </c>
      <c r="AU82" s="780">
        <f t="shared" ref="AU82" si="437">IF($F$5&gt;$E$5,($F$5-$E$5)*AQ541,0)</f>
        <v>0</v>
      </c>
      <c r="AV82" s="780">
        <f t="shared" ref="AV82" si="438">IF($F$5&gt;$E$5,($F$5-$E$5)*AR541,0)</f>
        <v>0</v>
      </c>
      <c r="AW82" s="781">
        <f t="shared" ref="AW82" si="439">IF($F$5&gt;$E$5,($F$5-$E$5)*AS541,0)</f>
        <v>0</v>
      </c>
      <c r="AX82" s="782">
        <f t="shared" ref="AX82" si="440">IF($F$5&gt;$E$5,($F$5-$E$5)*AT541,0)</f>
        <v>0</v>
      </c>
      <c r="AY82" s="780">
        <f t="shared" ref="AY82" si="441">IF($F$5&gt;$E$5,($F$5-$E$5)*AU541,0)</f>
        <v>0</v>
      </c>
      <c r="AZ82" s="780">
        <f t="shared" ref="AZ82" si="442">IF($F$5&gt;$E$5,($F$5-$E$5)*AV541,0)</f>
        <v>0</v>
      </c>
      <c r="BA82" s="780">
        <f t="shared" ref="BA82" si="443">IF($F$5&gt;$E$5,($F$5-$E$5)*AW541,0)</f>
        <v>0</v>
      </c>
      <c r="BB82" s="780">
        <f t="shared" ref="BB82" si="444">IF($F$5&gt;$E$5,($F$5-$E$5)*AX541,0)</f>
        <v>0</v>
      </c>
      <c r="BC82" s="780">
        <f t="shared" ref="BC82" si="445">IF($F$5&gt;$E$5,($F$5-$E$5)*AY541,0)</f>
        <v>0</v>
      </c>
      <c r="BD82" s="780">
        <f t="shared" ref="BD82" si="446">IF($F$5&gt;$E$5,($F$5-$E$5)*AZ541,0)</f>
        <v>0</v>
      </c>
      <c r="BE82" s="780">
        <f t="shared" ref="BE82" si="447">IF($F$5&gt;$E$5,($F$5-$E$5)*BA541,0)</f>
        <v>0</v>
      </c>
      <c r="BF82" s="780">
        <f t="shared" ref="BF82" si="448">IF($F$5&gt;$E$5,($F$5-$E$5)*BB541,0)</f>
        <v>0</v>
      </c>
      <c r="BG82" s="780">
        <f t="shared" ref="BG82" si="449">IF($F$5&gt;$E$5,($F$5-$E$5)*BC541,0)</f>
        <v>0</v>
      </c>
      <c r="BH82" s="780">
        <f t="shared" ref="BH82" si="450">IF($F$5&gt;$E$5,($F$5-$E$5)*BD541,0)</f>
        <v>0</v>
      </c>
      <c r="BI82" s="781">
        <f t="shared" ref="BI82" si="451">IF($F$5&gt;$E$5,($F$5-$E$5)*BE541,0)</f>
        <v>0</v>
      </c>
    </row>
    <row r="83" spans="1:61" s="780" customFormat="1" hidden="1" outlineLevel="1">
      <c r="M83" s="781"/>
      <c r="N83" s="782"/>
      <c r="Y83" s="781"/>
      <c r="Z83" s="782"/>
      <c r="AK83" s="781"/>
      <c r="AL83" s="782"/>
      <c r="AW83" s="781"/>
      <c r="AX83" s="782"/>
      <c r="BI83" s="781"/>
    </row>
    <row r="84" spans="1:61" s="780" customFormat="1" hidden="1" outlineLevel="1">
      <c r="A84" s="780" t="s">
        <v>359</v>
      </c>
      <c r="G84" s="780">
        <f>IF($G$5&gt;$F$5,($G$5-$F$5)*B536,0)</f>
        <v>0</v>
      </c>
      <c r="H84" s="780">
        <f t="shared" ref="H84:BI84" si="452">IF($G$5&gt;$F$5,($G$5-$F$5)*C536,0)</f>
        <v>0</v>
      </c>
      <c r="I84" s="780">
        <f t="shared" si="452"/>
        <v>0</v>
      </c>
      <c r="J84" s="780">
        <f t="shared" si="452"/>
        <v>0</v>
      </c>
      <c r="K84" s="780">
        <f t="shared" si="452"/>
        <v>0</v>
      </c>
      <c r="L84" s="780">
        <f t="shared" si="452"/>
        <v>0</v>
      </c>
      <c r="M84" s="781">
        <f t="shared" si="452"/>
        <v>0</v>
      </c>
      <c r="N84" s="782">
        <f t="shared" si="452"/>
        <v>0</v>
      </c>
      <c r="O84" s="780">
        <f t="shared" si="452"/>
        <v>0</v>
      </c>
      <c r="P84" s="780">
        <f t="shared" si="452"/>
        <v>0</v>
      </c>
      <c r="Q84" s="780">
        <f t="shared" si="452"/>
        <v>0</v>
      </c>
      <c r="R84" s="780">
        <f t="shared" si="452"/>
        <v>0</v>
      </c>
      <c r="S84" s="780">
        <f t="shared" si="452"/>
        <v>0</v>
      </c>
      <c r="T84" s="780">
        <f t="shared" si="452"/>
        <v>0</v>
      </c>
      <c r="U84" s="780">
        <f t="shared" si="452"/>
        <v>0</v>
      </c>
      <c r="V84" s="780">
        <f t="shared" si="452"/>
        <v>0</v>
      </c>
      <c r="W84" s="780">
        <f t="shared" si="452"/>
        <v>0</v>
      </c>
      <c r="X84" s="780">
        <f t="shared" si="452"/>
        <v>0</v>
      </c>
      <c r="Y84" s="781">
        <f t="shared" si="452"/>
        <v>0</v>
      </c>
      <c r="Z84" s="782">
        <f t="shared" si="452"/>
        <v>0</v>
      </c>
      <c r="AA84" s="780">
        <f t="shared" si="452"/>
        <v>0</v>
      </c>
      <c r="AB84" s="780">
        <f t="shared" si="452"/>
        <v>0</v>
      </c>
      <c r="AC84" s="780">
        <f t="shared" si="452"/>
        <v>0</v>
      </c>
      <c r="AD84" s="780">
        <f t="shared" si="452"/>
        <v>0</v>
      </c>
      <c r="AE84" s="780">
        <f t="shared" si="452"/>
        <v>0</v>
      </c>
      <c r="AF84" s="780">
        <f t="shared" si="452"/>
        <v>0</v>
      </c>
      <c r="AG84" s="780">
        <f t="shared" si="452"/>
        <v>0</v>
      </c>
      <c r="AH84" s="780">
        <f t="shared" si="452"/>
        <v>0</v>
      </c>
      <c r="AI84" s="780">
        <f t="shared" si="452"/>
        <v>0</v>
      </c>
      <c r="AJ84" s="780">
        <f t="shared" si="452"/>
        <v>0</v>
      </c>
      <c r="AK84" s="781">
        <f t="shared" si="452"/>
        <v>0</v>
      </c>
      <c r="AL84" s="782">
        <f t="shared" si="452"/>
        <v>0</v>
      </c>
      <c r="AM84" s="780">
        <f t="shared" si="452"/>
        <v>0</v>
      </c>
      <c r="AN84" s="780">
        <f t="shared" si="452"/>
        <v>0</v>
      </c>
      <c r="AO84" s="780">
        <f t="shared" si="452"/>
        <v>0</v>
      </c>
      <c r="AP84" s="780">
        <f t="shared" si="452"/>
        <v>0</v>
      </c>
      <c r="AQ84" s="780">
        <f t="shared" si="452"/>
        <v>0</v>
      </c>
      <c r="AR84" s="780">
        <f t="shared" si="452"/>
        <v>0</v>
      </c>
      <c r="AS84" s="780">
        <f t="shared" si="452"/>
        <v>0</v>
      </c>
      <c r="AT84" s="780">
        <f t="shared" si="452"/>
        <v>0</v>
      </c>
      <c r="AU84" s="780">
        <f t="shared" si="452"/>
        <v>0</v>
      </c>
      <c r="AV84" s="780">
        <f t="shared" si="452"/>
        <v>0</v>
      </c>
      <c r="AW84" s="781">
        <f t="shared" si="452"/>
        <v>0</v>
      </c>
      <c r="AX84" s="782">
        <f t="shared" si="452"/>
        <v>0</v>
      </c>
      <c r="AY84" s="780">
        <f t="shared" si="452"/>
        <v>0</v>
      </c>
      <c r="AZ84" s="780">
        <f t="shared" si="452"/>
        <v>0</v>
      </c>
      <c r="BA84" s="780">
        <f t="shared" si="452"/>
        <v>0</v>
      </c>
      <c r="BB84" s="780">
        <f t="shared" si="452"/>
        <v>0</v>
      </c>
      <c r="BC84" s="780">
        <f t="shared" si="452"/>
        <v>0</v>
      </c>
      <c r="BD84" s="780">
        <f t="shared" si="452"/>
        <v>0</v>
      </c>
      <c r="BE84" s="780">
        <f t="shared" si="452"/>
        <v>0</v>
      </c>
      <c r="BF84" s="780">
        <f t="shared" si="452"/>
        <v>0</v>
      </c>
      <c r="BG84" s="780">
        <f t="shared" si="452"/>
        <v>0</v>
      </c>
      <c r="BH84" s="780">
        <f t="shared" si="452"/>
        <v>0</v>
      </c>
      <c r="BI84" s="781">
        <f t="shared" si="452"/>
        <v>0</v>
      </c>
    </row>
    <row r="85" spans="1:61" s="780" customFormat="1" hidden="1" outlineLevel="1">
      <c r="A85" s="780" t="str">
        <f>$A$537</f>
        <v>Audits</v>
      </c>
      <c r="G85" s="780">
        <f t="shared" ref="G85:BI85" si="453">IF($G$5&gt;$F$5,($G$5-$F$5)*B537,0)</f>
        <v>0</v>
      </c>
      <c r="H85" s="780">
        <f t="shared" si="453"/>
        <v>0</v>
      </c>
      <c r="I85" s="780">
        <f t="shared" si="453"/>
        <v>0</v>
      </c>
      <c r="J85" s="780">
        <f t="shared" si="453"/>
        <v>0</v>
      </c>
      <c r="K85" s="780">
        <f t="shared" si="453"/>
        <v>0</v>
      </c>
      <c r="L85" s="780">
        <f t="shared" si="453"/>
        <v>0</v>
      </c>
      <c r="M85" s="781">
        <f t="shared" si="453"/>
        <v>0</v>
      </c>
      <c r="N85" s="782">
        <f t="shared" si="453"/>
        <v>0</v>
      </c>
      <c r="O85" s="780">
        <f t="shared" si="453"/>
        <v>0</v>
      </c>
      <c r="P85" s="780">
        <f t="shared" si="453"/>
        <v>0</v>
      </c>
      <c r="Q85" s="780">
        <f t="shared" si="453"/>
        <v>0</v>
      </c>
      <c r="R85" s="780">
        <f t="shared" si="453"/>
        <v>0</v>
      </c>
      <c r="S85" s="780">
        <f t="shared" si="453"/>
        <v>0</v>
      </c>
      <c r="T85" s="780">
        <f t="shared" si="453"/>
        <v>0</v>
      </c>
      <c r="U85" s="780">
        <f t="shared" si="453"/>
        <v>0</v>
      </c>
      <c r="V85" s="780">
        <f t="shared" si="453"/>
        <v>0</v>
      </c>
      <c r="W85" s="780">
        <f t="shared" si="453"/>
        <v>0</v>
      </c>
      <c r="X85" s="780">
        <f t="shared" si="453"/>
        <v>0</v>
      </c>
      <c r="Y85" s="781">
        <f t="shared" si="453"/>
        <v>0</v>
      </c>
      <c r="Z85" s="782">
        <f t="shared" si="453"/>
        <v>0</v>
      </c>
      <c r="AA85" s="780">
        <f t="shared" si="453"/>
        <v>0</v>
      </c>
      <c r="AB85" s="780">
        <f t="shared" si="453"/>
        <v>0</v>
      </c>
      <c r="AC85" s="780">
        <f t="shared" si="453"/>
        <v>0</v>
      </c>
      <c r="AD85" s="780">
        <f t="shared" si="453"/>
        <v>0</v>
      </c>
      <c r="AE85" s="780">
        <f t="shared" si="453"/>
        <v>0</v>
      </c>
      <c r="AF85" s="780">
        <f t="shared" si="453"/>
        <v>0</v>
      </c>
      <c r="AG85" s="780">
        <f t="shared" si="453"/>
        <v>0</v>
      </c>
      <c r="AH85" s="780">
        <f t="shared" si="453"/>
        <v>0</v>
      </c>
      <c r="AI85" s="780">
        <f t="shared" si="453"/>
        <v>0</v>
      </c>
      <c r="AJ85" s="780">
        <f t="shared" si="453"/>
        <v>0</v>
      </c>
      <c r="AK85" s="781">
        <f t="shared" si="453"/>
        <v>0</v>
      </c>
      <c r="AL85" s="782">
        <f t="shared" si="453"/>
        <v>0</v>
      </c>
      <c r="AM85" s="780">
        <f t="shared" si="453"/>
        <v>0</v>
      </c>
      <c r="AN85" s="780">
        <f t="shared" si="453"/>
        <v>0</v>
      </c>
      <c r="AO85" s="780">
        <f t="shared" si="453"/>
        <v>0</v>
      </c>
      <c r="AP85" s="780">
        <f t="shared" si="453"/>
        <v>0</v>
      </c>
      <c r="AQ85" s="780">
        <f t="shared" si="453"/>
        <v>0</v>
      </c>
      <c r="AR85" s="780">
        <f t="shared" si="453"/>
        <v>0</v>
      </c>
      <c r="AS85" s="780">
        <f t="shared" si="453"/>
        <v>0</v>
      </c>
      <c r="AT85" s="780">
        <f t="shared" si="453"/>
        <v>0</v>
      </c>
      <c r="AU85" s="780">
        <f t="shared" si="453"/>
        <v>0</v>
      </c>
      <c r="AV85" s="780">
        <f t="shared" si="453"/>
        <v>0</v>
      </c>
      <c r="AW85" s="781">
        <f t="shared" si="453"/>
        <v>0</v>
      </c>
      <c r="AX85" s="782">
        <f t="shared" si="453"/>
        <v>0</v>
      </c>
      <c r="AY85" s="780">
        <f t="shared" si="453"/>
        <v>0</v>
      </c>
      <c r="AZ85" s="780">
        <f t="shared" si="453"/>
        <v>0</v>
      </c>
      <c r="BA85" s="780">
        <f t="shared" si="453"/>
        <v>0</v>
      </c>
      <c r="BB85" s="780">
        <f t="shared" si="453"/>
        <v>0</v>
      </c>
      <c r="BC85" s="780">
        <f t="shared" si="453"/>
        <v>0</v>
      </c>
      <c r="BD85" s="780">
        <f t="shared" si="453"/>
        <v>0</v>
      </c>
      <c r="BE85" s="780">
        <f t="shared" si="453"/>
        <v>0</v>
      </c>
      <c r="BF85" s="780">
        <f t="shared" si="453"/>
        <v>0</v>
      </c>
      <c r="BG85" s="780">
        <f t="shared" si="453"/>
        <v>0</v>
      </c>
      <c r="BH85" s="780">
        <f t="shared" si="453"/>
        <v>0</v>
      </c>
      <c r="BI85" s="781">
        <f t="shared" si="453"/>
        <v>0</v>
      </c>
    </row>
    <row r="86" spans="1:61" s="780" customFormat="1" hidden="1" outlineLevel="1">
      <c r="A86" s="780" t="str">
        <f>$A$538</f>
        <v>Retrofit</v>
      </c>
      <c r="G86" s="780">
        <f t="shared" ref="G86:BI86" si="454">IF($G$5&gt;$F$5,($G$5-$F$5)*B538,0)</f>
        <v>0</v>
      </c>
      <c r="H86" s="780">
        <f t="shared" si="454"/>
        <v>0</v>
      </c>
      <c r="I86" s="780">
        <f t="shared" si="454"/>
        <v>0</v>
      </c>
      <c r="J86" s="780">
        <f t="shared" si="454"/>
        <v>0</v>
      </c>
      <c r="K86" s="780">
        <f t="shared" si="454"/>
        <v>0</v>
      </c>
      <c r="L86" s="780">
        <f t="shared" si="454"/>
        <v>0</v>
      </c>
      <c r="M86" s="781">
        <f t="shared" si="454"/>
        <v>0</v>
      </c>
      <c r="N86" s="782">
        <f t="shared" si="454"/>
        <v>0</v>
      </c>
      <c r="O86" s="780">
        <f t="shared" si="454"/>
        <v>0</v>
      </c>
      <c r="P86" s="780">
        <f t="shared" si="454"/>
        <v>0</v>
      </c>
      <c r="Q86" s="780">
        <f t="shared" si="454"/>
        <v>0</v>
      </c>
      <c r="R86" s="780">
        <f t="shared" si="454"/>
        <v>0</v>
      </c>
      <c r="S86" s="780">
        <f t="shared" si="454"/>
        <v>0</v>
      </c>
      <c r="T86" s="780">
        <f t="shared" si="454"/>
        <v>0</v>
      </c>
      <c r="U86" s="780">
        <f t="shared" si="454"/>
        <v>0</v>
      </c>
      <c r="V86" s="780">
        <f t="shared" si="454"/>
        <v>0</v>
      </c>
      <c r="W86" s="780">
        <f t="shared" si="454"/>
        <v>0</v>
      </c>
      <c r="X86" s="780">
        <f t="shared" si="454"/>
        <v>0</v>
      </c>
      <c r="Y86" s="781">
        <f t="shared" si="454"/>
        <v>0</v>
      </c>
      <c r="Z86" s="782">
        <f t="shared" si="454"/>
        <v>0</v>
      </c>
      <c r="AA86" s="780">
        <f t="shared" si="454"/>
        <v>0</v>
      </c>
      <c r="AB86" s="780">
        <f t="shared" si="454"/>
        <v>0</v>
      </c>
      <c r="AC86" s="780">
        <f t="shared" si="454"/>
        <v>0</v>
      </c>
      <c r="AD86" s="780">
        <f t="shared" si="454"/>
        <v>0</v>
      </c>
      <c r="AE86" s="780">
        <f t="shared" si="454"/>
        <v>0</v>
      </c>
      <c r="AF86" s="780">
        <f t="shared" si="454"/>
        <v>0</v>
      </c>
      <c r="AG86" s="780">
        <f t="shared" si="454"/>
        <v>0</v>
      </c>
      <c r="AH86" s="780">
        <f t="shared" si="454"/>
        <v>0</v>
      </c>
      <c r="AI86" s="780">
        <f t="shared" si="454"/>
        <v>0</v>
      </c>
      <c r="AJ86" s="780">
        <f t="shared" si="454"/>
        <v>0</v>
      </c>
      <c r="AK86" s="781">
        <f t="shared" si="454"/>
        <v>0</v>
      </c>
      <c r="AL86" s="782">
        <f t="shared" si="454"/>
        <v>0</v>
      </c>
      <c r="AM86" s="780">
        <f t="shared" si="454"/>
        <v>0</v>
      </c>
      <c r="AN86" s="780">
        <f t="shared" si="454"/>
        <v>0</v>
      </c>
      <c r="AO86" s="780">
        <f t="shared" si="454"/>
        <v>0</v>
      </c>
      <c r="AP86" s="780">
        <f t="shared" si="454"/>
        <v>0</v>
      </c>
      <c r="AQ86" s="780">
        <f t="shared" si="454"/>
        <v>0</v>
      </c>
      <c r="AR86" s="780">
        <f t="shared" si="454"/>
        <v>0</v>
      </c>
      <c r="AS86" s="780">
        <f t="shared" si="454"/>
        <v>0</v>
      </c>
      <c r="AT86" s="780">
        <f t="shared" si="454"/>
        <v>0</v>
      </c>
      <c r="AU86" s="780">
        <f t="shared" si="454"/>
        <v>0</v>
      </c>
      <c r="AV86" s="780">
        <f t="shared" si="454"/>
        <v>0</v>
      </c>
      <c r="AW86" s="781">
        <f t="shared" si="454"/>
        <v>0</v>
      </c>
      <c r="AX86" s="782">
        <f t="shared" si="454"/>
        <v>0</v>
      </c>
      <c r="AY86" s="780">
        <f t="shared" si="454"/>
        <v>0</v>
      </c>
      <c r="AZ86" s="780">
        <f t="shared" si="454"/>
        <v>0</v>
      </c>
      <c r="BA86" s="780">
        <f t="shared" si="454"/>
        <v>0</v>
      </c>
      <c r="BB86" s="780">
        <f t="shared" si="454"/>
        <v>0</v>
      </c>
      <c r="BC86" s="780">
        <f t="shared" si="454"/>
        <v>0</v>
      </c>
      <c r="BD86" s="780">
        <f t="shared" si="454"/>
        <v>0</v>
      </c>
      <c r="BE86" s="780">
        <f t="shared" si="454"/>
        <v>0</v>
      </c>
      <c r="BF86" s="780">
        <f t="shared" si="454"/>
        <v>0</v>
      </c>
      <c r="BG86" s="780">
        <f t="shared" si="454"/>
        <v>0</v>
      </c>
      <c r="BH86" s="780">
        <f t="shared" si="454"/>
        <v>0</v>
      </c>
      <c r="BI86" s="781">
        <f t="shared" si="454"/>
        <v>0</v>
      </c>
    </row>
    <row r="87" spans="1:61" s="780" customFormat="1" hidden="1" outlineLevel="1">
      <c r="A87" s="780" t="str">
        <f>$A$539</f>
        <v>Revenue</v>
      </c>
      <c r="G87" s="780">
        <f t="shared" ref="G87:BI87" si="455">IF($G$5&gt;$F$5,($G$5-$F$5)*B539,0)</f>
        <v>0</v>
      </c>
      <c r="H87" s="780">
        <f t="shared" si="455"/>
        <v>0</v>
      </c>
      <c r="I87" s="780">
        <f t="shared" si="455"/>
        <v>0</v>
      </c>
      <c r="J87" s="780">
        <f t="shared" si="455"/>
        <v>0</v>
      </c>
      <c r="K87" s="780">
        <f t="shared" si="455"/>
        <v>0</v>
      </c>
      <c r="L87" s="780">
        <f t="shared" si="455"/>
        <v>0</v>
      </c>
      <c r="M87" s="781">
        <f t="shared" si="455"/>
        <v>0</v>
      </c>
      <c r="N87" s="782">
        <f t="shared" si="455"/>
        <v>0</v>
      </c>
      <c r="O87" s="780">
        <f t="shared" si="455"/>
        <v>0</v>
      </c>
      <c r="P87" s="780">
        <f t="shared" si="455"/>
        <v>0</v>
      </c>
      <c r="Q87" s="780">
        <f t="shared" si="455"/>
        <v>0</v>
      </c>
      <c r="R87" s="780">
        <f t="shared" si="455"/>
        <v>0</v>
      </c>
      <c r="S87" s="780">
        <f t="shared" si="455"/>
        <v>0</v>
      </c>
      <c r="T87" s="780">
        <f t="shared" si="455"/>
        <v>0</v>
      </c>
      <c r="U87" s="780">
        <f t="shared" si="455"/>
        <v>0</v>
      </c>
      <c r="V87" s="780">
        <f t="shared" si="455"/>
        <v>0</v>
      </c>
      <c r="W87" s="780">
        <f t="shared" si="455"/>
        <v>0</v>
      </c>
      <c r="X87" s="780">
        <f t="shared" si="455"/>
        <v>0</v>
      </c>
      <c r="Y87" s="781">
        <f t="shared" si="455"/>
        <v>0</v>
      </c>
      <c r="Z87" s="782">
        <f t="shared" si="455"/>
        <v>0</v>
      </c>
      <c r="AA87" s="780">
        <f t="shared" si="455"/>
        <v>0</v>
      </c>
      <c r="AB87" s="780">
        <f t="shared" si="455"/>
        <v>0</v>
      </c>
      <c r="AC87" s="780">
        <f t="shared" si="455"/>
        <v>0</v>
      </c>
      <c r="AD87" s="780">
        <f t="shared" si="455"/>
        <v>0</v>
      </c>
      <c r="AE87" s="780">
        <f t="shared" si="455"/>
        <v>0</v>
      </c>
      <c r="AF87" s="780">
        <f t="shared" si="455"/>
        <v>0</v>
      </c>
      <c r="AG87" s="780">
        <f t="shared" si="455"/>
        <v>0</v>
      </c>
      <c r="AH87" s="780">
        <f t="shared" si="455"/>
        <v>0</v>
      </c>
      <c r="AI87" s="780">
        <f t="shared" si="455"/>
        <v>0</v>
      </c>
      <c r="AJ87" s="780">
        <f t="shared" si="455"/>
        <v>0</v>
      </c>
      <c r="AK87" s="781">
        <f t="shared" si="455"/>
        <v>0</v>
      </c>
      <c r="AL87" s="782">
        <f t="shared" si="455"/>
        <v>0</v>
      </c>
      <c r="AM87" s="780">
        <f t="shared" si="455"/>
        <v>0</v>
      </c>
      <c r="AN87" s="780">
        <f t="shared" si="455"/>
        <v>0</v>
      </c>
      <c r="AO87" s="780">
        <f t="shared" si="455"/>
        <v>0</v>
      </c>
      <c r="AP87" s="780">
        <f t="shared" si="455"/>
        <v>0</v>
      </c>
      <c r="AQ87" s="780">
        <f t="shared" si="455"/>
        <v>0</v>
      </c>
      <c r="AR87" s="780">
        <f t="shared" si="455"/>
        <v>0</v>
      </c>
      <c r="AS87" s="780">
        <f t="shared" si="455"/>
        <v>0</v>
      </c>
      <c r="AT87" s="780">
        <f t="shared" si="455"/>
        <v>0</v>
      </c>
      <c r="AU87" s="780">
        <f t="shared" si="455"/>
        <v>0</v>
      </c>
      <c r="AV87" s="780">
        <f t="shared" si="455"/>
        <v>0</v>
      </c>
      <c r="AW87" s="781">
        <f t="shared" si="455"/>
        <v>0</v>
      </c>
      <c r="AX87" s="782">
        <f t="shared" si="455"/>
        <v>0</v>
      </c>
      <c r="AY87" s="780">
        <f t="shared" si="455"/>
        <v>0</v>
      </c>
      <c r="AZ87" s="780">
        <f t="shared" si="455"/>
        <v>0</v>
      </c>
      <c r="BA87" s="780">
        <f t="shared" si="455"/>
        <v>0</v>
      </c>
      <c r="BB87" s="780">
        <f t="shared" si="455"/>
        <v>0</v>
      </c>
      <c r="BC87" s="780">
        <f t="shared" si="455"/>
        <v>0</v>
      </c>
      <c r="BD87" s="780">
        <f t="shared" si="455"/>
        <v>0</v>
      </c>
      <c r="BE87" s="780">
        <f t="shared" si="455"/>
        <v>0</v>
      </c>
      <c r="BF87" s="780">
        <f t="shared" si="455"/>
        <v>0</v>
      </c>
      <c r="BG87" s="780">
        <f t="shared" si="455"/>
        <v>0</v>
      </c>
      <c r="BH87" s="780">
        <f t="shared" si="455"/>
        <v>0</v>
      </c>
      <c r="BI87" s="781">
        <f t="shared" si="455"/>
        <v>0</v>
      </c>
    </row>
    <row r="88" spans="1:61" s="780" customFormat="1" hidden="1" outlineLevel="1">
      <c r="A88" s="780" t="str">
        <f>$A$540</f>
        <v>Net Income</v>
      </c>
      <c r="G88" s="780">
        <f t="shared" ref="G88:BI88" si="456">IF($G$5&gt;$F$5,($G$5-$F$5)*B540,0)</f>
        <v>0</v>
      </c>
      <c r="H88" s="780">
        <f t="shared" si="456"/>
        <v>0</v>
      </c>
      <c r="I88" s="780">
        <f t="shared" si="456"/>
        <v>0</v>
      </c>
      <c r="J88" s="780">
        <f t="shared" si="456"/>
        <v>0</v>
      </c>
      <c r="K88" s="780">
        <f t="shared" si="456"/>
        <v>0</v>
      </c>
      <c r="L88" s="780">
        <f t="shared" si="456"/>
        <v>0</v>
      </c>
      <c r="M88" s="781">
        <f t="shared" si="456"/>
        <v>0</v>
      </c>
      <c r="N88" s="782">
        <f t="shared" si="456"/>
        <v>0</v>
      </c>
      <c r="O88" s="780">
        <f t="shared" si="456"/>
        <v>0</v>
      </c>
      <c r="P88" s="780">
        <f t="shared" si="456"/>
        <v>0</v>
      </c>
      <c r="Q88" s="780">
        <f t="shared" si="456"/>
        <v>0</v>
      </c>
      <c r="R88" s="780">
        <f t="shared" si="456"/>
        <v>0</v>
      </c>
      <c r="S88" s="780">
        <f t="shared" si="456"/>
        <v>0</v>
      </c>
      <c r="T88" s="780">
        <f t="shared" si="456"/>
        <v>0</v>
      </c>
      <c r="U88" s="780">
        <f t="shared" si="456"/>
        <v>0</v>
      </c>
      <c r="V88" s="780">
        <f t="shared" si="456"/>
        <v>0</v>
      </c>
      <c r="W88" s="780">
        <f t="shared" si="456"/>
        <v>0</v>
      </c>
      <c r="X88" s="780">
        <f t="shared" si="456"/>
        <v>0</v>
      </c>
      <c r="Y88" s="781">
        <f t="shared" si="456"/>
        <v>0</v>
      </c>
      <c r="Z88" s="782">
        <f t="shared" si="456"/>
        <v>0</v>
      </c>
      <c r="AA88" s="780">
        <f t="shared" si="456"/>
        <v>0</v>
      </c>
      <c r="AB88" s="780">
        <f t="shared" si="456"/>
        <v>0</v>
      </c>
      <c r="AC88" s="780">
        <f t="shared" si="456"/>
        <v>0</v>
      </c>
      <c r="AD88" s="780">
        <f t="shared" si="456"/>
        <v>0</v>
      </c>
      <c r="AE88" s="780">
        <f t="shared" si="456"/>
        <v>0</v>
      </c>
      <c r="AF88" s="780">
        <f t="shared" si="456"/>
        <v>0</v>
      </c>
      <c r="AG88" s="780">
        <f t="shared" si="456"/>
        <v>0</v>
      </c>
      <c r="AH88" s="780">
        <f t="shared" si="456"/>
        <v>0</v>
      </c>
      <c r="AI88" s="780">
        <f t="shared" si="456"/>
        <v>0</v>
      </c>
      <c r="AJ88" s="780">
        <f t="shared" si="456"/>
        <v>0</v>
      </c>
      <c r="AK88" s="781">
        <f t="shared" si="456"/>
        <v>0</v>
      </c>
      <c r="AL88" s="782">
        <f t="shared" si="456"/>
        <v>0</v>
      </c>
      <c r="AM88" s="780">
        <f t="shared" si="456"/>
        <v>0</v>
      </c>
      <c r="AN88" s="780">
        <f t="shared" si="456"/>
        <v>0</v>
      </c>
      <c r="AO88" s="780">
        <f t="shared" si="456"/>
        <v>0</v>
      </c>
      <c r="AP88" s="780">
        <f t="shared" si="456"/>
        <v>0</v>
      </c>
      <c r="AQ88" s="780">
        <f t="shared" si="456"/>
        <v>0</v>
      </c>
      <c r="AR88" s="780">
        <f t="shared" si="456"/>
        <v>0</v>
      </c>
      <c r="AS88" s="780">
        <f t="shared" si="456"/>
        <v>0</v>
      </c>
      <c r="AT88" s="780">
        <f t="shared" si="456"/>
        <v>0</v>
      </c>
      <c r="AU88" s="780">
        <f t="shared" si="456"/>
        <v>0</v>
      </c>
      <c r="AV88" s="780">
        <f t="shared" si="456"/>
        <v>0</v>
      </c>
      <c r="AW88" s="781">
        <f t="shared" si="456"/>
        <v>0</v>
      </c>
      <c r="AX88" s="782">
        <f t="shared" si="456"/>
        <v>0</v>
      </c>
      <c r="AY88" s="780">
        <f t="shared" si="456"/>
        <v>0</v>
      </c>
      <c r="AZ88" s="780">
        <f t="shared" si="456"/>
        <v>0</v>
      </c>
      <c r="BA88" s="780">
        <f t="shared" si="456"/>
        <v>0</v>
      </c>
      <c r="BB88" s="780">
        <f t="shared" si="456"/>
        <v>0</v>
      </c>
      <c r="BC88" s="780">
        <f t="shared" si="456"/>
        <v>0</v>
      </c>
      <c r="BD88" s="780">
        <f t="shared" si="456"/>
        <v>0</v>
      </c>
      <c r="BE88" s="780">
        <f t="shared" si="456"/>
        <v>0</v>
      </c>
      <c r="BF88" s="780">
        <f t="shared" si="456"/>
        <v>0</v>
      </c>
      <c r="BG88" s="780">
        <f t="shared" si="456"/>
        <v>0</v>
      </c>
      <c r="BH88" s="780">
        <f t="shared" si="456"/>
        <v>0</v>
      </c>
      <c r="BI88" s="781">
        <f t="shared" si="456"/>
        <v>0</v>
      </c>
    </row>
    <row r="89" spans="1:61" s="780" customFormat="1" hidden="1" outlineLevel="1">
      <c r="A89" s="780" t="s">
        <v>288</v>
      </c>
      <c r="G89" s="780">
        <f t="shared" ref="G89" si="457">IF($G$5&gt;$F$5,($G$5-$F$5)*B541,0)</f>
        <v>0</v>
      </c>
      <c r="H89" s="780">
        <f t="shared" ref="H89" si="458">IF($G$5&gt;$F$5,($G$5-$F$5)*C541,0)</f>
        <v>0</v>
      </c>
      <c r="I89" s="780">
        <f t="shared" ref="I89" si="459">IF($G$5&gt;$F$5,($G$5-$F$5)*D541,0)</f>
        <v>0</v>
      </c>
      <c r="J89" s="780">
        <f t="shared" ref="J89" si="460">IF($G$5&gt;$F$5,($G$5-$F$5)*E541,0)</f>
        <v>0</v>
      </c>
      <c r="K89" s="780">
        <f t="shared" ref="K89" si="461">IF($G$5&gt;$F$5,($G$5-$F$5)*F541,0)</f>
        <v>0</v>
      </c>
      <c r="L89" s="780">
        <f t="shared" ref="L89" si="462">IF($G$5&gt;$F$5,($G$5-$F$5)*G541,0)</f>
        <v>0</v>
      </c>
      <c r="M89" s="781">
        <f t="shared" ref="M89" si="463">IF($G$5&gt;$F$5,($G$5-$F$5)*H541,0)</f>
        <v>0</v>
      </c>
      <c r="N89" s="782">
        <f t="shared" ref="N89" si="464">IF($G$5&gt;$F$5,($G$5-$F$5)*I541,0)</f>
        <v>0</v>
      </c>
      <c r="O89" s="780">
        <f t="shared" ref="O89" si="465">IF($G$5&gt;$F$5,($G$5-$F$5)*J541,0)</f>
        <v>0</v>
      </c>
      <c r="P89" s="780">
        <f t="shared" ref="P89" si="466">IF($G$5&gt;$F$5,($G$5-$F$5)*K541,0)</f>
        <v>0</v>
      </c>
      <c r="Q89" s="780">
        <f t="shared" ref="Q89" si="467">IF($G$5&gt;$F$5,($G$5-$F$5)*L541,0)</f>
        <v>0</v>
      </c>
      <c r="R89" s="780">
        <f t="shared" ref="R89" si="468">IF($G$5&gt;$F$5,($G$5-$F$5)*M541,0)</f>
        <v>0</v>
      </c>
      <c r="S89" s="780">
        <f t="shared" ref="S89" si="469">IF($G$5&gt;$F$5,($G$5-$F$5)*N541,0)</f>
        <v>0</v>
      </c>
      <c r="T89" s="780">
        <f t="shared" ref="T89" si="470">IF($G$5&gt;$F$5,($G$5-$F$5)*O541,0)</f>
        <v>0</v>
      </c>
      <c r="U89" s="780">
        <f t="shared" ref="U89" si="471">IF($G$5&gt;$F$5,($G$5-$F$5)*P541,0)</f>
        <v>0</v>
      </c>
      <c r="V89" s="780">
        <f t="shared" ref="V89" si="472">IF($G$5&gt;$F$5,($G$5-$F$5)*Q541,0)</f>
        <v>0</v>
      </c>
      <c r="W89" s="780">
        <f t="shared" ref="W89" si="473">IF($G$5&gt;$F$5,($G$5-$F$5)*R541,0)</f>
        <v>0</v>
      </c>
      <c r="X89" s="780">
        <f t="shared" ref="X89" si="474">IF($G$5&gt;$F$5,($G$5-$F$5)*S541,0)</f>
        <v>0</v>
      </c>
      <c r="Y89" s="781">
        <f t="shared" ref="Y89" si="475">IF($G$5&gt;$F$5,($G$5-$F$5)*T541,0)</f>
        <v>0</v>
      </c>
      <c r="Z89" s="782">
        <f t="shared" ref="Z89" si="476">IF($G$5&gt;$F$5,($G$5-$F$5)*U541,0)</f>
        <v>0</v>
      </c>
      <c r="AA89" s="780">
        <f t="shared" ref="AA89" si="477">IF($G$5&gt;$F$5,($G$5-$F$5)*V541,0)</f>
        <v>0</v>
      </c>
      <c r="AB89" s="780">
        <f t="shared" ref="AB89" si="478">IF($G$5&gt;$F$5,($G$5-$F$5)*W541,0)</f>
        <v>0</v>
      </c>
      <c r="AC89" s="780">
        <f t="shared" ref="AC89" si="479">IF($G$5&gt;$F$5,($G$5-$F$5)*X541,0)</f>
        <v>0</v>
      </c>
      <c r="AD89" s="780">
        <f t="shared" ref="AD89" si="480">IF($G$5&gt;$F$5,($G$5-$F$5)*Y541,0)</f>
        <v>0</v>
      </c>
      <c r="AE89" s="780">
        <f t="shared" ref="AE89" si="481">IF($G$5&gt;$F$5,($G$5-$F$5)*Z541,0)</f>
        <v>0</v>
      </c>
      <c r="AF89" s="780">
        <f t="shared" ref="AF89" si="482">IF($G$5&gt;$F$5,($G$5-$F$5)*AA541,0)</f>
        <v>0</v>
      </c>
      <c r="AG89" s="780">
        <f t="shared" ref="AG89" si="483">IF($G$5&gt;$F$5,($G$5-$F$5)*AB541,0)</f>
        <v>0</v>
      </c>
      <c r="AH89" s="780">
        <f t="shared" ref="AH89" si="484">IF($G$5&gt;$F$5,($G$5-$F$5)*AC541,0)</f>
        <v>0</v>
      </c>
      <c r="AI89" s="780">
        <f t="shared" ref="AI89" si="485">IF($G$5&gt;$F$5,($G$5-$F$5)*AD541,0)</f>
        <v>0</v>
      </c>
      <c r="AJ89" s="780">
        <f t="shared" ref="AJ89" si="486">IF($G$5&gt;$F$5,($G$5-$F$5)*AE541,0)</f>
        <v>0</v>
      </c>
      <c r="AK89" s="781">
        <f t="shared" ref="AK89" si="487">IF($G$5&gt;$F$5,($G$5-$F$5)*AF541,0)</f>
        <v>0</v>
      </c>
      <c r="AL89" s="782">
        <f t="shared" ref="AL89" si="488">IF($G$5&gt;$F$5,($G$5-$F$5)*AG541,0)</f>
        <v>0</v>
      </c>
      <c r="AM89" s="780">
        <f t="shared" ref="AM89" si="489">IF($G$5&gt;$F$5,($G$5-$F$5)*AH541,0)</f>
        <v>0</v>
      </c>
      <c r="AN89" s="780">
        <f t="shared" ref="AN89" si="490">IF($G$5&gt;$F$5,($G$5-$F$5)*AI541,0)</f>
        <v>0</v>
      </c>
      <c r="AO89" s="780">
        <f t="shared" ref="AO89" si="491">IF($G$5&gt;$F$5,($G$5-$F$5)*AJ541,0)</f>
        <v>0</v>
      </c>
      <c r="AP89" s="780">
        <f t="shared" ref="AP89" si="492">IF($G$5&gt;$F$5,($G$5-$F$5)*AK541,0)</f>
        <v>0</v>
      </c>
      <c r="AQ89" s="780">
        <f t="shared" ref="AQ89" si="493">IF($G$5&gt;$F$5,($G$5-$F$5)*AL541,0)</f>
        <v>0</v>
      </c>
      <c r="AR89" s="780">
        <f t="shared" ref="AR89" si="494">IF($G$5&gt;$F$5,($G$5-$F$5)*AM541,0)</f>
        <v>0</v>
      </c>
      <c r="AS89" s="780">
        <f t="shared" ref="AS89" si="495">IF($G$5&gt;$F$5,($G$5-$F$5)*AN541,0)</f>
        <v>0</v>
      </c>
      <c r="AT89" s="780">
        <f t="shared" ref="AT89" si="496">IF($G$5&gt;$F$5,($G$5-$F$5)*AO541,0)</f>
        <v>0</v>
      </c>
      <c r="AU89" s="780">
        <f t="shared" ref="AU89" si="497">IF($G$5&gt;$F$5,($G$5-$F$5)*AP541,0)</f>
        <v>0</v>
      </c>
      <c r="AV89" s="780">
        <f t="shared" ref="AV89" si="498">IF($G$5&gt;$F$5,($G$5-$F$5)*AQ541,0)</f>
        <v>0</v>
      </c>
      <c r="AW89" s="781">
        <f t="shared" ref="AW89" si="499">IF($G$5&gt;$F$5,($G$5-$F$5)*AR541,0)</f>
        <v>0</v>
      </c>
      <c r="AX89" s="782">
        <f t="shared" ref="AX89" si="500">IF($G$5&gt;$F$5,($G$5-$F$5)*AS541,0)</f>
        <v>0</v>
      </c>
      <c r="AY89" s="780">
        <f t="shared" ref="AY89" si="501">IF($G$5&gt;$F$5,($G$5-$F$5)*AT541,0)</f>
        <v>0</v>
      </c>
      <c r="AZ89" s="780">
        <f t="shared" ref="AZ89" si="502">IF($G$5&gt;$F$5,($G$5-$F$5)*AU541,0)</f>
        <v>0</v>
      </c>
      <c r="BA89" s="780">
        <f t="shared" ref="BA89" si="503">IF($G$5&gt;$F$5,($G$5-$F$5)*AV541,0)</f>
        <v>0</v>
      </c>
      <c r="BB89" s="780">
        <f t="shared" ref="BB89" si="504">IF($G$5&gt;$F$5,($G$5-$F$5)*AW541,0)</f>
        <v>0</v>
      </c>
      <c r="BC89" s="780">
        <f t="shared" ref="BC89" si="505">IF($G$5&gt;$F$5,($G$5-$F$5)*AX541,0)</f>
        <v>0</v>
      </c>
      <c r="BD89" s="780">
        <f t="shared" ref="BD89" si="506">IF($G$5&gt;$F$5,($G$5-$F$5)*AY541,0)</f>
        <v>0</v>
      </c>
      <c r="BE89" s="780">
        <f t="shared" ref="BE89" si="507">IF($G$5&gt;$F$5,($G$5-$F$5)*AZ541,0)</f>
        <v>0</v>
      </c>
      <c r="BF89" s="780">
        <f t="shared" ref="BF89" si="508">IF($G$5&gt;$F$5,($G$5-$F$5)*BA541,0)</f>
        <v>0</v>
      </c>
      <c r="BG89" s="780">
        <f t="shared" ref="BG89" si="509">IF($G$5&gt;$F$5,($G$5-$F$5)*BB541,0)</f>
        <v>0</v>
      </c>
      <c r="BH89" s="780">
        <f t="shared" ref="BH89" si="510">IF($G$5&gt;$F$5,($G$5-$F$5)*BC541,0)</f>
        <v>0</v>
      </c>
      <c r="BI89" s="781">
        <f t="shared" ref="BI89" si="511">IF($G$5&gt;$F$5,($G$5-$F$5)*BD541,0)</f>
        <v>0</v>
      </c>
    </row>
    <row r="90" spans="1:61" s="780" customFormat="1" hidden="1" outlineLevel="1">
      <c r="M90" s="781"/>
      <c r="N90" s="782"/>
      <c r="Y90" s="781"/>
      <c r="Z90" s="782"/>
      <c r="AK90" s="781"/>
      <c r="AL90" s="782"/>
      <c r="AW90" s="781"/>
      <c r="AX90" s="782"/>
      <c r="BI90" s="781"/>
    </row>
    <row r="91" spans="1:61" s="780" customFormat="1" hidden="1" outlineLevel="1">
      <c r="A91" s="780" t="s">
        <v>359</v>
      </c>
      <c r="H91" s="780">
        <f>IF($H$5&gt;$G$5,($H$5-$G$5)*B536,0)</f>
        <v>0</v>
      </c>
      <c r="I91" s="780">
        <f t="shared" ref="I91:BI91" si="512">IF($H$5&gt;$G$5,($H$5-$G$5)*C536,0)</f>
        <v>0</v>
      </c>
      <c r="J91" s="780">
        <f t="shared" si="512"/>
        <v>0</v>
      </c>
      <c r="K91" s="780">
        <f t="shared" si="512"/>
        <v>0</v>
      </c>
      <c r="L91" s="780">
        <f t="shared" si="512"/>
        <v>0</v>
      </c>
      <c r="M91" s="781">
        <f t="shared" si="512"/>
        <v>0</v>
      </c>
      <c r="N91" s="782">
        <f t="shared" si="512"/>
        <v>0</v>
      </c>
      <c r="O91" s="780">
        <f t="shared" si="512"/>
        <v>0</v>
      </c>
      <c r="P91" s="780">
        <f t="shared" si="512"/>
        <v>0</v>
      </c>
      <c r="Q91" s="780">
        <f t="shared" si="512"/>
        <v>0</v>
      </c>
      <c r="R91" s="780">
        <f t="shared" si="512"/>
        <v>0</v>
      </c>
      <c r="S91" s="780">
        <f t="shared" si="512"/>
        <v>0</v>
      </c>
      <c r="T91" s="780">
        <f t="shared" si="512"/>
        <v>0</v>
      </c>
      <c r="U91" s="780">
        <f t="shared" si="512"/>
        <v>0</v>
      </c>
      <c r="V91" s="780">
        <f t="shared" si="512"/>
        <v>0</v>
      </c>
      <c r="W91" s="780">
        <f t="shared" si="512"/>
        <v>0</v>
      </c>
      <c r="X91" s="780">
        <f t="shared" si="512"/>
        <v>0</v>
      </c>
      <c r="Y91" s="781">
        <f t="shared" si="512"/>
        <v>0</v>
      </c>
      <c r="Z91" s="782">
        <f t="shared" si="512"/>
        <v>0</v>
      </c>
      <c r="AA91" s="780">
        <f t="shared" si="512"/>
        <v>0</v>
      </c>
      <c r="AB91" s="780">
        <f t="shared" si="512"/>
        <v>0</v>
      </c>
      <c r="AC91" s="780">
        <f t="shared" si="512"/>
        <v>0</v>
      </c>
      <c r="AD91" s="780">
        <f t="shared" si="512"/>
        <v>0</v>
      </c>
      <c r="AE91" s="780">
        <f t="shared" si="512"/>
        <v>0</v>
      </c>
      <c r="AF91" s="780">
        <f t="shared" si="512"/>
        <v>0</v>
      </c>
      <c r="AG91" s="780">
        <f t="shared" si="512"/>
        <v>0</v>
      </c>
      <c r="AH91" s="780">
        <f t="shared" si="512"/>
        <v>0</v>
      </c>
      <c r="AI91" s="780">
        <f t="shared" si="512"/>
        <v>0</v>
      </c>
      <c r="AJ91" s="780">
        <f t="shared" si="512"/>
        <v>0</v>
      </c>
      <c r="AK91" s="781">
        <f t="shared" si="512"/>
        <v>0</v>
      </c>
      <c r="AL91" s="782">
        <f t="shared" si="512"/>
        <v>0</v>
      </c>
      <c r="AM91" s="780">
        <f t="shared" si="512"/>
        <v>0</v>
      </c>
      <c r="AN91" s="780">
        <f t="shared" si="512"/>
        <v>0</v>
      </c>
      <c r="AO91" s="780">
        <f t="shared" si="512"/>
        <v>0</v>
      </c>
      <c r="AP91" s="780">
        <f t="shared" si="512"/>
        <v>0</v>
      </c>
      <c r="AQ91" s="780">
        <f t="shared" si="512"/>
        <v>0</v>
      </c>
      <c r="AR91" s="780">
        <f t="shared" si="512"/>
        <v>0</v>
      </c>
      <c r="AS91" s="780">
        <f t="shared" si="512"/>
        <v>0</v>
      </c>
      <c r="AT91" s="780">
        <f t="shared" si="512"/>
        <v>0</v>
      </c>
      <c r="AU91" s="780">
        <f t="shared" si="512"/>
        <v>0</v>
      </c>
      <c r="AV91" s="780">
        <f t="shared" si="512"/>
        <v>0</v>
      </c>
      <c r="AW91" s="781">
        <f t="shared" si="512"/>
        <v>0</v>
      </c>
      <c r="AX91" s="782">
        <f t="shared" si="512"/>
        <v>0</v>
      </c>
      <c r="AY91" s="780">
        <f t="shared" si="512"/>
        <v>0</v>
      </c>
      <c r="AZ91" s="780">
        <f t="shared" si="512"/>
        <v>0</v>
      </c>
      <c r="BA91" s="780">
        <f t="shared" si="512"/>
        <v>0</v>
      </c>
      <c r="BB91" s="780">
        <f t="shared" si="512"/>
        <v>0</v>
      </c>
      <c r="BC91" s="780">
        <f t="shared" si="512"/>
        <v>0</v>
      </c>
      <c r="BD91" s="780">
        <f t="shared" si="512"/>
        <v>0</v>
      </c>
      <c r="BE91" s="780">
        <f t="shared" si="512"/>
        <v>0</v>
      </c>
      <c r="BF91" s="780">
        <f t="shared" si="512"/>
        <v>0</v>
      </c>
      <c r="BG91" s="780">
        <f t="shared" si="512"/>
        <v>0</v>
      </c>
      <c r="BH91" s="780">
        <f t="shared" si="512"/>
        <v>0</v>
      </c>
      <c r="BI91" s="781">
        <f t="shared" si="512"/>
        <v>0</v>
      </c>
    </row>
    <row r="92" spans="1:61" s="780" customFormat="1" hidden="1" outlineLevel="1">
      <c r="A92" s="780" t="str">
        <f>$A$537</f>
        <v>Audits</v>
      </c>
      <c r="H92" s="780">
        <f t="shared" ref="H92:BI92" si="513">IF($H$5&gt;$G$5,($H$5-$G$5)*B537,0)</f>
        <v>0</v>
      </c>
      <c r="I92" s="780">
        <f t="shared" si="513"/>
        <v>0</v>
      </c>
      <c r="J92" s="780">
        <f t="shared" si="513"/>
        <v>0</v>
      </c>
      <c r="K92" s="780">
        <f t="shared" si="513"/>
        <v>0</v>
      </c>
      <c r="L92" s="780">
        <f t="shared" si="513"/>
        <v>0</v>
      </c>
      <c r="M92" s="781">
        <f t="shared" si="513"/>
        <v>0</v>
      </c>
      <c r="N92" s="782">
        <f t="shared" si="513"/>
        <v>0</v>
      </c>
      <c r="O92" s="780">
        <f t="shared" si="513"/>
        <v>0</v>
      </c>
      <c r="P92" s="780">
        <f t="shared" si="513"/>
        <v>0</v>
      </c>
      <c r="Q92" s="780">
        <f t="shared" si="513"/>
        <v>0</v>
      </c>
      <c r="R92" s="780">
        <f t="shared" si="513"/>
        <v>0</v>
      </c>
      <c r="S92" s="780">
        <f t="shared" si="513"/>
        <v>0</v>
      </c>
      <c r="T92" s="780">
        <f t="shared" si="513"/>
        <v>0</v>
      </c>
      <c r="U92" s="780">
        <f t="shared" si="513"/>
        <v>0</v>
      </c>
      <c r="V92" s="780">
        <f t="shared" si="513"/>
        <v>0</v>
      </c>
      <c r="W92" s="780">
        <f t="shared" si="513"/>
        <v>0</v>
      </c>
      <c r="X92" s="780">
        <f t="shared" si="513"/>
        <v>0</v>
      </c>
      <c r="Y92" s="781">
        <f t="shared" si="513"/>
        <v>0</v>
      </c>
      <c r="Z92" s="782">
        <f t="shared" si="513"/>
        <v>0</v>
      </c>
      <c r="AA92" s="780">
        <f t="shared" si="513"/>
        <v>0</v>
      </c>
      <c r="AB92" s="780">
        <f t="shared" si="513"/>
        <v>0</v>
      </c>
      <c r="AC92" s="780">
        <f t="shared" si="513"/>
        <v>0</v>
      </c>
      <c r="AD92" s="780">
        <f t="shared" si="513"/>
        <v>0</v>
      </c>
      <c r="AE92" s="780">
        <f t="shared" si="513"/>
        <v>0</v>
      </c>
      <c r="AF92" s="780">
        <f t="shared" si="513"/>
        <v>0</v>
      </c>
      <c r="AG92" s="780">
        <f t="shared" si="513"/>
        <v>0</v>
      </c>
      <c r="AH92" s="780">
        <f t="shared" si="513"/>
        <v>0</v>
      </c>
      <c r="AI92" s="780">
        <f t="shared" si="513"/>
        <v>0</v>
      </c>
      <c r="AJ92" s="780">
        <f t="shared" si="513"/>
        <v>0</v>
      </c>
      <c r="AK92" s="781">
        <f t="shared" si="513"/>
        <v>0</v>
      </c>
      <c r="AL92" s="782">
        <f t="shared" si="513"/>
        <v>0</v>
      </c>
      <c r="AM92" s="780">
        <f t="shared" si="513"/>
        <v>0</v>
      </c>
      <c r="AN92" s="780">
        <f t="shared" si="513"/>
        <v>0</v>
      </c>
      <c r="AO92" s="780">
        <f t="shared" si="513"/>
        <v>0</v>
      </c>
      <c r="AP92" s="780">
        <f t="shared" si="513"/>
        <v>0</v>
      </c>
      <c r="AQ92" s="780">
        <f t="shared" si="513"/>
        <v>0</v>
      </c>
      <c r="AR92" s="780">
        <f t="shared" si="513"/>
        <v>0</v>
      </c>
      <c r="AS92" s="780">
        <f t="shared" si="513"/>
        <v>0</v>
      </c>
      <c r="AT92" s="780">
        <f t="shared" si="513"/>
        <v>0</v>
      </c>
      <c r="AU92" s="780">
        <f t="shared" si="513"/>
        <v>0</v>
      </c>
      <c r="AV92" s="780">
        <f t="shared" si="513"/>
        <v>0</v>
      </c>
      <c r="AW92" s="781">
        <f t="shared" si="513"/>
        <v>0</v>
      </c>
      <c r="AX92" s="782">
        <f t="shared" si="513"/>
        <v>0</v>
      </c>
      <c r="AY92" s="780">
        <f t="shared" si="513"/>
        <v>0</v>
      </c>
      <c r="AZ92" s="780">
        <f t="shared" si="513"/>
        <v>0</v>
      </c>
      <c r="BA92" s="780">
        <f t="shared" si="513"/>
        <v>0</v>
      </c>
      <c r="BB92" s="780">
        <f t="shared" si="513"/>
        <v>0</v>
      </c>
      <c r="BC92" s="780">
        <f t="shared" si="513"/>
        <v>0</v>
      </c>
      <c r="BD92" s="780">
        <f t="shared" si="513"/>
        <v>0</v>
      </c>
      <c r="BE92" s="780">
        <f t="shared" si="513"/>
        <v>0</v>
      </c>
      <c r="BF92" s="780">
        <f t="shared" si="513"/>
        <v>0</v>
      </c>
      <c r="BG92" s="780">
        <f t="shared" si="513"/>
        <v>0</v>
      </c>
      <c r="BH92" s="780">
        <f t="shared" si="513"/>
        <v>0</v>
      </c>
      <c r="BI92" s="781">
        <f t="shared" si="513"/>
        <v>0</v>
      </c>
    </row>
    <row r="93" spans="1:61" s="780" customFormat="1" hidden="1" outlineLevel="1">
      <c r="A93" s="780" t="str">
        <f>$A$538</f>
        <v>Retrofit</v>
      </c>
      <c r="H93" s="780">
        <f t="shared" ref="H93:BI93" si="514">IF($H$5&gt;$G$5,($H$5-$G$5)*B538,0)</f>
        <v>0</v>
      </c>
      <c r="I93" s="780">
        <f t="shared" si="514"/>
        <v>0</v>
      </c>
      <c r="J93" s="780">
        <f t="shared" si="514"/>
        <v>0</v>
      </c>
      <c r="K93" s="780">
        <f t="shared" si="514"/>
        <v>0</v>
      </c>
      <c r="L93" s="780">
        <f t="shared" si="514"/>
        <v>0</v>
      </c>
      <c r="M93" s="781">
        <f t="shared" si="514"/>
        <v>0</v>
      </c>
      <c r="N93" s="782">
        <f t="shared" si="514"/>
        <v>0</v>
      </c>
      <c r="O93" s="780">
        <f t="shared" si="514"/>
        <v>0</v>
      </c>
      <c r="P93" s="780">
        <f t="shared" si="514"/>
        <v>0</v>
      </c>
      <c r="Q93" s="780">
        <f t="shared" si="514"/>
        <v>0</v>
      </c>
      <c r="R93" s="780">
        <f t="shared" si="514"/>
        <v>0</v>
      </c>
      <c r="S93" s="780">
        <f t="shared" si="514"/>
        <v>0</v>
      </c>
      <c r="T93" s="780">
        <f t="shared" si="514"/>
        <v>0</v>
      </c>
      <c r="U93" s="780">
        <f t="shared" si="514"/>
        <v>0</v>
      </c>
      <c r="V93" s="780">
        <f t="shared" si="514"/>
        <v>0</v>
      </c>
      <c r="W93" s="780">
        <f t="shared" si="514"/>
        <v>0</v>
      </c>
      <c r="X93" s="780">
        <f t="shared" si="514"/>
        <v>0</v>
      </c>
      <c r="Y93" s="781">
        <f t="shared" si="514"/>
        <v>0</v>
      </c>
      <c r="Z93" s="782">
        <f t="shared" si="514"/>
        <v>0</v>
      </c>
      <c r="AA93" s="780">
        <f t="shared" si="514"/>
        <v>0</v>
      </c>
      <c r="AB93" s="780">
        <f t="shared" si="514"/>
        <v>0</v>
      </c>
      <c r="AC93" s="780">
        <f t="shared" si="514"/>
        <v>0</v>
      </c>
      <c r="AD93" s="780">
        <f t="shared" si="514"/>
        <v>0</v>
      </c>
      <c r="AE93" s="780">
        <f t="shared" si="514"/>
        <v>0</v>
      </c>
      <c r="AF93" s="780">
        <f t="shared" si="514"/>
        <v>0</v>
      </c>
      <c r="AG93" s="780">
        <f t="shared" si="514"/>
        <v>0</v>
      </c>
      <c r="AH93" s="780">
        <f t="shared" si="514"/>
        <v>0</v>
      </c>
      <c r="AI93" s="780">
        <f t="shared" si="514"/>
        <v>0</v>
      </c>
      <c r="AJ93" s="780">
        <f t="shared" si="514"/>
        <v>0</v>
      </c>
      <c r="AK93" s="781">
        <f t="shared" si="514"/>
        <v>0</v>
      </c>
      <c r="AL93" s="782">
        <f t="shared" si="514"/>
        <v>0</v>
      </c>
      <c r="AM93" s="780">
        <f t="shared" si="514"/>
        <v>0</v>
      </c>
      <c r="AN93" s="780">
        <f t="shared" si="514"/>
        <v>0</v>
      </c>
      <c r="AO93" s="780">
        <f t="shared" si="514"/>
        <v>0</v>
      </c>
      <c r="AP93" s="780">
        <f t="shared" si="514"/>
        <v>0</v>
      </c>
      <c r="AQ93" s="780">
        <f t="shared" si="514"/>
        <v>0</v>
      </c>
      <c r="AR93" s="780">
        <f t="shared" si="514"/>
        <v>0</v>
      </c>
      <c r="AS93" s="780">
        <f t="shared" si="514"/>
        <v>0</v>
      </c>
      <c r="AT93" s="780">
        <f t="shared" si="514"/>
        <v>0</v>
      </c>
      <c r="AU93" s="780">
        <f t="shared" si="514"/>
        <v>0</v>
      </c>
      <c r="AV93" s="780">
        <f t="shared" si="514"/>
        <v>0</v>
      </c>
      <c r="AW93" s="781">
        <f t="shared" si="514"/>
        <v>0</v>
      </c>
      <c r="AX93" s="782">
        <f t="shared" si="514"/>
        <v>0</v>
      </c>
      <c r="AY93" s="780">
        <f t="shared" si="514"/>
        <v>0</v>
      </c>
      <c r="AZ93" s="780">
        <f t="shared" si="514"/>
        <v>0</v>
      </c>
      <c r="BA93" s="780">
        <f t="shared" si="514"/>
        <v>0</v>
      </c>
      <c r="BB93" s="780">
        <f t="shared" si="514"/>
        <v>0</v>
      </c>
      <c r="BC93" s="780">
        <f t="shared" si="514"/>
        <v>0</v>
      </c>
      <c r="BD93" s="780">
        <f t="shared" si="514"/>
        <v>0</v>
      </c>
      <c r="BE93" s="780">
        <f t="shared" si="514"/>
        <v>0</v>
      </c>
      <c r="BF93" s="780">
        <f t="shared" si="514"/>
        <v>0</v>
      </c>
      <c r="BG93" s="780">
        <f t="shared" si="514"/>
        <v>0</v>
      </c>
      <c r="BH93" s="780">
        <f t="shared" si="514"/>
        <v>0</v>
      </c>
      <c r="BI93" s="781">
        <f t="shared" si="514"/>
        <v>0</v>
      </c>
    </row>
    <row r="94" spans="1:61" s="780" customFormat="1" hidden="1" outlineLevel="1">
      <c r="A94" s="780" t="str">
        <f>$A$539</f>
        <v>Revenue</v>
      </c>
      <c r="H94" s="780">
        <f t="shared" ref="H94:BI94" si="515">IF($H$5&gt;$G$5,($H$5-$G$5)*B539,0)</f>
        <v>0</v>
      </c>
      <c r="I94" s="780">
        <f t="shared" si="515"/>
        <v>0</v>
      </c>
      <c r="J94" s="780">
        <f t="shared" si="515"/>
        <v>0</v>
      </c>
      <c r="K94" s="780">
        <f t="shared" si="515"/>
        <v>0</v>
      </c>
      <c r="L94" s="780">
        <f t="shared" si="515"/>
        <v>0</v>
      </c>
      <c r="M94" s="781">
        <f t="shared" si="515"/>
        <v>0</v>
      </c>
      <c r="N94" s="782">
        <f t="shared" si="515"/>
        <v>0</v>
      </c>
      <c r="O94" s="780">
        <f t="shared" si="515"/>
        <v>0</v>
      </c>
      <c r="P94" s="780">
        <f t="shared" si="515"/>
        <v>0</v>
      </c>
      <c r="Q94" s="780">
        <f t="shared" si="515"/>
        <v>0</v>
      </c>
      <c r="R94" s="780">
        <f t="shared" si="515"/>
        <v>0</v>
      </c>
      <c r="S94" s="780">
        <f t="shared" si="515"/>
        <v>0</v>
      </c>
      <c r="T94" s="780">
        <f t="shared" si="515"/>
        <v>0</v>
      </c>
      <c r="U94" s="780">
        <f t="shared" si="515"/>
        <v>0</v>
      </c>
      <c r="V94" s="780">
        <f t="shared" si="515"/>
        <v>0</v>
      </c>
      <c r="W94" s="780">
        <f t="shared" si="515"/>
        <v>0</v>
      </c>
      <c r="X94" s="780">
        <f t="shared" si="515"/>
        <v>0</v>
      </c>
      <c r="Y94" s="781">
        <f t="shared" si="515"/>
        <v>0</v>
      </c>
      <c r="Z94" s="782">
        <f t="shared" si="515"/>
        <v>0</v>
      </c>
      <c r="AA94" s="780">
        <f t="shared" si="515"/>
        <v>0</v>
      </c>
      <c r="AB94" s="780">
        <f t="shared" si="515"/>
        <v>0</v>
      </c>
      <c r="AC94" s="780">
        <f t="shared" si="515"/>
        <v>0</v>
      </c>
      <c r="AD94" s="780">
        <f t="shared" si="515"/>
        <v>0</v>
      </c>
      <c r="AE94" s="780">
        <f t="shared" si="515"/>
        <v>0</v>
      </c>
      <c r="AF94" s="780">
        <f t="shared" si="515"/>
        <v>0</v>
      </c>
      <c r="AG94" s="780">
        <f t="shared" si="515"/>
        <v>0</v>
      </c>
      <c r="AH94" s="780">
        <f t="shared" si="515"/>
        <v>0</v>
      </c>
      <c r="AI94" s="780">
        <f t="shared" si="515"/>
        <v>0</v>
      </c>
      <c r="AJ94" s="780">
        <f t="shared" si="515"/>
        <v>0</v>
      </c>
      <c r="AK94" s="781">
        <f t="shared" si="515"/>
        <v>0</v>
      </c>
      <c r="AL94" s="782">
        <f t="shared" si="515"/>
        <v>0</v>
      </c>
      <c r="AM94" s="780">
        <f t="shared" si="515"/>
        <v>0</v>
      </c>
      <c r="AN94" s="780">
        <f t="shared" si="515"/>
        <v>0</v>
      </c>
      <c r="AO94" s="780">
        <f t="shared" si="515"/>
        <v>0</v>
      </c>
      <c r="AP94" s="780">
        <f t="shared" si="515"/>
        <v>0</v>
      </c>
      <c r="AQ94" s="780">
        <f t="shared" si="515"/>
        <v>0</v>
      </c>
      <c r="AR94" s="780">
        <f t="shared" si="515"/>
        <v>0</v>
      </c>
      <c r="AS94" s="780">
        <f t="shared" si="515"/>
        <v>0</v>
      </c>
      <c r="AT94" s="780">
        <f t="shared" si="515"/>
        <v>0</v>
      </c>
      <c r="AU94" s="780">
        <f t="shared" si="515"/>
        <v>0</v>
      </c>
      <c r="AV94" s="780">
        <f t="shared" si="515"/>
        <v>0</v>
      </c>
      <c r="AW94" s="781">
        <f t="shared" si="515"/>
        <v>0</v>
      </c>
      <c r="AX94" s="782">
        <f t="shared" si="515"/>
        <v>0</v>
      </c>
      <c r="AY94" s="780">
        <f t="shared" si="515"/>
        <v>0</v>
      </c>
      <c r="AZ94" s="780">
        <f t="shared" si="515"/>
        <v>0</v>
      </c>
      <c r="BA94" s="780">
        <f t="shared" si="515"/>
        <v>0</v>
      </c>
      <c r="BB94" s="780">
        <f t="shared" si="515"/>
        <v>0</v>
      </c>
      <c r="BC94" s="780">
        <f t="shared" si="515"/>
        <v>0</v>
      </c>
      <c r="BD94" s="780">
        <f t="shared" si="515"/>
        <v>0</v>
      </c>
      <c r="BE94" s="780">
        <f t="shared" si="515"/>
        <v>0</v>
      </c>
      <c r="BF94" s="780">
        <f t="shared" si="515"/>
        <v>0</v>
      </c>
      <c r="BG94" s="780">
        <f t="shared" si="515"/>
        <v>0</v>
      </c>
      <c r="BH94" s="780">
        <f t="shared" si="515"/>
        <v>0</v>
      </c>
      <c r="BI94" s="781">
        <f t="shared" si="515"/>
        <v>0</v>
      </c>
    </row>
    <row r="95" spans="1:61" s="780" customFormat="1" hidden="1" outlineLevel="1">
      <c r="A95" s="780" t="str">
        <f>$A$540</f>
        <v>Net Income</v>
      </c>
      <c r="H95" s="780">
        <f t="shared" ref="H95:BI95" si="516">IF($H$5&gt;$G$5,($H$5-$G$5)*B540,0)</f>
        <v>0</v>
      </c>
      <c r="I95" s="780">
        <f t="shared" si="516"/>
        <v>0</v>
      </c>
      <c r="J95" s="780">
        <f t="shared" si="516"/>
        <v>0</v>
      </c>
      <c r="K95" s="780">
        <f t="shared" si="516"/>
        <v>0</v>
      </c>
      <c r="L95" s="780">
        <f t="shared" si="516"/>
        <v>0</v>
      </c>
      <c r="M95" s="781">
        <f t="shared" si="516"/>
        <v>0</v>
      </c>
      <c r="N95" s="782">
        <f t="shared" si="516"/>
        <v>0</v>
      </c>
      <c r="O95" s="780">
        <f t="shared" si="516"/>
        <v>0</v>
      </c>
      <c r="P95" s="780">
        <f t="shared" si="516"/>
        <v>0</v>
      </c>
      <c r="Q95" s="780">
        <f t="shared" si="516"/>
        <v>0</v>
      </c>
      <c r="R95" s="780">
        <f t="shared" si="516"/>
        <v>0</v>
      </c>
      <c r="S95" s="780">
        <f t="shared" si="516"/>
        <v>0</v>
      </c>
      <c r="T95" s="780">
        <f t="shared" si="516"/>
        <v>0</v>
      </c>
      <c r="U95" s="780">
        <f t="shared" si="516"/>
        <v>0</v>
      </c>
      <c r="V95" s="780">
        <f t="shared" si="516"/>
        <v>0</v>
      </c>
      <c r="W95" s="780">
        <f t="shared" si="516"/>
        <v>0</v>
      </c>
      <c r="X95" s="780">
        <f t="shared" si="516"/>
        <v>0</v>
      </c>
      <c r="Y95" s="781">
        <f t="shared" si="516"/>
        <v>0</v>
      </c>
      <c r="Z95" s="782">
        <f t="shared" si="516"/>
        <v>0</v>
      </c>
      <c r="AA95" s="780">
        <f t="shared" si="516"/>
        <v>0</v>
      </c>
      <c r="AB95" s="780">
        <f t="shared" si="516"/>
        <v>0</v>
      </c>
      <c r="AC95" s="780">
        <f t="shared" si="516"/>
        <v>0</v>
      </c>
      <c r="AD95" s="780">
        <f t="shared" si="516"/>
        <v>0</v>
      </c>
      <c r="AE95" s="780">
        <f t="shared" si="516"/>
        <v>0</v>
      </c>
      <c r="AF95" s="780">
        <f t="shared" si="516"/>
        <v>0</v>
      </c>
      <c r="AG95" s="780">
        <f t="shared" si="516"/>
        <v>0</v>
      </c>
      <c r="AH95" s="780">
        <f t="shared" si="516"/>
        <v>0</v>
      </c>
      <c r="AI95" s="780">
        <f t="shared" si="516"/>
        <v>0</v>
      </c>
      <c r="AJ95" s="780">
        <f t="shared" si="516"/>
        <v>0</v>
      </c>
      <c r="AK95" s="781">
        <f t="shared" si="516"/>
        <v>0</v>
      </c>
      <c r="AL95" s="782">
        <f t="shared" si="516"/>
        <v>0</v>
      </c>
      <c r="AM95" s="780">
        <f t="shared" si="516"/>
        <v>0</v>
      </c>
      <c r="AN95" s="780">
        <f t="shared" si="516"/>
        <v>0</v>
      </c>
      <c r="AO95" s="780">
        <f t="shared" si="516"/>
        <v>0</v>
      </c>
      <c r="AP95" s="780">
        <f t="shared" si="516"/>
        <v>0</v>
      </c>
      <c r="AQ95" s="780">
        <f t="shared" si="516"/>
        <v>0</v>
      </c>
      <c r="AR95" s="780">
        <f t="shared" si="516"/>
        <v>0</v>
      </c>
      <c r="AS95" s="780">
        <f t="shared" si="516"/>
        <v>0</v>
      </c>
      <c r="AT95" s="780">
        <f t="shared" si="516"/>
        <v>0</v>
      </c>
      <c r="AU95" s="780">
        <f t="shared" si="516"/>
        <v>0</v>
      </c>
      <c r="AV95" s="780">
        <f t="shared" si="516"/>
        <v>0</v>
      </c>
      <c r="AW95" s="781">
        <f t="shared" si="516"/>
        <v>0</v>
      </c>
      <c r="AX95" s="782">
        <f t="shared" si="516"/>
        <v>0</v>
      </c>
      <c r="AY95" s="780">
        <f t="shared" si="516"/>
        <v>0</v>
      </c>
      <c r="AZ95" s="780">
        <f t="shared" si="516"/>
        <v>0</v>
      </c>
      <c r="BA95" s="780">
        <f t="shared" si="516"/>
        <v>0</v>
      </c>
      <c r="BB95" s="780">
        <f t="shared" si="516"/>
        <v>0</v>
      </c>
      <c r="BC95" s="780">
        <f t="shared" si="516"/>
        <v>0</v>
      </c>
      <c r="BD95" s="780">
        <f t="shared" si="516"/>
        <v>0</v>
      </c>
      <c r="BE95" s="780">
        <f t="shared" si="516"/>
        <v>0</v>
      </c>
      <c r="BF95" s="780">
        <f t="shared" si="516"/>
        <v>0</v>
      </c>
      <c r="BG95" s="780">
        <f t="shared" si="516"/>
        <v>0</v>
      </c>
      <c r="BH95" s="780">
        <f t="shared" si="516"/>
        <v>0</v>
      </c>
      <c r="BI95" s="781">
        <f t="shared" si="516"/>
        <v>0</v>
      </c>
    </row>
    <row r="96" spans="1:61" s="780" customFormat="1" hidden="1" outlineLevel="1">
      <c r="A96" s="780" t="s">
        <v>288</v>
      </c>
      <c r="H96" s="780">
        <f t="shared" ref="H96" si="517">IF($H$5&gt;$G$5,($H$5-$G$5)*B541,0)</f>
        <v>0</v>
      </c>
      <c r="I96" s="780">
        <f t="shared" ref="I96" si="518">IF($H$5&gt;$G$5,($H$5-$G$5)*C541,0)</f>
        <v>0</v>
      </c>
      <c r="J96" s="780">
        <f t="shared" ref="J96" si="519">IF($H$5&gt;$G$5,($H$5-$G$5)*D541,0)</f>
        <v>0</v>
      </c>
      <c r="K96" s="780">
        <f t="shared" ref="K96" si="520">IF($H$5&gt;$G$5,($H$5-$G$5)*E541,0)</f>
        <v>0</v>
      </c>
      <c r="L96" s="780">
        <f t="shared" ref="L96" si="521">IF($H$5&gt;$G$5,($H$5-$G$5)*F541,0)</f>
        <v>0</v>
      </c>
      <c r="M96" s="781">
        <f t="shared" ref="M96" si="522">IF($H$5&gt;$G$5,($H$5-$G$5)*G541,0)</f>
        <v>0</v>
      </c>
      <c r="N96" s="782">
        <f t="shared" ref="N96" si="523">IF($H$5&gt;$G$5,($H$5-$G$5)*H541,0)</f>
        <v>0</v>
      </c>
      <c r="O96" s="780">
        <f t="shared" ref="O96" si="524">IF($H$5&gt;$G$5,($H$5-$G$5)*I541,0)</f>
        <v>0</v>
      </c>
      <c r="P96" s="780">
        <f t="shared" ref="P96" si="525">IF($H$5&gt;$G$5,($H$5-$G$5)*J541,0)</f>
        <v>0</v>
      </c>
      <c r="Q96" s="780">
        <f t="shared" ref="Q96" si="526">IF($H$5&gt;$G$5,($H$5-$G$5)*K541,0)</f>
        <v>0</v>
      </c>
      <c r="R96" s="780">
        <f t="shared" ref="R96" si="527">IF($H$5&gt;$G$5,($H$5-$G$5)*L541,0)</f>
        <v>0</v>
      </c>
      <c r="S96" s="780">
        <f t="shared" ref="S96" si="528">IF($H$5&gt;$G$5,($H$5-$G$5)*M541,0)</f>
        <v>0</v>
      </c>
      <c r="T96" s="780">
        <f t="shared" ref="T96" si="529">IF($H$5&gt;$G$5,($H$5-$G$5)*N541,0)</f>
        <v>0</v>
      </c>
      <c r="U96" s="780">
        <f t="shared" ref="U96" si="530">IF($H$5&gt;$G$5,($H$5-$G$5)*O541,0)</f>
        <v>0</v>
      </c>
      <c r="V96" s="780">
        <f t="shared" ref="V96" si="531">IF($H$5&gt;$G$5,($H$5-$G$5)*P541,0)</f>
        <v>0</v>
      </c>
      <c r="W96" s="780">
        <f t="shared" ref="W96" si="532">IF($H$5&gt;$G$5,($H$5-$G$5)*Q541,0)</f>
        <v>0</v>
      </c>
      <c r="X96" s="780">
        <f t="shared" ref="X96" si="533">IF($H$5&gt;$G$5,($H$5-$G$5)*R541,0)</f>
        <v>0</v>
      </c>
      <c r="Y96" s="781">
        <f t="shared" ref="Y96" si="534">IF($H$5&gt;$G$5,($H$5-$G$5)*S541,0)</f>
        <v>0</v>
      </c>
      <c r="Z96" s="782">
        <f t="shared" ref="Z96" si="535">IF($H$5&gt;$G$5,($H$5-$G$5)*T541,0)</f>
        <v>0</v>
      </c>
      <c r="AA96" s="780">
        <f t="shared" ref="AA96" si="536">IF($H$5&gt;$G$5,($H$5-$G$5)*U541,0)</f>
        <v>0</v>
      </c>
      <c r="AB96" s="780">
        <f t="shared" ref="AB96" si="537">IF($H$5&gt;$G$5,($H$5-$G$5)*V541,0)</f>
        <v>0</v>
      </c>
      <c r="AC96" s="780">
        <f t="shared" ref="AC96" si="538">IF($H$5&gt;$G$5,($H$5-$G$5)*W541,0)</f>
        <v>0</v>
      </c>
      <c r="AD96" s="780">
        <f t="shared" ref="AD96" si="539">IF($H$5&gt;$G$5,($H$5-$G$5)*X541,0)</f>
        <v>0</v>
      </c>
      <c r="AE96" s="780">
        <f t="shared" ref="AE96" si="540">IF($H$5&gt;$G$5,($H$5-$G$5)*Y541,0)</f>
        <v>0</v>
      </c>
      <c r="AF96" s="780">
        <f t="shared" ref="AF96" si="541">IF($H$5&gt;$G$5,($H$5-$G$5)*Z541,0)</f>
        <v>0</v>
      </c>
      <c r="AG96" s="780">
        <f t="shared" ref="AG96" si="542">IF($H$5&gt;$G$5,($H$5-$G$5)*AA541,0)</f>
        <v>0</v>
      </c>
      <c r="AH96" s="780">
        <f t="shared" ref="AH96" si="543">IF($H$5&gt;$G$5,($H$5-$G$5)*AB541,0)</f>
        <v>0</v>
      </c>
      <c r="AI96" s="780">
        <f t="shared" ref="AI96" si="544">IF($H$5&gt;$G$5,($H$5-$G$5)*AC541,0)</f>
        <v>0</v>
      </c>
      <c r="AJ96" s="780">
        <f t="shared" ref="AJ96" si="545">IF($H$5&gt;$G$5,($H$5-$G$5)*AD541,0)</f>
        <v>0</v>
      </c>
      <c r="AK96" s="781">
        <f t="shared" ref="AK96" si="546">IF($H$5&gt;$G$5,($H$5-$G$5)*AE541,0)</f>
        <v>0</v>
      </c>
      <c r="AL96" s="782">
        <f t="shared" ref="AL96" si="547">IF($H$5&gt;$G$5,($H$5-$G$5)*AF541,0)</f>
        <v>0</v>
      </c>
      <c r="AM96" s="780">
        <f t="shared" ref="AM96" si="548">IF($H$5&gt;$G$5,($H$5-$G$5)*AG541,0)</f>
        <v>0</v>
      </c>
      <c r="AN96" s="780">
        <f t="shared" ref="AN96" si="549">IF($H$5&gt;$G$5,($H$5-$G$5)*AH541,0)</f>
        <v>0</v>
      </c>
      <c r="AO96" s="780">
        <f t="shared" ref="AO96" si="550">IF($H$5&gt;$G$5,($H$5-$G$5)*AI541,0)</f>
        <v>0</v>
      </c>
      <c r="AP96" s="780">
        <f t="shared" ref="AP96" si="551">IF($H$5&gt;$G$5,($H$5-$G$5)*AJ541,0)</f>
        <v>0</v>
      </c>
      <c r="AQ96" s="780">
        <f t="shared" ref="AQ96" si="552">IF($H$5&gt;$G$5,($H$5-$G$5)*AK541,0)</f>
        <v>0</v>
      </c>
      <c r="AR96" s="780">
        <f t="shared" ref="AR96" si="553">IF($H$5&gt;$G$5,($H$5-$G$5)*AL541,0)</f>
        <v>0</v>
      </c>
      <c r="AS96" s="780">
        <f t="shared" ref="AS96" si="554">IF($H$5&gt;$G$5,($H$5-$G$5)*AM541,0)</f>
        <v>0</v>
      </c>
      <c r="AT96" s="780">
        <f t="shared" ref="AT96" si="555">IF($H$5&gt;$G$5,($H$5-$G$5)*AN541,0)</f>
        <v>0</v>
      </c>
      <c r="AU96" s="780">
        <f t="shared" ref="AU96" si="556">IF($H$5&gt;$G$5,($H$5-$G$5)*AO541,0)</f>
        <v>0</v>
      </c>
      <c r="AV96" s="780">
        <f t="shared" ref="AV96" si="557">IF($H$5&gt;$G$5,($H$5-$G$5)*AP541,0)</f>
        <v>0</v>
      </c>
      <c r="AW96" s="781">
        <f t="shared" ref="AW96" si="558">IF($H$5&gt;$G$5,($H$5-$G$5)*AQ541,0)</f>
        <v>0</v>
      </c>
      <c r="AX96" s="782">
        <f t="shared" ref="AX96" si="559">IF($H$5&gt;$G$5,($H$5-$G$5)*AR541,0)</f>
        <v>0</v>
      </c>
      <c r="AY96" s="780">
        <f t="shared" ref="AY96" si="560">IF($H$5&gt;$G$5,($H$5-$G$5)*AS541,0)</f>
        <v>0</v>
      </c>
      <c r="AZ96" s="780">
        <f t="shared" ref="AZ96" si="561">IF($H$5&gt;$G$5,($H$5-$G$5)*AT541,0)</f>
        <v>0</v>
      </c>
      <c r="BA96" s="780">
        <f t="shared" ref="BA96" si="562">IF($H$5&gt;$G$5,($H$5-$G$5)*AU541,0)</f>
        <v>0</v>
      </c>
      <c r="BB96" s="780">
        <f t="shared" ref="BB96" si="563">IF($H$5&gt;$G$5,($H$5-$G$5)*AV541,0)</f>
        <v>0</v>
      </c>
      <c r="BC96" s="780">
        <f t="shared" ref="BC96" si="564">IF($H$5&gt;$G$5,($H$5-$G$5)*AW541,0)</f>
        <v>0</v>
      </c>
      <c r="BD96" s="780">
        <f t="shared" ref="BD96" si="565">IF($H$5&gt;$G$5,($H$5-$G$5)*AX541,0)</f>
        <v>0</v>
      </c>
      <c r="BE96" s="780">
        <f t="shared" ref="BE96" si="566">IF($H$5&gt;$G$5,($H$5-$G$5)*AY541,0)</f>
        <v>0</v>
      </c>
      <c r="BF96" s="780">
        <f t="shared" ref="BF96" si="567">IF($H$5&gt;$G$5,($H$5-$G$5)*AZ541,0)</f>
        <v>0</v>
      </c>
      <c r="BG96" s="780">
        <f t="shared" ref="BG96" si="568">IF($H$5&gt;$G$5,($H$5-$G$5)*BA541,0)</f>
        <v>0</v>
      </c>
      <c r="BH96" s="780">
        <f t="shared" ref="BH96" si="569">IF($H$5&gt;$G$5,($H$5-$G$5)*BB541,0)</f>
        <v>0</v>
      </c>
      <c r="BI96" s="781">
        <f t="shared" ref="BI96" si="570">IF($H$5&gt;$G$5,($H$5-$G$5)*BC541,0)</f>
        <v>0</v>
      </c>
    </row>
    <row r="97" spans="1:61" s="780" customFormat="1" hidden="1" outlineLevel="1">
      <c r="M97" s="781"/>
      <c r="N97" s="782"/>
      <c r="Y97" s="781"/>
      <c r="Z97" s="782"/>
      <c r="AK97" s="781"/>
      <c r="AL97" s="782"/>
      <c r="AW97" s="781"/>
      <c r="AX97" s="782"/>
      <c r="BI97" s="781"/>
    </row>
    <row r="98" spans="1:61" s="780" customFormat="1" hidden="1" outlineLevel="1">
      <c r="A98" s="780" t="s">
        <v>359</v>
      </c>
      <c r="I98" s="780">
        <f>IF($I$5&gt;$H$5,($I$5-$H$5)*B535,0)</f>
        <v>8</v>
      </c>
      <c r="J98" s="780">
        <f t="shared" ref="J98" si="571">IF($I$5&gt;$H$5,($I$5-$H$5)*C535,0)</f>
        <v>8.3824000000000005</v>
      </c>
      <c r="K98" s="780">
        <f t="shared" ref="K98" si="572">IF($I$5&gt;$H$5,($I$5-$H$5)*D535,0)</f>
        <v>8.790016102400001</v>
      </c>
      <c r="L98" s="780">
        <f t="shared" ref="L98" si="573">IF($I$5&gt;$H$5,($I$5-$H$5)*E535,0)</f>
        <v>9.2244218586677267</v>
      </c>
      <c r="M98" s="781">
        <f t="shared" ref="M98" si="574">IF($I$5&gt;$H$5,($I$5-$H$5)*F535,0)</f>
        <v>9.6872643857899394</v>
      </c>
      <c r="N98" s="782">
        <f t="shared" ref="N98" si="575">IF($I$5&gt;$H$5,($I$5-$H$5)*G535,0)</f>
        <v>10.180266404063699</v>
      </c>
      <c r="O98" s="780">
        <f t="shared" ref="O98" si="576">IF($I$5&gt;$H$5,($I$5-$H$5)*H535,0)</f>
        <v>10.705228286703797</v>
      </c>
      <c r="P98" s="780">
        <f t="shared" ref="P98" si="577">IF($I$5&gt;$H$5,($I$5-$H$5)*I535,0)</f>
        <v>11.264030122404236</v>
      </c>
      <c r="Q98" s="780">
        <f t="shared" ref="Q98" si="578">IF($I$5&gt;$H$5,($I$5-$H$5)*J535,0)</f>
        <v>11.858633792363815</v>
      </c>
      <c r="R98" s="780">
        <f t="shared" ref="R98" si="579">IF($I$5&gt;$H$5,($I$5-$H$5)*K535,0)</f>
        <v>12.491085063681208</v>
      </c>
      <c r="S98" s="780">
        <f t="shared" ref="S98" si="580">IF($I$5&gt;$H$5,($I$5-$H$5)*L535,0)</f>
        <v>13.163515701442698</v>
      </c>
      <c r="T98" s="780">
        <f t="shared" ref="T98" si="581">IF($I$5&gt;$H$5,($I$5-$H$5)*M535,0)</f>
        <v>13.878145602265221</v>
      </c>
      <c r="U98" s="780">
        <f t="shared" ref="U98" si="582">IF($I$5&gt;$H$5,($I$5-$H$5)*N535,0)</f>
        <v>14.640802427106802</v>
      </c>
      <c r="V98" s="780">
        <f t="shared" ref="V98" si="583">IF($I$5&gt;$H$5,($I$5-$H$5)*O535,0)</f>
        <v>15.454179973028484</v>
      </c>
      <c r="W98" s="780">
        <f t="shared" ref="W98" si="584">IF($I$5&gt;$H$5,($I$5-$H$5)*P535,0)</f>
        <v>16.321067007803048</v>
      </c>
      <c r="X98" s="780">
        <f t="shared" ref="X98" si="585">IF($I$5&gt;$H$5,($I$5-$H$5)*Q535,0)</f>
        <v>17.244348126107901</v>
      </c>
      <c r="Y98" s="781">
        <f t="shared" ref="Y98" si="586">IF($I$5&gt;$H$5,($I$5-$H$5)*R535,0)</f>
        <v>18.227004594103096</v>
      </c>
      <c r="Z98" s="782">
        <f t="shared" ref="Z98" si="587">IF($I$5&gt;$H$5,($I$5-$H$5)*S535,0)</f>
        <v>19.272115194972702</v>
      </c>
      <c r="AA98" s="780">
        <f t="shared" ref="AA98" si="588">IF($I$5&gt;$H$5,($I$5-$H$5)*T535,0)</f>
        <v>20.382857089151276</v>
      </c>
      <c r="AB98" s="780">
        <f t="shared" ref="AB98" si="589">IF($I$5&gt;$H$5,($I$5-$H$5)*U535,0)</f>
        <v>21.56250670407784</v>
      </c>
      <c r="AC98" s="780">
        <f t="shared" ref="AC98" si="590">IF($I$5&gt;$H$5,($I$5-$H$5)*V535,0)</f>
        <v>22.814440669410335</v>
      </c>
      <c r="AD98" s="780">
        <f t="shared" ref="AD98" si="591">IF($I$5&gt;$H$5,($I$5-$H$5)*W535,0)</f>
        <v>24.142136814686012</v>
      </c>
      <c r="AE98" s="780">
        <f t="shared" ref="AE98" si="592">IF($I$5&gt;$H$5,($I$5-$H$5)*X535,0)</f>
        <v>25.549175247421399</v>
      </c>
      <c r="AF98" s="780">
        <f t="shared" ref="AF98" si="593">IF($I$5&gt;$H$5,($I$5-$H$5)*Y535,0)</f>
        <v>27.039239530601542</v>
      </c>
      <c r="AG98" s="780">
        <f t="shared" ref="AG98" si="594">IF($I$5&gt;$H$5,($I$5-$H$5)*Z535,0)</f>
        <v>28.620747034243404</v>
      </c>
      <c r="AH98" s="780">
        <f t="shared" ref="AH98" si="595">IF($I$5&gt;$H$5,($I$5-$H$5)*AA535,0)</f>
        <v>30.297832899152603</v>
      </c>
      <c r="AI98" s="780">
        <f t="shared" ref="AI98" si="596">IF($I$5&gt;$H$5,($I$5-$H$5)*AB535,0)</f>
        <v>32.074721942842451</v>
      </c>
      <c r="AJ98" s="780">
        <f t="shared" ref="AJ98" si="597">IF($I$5&gt;$H$5,($I$5-$H$5)*AC535,0)</f>
        <v>33.955728473829772</v>
      </c>
      <c r="AK98" s="781">
        <f t="shared" ref="AK98" si="598">IF($I$5&gt;$H$5,($I$5-$H$5)*AD535,0)</f>
        <v>35.945256397317038</v>
      </c>
      <c r="AL98" s="782">
        <f t="shared" ref="AL98" si="599">IF($I$5&gt;$H$5,($I$5-$H$5)*AE535,0)</f>
        <v>38.047799652671507</v>
      </c>
      <c r="AM98" s="780">
        <f t="shared" ref="AM98" si="600">IF($I$5&gt;$H$5,($I$5-$H$5)*AF535,0)</f>
        <v>40.267943023083284</v>
      </c>
      <c r="AN98" s="780">
        <f t="shared" ref="AN98" si="601">IF($I$5&gt;$H$5,($I$5-$H$5)*AG535,0)</f>
        <v>42.61036335749322</v>
      </c>
      <c r="AO98" s="780">
        <f t="shared" ref="AO98" si="602">IF($I$5&gt;$H$5,($I$5-$H$5)*AH535,0)</f>
        <v>45.079831244328588</v>
      </c>
      <c r="AP98" s="780">
        <f t="shared" ref="AP98" si="603">IF($I$5&gt;$H$5,($I$5-$H$5)*AI535,0)</f>
        <v>47.68121317577463</v>
      </c>
      <c r="AQ98" s="780">
        <f t="shared" ref="AQ98" si="604">IF($I$5&gt;$H$5,($I$5-$H$5)*AJ535,0)</f>
        <v>50.419474240248832</v>
      </c>
      <c r="AR98" s="780">
        <f t="shared" ref="AR98" si="605">IF($I$5&gt;$H$5,($I$5-$H$5)*AK535,0)</f>
        <v>53.299681379443584</v>
      </c>
      <c r="AS98" s="780">
        <f t="shared" ref="AS98" si="606">IF($I$5&gt;$H$5,($I$5-$H$5)*AL535,0)</f>
        <v>56.327007244772894</v>
      </c>
      <c r="AT98" s="780">
        <f t="shared" ref="AT98" si="607">IF($I$5&gt;$H$5,($I$5-$H$5)*AM535,0)</f>
        <v>59.506734686316534</v>
      </c>
      <c r="AU98" s="780">
        <f t="shared" ref="AU98" si="608">IF($I$5&gt;$H$5,($I$5-$H$5)*AN535,0)</f>
        <v>62.844261905417305</v>
      </c>
      <c r="AV98" s="780">
        <f t="shared" ref="AV98" si="609">IF($I$5&gt;$H$5,($I$5-$H$5)*AO535,0)</f>
        <v>66.345108299975465</v>
      </c>
      <c r="AW98" s="781">
        <f t="shared" ref="AW98" si="610">IF($I$5&gt;$H$5,($I$5-$H$5)*AP535,0)</f>
        <v>70.014921029220602</v>
      </c>
      <c r="AX98" s="782">
        <f t="shared" ref="AX98" si="611">IF($I$5&gt;$H$5,($I$5-$H$5)*AQ535,0)</f>
        <v>73.859482322350189</v>
      </c>
      <c r="AY98" s="780">
        <f t="shared" ref="AY98" si="612">IF($I$5&gt;$H$5,($I$5-$H$5)*AR535,0)</f>
        <v>77.884717552932145</v>
      </c>
      <c r="AZ98" s="780">
        <f t="shared" ref="AZ98" si="613">IF($I$5&gt;$H$5,($I$5-$H$5)*AS535,0)</f>
        <v>82.096704098404587</v>
      </c>
      <c r="BA98" s="780">
        <f t="shared" ref="BA98" si="614">IF($I$5&gt;$H$5,($I$5-$H$5)*AT535,0)</f>
        <v>86.50168100139652</v>
      </c>
      <c r="BB98" s="780">
        <f t="shared" ref="BB98" si="615">IF($I$5&gt;$H$5,($I$5-$H$5)*AU535,0)</f>
        <v>91.106059446971614</v>
      </c>
      <c r="BC98" s="780">
        <f t="shared" ref="BC98" si="616">IF($I$5&gt;$H$5,($I$5-$H$5)*AV535,0)</f>
        <v>95.916434067290723</v>
      </c>
      <c r="BD98" s="780">
        <f t="shared" ref="BD98" si="617">IF($I$5&gt;$H$5,($I$5-$H$5)*AW535,0)</f>
        <v>100.93959508263039</v>
      </c>
      <c r="BE98" s="780">
        <f t="shared" ref="BE98" si="618">IF($I$5&gt;$H$5,($I$5-$H$5)*AX535,0)</f>
        <v>106.18254128521424</v>
      </c>
      <c r="BF98" s="780">
        <f t="shared" ref="BF98" si="619">IF($I$5&gt;$H$5,($I$5-$H$5)*AY535,0)</f>
        <v>111.652493869941</v>
      </c>
      <c r="BG98" s="780">
        <f t="shared" ref="BG98" si="620">IF($I$5&gt;$H$5,($I$5-$H$5)*AZ535,0)</f>
        <v>117.35691111385803</v>
      </c>
      <c r="BH98" s="780">
        <f t="shared" ref="BH98" si="621">IF($I$5&gt;$H$5,($I$5-$H$5)*BA535,0)</f>
        <v>123.30350390415934</v>
      </c>
      <c r="BI98" s="781">
        <f t="shared" ref="BI98" si="622">IF($I$5&gt;$H$5,($I$5-$H$5)*BB535,0)</f>
        <v>129.50025211260953</v>
      </c>
    </row>
    <row r="99" spans="1:61" s="780" customFormat="1" hidden="1" outlineLevel="1">
      <c r="A99" s="780" t="str">
        <f>$A$536</f>
        <v>Leads</v>
      </c>
      <c r="I99" s="780">
        <f>IF($I$5&gt;$H$5,($I$5-$H$5)*B536,0)</f>
        <v>20</v>
      </c>
      <c r="J99" s="780">
        <f t="shared" ref="J99:BI99" si="623">IF($I$5&gt;$H$5,($I$5-$H$5)*C536,0)</f>
        <v>20.8</v>
      </c>
      <c r="K99" s="780">
        <f t="shared" si="623"/>
        <v>21.632000000000001</v>
      </c>
      <c r="L99" s="780">
        <f t="shared" si="623"/>
        <v>22.497280000000003</v>
      </c>
      <c r="M99" s="781">
        <f t="shared" si="623"/>
        <v>23.397171200000006</v>
      </c>
      <c r="N99" s="782">
        <f t="shared" si="623"/>
        <v>24.333058048000009</v>
      </c>
      <c r="O99" s="780">
        <f t="shared" si="623"/>
        <v>25.30638036992001</v>
      </c>
      <c r="P99" s="780">
        <f t="shared" si="623"/>
        <v>26.318635584716812</v>
      </c>
      <c r="Q99" s="780">
        <f t="shared" si="623"/>
        <v>27.371381008105487</v>
      </c>
      <c r="R99" s="780">
        <f t="shared" si="623"/>
        <v>28.466236248429709</v>
      </c>
      <c r="S99" s="780">
        <f t="shared" si="623"/>
        <v>29.6048856983669</v>
      </c>
      <c r="T99" s="780">
        <f t="shared" si="623"/>
        <v>30.789081126301578</v>
      </c>
      <c r="U99" s="780">
        <f t="shared" si="623"/>
        <v>32.02064437135364</v>
      </c>
      <c r="V99" s="780">
        <f t="shared" si="623"/>
        <v>33.301470146207784</v>
      </c>
      <c r="W99" s="780">
        <f t="shared" si="623"/>
        <v>34.633528952056096</v>
      </c>
      <c r="X99" s="780">
        <f t="shared" si="623"/>
        <v>36.018870110138344</v>
      </c>
      <c r="Y99" s="781">
        <f t="shared" si="623"/>
        <v>37.45962491454388</v>
      </c>
      <c r="Z99" s="782">
        <f t="shared" si="623"/>
        <v>38.958009911125636</v>
      </c>
      <c r="AA99" s="780">
        <f t="shared" si="623"/>
        <v>40.516330307570662</v>
      </c>
      <c r="AB99" s="780">
        <f t="shared" si="623"/>
        <v>42.136983519873489</v>
      </c>
      <c r="AC99" s="780">
        <f t="shared" si="623"/>
        <v>43.822462860668423</v>
      </c>
      <c r="AD99" s="780">
        <f t="shared" si="623"/>
        <v>45.57536137509517</v>
      </c>
      <c r="AE99" s="780">
        <f t="shared" si="623"/>
        <v>47.398375830098978</v>
      </c>
      <c r="AF99" s="780">
        <f t="shared" si="623"/>
        <v>49.29431086330294</v>
      </c>
      <c r="AG99" s="780">
        <f t="shared" si="623"/>
        <v>51.26608329783506</v>
      </c>
      <c r="AH99" s="780">
        <f t="shared" si="623"/>
        <v>53.316726629748466</v>
      </c>
      <c r="AI99" s="780">
        <f t="shared" si="623"/>
        <v>55.44939569493841</v>
      </c>
      <c r="AJ99" s="780">
        <f t="shared" si="623"/>
        <v>57.667371522735948</v>
      </c>
      <c r="AK99" s="781">
        <f t="shared" si="623"/>
        <v>59.974066383645386</v>
      </c>
      <c r="AL99" s="782">
        <f t="shared" si="623"/>
        <v>62.373029038991206</v>
      </c>
      <c r="AM99" s="780">
        <f t="shared" si="623"/>
        <v>64.867950200550851</v>
      </c>
      <c r="AN99" s="780">
        <f t="shared" si="623"/>
        <v>67.462668208572893</v>
      </c>
      <c r="AO99" s="780">
        <f t="shared" si="623"/>
        <v>70.161174936915813</v>
      </c>
      <c r="AP99" s="780">
        <f t="shared" si="623"/>
        <v>72.967621934392454</v>
      </c>
      <c r="AQ99" s="780">
        <f t="shared" si="623"/>
        <v>75.886326811768157</v>
      </c>
      <c r="AR99" s="780">
        <f t="shared" si="623"/>
        <v>78.921779884238887</v>
      </c>
      <c r="AS99" s="780">
        <f t="shared" si="623"/>
        <v>82.078651079608449</v>
      </c>
      <c r="AT99" s="780">
        <f t="shared" si="623"/>
        <v>85.361797122792794</v>
      </c>
      <c r="AU99" s="780">
        <f t="shared" si="623"/>
        <v>88.776269007704514</v>
      </c>
      <c r="AV99" s="780">
        <f t="shared" si="623"/>
        <v>92.3273197680127</v>
      </c>
      <c r="AW99" s="781">
        <f t="shared" si="623"/>
        <v>96.020412558733199</v>
      </c>
      <c r="AX99" s="782">
        <f t="shared" si="623"/>
        <v>99.86122906108254</v>
      </c>
      <c r="AY99" s="780">
        <f t="shared" si="623"/>
        <v>103.85567822352584</v>
      </c>
      <c r="AZ99" s="780">
        <f t="shared" si="623"/>
        <v>108.00990535246689</v>
      </c>
      <c r="BA99" s="780">
        <f t="shared" si="623"/>
        <v>112.33030156656557</v>
      </c>
      <c r="BB99" s="780">
        <f t="shared" si="623"/>
        <v>116.82351362922816</v>
      </c>
      <c r="BC99" s="780">
        <f t="shared" si="623"/>
        <v>121.4964541743973</v>
      </c>
      <c r="BD99" s="780">
        <f t="shared" si="623"/>
        <v>126.3563123413732</v>
      </c>
      <c r="BE99" s="780">
        <f t="shared" si="623"/>
        <v>131.41056483502814</v>
      </c>
      <c r="BF99" s="780">
        <f t="shared" si="623"/>
        <v>136.66698742842928</v>
      </c>
      <c r="BG99" s="780">
        <f t="shared" si="623"/>
        <v>142.13366692556644</v>
      </c>
      <c r="BH99" s="780">
        <f t="shared" si="623"/>
        <v>147.81901360258911</v>
      </c>
      <c r="BI99" s="781">
        <f t="shared" si="623"/>
        <v>153.73177414669269</v>
      </c>
    </row>
    <row r="100" spans="1:61" s="780" customFormat="1" hidden="1" outlineLevel="1">
      <c r="A100" s="780" t="str">
        <f>$A$537</f>
        <v>Audits</v>
      </c>
      <c r="I100" s="780">
        <f t="shared" ref="I100:BI100" si="624">IF($I$5&gt;$H$5,($I$5-$H$5)*B537,0)</f>
        <v>7.8466960352422905</v>
      </c>
      <c r="J100" s="780">
        <f t="shared" si="624"/>
        <v>8.1805560257268723</v>
      </c>
      <c r="K100" s="780">
        <f t="shared" si="624"/>
        <v>8.556158139083367</v>
      </c>
      <c r="L100" s="780">
        <f t="shared" si="624"/>
        <v>8.9523024684242678</v>
      </c>
      <c r="M100" s="781">
        <f t="shared" si="624"/>
        <v>9.3702787716763911</v>
      </c>
      <c r="N100" s="782">
        <f t="shared" si="624"/>
        <v>9.811453812672589</v>
      </c>
      <c r="O100" s="780">
        <f t="shared" si="624"/>
        <v>10.277273093546537</v>
      </c>
      <c r="P100" s="780">
        <f t="shared" si="624"/>
        <v>10.769262132442826</v>
      </c>
      <c r="Q100" s="780">
        <f t="shared" si="624"/>
        <v>11.289027268145146</v>
      </c>
      <c r="R100" s="780">
        <f t="shared" si="624"/>
        <v>11.838255995812663</v>
      </c>
      <c r="S100" s="780">
        <f t="shared" si="624"/>
        <v>12.418716863200714</v>
      </c>
      <c r="T100" s="780">
        <f t="shared" si="624"/>
        <v>13.032258982971491</v>
      </c>
      <c r="U100" s="780">
        <f t="shared" si="624"/>
        <v>13.681748513642187</v>
      </c>
      <c r="V100" s="780">
        <f t="shared" si="624"/>
        <v>14.367753613373562</v>
      </c>
      <c r="W100" s="780">
        <f t="shared" si="624"/>
        <v>15.094450719778326</v>
      </c>
      <c r="X100" s="780">
        <f t="shared" si="624"/>
        <v>15.864274704794562</v>
      </c>
      <c r="Y100" s="781">
        <f t="shared" si="624"/>
        <v>16.679756380011042</v>
      </c>
      <c r="Z100" s="782">
        <f t="shared" si="624"/>
        <v>17.543519083999907</v>
      </c>
      <c r="AA100" s="780">
        <f t="shared" si="624"/>
        <v>18.458274953232511</v>
      </c>
      <c r="AB100" s="780">
        <f t="shared" si="624"/>
        <v>19.426821075192013</v>
      </c>
      <c r="AC100" s="780">
        <f t="shared" si="624"/>
        <v>20.452035738521069</v>
      </c>
      <c r="AD100" s="780">
        <f t="shared" si="624"/>
        <v>21.536874999893016</v>
      </c>
      <c r="AE100" s="780">
        <f t="shared" si="624"/>
        <v>22.68436978011453</v>
      </c>
      <c r="AF100" s="780">
        <f t="shared" si="624"/>
        <v>23.897623683136111</v>
      </c>
      <c r="AG100" s="780">
        <f t="shared" si="624"/>
        <v>25.181305860088621</v>
      </c>
      <c r="AH100" s="780">
        <f t="shared" si="624"/>
        <v>26.509539923847804</v>
      </c>
      <c r="AI100" s="780">
        <f t="shared" si="624"/>
        <v>27.911267150389076</v>
      </c>
      <c r="AJ100" s="780">
        <f t="shared" si="624"/>
        <v>29.389855755030599</v>
      </c>
      <c r="AK100" s="781">
        <f t="shared" si="624"/>
        <v>30.948754132327405</v>
      </c>
      <c r="AL100" s="782">
        <f t="shared" si="624"/>
        <v>32.591491812026852</v>
      </c>
      <c r="AM100" s="780">
        <f t="shared" si="624"/>
        <v>34.321681088998503</v>
      </c>
      <c r="AN100" s="780">
        <f t="shared" si="624"/>
        <v>36.143019351142293</v>
      </c>
      <c r="AO100" s="780">
        <f t="shared" si="624"/>
        <v>38.059292115999952</v>
      </c>
      <c r="AP100" s="780">
        <f t="shared" si="624"/>
        <v>40.074376775040108</v>
      </c>
      <c r="AQ100" s="780">
        <f t="shared" si="624"/>
        <v>42.192247034738458</v>
      </c>
      <c r="AR100" s="780">
        <f t="shared" si="624"/>
        <v>44.416978035864261</v>
      </c>
      <c r="AS100" s="780">
        <f t="shared" si="624"/>
        <v>46.752752126886328</v>
      </c>
      <c r="AT100" s="780">
        <f t="shared" si="624"/>
        <v>49.082921316266599</v>
      </c>
      <c r="AU100" s="780">
        <f t="shared" si="624"/>
        <v>51.522543979321924</v>
      </c>
      <c r="AV100" s="780">
        <f t="shared" si="624"/>
        <v>54.075800070640085</v>
      </c>
      <c r="AW100" s="781">
        <f t="shared" si="624"/>
        <v>56.746994933802739</v>
      </c>
      <c r="AX100" s="782">
        <f t="shared" si="624"/>
        <v>59.54056513100376</v>
      </c>
      <c r="AY100" s="780">
        <f t="shared" si="624"/>
        <v>62.461084744125536</v>
      </c>
      <c r="AZ100" s="780">
        <f t="shared" si="624"/>
        <v>65.513272160718657</v>
      </c>
      <c r="BA100" s="780">
        <f t="shared" si="624"/>
        <v>68.701997357177731</v>
      </c>
      <c r="BB100" s="780">
        <f t="shared" si="624"/>
        <v>72.032289690276642</v>
      </c>
      <c r="BC100" s="780">
        <f t="shared" si="624"/>
        <v>75.509346207129425</v>
      </c>
      <c r="BD100" s="780">
        <f t="shared" si="624"/>
        <v>79.138540482595928</v>
      </c>
      <c r="BE100" s="780">
        <f t="shared" si="624"/>
        <v>82.925431992167518</v>
      </c>
      <c r="BF100" s="780">
        <f t="shared" si="624"/>
        <v>86.935804010940174</v>
      </c>
      <c r="BG100" s="780">
        <f t="shared" si="624"/>
        <v>91.123783284069106</v>
      </c>
      <c r="BH100" s="780">
        <f t="shared" si="624"/>
        <v>95.496160724226385</v>
      </c>
      <c r="BI100" s="781">
        <f t="shared" si="624"/>
        <v>100.05998218264438</v>
      </c>
    </row>
    <row r="101" spans="1:61" s="780" customFormat="1" hidden="1" outlineLevel="1">
      <c r="A101" s="780" t="str">
        <f>$A$538</f>
        <v>Retrofit</v>
      </c>
      <c r="I101" s="780">
        <f t="shared" ref="I101:BI101" si="625">IF($I$5&gt;$H$5,($I$5-$H$5)*B538,0)</f>
        <v>3.2741145374449339</v>
      </c>
      <c r="J101" s="780">
        <f t="shared" si="625"/>
        <v>3.4211429613668018</v>
      </c>
      <c r="K101" s="780">
        <f t="shared" si="625"/>
        <v>3.6089747928733105</v>
      </c>
      <c r="L101" s="780">
        <f t="shared" si="625"/>
        <v>3.80943356172375</v>
      </c>
      <c r="M101" s="781">
        <f t="shared" si="625"/>
        <v>4.023495407635</v>
      </c>
      <c r="N101" s="782">
        <f t="shared" si="625"/>
        <v>4.2522035025469851</v>
      </c>
      <c r="O101" s="780">
        <f t="shared" si="625"/>
        <v>4.4966691121698661</v>
      </c>
      <c r="P101" s="780">
        <f t="shared" si="625"/>
        <v>4.7580720961942786</v>
      </c>
      <c r="Q101" s="780">
        <f t="shared" si="625"/>
        <v>5.0376608331454982</v>
      </c>
      <c r="R101" s="780">
        <f t="shared" si="625"/>
        <v>5.3367515834608863</v>
      </c>
      <c r="S101" s="780">
        <f t="shared" si="625"/>
        <v>5.6567273345837759</v>
      </c>
      <c r="T101" s="780">
        <f t="shared" si="625"/>
        <v>5.9990362027609887</v>
      </c>
      <c r="U101" s="780">
        <f t="shared" si="625"/>
        <v>6.3656710756275423</v>
      </c>
      <c r="V101" s="780">
        <f t="shared" si="625"/>
        <v>6.7527905497767229</v>
      </c>
      <c r="W101" s="780">
        <f t="shared" si="625"/>
        <v>7.1679946156961591</v>
      </c>
      <c r="X101" s="780">
        <f t="shared" si="625"/>
        <v>7.6132687220703144</v>
      </c>
      <c r="Y101" s="781">
        <f t="shared" si="625"/>
        <v>8.0906802436821312</v>
      </c>
      <c r="Z101" s="782">
        <f t="shared" si="625"/>
        <v>8.6023733713231554</v>
      </c>
      <c r="AA101" s="780">
        <f t="shared" si="625"/>
        <v>9.1505635635964193</v>
      </c>
      <c r="AB101" s="780">
        <f t="shared" si="625"/>
        <v>9.7375318038296879</v>
      </c>
      <c r="AC101" s="780">
        <f t="shared" si="625"/>
        <v>10.365618926205418</v>
      </c>
      <c r="AD101" s="780">
        <f t="shared" si="625"/>
        <v>11.037220281947453</v>
      </c>
      <c r="AE101" s="780">
        <f t="shared" si="625"/>
        <v>11.754781008099396</v>
      </c>
      <c r="AF101" s="780">
        <f t="shared" si="625"/>
        <v>12.520792138493604</v>
      </c>
      <c r="AG101" s="780">
        <f t="shared" si="625"/>
        <v>13.338724403473293</v>
      </c>
      <c r="AH101" s="780">
        <f t="shared" si="625"/>
        <v>14.173899457244383</v>
      </c>
      <c r="AI101" s="780">
        <f t="shared" si="625"/>
        <v>15.06160093928195</v>
      </c>
      <c r="AJ101" s="780">
        <f t="shared" si="625"/>
        <v>16.004396182835173</v>
      </c>
      <c r="AK101" s="781">
        <f t="shared" si="625"/>
        <v>17.004903510314108</v>
      </c>
      <c r="AL101" s="782">
        <f t="shared" si="625"/>
        <v>18.065792108500531</v>
      </c>
      <c r="AM101" s="780">
        <f t="shared" si="625"/>
        <v>19.189782637475492</v>
      </c>
      <c r="AN101" s="780">
        <f t="shared" si="625"/>
        <v>20.379648596658086</v>
      </c>
      <c r="AO101" s="780">
        <f t="shared" si="625"/>
        <v>21.638218454438508</v>
      </c>
      <c r="AP101" s="780">
        <f t="shared" si="625"/>
        <v>22.968378532837651</v>
      </c>
      <c r="AQ101" s="780">
        <f t="shared" si="625"/>
        <v>24.373076625940293</v>
      </c>
      <c r="AR101" s="780">
        <f t="shared" si="625"/>
        <v>25.855326320842856</v>
      </c>
      <c r="AS101" s="780">
        <f t="shared" si="625"/>
        <v>27.418211982649215</v>
      </c>
      <c r="AT101" s="780">
        <f t="shared" si="625"/>
        <v>28.912823637439345</v>
      </c>
      <c r="AU101" s="780">
        <f t="shared" si="625"/>
        <v>30.481264211401022</v>
      </c>
      <c r="AV101" s="780">
        <f t="shared" si="625"/>
        <v>32.126375520474461</v>
      </c>
      <c r="AW101" s="781">
        <f t="shared" si="625"/>
        <v>33.851080131654975</v>
      </c>
      <c r="AX101" s="782">
        <f t="shared" si="625"/>
        <v>35.658385333026132</v>
      </c>
      <c r="AY101" s="780">
        <f t="shared" si="625"/>
        <v>37.551387467022387</v>
      </c>
      <c r="AZ101" s="780">
        <f t="shared" si="625"/>
        <v>39.533276635822467</v>
      </c>
      <c r="BA101" s="780">
        <f t="shared" si="625"/>
        <v>41.60734178665394</v>
      </c>
      <c r="BB101" s="780">
        <f t="shared" si="625"/>
        <v>43.776976183702011</v>
      </c>
      <c r="BC101" s="780">
        <f t="shared" si="625"/>
        <v>46.045683272271312</v>
      </c>
      <c r="BD101" s="780">
        <f t="shared" si="625"/>
        <v>48.41708293986165</v>
      </c>
      <c r="BE101" s="780">
        <f t="shared" si="625"/>
        <v>50.89491817790028</v>
      </c>
      <c r="BF101" s="780">
        <f t="shared" si="625"/>
        <v>53.556983193725586</v>
      </c>
      <c r="BG101" s="780">
        <f t="shared" si="625"/>
        <v>56.343717835443009</v>
      </c>
      <c r="BH101" s="780">
        <f t="shared" si="625"/>
        <v>59.260074497857936</v>
      </c>
      <c r="BI101" s="781">
        <f t="shared" si="625"/>
        <v>62.311194953542106</v>
      </c>
    </row>
    <row r="102" spans="1:61" s="780" customFormat="1" hidden="1" outlineLevel="1">
      <c r="A102" s="780" t="str">
        <f>$A$539</f>
        <v>Revenue</v>
      </c>
      <c r="I102" s="780">
        <f t="shared" ref="I102:BI102" si="626">IF($I$5&gt;$H$5,($I$5-$H$5)*B539,0)</f>
        <v>20728.933920704847</v>
      </c>
      <c r="J102" s="780">
        <f t="shared" si="626"/>
        <v>22334.796424579898</v>
      </c>
      <c r="K102" s="780">
        <f t="shared" si="626"/>
        <v>24261.379157843236</v>
      </c>
      <c r="L102" s="780">
        <f t="shared" si="626"/>
        <v>27109.041527058151</v>
      </c>
      <c r="M102" s="781">
        <f t="shared" si="626"/>
        <v>29411.012063918617</v>
      </c>
      <c r="N102" s="782">
        <f t="shared" si="626"/>
        <v>31904.731979940196</v>
      </c>
      <c r="O102" s="780">
        <f t="shared" si="626"/>
        <v>34157.516935543477</v>
      </c>
      <c r="P102" s="780">
        <f t="shared" si="626"/>
        <v>36585.144030160183</v>
      </c>
      <c r="Q102" s="780">
        <f t="shared" si="626"/>
        <v>39202.024549786183</v>
      </c>
      <c r="R102" s="780">
        <f t="shared" si="626"/>
        <v>41489.907780370268</v>
      </c>
      <c r="S102" s="780">
        <f t="shared" si="626"/>
        <v>43934.936399734994</v>
      </c>
      <c r="T102" s="780">
        <f t="shared" si="626"/>
        <v>46547.932291314006</v>
      </c>
      <c r="U102" s="780">
        <f t="shared" si="626"/>
        <v>48812.622611071754</v>
      </c>
      <c r="V102" s="780">
        <f t="shared" si="626"/>
        <v>51746.745047763237</v>
      </c>
      <c r="W102" s="780">
        <f t="shared" si="626"/>
        <v>54891.491572423707</v>
      </c>
      <c r="X102" s="780">
        <f t="shared" si="626"/>
        <v>58261.704056497998</v>
      </c>
      <c r="Y102" s="781">
        <f t="shared" si="626"/>
        <v>61872.837706819933</v>
      </c>
      <c r="Z102" s="782">
        <f t="shared" si="626"/>
        <v>65740.922877654608</v>
      </c>
      <c r="AA102" s="780">
        <f t="shared" si="626"/>
        <v>69882.52360507095</v>
      </c>
      <c r="AB102" s="780">
        <f t="shared" si="626"/>
        <v>74314.694687467563</v>
      </c>
      <c r="AC102" s="780">
        <f t="shared" si="626"/>
        <v>79054.939292696072</v>
      </c>
      <c r="AD102" s="780">
        <f t="shared" si="626"/>
        <v>84121.169122674793</v>
      </c>
      <c r="AE102" s="780">
        <f t="shared" si="626"/>
        <v>89531.669104034416</v>
      </c>
      <c r="AF102" s="780">
        <f t="shared" si="626"/>
        <v>95305.068401244935</v>
      </c>
      <c r="AG102" s="780">
        <f t="shared" si="626"/>
        <v>101467.05911812153</v>
      </c>
      <c r="AH102" s="780">
        <f t="shared" si="626"/>
        <v>107757.45533319093</v>
      </c>
      <c r="AI102" s="780">
        <f t="shared" si="626"/>
        <v>114440.84237520174</v>
      </c>
      <c r="AJ102" s="780">
        <f t="shared" si="626"/>
        <v>121536.40957263115</v>
      </c>
      <c r="AK102" s="781">
        <f t="shared" si="626"/>
        <v>129063.73094559579</v>
      </c>
      <c r="AL102" s="782">
        <f t="shared" si="626"/>
        <v>137042.76458890198</v>
      </c>
      <c r="AM102" s="780">
        <f t="shared" si="626"/>
        <v>145493.85755130055</v>
      </c>
      <c r="AN102" s="780">
        <f t="shared" si="626"/>
        <v>154437.75638435522</v>
      </c>
      <c r="AO102" s="780">
        <f t="shared" si="626"/>
        <v>163895.6234075159</v>
      </c>
      <c r="AP102" s="780">
        <f t="shared" si="626"/>
        <v>173889.05862314338</v>
      </c>
      <c r="AQ102" s="780">
        <f t="shared" si="626"/>
        <v>184440.12712015139</v>
      </c>
      <c r="AR102" s="780">
        <f t="shared" si="626"/>
        <v>195571.39172995961</v>
      </c>
      <c r="AS102" s="780">
        <f t="shared" si="626"/>
        <v>207305.95064449144</v>
      </c>
      <c r="AT102" s="780">
        <f t="shared" si="626"/>
        <v>218526.82830504962</v>
      </c>
      <c r="AU102" s="780">
        <f t="shared" si="626"/>
        <v>230299.88241457404</v>
      </c>
      <c r="AV102" s="780">
        <f t="shared" si="626"/>
        <v>242646.40643380623</v>
      </c>
      <c r="AW102" s="781">
        <f t="shared" si="626"/>
        <v>255588.30467884589</v>
      </c>
      <c r="AX102" s="782">
        <f t="shared" si="626"/>
        <v>269148.12221054058</v>
      </c>
      <c r="AY102" s="780">
        <f t="shared" si="626"/>
        <v>283349.07742205792</v>
      </c>
      <c r="AZ102" s="780">
        <f t="shared" si="626"/>
        <v>298215.09739075514</v>
      </c>
      <c r="BA102" s="780">
        <f t="shared" si="626"/>
        <v>313770.85605224856</v>
      </c>
      <c r="BB102" s="780">
        <f t="shared" si="626"/>
        <v>330041.81524662836</v>
      </c>
      <c r="BC102" s="780">
        <f t="shared" si="626"/>
        <v>347054.26867913263</v>
      </c>
      <c r="BD102" s="780">
        <f t="shared" si="626"/>
        <v>364835.38883039018</v>
      </c>
      <c r="BE102" s="780">
        <f t="shared" si="626"/>
        <v>383413.276844654</v>
      </c>
      <c r="BF102" s="780">
        <f t="shared" si="626"/>
        <v>403371.48329652392</v>
      </c>
      <c r="BG102" s="780">
        <f t="shared" si="626"/>
        <v>424263.29435980099</v>
      </c>
      <c r="BH102" s="780">
        <f t="shared" si="626"/>
        <v>446125.89776019694</v>
      </c>
      <c r="BI102" s="781">
        <f t="shared" si="626"/>
        <v>468997.90641248098</v>
      </c>
    </row>
    <row r="103" spans="1:61" s="780" customFormat="1" hidden="1" outlineLevel="1">
      <c r="A103" s="780" t="str">
        <f>$A$540</f>
        <v>Net Income</v>
      </c>
      <c r="I103" s="780">
        <f t="shared" ref="I103:BI103" si="627">IF($I$5&gt;$H$5,($I$5-$H$5)*B540,0)</f>
        <v>-33184.964170807638</v>
      </c>
      <c r="J103" s="780">
        <f t="shared" si="627"/>
        <v>-14837.14568100147</v>
      </c>
      <c r="K103" s="780">
        <f t="shared" si="627"/>
        <v>-14268.717003781454</v>
      </c>
      <c r="L103" s="780">
        <f t="shared" si="627"/>
        <v>-13405.013342705901</v>
      </c>
      <c r="M103" s="781">
        <f t="shared" si="627"/>
        <v>-12685.072540306182</v>
      </c>
      <c r="N103" s="782">
        <f t="shared" si="627"/>
        <v>-17604.404805924125</v>
      </c>
      <c r="O103" s="780">
        <f t="shared" si="627"/>
        <v>-15156.124616524507</v>
      </c>
      <c r="P103" s="780">
        <f t="shared" si="627"/>
        <v>-13971.31609512752</v>
      </c>
      <c r="Q103" s="780">
        <f t="shared" si="627"/>
        <v>-13027.555718246989</v>
      </c>
      <c r="R103" s="780">
        <f t="shared" si="627"/>
        <v>-12167.444211420123</v>
      </c>
      <c r="S103" s="780">
        <f t="shared" si="627"/>
        <v>-11228.257793696379</v>
      </c>
      <c r="T103" s="780">
        <f t="shared" si="627"/>
        <v>-10203.756141625032</v>
      </c>
      <c r="U103" s="780">
        <f t="shared" si="627"/>
        <v>-8928.9645055486872</v>
      </c>
      <c r="V103" s="780">
        <f t="shared" si="627"/>
        <v>-6565.2951604608934</v>
      </c>
      <c r="W103" s="780">
        <f t="shared" si="627"/>
        <v>-7951.6323699894165</v>
      </c>
      <c r="X103" s="780">
        <f t="shared" si="627"/>
        <v>-6483.5792380389103</v>
      </c>
      <c r="Y103" s="781">
        <f t="shared" si="627"/>
        <v>-5307.1722049655655</v>
      </c>
      <c r="Z103" s="782">
        <f t="shared" si="627"/>
        <v>-3966.3475887754175</v>
      </c>
      <c r="AA103" s="780">
        <f t="shared" si="627"/>
        <v>-2466.8649492429358</v>
      </c>
      <c r="AB103" s="780">
        <f t="shared" si="627"/>
        <v>-826.64406907309967</v>
      </c>
      <c r="AC103" s="780">
        <f t="shared" si="627"/>
        <v>-10770.241509529737</v>
      </c>
      <c r="AD103" s="780">
        <f t="shared" si="627"/>
        <v>-19174.962642260827</v>
      </c>
      <c r="AE103" s="780">
        <f t="shared" si="627"/>
        <v>-16925.443971653156</v>
      </c>
      <c r="AF103" s="780">
        <f t="shared" si="627"/>
        <v>-25696.207513260568</v>
      </c>
      <c r="AG103" s="780">
        <f t="shared" si="627"/>
        <v>-30466.524333613874</v>
      </c>
      <c r="AH103" s="780">
        <f t="shared" si="627"/>
        <v>-30644.209260269774</v>
      </c>
      <c r="AI103" s="780">
        <f t="shared" si="627"/>
        <v>-25743.81021126837</v>
      </c>
      <c r="AJ103" s="780">
        <f t="shared" si="627"/>
        <v>-25374.965354328699</v>
      </c>
      <c r="AK103" s="781">
        <f t="shared" si="627"/>
        <v>-21685.632709168298</v>
      </c>
      <c r="AL103" s="782">
        <f t="shared" si="627"/>
        <v>-17735.699053003482</v>
      </c>
      <c r="AM103" s="780">
        <f t="shared" si="627"/>
        <v>-25824.517795504849</v>
      </c>
      <c r="AN103" s="780">
        <f t="shared" si="627"/>
        <v>-13812.381476188923</v>
      </c>
      <c r="AO103" s="780">
        <f t="shared" si="627"/>
        <v>-15733.807969274916</v>
      </c>
      <c r="AP103" s="780">
        <f t="shared" si="627"/>
        <v>-12981.108202038886</v>
      </c>
      <c r="AQ103" s="780">
        <f t="shared" si="627"/>
        <v>-27659.485752690453</v>
      </c>
      <c r="AR103" s="780">
        <f t="shared" si="627"/>
        <v>-14368.892474155029</v>
      </c>
      <c r="AS103" s="780">
        <f t="shared" si="627"/>
        <v>-16222.784178653252</v>
      </c>
      <c r="AT103" s="780">
        <f t="shared" si="627"/>
        <v>-10757.412118790759</v>
      </c>
      <c r="AU103" s="780">
        <f t="shared" si="627"/>
        <v>-7276.3573668028694</v>
      </c>
      <c r="AV103" s="780">
        <f t="shared" si="627"/>
        <v>-728.33143403028953</v>
      </c>
      <c r="AW103" s="781">
        <f t="shared" si="627"/>
        <v>-6343.9301669844717</v>
      </c>
      <c r="AX103" s="782">
        <f t="shared" si="627"/>
        <v>2806.545093130655</v>
      </c>
      <c r="AY103" s="780">
        <f t="shared" si="627"/>
        <v>10443.101931745798</v>
      </c>
      <c r="AZ103" s="780">
        <f t="shared" si="627"/>
        <v>4256.0741498096177</v>
      </c>
      <c r="BA103" s="780">
        <f t="shared" si="627"/>
        <v>-243.85907681621029</v>
      </c>
      <c r="BB103" s="780">
        <f t="shared" si="627"/>
        <v>8404.3480662194488</v>
      </c>
      <c r="BC103" s="780">
        <f t="shared" si="627"/>
        <v>10505.464546137853</v>
      </c>
      <c r="BD103" s="780">
        <f t="shared" si="627"/>
        <v>5996.34105228525</v>
      </c>
      <c r="BE103" s="780">
        <f t="shared" si="627"/>
        <v>31887.180861373214</v>
      </c>
      <c r="BF103" s="780">
        <f t="shared" si="627"/>
        <v>30001.697847926363</v>
      </c>
      <c r="BG103" s="780">
        <f t="shared" si="627"/>
        <v>46776.772437808642</v>
      </c>
      <c r="BH103" s="780">
        <f t="shared" si="627"/>
        <v>56453.023504686862</v>
      </c>
      <c r="BI103" s="781">
        <f t="shared" si="627"/>
        <v>34612.048960618442</v>
      </c>
    </row>
    <row r="104" spans="1:61" s="780" customFormat="1" hidden="1" outlineLevel="1">
      <c r="A104" s="780" t="s">
        <v>288</v>
      </c>
      <c r="I104" s="780">
        <f t="shared" ref="I104" si="628">IF($I$5&gt;$H$5,($I$5-$H$5)*B541,0)</f>
        <v>1850</v>
      </c>
      <c r="J104" s="780">
        <f t="shared" ref="J104" si="629">IF($I$5&gt;$H$5,($I$5-$H$5)*C541,0)</f>
        <v>1937.1558751999999</v>
      </c>
      <c r="K104" s="780">
        <f t="shared" ref="K104" si="630">IF($I$5&gt;$H$5,($I$5-$H$5)*D541,0)</f>
        <v>2030.0190587848704</v>
      </c>
      <c r="L104" s="780">
        <f t="shared" ref="L104" si="631">IF($I$5&gt;$H$5,($I$5-$H$5)*E541,0)</f>
        <v>2128.941218449359</v>
      </c>
      <c r="M104" s="781">
        <f t="shared" ref="M104" si="632">IF($I$5&gt;$H$5,($I$5-$H$5)*F541,0)</f>
        <v>2234.2900324673633</v>
      </c>
      <c r="N104" s="782">
        <f t="shared" ref="N104" si="633">IF($I$5&gt;$H$5,($I$5-$H$5)*G541,0)</f>
        <v>2346.4496034726417</v>
      </c>
      <c r="O104" s="780">
        <f t="shared" ref="O104" si="634">IF($I$5&gt;$H$5,($I$5-$H$5)*H541,0)</f>
        <v>2465.8208731027789</v>
      </c>
      <c r="P104" s="780">
        <f t="shared" ref="P104" si="635">IF($I$5&gt;$H$5,($I$5-$H$5)*I541,0)</f>
        <v>2592.8220377557409</v>
      </c>
      <c r="Q104" s="780">
        <f t="shared" ref="Q104" si="636">IF($I$5&gt;$H$5,($I$5-$H$5)*J541,0)</f>
        <v>2727.8889657926175</v>
      </c>
      <c r="R104" s="780">
        <f t="shared" ref="R104" si="637">IF($I$5&gt;$H$5,($I$5-$H$5)*K541,0)</f>
        <v>2871.4756166091629</v>
      </c>
      <c r="S104" s="780">
        <f t="shared" ref="S104" si="638">IF($I$5&gt;$H$5,($I$5-$H$5)*L541,0)</f>
        <v>3024.0544620924302</v>
      </c>
      <c r="T104" s="780">
        <f t="shared" ref="T104" si="639">IF($I$5&gt;$H$5,($I$5-$H$5)*M541,0)</f>
        <v>3186.1169110768442</v>
      </c>
      <c r="U104" s="780">
        <f t="shared" ref="U104" si="640">IF($I$5&gt;$H$5,($I$5-$H$5)*N541,0)</f>
        <v>3358.9807376414046</v>
      </c>
      <c r="V104" s="780">
        <f t="shared" ref="V104" si="641">IF($I$5&gt;$H$5,($I$5-$H$5)*O541,0)</f>
        <v>3543.2416591361321</v>
      </c>
      <c r="W104" s="780">
        <f t="shared" ref="W104" si="642">IF($I$5&gt;$H$5,($I$5-$H$5)*P541,0)</f>
        <v>3739.515514961849</v>
      </c>
      <c r="X104" s="780">
        <f t="shared" ref="X104" si="643">IF($I$5&gt;$H$5,($I$5-$H$5)*Q541,0)</f>
        <v>3948.4383904349252</v>
      </c>
      <c r="Y104" s="781">
        <f t="shared" ref="Y104" si="644">IF($I$5&gt;$H$5,($I$5-$H$5)*R541,0)</f>
        <v>4170.6667372134807</v>
      </c>
      <c r="Z104" s="782">
        <f t="shared" ref="Z104" si="645">IF($I$5&gt;$H$5,($I$5-$H$5)*S541,0)</f>
        <v>4406.877493173627</v>
      </c>
      <c r="AA104" s="780">
        <f t="shared" ref="AA104" si="646">IF($I$5&gt;$H$5,($I$5-$H$5)*T541,0)</f>
        <v>4657.7682048703127</v>
      </c>
      <c r="AB104" s="780">
        <f t="shared" ref="AB104" si="647">IF($I$5&gt;$H$5,($I$5-$H$5)*U541,0)</f>
        <v>4924.0571559566215</v>
      </c>
      <c r="AC104" s="780">
        <f t="shared" ref="AC104" si="648">IF($I$5&gt;$H$5,($I$5-$H$5)*V541,0)</f>
        <v>5206.4835051661303</v>
      </c>
      <c r="AD104" s="780">
        <f t="shared" ref="AD104" si="649">IF($I$5&gt;$H$5,($I$5-$H$5)*W541,0)</f>
        <v>5505.8074376836603</v>
      </c>
      <c r="AE104" s="780">
        <f t="shared" ref="AE104" si="650">IF($I$5&gt;$H$5,($I$5-$H$5)*X541,0)</f>
        <v>5822.8103339388172</v>
      </c>
      <c r="AF104" s="780">
        <f t="shared" ref="AF104" si="651">IF($I$5&gt;$H$5,($I$5-$H$5)*Y541,0)</f>
        <v>6158.2949600526208</v>
      </c>
      <c r="AG104" s="780">
        <f t="shared" ref="AG104" si="652">IF($I$5&gt;$H$5,($I$5-$H$5)*Z541,0)</f>
        <v>6514.1392664878649</v>
      </c>
      <c r="AH104" s="780">
        <f t="shared" ref="AH104" si="653">IF($I$5&gt;$H$5,($I$5-$H$5)*AA541,0)</f>
        <v>6891.2420929122554</v>
      </c>
      <c r="AI104" s="780">
        <f t="shared" ref="AI104" si="654">IF($I$5&gt;$H$5,($I$5-$H$5)*AB541,0)</f>
        <v>7290.5201481641989</v>
      </c>
      <c r="AJ104" s="780">
        <f t="shared" ref="AJ104" si="655">IF($I$5&gt;$H$5,($I$5-$H$5)*AC541,0)</f>
        <v>7712.9078999165331</v>
      </c>
      <c r="AK104" s="781">
        <f t="shared" ref="AK104" si="656">IF($I$5&gt;$H$5,($I$5-$H$5)*AD541,0)</f>
        <v>8159.357530652579</v>
      </c>
      <c r="AL104" s="782">
        <f t="shared" ref="AL104" si="657">IF($I$5&gt;$H$5,($I$5-$H$5)*AE541,0)</f>
        <v>8630.8389688113039</v>
      </c>
      <c r="AM104" s="780">
        <f t="shared" ref="AM104" si="658">IF($I$5&gt;$H$5,($I$5-$H$5)*AF541,0)</f>
        <v>9128.3400039027438</v>
      </c>
      <c r="AN104" s="780">
        <f t="shared" ref="AN104" si="659">IF($I$5&gt;$H$5,($I$5-$H$5)*AG541,0)</f>
        <v>9652.8664942797932</v>
      </c>
      <c r="AO104" s="780">
        <f t="shared" ref="AO104" si="660">IF($I$5&gt;$H$5,($I$5-$H$5)*AH541,0)</f>
        <v>10205.442676078563</v>
      </c>
      <c r="AP104" s="780">
        <f t="shared" ref="AP104" si="661">IF($I$5&gt;$H$5,($I$5-$H$5)*AI541,0)</f>
        <v>10787.111581608189</v>
      </c>
      <c r="AQ104" s="780">
        <f t="shared" ref="AQ104" si="662">IF($I$5&gt;$H$5,($I$5-$H$5)*AJ541,0)</f>
        <v>11398.935575183927</v>
      </c>
      <c r="AR104" s="780">
        <f t="shared" ref="AR104" si="663">IF($I$5&gt;$H$5,($I$5-$H$5)*AK541,0)</f>
        <v>12041.997014057681</v>
      </c>
      <c r="AS104" s="780">
        <f t="shared" ref="AS104" si="664">IF($I$5&gt;$H$5,($I$5-$H$5)*AL541,0)</f>
        <v>11309.223860591001</v>
      </c>
      <c r="AT104" s="780">
        <f t="shared" ref="AT104" si="665">IF($I$5&gt;$H$5,($I$5-$H$5)*AM541,0)</f>
        <v>11938.59815317693</v>
      </c>
      <c r="AU104" s="780">
        <f t="shared" ref="AU104" si="666">IF($I$5&gt;$H$5,($I$5-$H$5)*AN541,0)</f>
        <v>12598.640561226617</v>
      </c>
      <c r="AV104" s="780">
        <f t="shared" ref="AV104" si="667">IF($I$5&gt;$H$5,($I$5-$H$5)*AO541,0)</f>
        <v>13290.384784867672</v>
      </c>
      <c r="AW104" s="781">
        <f t="shared" ref="AW104" si="668">IF($I$5&gt;$H$5,($I$5-$H$5)*AP541,0)</f>
        <v>14014.886742419074</v>
      </c>
      <c r="AX104" s="782">
        <f t="shared" ref="AX104" si="669">IF($I$5&gt;$H$5,($I$5-$H$5)*AQ541,0)</f>
        <v>14773.225935151826</v>
      </c>
      <c r="AY104" s="780">
        <f t="shared" ref="AY104" si="670">IF($I$5&gt;$H$5,($I$5-$H$5)*AR541,0)</f>
        <v>15566.50695843432</v>
      </c>
      <c r="AZ104" s="780">
        <f t="shared" ref="AZ104" si="671">IF($I$5&gt;$H$5,($I$5-$H$5)*AS541,0)</f>
        <v>16395.861162308756</v>
      </c>
      <c r="BA104" s="780">
        <f t="shared" ref="BA104" si="672">IF($I$5&gt;$H$5,($I$5-$H$5)*AT541,0)</f>
        <v>17262.448464000674</v>
      </c>
      <c r="BB104" s="780">
        <f t="shared" ref="BB104" si="673">IF($I$5&gt;$H$5,($I$5-$H$5)*AU541,0)</f>
        <v>18167.459314320589</v>
      </c>
      <c r="BC104" s="780">
        <f t="shared" ref="BC104" si="674">IF($I$5&gt;$H$5,($I$5-$H$5)*AV541,0)</f>
        <v>19112.116819380197</v>
      </c>
      <c r="BD104" s="780">
        <f t="shared" ref="BD104" si="675">IF($I$5&gt;$H$5,($I$5-$H$5)*AW541,0)</f>
        <v>20097.679018522183</v>
      </c>
      <c r="BE104" s="780">
        <f t="shared" ref="BE104" si="676">IF($I$5&gt;$H$5,($I$5-$H$5)*AX541,0)</f>
        <v>12752.947938519361</v>
      </c>
      <c r="BF104" s="780">
        <f t="shared" ref="BF104" si="677">IF($I$5&gt;$H$5,($I$5-$H$5)*AY541,0)</f>
        <v>13398.522569380648</v>
      </c>
      <c r="BG104" s="780">
        <f t="shared" ref="BG104" si="678">IF($I$5&gt;$H$5,($I$5-$H$5)*AZ541,0)</f>
        <v>14071.093642551565</v>
      </c>
      <c r="BH104" s="780">
        <f t="shared" ref="BH104" si="679">IF($I$5&gt;$H$5,($I$5-$H$5)*BA541,0)</f>
        <v>14771.513160710467</v>
      </c>
      <c r="BI104" s="781">
        <f t="shared" ref="BI104" si="680">IF($I$5&gt;$H$5,($I$5-$H$5)*BB541,0)</f>
        <v>15500.662176870897</v>
      </c>
    </row>
    <row r="105" spans="1:61" s="780" customFormat="1" hidden="1" outlineLevel="1">
      <c r="M105" s="781"/>
      <c r="N105" s="782"/>
      <c r="Y105" s="781"/>
      <c r="Z105" s="782"/>
      <c r="AK105" s="781"/>
      <c r="AL105" s="782"/>
      <c r="AW105" s="781"/>
      <c r="AX105" s="782"/>
      <c r="BI105" s="781"/>
    </row>
    <row r="106" spans="1:61" s="780" customFormat="1" hidden="1" outlineLevel="1">
      <c r="A106" s="780" t="s">
        <v>359</v>
      </c>
      <c r="J106" s="780">
        <f>IF($J$5&gt;$I$5,($J$5-$I$5)*B535,0)</f>
        <v>0</v>
      </c>
      <c r="K106" s="780">
        <f t="shared" ref="K106" si="681">IF($J$5&gt;$I$5,($J$5-$I$5)*C535,0)</f>
        <v>0</v>
      </c>
      <c r="L106" s="780">
        <f t="shared" ref="L106" si="682">IF($J$5&gt;$I$5,($J$5-$I$5)*D535,0)</f>
        <v>0</v>
      </c>
      <c r="M106" s="781">
        <f t="shared" ref="M106" si="683">IF($J$5&gt;$I$5,($J$5-$I$5)*E535,0)</f>
        <v>0</v>
      </c>
      <c r="N106" s="782">
        <f t="shared" ref="N106" si="684">IF($J$5&gt;$I$5,($J$5-$I$5)*F535,0)</f>
        <v>0</v>
      </c>
      <c r="O106" s="780">
        <f t="shared" ref="O106" si="685">IF($J$5&gt;$I$5,($J$5-$I$5)*G535,0)</f>
        <v>0</v>
      </c>
      <c r="P106" s="780">
        <f t="shared" ref="P106" si="686">IF($J$5&gt;$I$5,($J$5-$I$5)*H535,0)</f>
        <v>0</v>
      </c>
      <c r="Q106" s="780">
        <f t="shared" ref="Q106" si="687">IF($J$5&gt;$I$5,($J$5-$I$5)*I535,0)</f>
        <v>0</v>
      </c>
      <c r="R106" s="780">
        <f t="shared" ref="R106" si="688">IF($J$5&gt;$I$5,($J$5-$I$5)*J535,0)</f>
        <v>0</v>
      </c>
      <c r="S106" s="780">
        <f t="shared" ref="S106" si="689">IF($J$5&gt;$I$5,($J$5-$I$5)*K535,0)</f>
        <v>0</v>
      </c>
      <c r="T106" s="780">
        <f t="shared" ref="T106" si="690">IF($J$5&gt;$I$5,($J$5-$I$5)*L535,0)</f>
        <v>0</v>
      </c>
      <c r="U106" s="780">
        <f t="shared" ref="U106" si="691">IF($J$5&gt;$I$5,($J$5-$I$5)*M535,0)</f>
        <v>0</v>
      </c>
      <c r="V106" s="780">
        <f t="shared" ref="V106" si="692">IF($J$5&gt;$I$5,($J$5-$I$5)*N535,0)</f>
        <v>0</v>
      </c>
      <c r="W106" s="780">
        <f t="shared" ref="W106" si="693">IF($J$5&gt;$I$5,($J$5-$I$5)*O535,0)</f>
        <v>0</v>
      </c>
      <c r="X106" s="780">
        <f t="shared" ref="X106" si="694">IF($J$5&gt;$I$5,($J$5-$I$5)*P535,0)</f>
        <v>0</v>
      </c>
      <c r="Y106" s="781">
        <f t="shared" ref="Y106" si="695">IF($J$5&gt;$I$5,($J$5-$I$5)*Q535,0)</f>
        <v>0</v>
      </c>
      <c r="Z106" s="782">
        <f t="shared" ref="Z106" si="696">IF($J$5&gt;$I$5,($J$5-$I$5)*R535,0)</f>
        <v>0</v>
      </c>
      <c r="AA106" s="780">
        <f t="shared" ref="AA106" si="697">IF($J$5&gt;$I$5,($J$5-$I$5)*S535,0)</f>
        <v>0</v>
      </c>
      <c r="AB106" s="780">
        <f t="shared" ref="AB106" si="698">IF($J$5&gt;$I$5,($J$5-$I$5)*T535,0)</f>
        <v>0</v>
      </c>
      <c r="AC106" s="780">
        <f t="shared" ref="AC106" si="699">IF($J$5&gt;$I$5,($J$5-$I$5)*U535,0)</f>
        <v>0</v>
      </c>
      <c r="AD106" s="780">
        <f t="shared" ref="AD106" si="700">IF($J$5&gt;$I$5,($J$5-$I$5)*V535,0)</f>
        <v>0</v>
      </c>
      <c r="AE106" s="780">
        <f t="shared" ref="AE106" si="701">IF($J$5&gt;$I$5,($J$5-$I$5)*W535,0)</f>
        <v>0</v>
      </c>
      <c r="AF106" s="780">
        <f t="shared" ref="AF106" si="702">IF($J$5&gt;$I$5,($J$5-$I$5)*X535,0)</f>
        <v>0</v>
      </c>
      <c r="AG106" s="780">
        <f t="shared" ref="AG106" si="703">IF($J$5&gt;$I$5,($J$5-$I$5)*Y535,0)</f>
        <v>0</v>
      </c>
      <c r="AH106" s="780">
        <f t="shared" ref="AH106" si="704">IF($J$5&gt;$I$5,($J$5-$I$5)*Z535,0)</f>
        <v>0</v>
      </c>
      <c r="AI106" s="780">
        <f t="shared" ref="AI106" si="705">IF($J$5&gt;$I$5,($J$5-$I$5)*AA535,0)</f>
        <v>0</v>
      </c>
      <c r="AJ106" s="780">
        <f t="shared" ref="AJ106" si="706">IF($J$5&gt;$I$5,($J$5-$I$5)*AB535,0)</f>
        <v>0</v>
      </c>
      <c r="AK106" s="781">
        <f t="shared" ref="AK106" si="707">IF($J$5&gt;$I$5,($J$5-$I$5)*AC535,0)</f>
        <v>0</v>
      </c>
      <c r="AL106" s="782">
        <f t="shared" ref="AL106" si="708">IF($J$5&gt;$I$5,($J$5-$I$5)*AD535,0)</f>
        <v>0</v>
      </c>
      <c r="AM106" s="780">
        <f t="shared" ref="AM106" si="709">IF($J$5&gt;$I$5,($J$5-$I$5)*AE535,0)</f>
        <v>0</v>
      </c>
      <c r="AN106" s="780">
        <f t="shared" ref="AN106" si="710">IF($J$5&gt;$I$5,($J$5-$I$5)*AF535,0)</f>
        <v>0</v>
      </c>
      <c r="AO106" s="780">
        <f t="shared" ref="AO106" si="711">IF($J$5&gt;$I$5,($J$5-$I$5)*AG535,0)</f>
        <v>0</v>
      </c>
      <c r="AP106" s="780">
        <f t="shared" ref="AP106" si="712">IF($J$5&gt;$I$5,($J$5-$I$5)*AH535,0)</f>
        <v>0</v>
      </c>
      <c r="AQ106" s="780">
        <f t="shared" ref="AQ106" si="713">IF($J$5&gt;$I$5,($J$5-$I$5)*AI535,0)</f>
        <v>0</v>
      </c>
      <c r="AR106" s="780">
        <f t="shared" ref="AR106" si="714">IF($J$5&gt;$I$5,($J$5-$I$5)*AJ535,0)</f>
        <v>0</v>
      </c>
      <c r="AS106" s="780">
        <f t="shared" ref="AS106" si="715">IF($J$5&gt;$I$5,($J$5-$I$5)*AK535,0)</f>
        <v>0</v>
      </c>
      <c r="AT106" s="780">
        <f t="shared" ref="AT106" si="716">IF($J$5&gt;$I$5,($J$5-$I$5)*AL535,0)</f>
        <v>0</v>
      </c>
      <c r="AU106" s="780">
        <f t="shared" ref="AU106" si="717">IF($J$5&gt;$I$5,($J$5-$I$5)*AM535,0)</f>
        <v>0</v>
      </c>
      <c r="AV106" s="780">
        <f t="shared" ref="AV106" si="718">IF($J$5&gt;$I$5,($J$5-$I$5)*AN535,0)</f>
        <v>0</v>
      </c>
      <c r="AW106" s="781">
        <f t="shared" ref="AW106" si="719">IF($J$5&gt;$I$5,($J$5-$I$5)*AO535,0)</f>
        <v>0</v>
      </c>
      <c r="AX106" s="782">
        <f t="shared" ref="AX106" si="720">IF($J$5&gt;$I$5,($J$5-$I$5)*AP535,0)</f>
        <v>0</v>
      </c>
      <c r="AY106" s="780">
        <f t="shared" ref="AY106" si="721">IF($J$5&gt;$I$5,($J$5-$I$5)*AQ535,0)</f>
        <v>0</v>
      </c>
      <c r="AZ106" s="780">
        <f t="shared" ref="AZ106" si="722">IF($J$5&gt;$I$5,($J$5-$I$5)*AR535,0)</f>
        <v>0</v>
      </c>
      <c r="BA106" s="780">
        <f t="shared" ref="BA106" si="723">IF($J$5&gt;$I$5,($J$5-$I$5)*AS535,0)</f>
        <v>0</v>
      </c>
      <c r="BB106" s="780">
        <f t="shared" ref="BB106" si="724">IF($J$5&gt;$I$5,($J$5-$I$5)*AT535,0)</f>
        <v>0</v>
      </c>
      <c r="BC106" s="780">
        <f t="shared" ref="BC106" si="725">IF($J$5&gt;$I$5,($J$5-$I$5)*AU535,0)</f>
        <v>0</v>
      </c>
      <c r="BD106" s="780">
        <f t="shared" ref="BD106" si="726">IF($J$5&gt;$I$5,($J$5-$I$5)*AV535,0)</f>
        <v>0</v>
      </c>
      <c r="BE106" s="780">
        <f t="shared" ref="BE106" si="727">IF($J$5&gt;$I$5,($J$5-$I$5)*AW535,0)</f>
        <v>0</v>
      </c>
      <c r="BF106" s="780">
        <f t="shared" ref="BF106" si="728">IF($J$5&gt;$I$5,($J$5-$I$5)*AX535,0)</f>
        <v>0</v>
      </c>
      <c r="BG106" s="780">
        <f t="shared" ref="BG106" si="729">IF($J$5&gt;$I$5,($J$5-$I$5)*AY535,0)</f>
        <v>0</v>
      </c>
      <c r="BH106" s="780">
        <f t="shared" ref="BH106" si="730">IF($J$5&gt;$I$5,($J$5-$I$5)*AZ535,0)</f>
        <v>0</v>
      </c>
      <c r="BI106" s="781">
        <f t="shared" ref="BI106" si="731">IF($J$5&gt;$I$5,($J$5-$I$5)*BA535,0)</f>
        <v>0</v>
      </c>
    </row>
    <row r="107" spans="1:61" s="780" customFormat="1" hidden="1" outlineLevel="1">
      <c r="A107" s="780" t="str">
        <f>$A$536</f>
        <v>Leads</v>
      </c>
      <c r="J107" s="780">
        <f>IF($J$5&gt;$I$5,($J$5-$I$5)*B536,0)</f>
        <v>0</v>
      </c>
      <c r="K107" s="780">
        <f t="shared" ref="K107:BI107" si="732">IF($J$5&gt;$I$5,($J$5-$I$5)*C536,0)</f>
        <v>0</v>
      </c>
      <c r="L107" s="780">
        <f t="shared" si="732"/>
        <v>0</v>
      </c>
      <c r="M107" s="781">
        <f t="shared" si="732"/>
        <v>0</v>
      </c>
      <c r="N107" s="782">
        <f t="shared" si="732"/>
        <v>0</v>
      </c>
      <c r="O107" s="780">
        <f t="shared" si="732"/>
        <v>0</v>
      </c>
      <c r="P107" s="780">
        <f t="shared" si="732"/>
        <v>0</v>
      </c>
      <c r="Q107" s="780">
        <f t="shared" si="732"/>
        <v>0</v>
      </c>
      <c r="R107" s="780">
        <f t="shared" si="732"/>
        <v>0</v>
      </c>
      <c r="S107" s="780">
        <f t="shared" si="732"/>
        <v>0</v>
      </c>
      <c r="T107" s="780">
        <f t="shared" si="732"/>
        <v>0</v>
      </c>
      <c r="U107" s="780">
        <f t="shared" si="732"/>
        <v>0</v>
      </c>
      <c r="V107" s="780">
        <f t="shared" si="732"/>
        <v>0</v>
      </c>
      <c r="W107" s="780">
        <f t="shared" si="732"/>
        <v>0</v>
      </c>
      <c r="X107" s="780">
        <f t="shared" si="732"/>
        <v>0</v>
      </c>
      <c r="Y107" s="781">
        <f t="shared" si="732"/>
        <v>0</v>
      </c>
      <c r="Z107" s="782">
        <f t="shared" si="732"/>
        <v>0</v>
      </c>
      <c r="AA107" s="780">
        <f t="shared" si="732"/>
        <v>0</v>
      </c>
      <c r="AB107" s="780">
        <f t="shared" si="732"/>
        <v>0</v>
      </c>
      <c r="AC107" s="780">
        <f t="shared" si="732"/>
        <v>0</v>
      </c>
      <c r="AD107" s="780">
        <f t="shared" si="732"/>
        <v>0</v>
      </c>
      <c r="AE107" s="780">
        <f t="shared" si="732"/>
        <v>0</v>
      </c>
      <c r="AF107" s="780">
        <f t="shared" si="732"/>
        <v>0</v>
      </c>
      <c r="AG107" s="780">
        <f t="shared" si="732"/>
        <v>0</v>
      </c>
      <c r="AH107" s="780">
        <f t="shared" si="732"/>
        <v>0</v>
      </c>
      <c r="AI107" s="780">
        <f t="shared" si="732"/>
        <v>0</v>
      </c>
      <c r="AJ107" s="780">
        <f t="shared" si="732"/>
        <v>0</v>
      </c>
      <c r="AK107" s="781">
        <f t="shared" si="732"/>
        <v>0</v>
      </c>
      <c r="AL107" s="782">
        <f t="shared" si="732"/>
        <v>0</v>
      </c>
      <c r="AM107" s="780">
        <f t="shared" si="732"/>
        <v>0</v>
      </c>
      <c r="AN107" s="780">
        <f t="shared" si="732"/>
        <v>0</v>
      </c>
      <c r="AO107" s="780">
        <f t="shared" si="732"/>
        <v>0</v>
      </c>
      <c r="AP107" s="780">
        <f t="shared" si="732"/>
        <v>0</v>
      </c>
      <c r="AQ107" s="780">
        <f t="shared" si="732"/>
        <v>0</v>
      </c>
      <c r="AR107" s="780">
        <f t="shared" si="732"/>
        <v>0</v>
      </c>
      <c r="AS107" s="780">
        <f t="shared" si="732"/>
        <v>0</v>
      </c>
      <c r="AT107" s="780">
        <f t="shared" si="732"/>
        <v>0</v>
      </c>
      <c r="AU107" s="780">
        <f t="shared" si="732"/>
        <v>0</v>
      </c>
      <c r="AV107" s="780">
        <f t="shared" si="732"/>
        <v>0</v>
      </c>
      <c r="AW107" s="781">
        <f t="shared" si="732"/>
        <v>0</v>
      </c>
      <c r="AX107" s="782">
        <f t="shared" si="732"/>
        <v>0</v>
      </c>
      <c r="AY107" s="780">
        <f t="shared" si="732"/>
        <v>0</v>
      </c>
      <c r="AZ107" s="780">
        <f t="shared" si="732"/>
        <v>0</v>
      </c>
      <c r="BA107" s="780">
        <f t="shared" si="732"/>
        <v>0</v>
      </c>
      <c r="BB107" s="780">
        <f t="shared" si="732"/>
        <v>0</v>
      </c>
      <c r="BC107" s="780">
        <f t="shared" si="732"/>
        <v>0</v>
      </c>
      <c r="BD107" s="780">
        <f t="shared" si="732"/>
        <v>0</v>
      </c>
      <c r="BE107" s="780">
        <f t="shared" si="732"/>
        <v>0</v>
      </c>
      <c r="BF107" s="780">
        <f t="shared" si="732"/>
        <v>0</v>
      </c>
      <c r="BG107" s="780">
        <f t="shared" si="732"/>
        <v>0</v>
      </c>
      <c r="BH107" s="780">
        <f t="shared" si="732"/>
        <v>0</v>
      </c>
      <c r="BI107" s="781">
        <f t="shared" si="732"/>
        <v>0</v>
      </c>
    </row>
    <row r="108" spans="1:61" s="780" customFormat="1" hidden="1" outlineLevel="1">
      <c r="A108" s="780" t="str">
        <f>$A$537</f>
        <v>Audits</v>
      </c>
      <c r="J108" s="780">
        <f t="shared" ref="J108:BI108" si="733">IF($J$5&gt;$I$5,($J$5-$I$5)*B537,0)</f>
        <v>0</v>
      </c>
      <c r="K108" s="780">
        <f t="shared" si="733"/>
        <v>0</v>
      </c>
      <c r="L108" s="780">
        <f t="shared" si="733"/>
        <v>0</v>
      </c>
      <c r="M108" s="781">
        <f t="shared" si="733"/>
        <v>0</v>
      </c>
      <c r="N108" s="782">
        <f t="shared" si="733"/>
        <v>0</v>
      </c>
      <c r="O108" s="780">
        <f t="shared" si="733"/>
        <v>0</v>
      </c>
      <c r="P108" s="780">
        <f t="shared" si="733"/>
        <v>0</v>
      </c>
      <c r="Q108" s="780">
        <f t="shared" si="733"/>
        <v>0</v>
      </c>
      <c r="R108" s="780">
        <f t="shared" si="733"/>
        <v>0</v>
      </c>
      <c r="S108" s="780">
        <f t="shared" si="733"/>
        <v>0</v>
      </c>
      <c r="T108" s="780">
        <f t="shared" si="733"/>
        <v>0</v>
      </c>
      <c r="U108" s="780">
        <f t="shared" si="733"/>
        <v>0</v>
      </c>
      <c r="V108" s="780">
        <f t="shared" si="733"/>
        <v>0</v>
      </c>
      <c r="W108" s="780">
        <f t="shared" si="733"/>
        <v>0</v>
      </c>
      <c r="X108" s="780">
        <f t="shared" si="733"/>
        <v>0</v>
      </c>
      <c r="Y108" s="781">
        <f t="shared" si="733"/>
        <v>0</v>
      </c>
      <c r="Z108" s="782">
        <f t="shared" si="733"/>
        <v>0</v>
      </c>
      <c r="AA108" s="780">
        <f t="shared" si="733"/>
        <v>0</v>
      </c>
      <c r="AB108" s="780">
        <f t="shared" si="733"/>
        <v>0</v>
      </c>
      <c r="AC108" s="780">
        <f t="shared" si="733"/>
        <v>0</v>
      </c>
      <c r="AD108" s="780">
        <f t="shared" si="733"/>
        <v>0</v>
      </c>
      <c r="AE108" s="780">
        <f t="shared" si="733"/>
        <v>0</v>
      </c>
      <c r="AF108" s="780">
        <f t="shared" si="733"/>
        <v>0</v>
      </c>
      <c r="AG108" s="780">
        <f t="shared" si="733"/>
        <v>0</v>
      </c>
      <c r="AH108" s="780">
        <f t="shared" si="733"/>
        <v>0</v>
      </c>
      <c r="AI108" s="780">
        <f t="shared" si="733"/>
        <v>0</v>
      </c>
      <c r="AJ108" s="780">
        <f t="shared" si="733"/>
        <v>0</v>
      </c>
      <c r="AK108" s="781">
        <f t="shared" si="733"/>
        <v>0</v>
      </c>
      <c r="AL108" s="782">
        <f t="shared" si="733"/>
        <v>0</v>
      </c>
      <c r="AM108" s="780">
        <f t="shared" si="733"/>
        <v>0</v>
      </c>
      <c r="AN108" s="780">
        <f t="shared" si="733"/>
        <v>0</v>
      </c>
      <c r="AO108" s="780">
        <f t="shared" si="733"/>
        <v>0</v>
      </c>
      <c r="AP108" s="780">
        <f t="shared" si="733"/>
        <v>0</v>
      </c>
      <c r="AQ108" s="780">
        <f t="shared" si="733"/>
        <v>0</v>
      </c>
      <c r="AR108" s="780">
        <f t="shared" si="733"/>
        <v>0</v>
      </c>
      <c r="AS108" s="780">
        <f t="shared" si="733"/>
        <v>0</v>
      </c>
      <c r="AT108" s="780">
        <f t="shared" si="733"/>
        <v>0</v>
      </c>
      <c r="AU108" s="780">
        <f t="shared" si="733"/>
        <v>0</v>
      </c>
      <c r="AV108" s="780">
        <f t="shared" si="733"/>
        <v>0</v>
      </c>
      <c r="AW108" s="781">
        <f t="shared" si="733"/>
        <v>0</v>
      </c>
      <c r="AX108" s="782">
        <f t="shared" si="733"/>
        <v>0</v>
      </c>
      <c r="AY108" s="780">
        <f t="shared" si="733"/>
        <v>0</v>
      </c>
      <c r="AZ108" s="780">
        <f t="shared" si="733"/>
        <v>0</v>
      </c>
      <c r="BA108" s="780">
        <f t="shared" si="733"/>
        <v>0</v>
      </c>
      <c r="BB108" s="780">
        <f t="shared" si="733"/>
        <v>0</v>
      </c>
      <c r="BC108" s="780">
        <f t="shared" si="733"/>
        <v>0</v>
      </c>
      <c r="BD108" s="780">
        <f t="shared" si="733"/>
        <v>0</v>
      </c>
      <c r="BE108" s="780">
        <f t="shared" si="733"/>
        <v>0</v>
      </c>
      <c r="BF108" s="780">
        <f t="shared" si="733"/>
        <v>0</v>
      </c>
      <c r="BG108" s="780">
        <f t="shared" si="733"/>
        <v>0</v>
      </c>
      <c r="BH108" s="780">
        <f t="shared" si="733"/>
        <v>0</v>
      </c>
      <c r="BI108" s="781">
        <f t="shared" si="733"/>
        <v>0</v>
      </c>
    </row>
    <row r="109" spans="1:61" s="780" customFormat="1" hidden="1" outlineLevel="1">
      <c r="A109" s="780" t="str">
        <f>$A$538</f>
        <v>Retrofit</v>
      </c>
      <c r="J109" s="780">
        <f t="shared" ref="J109:BI109" si="734">IF($J$5&gt;$I$5,($J$5-$I$5)*B538,0)</f>
        <v>0</v>
      </c>
      <c r="K109" s="780">
        <f t="shared" si="734"/>
        <v>0</v>
      </c>
      <c r="L109" s="780">
        <f t="shared" si="734"/>
        <v>0</v>
      </c>
      <c r="M109" s="781">
        <f t="shared" si="734"/>
        <v>0</v>
      </c>
      <c r="N109" s="782">
        <f t="shared" si="734"/>
        <v>0</v>
      </c>
      <c r="O109" s="780">
        <f t="shared" si="734"/>
        <v>0</v>
      </c>
      <c r="P109" s="780">
        <f t="shared" si="734"/>
        <v>0</v>
      </c>
      <c r="Q109" s="780">
        <f t="shared" si="734"/>
        <v>0</v>
      </c>
      <c r="R109" s="780">
        <f t="shared" si="734"/>
        <v>0</v>
      </c>
      <c r="S109" s="780">
        <f t="shared" si="734"/>
        <v>0</v>
      </c>
      <c r="T109" s="780">
        <f t="shared" si="734"/>
        <v>0</v>
      </c>
      <c r="U109" s="780">
        <f t="shared" si="734"/>
        <v>0</v>
      </c>
      <c r="V109" s="780">
        <f t="shared" si="734"/>
        <v>0</v>
      </c>
      <c r="W109" s="780">
        <f t="shared" si="734"/>
        <v>0</v>
      </c>
      <c r="X109" s="780">
        <f t="shared" si="734"/>
        <v>0</v>
      </c>
      <c r="Y109" s="781">
        <f t="shared" si="734"/>
        <v>0</v>
      </c>
      <c r="Z109" s="782">
        <f t="shared" si="734"/>
        <v>0</v>
      </c>
      <c r="AA109" s="780">
        <f t="shared" si="734"/>
        <v>0</v>
      </c>
      <c r="AB109" s="780">
        <f t="shared" si="734"/>
        <v>0</v>
      </c>
      <c r="AC109" s="780">
        <f t="shared" si="734"/>
        <v>0</v>
      </c>
      <c r="AD109" s="780">
        <f t="shared" si="734"/>
        <v>0</v>
      </c>
      <c r="AE109" s="780">
        <f t="shared" si="734"/>
        <v>0</v>
      </c>
      <c r="AF109" s="780">
        <f t="shared" si="734"/>
        <v>0</v>
      </c>
      <c r="AG109" s="780">
        <f t="shared" si="734"/>
        <v>0</v>
      </c>
      <c r="AH109" s="780">
        <f t="shared" si="734"/>
        <v>0</v>
      </c>
      <c r="AI109" s="780">
        <f t="shared" si="734"/>
        <v>0</v>
      </c>
      <c r="AJ109" s="780">
        <f t="shared" si="734"/>
        <v>0</v>
      </c>
      <c r="AK109" s="781">
        <f t="shared" si="734"/>
        <v>0</v>
      </c>
      <c r="AL109" s="782">
        <f t="shared" si="734"/>
        <v>0</v>
      </c>
      <c r="AM109" s="780">
        <f t="shared" si="734"/>
        <v>0</v>
      </c>
      <c r="AN109" s="780">
        <f t="shared" si="734"/>
        <v>0</v>
      </c>
      <c r="AO109" s="780">
        <f t="shared" si="734"/>
        <v>0</v>
      </c>
      <c r="AP109" s="780">
        <f t="shared" si="734"/>
        <v>0</v>
      </c>
      <c r="AQ109" s="780">
        <f t="shared" si="734"/>
        <v>0</v>
      </c>
      <c r="AR109" s="780">
        <f t="shared" si="734"/>
        <v>0</v>
      </c>
      <c r="AS109" s="780">
        <f t="shared" si="734"/>
        <v>0</v>
      </c>
      <c r="AT109" s="780">
        <f t="shared" si="734"/>
        <v>0</v>
      </c>
      <c r="AU109" s="780">
        <f t="shared" si="734"/>
        <v>0</v>
      </c>
      <c r="AV109" s="780">
        <f t="shared" si="734"/>
        <v>0</v>
      </c>
      <c r="AW109" s="781">
        <f t="shared" si="734"/>
        <v>0</v>
      </c>
      <c r="AX109" s="782">
        <f t="shared" si="734"/>
        <v>0</v>
      </c>
      <c r="AY109" s="780">
        <f t="shared" si="734"/>
        <v>0</v>
      </c>
      <c r="AZ109" s="780">
        <f t="shared" si="734"/>
        <v>0</v>
      </c>
      <c r="BA109" s="780">
        <f t="shared" si="734"/>
        <v>0</v>
      </c>
      <c r="BB109" s="780">
        <f t="shared" si="734"/>
        <v>0</v>
      </c>
      <c r="BC109" s="780">
        <f t="shared" si="734"/>
        <v>0</v>
      </c>
      <c r="BD109" s="780">
        <f t="shared" si="734"/>
        <v>0</v>
      </c>
      <c r="BE109" s="780">
        <f t="shared" si="734"/>
        <v>0</v>
      </c>
      <c r="BF109" s="780">
        <f t="shared" si="734"/>
        <v>0</v>
      </c>
      <c r="BG109" s="780">
        <f t="shared" si="734"/>
        <v>0</v>
      </c>
      <c r="BH109" s="780">
        <f t="shared" si="734"/>
        <v>0</v>
      </c>
      <c r="BI109" s="781">
        <f t="shared" si="734"/>
        <v>0</v>
      </c>
    </row>
    <row r="110" spans="1:61" s="780" customFormat="1" hidden="1" outlineLevel="1">
      <c r="A110" s="780" t="str">
        <f>$A$539</f>
        <v>Revenue</v>
      </c>
      <c r="J110" s="780">
        <f t="shared" ref="J110:BI110" si="735">IF($J$5&gt;$I$5,($J$5-$I$5)*B539,0)</f>
        <v>0</v>
      </c>
      <c r="K110" s="780">
        <f t="shared" si="735"/>
        <v>0</v>
      </c>
      <c r="L110" s="780">
        <f t="shared" si="735"/>
        <v>0</v>
      </c>
      <c r="M110" s="781">
        <f t="shared" si="735"/>
        <v>0</v>
      </c>
      <c r="N110" s="782">
        <f t="shared" si="735"/>
        <v>0</v>
      </c>
      <c r="O110" s="780">
        <f t="shared" si="735"/>
        <v>0</v>
      </c>
      <c r="P110" s="780">
        <f t="shared" si="735"/>
        <v>0</v>
      </c>
      <c r="Q110" s="780">
        <f t="shared" si="735"/>
        <v>0</v>
      </c>
      <c r="R110" s="780">
        <f t="shared" si="735"/>
        <v>0</v>
      </c>
      <c r="S110" s="780">
        <f t="shared" si="735"/>
        <v>0</v>
      </c>
      <c r="T110" s="780">
        <f t="shared" si="735"/>
        <v>0</v>
      </c>
      <c r="U110" s="780">
        <f t="shared" si="735"/>
        <v>0</v>
      </c>
      <c r="V110" s="780">
        <f t="shared" si="735"/>
        <v>0</v>
      </c>
      <c r="W110" s="780">
        <f t="shared" si="735"/>
        <v>0</v>
      </c>
      <c r="X110" s="780">
        <f t="shared" si="735"/>
        <v>0</v>
      </c>
      <c r="Y110" s="781">
        <f t="shared" si="735"/>
        <v>0</v>
      </c>
      <c r="Z110" s="782">
        <f t="shared" si="735"/>
        <v>0</v>
      </c>
      <c r="AA110" s="780">
        <f t="shared" si="735"/>
        <v>0</v>
      </c>
      <c r="AB110" s="780">
        <f t="shared" si="735"/>
        <v>0</v>
      </c>
      <c r="AC110" s="780">
        <f t="shared" si="735"/>
        <v>0</v>
      </c>
      <c r="AD110" s="780">
        <f t="shared" si="735"/>
        <v>0</v>
      </c>
      <c r="AE110" s="780">
        <f t="shared" si="735"/>
        <v>0</v>
      </c>
      <c r="AF110" s="780">
        <f t="shared" si="735"/>
        <v>0</v>
      </c>
      <c r="AG110" s="780">
        <f t="shared" si="735"/>
        <v>0</v>
      </c>
      <c r="AH110" s="780">
        <f t="shared" si="735"/>
        <v>0</v>
      </c>
      <c r="AI110" s="780">
        <f t="shared" si="735"/>
        <v>0</v>
      </c>
      <c r="AJ110" s="780">
        <f t="shared" si="735"/>
        <v>0</v>
      </c>
      <c r="AK110" s="781">
        <f t="shared" si="735"/>
        <v>0</v>
      </c>
      <c r="AL110" s="782">
        <f t="shared" si="735"/>
        <v>0</v>
      </c>
      <c r="AM110" s="780">
        <f t="shared" si="735"/>
        <v>0</v>
      </c>
      <c r="AN110" s="780">
        <f t="shared" si="735"/>
        <v>0</v>
      </c>
      <c r="AO110" s="780">
        <f t="shared" si="735"/>
        <v>0</v>
      </c>
      <c r="AP110" s="780">
        <f t="shared" si="735"/>
        <v>0</v>
      </c>
      <c r="AQ110" s="780">
        <f t="shared" si="735"/>
        <v>0</v>
      </c>
      <c r="AR110" s="780">
        <f t="shared" si="735"/>
        <v>0</v>
      </c>
      <c r="AS110" s="780">
        <f t="shared" si="735"/>
        <v>0</v>
      </c>
      <c r="AT110" s="780">
        <f t="shared" si="735"/>
        <v>0</v>
      </c>
      <c r="AU110" s="780">
        <f t="shared" si="735"/>
        <v>0</v>
      </c>
      <c r="AV110" s="780">
        <f t="shared" si="735"/>
        <v>0</v>
      </c>
      <c r="AW110" s="781">
        <f t="shared" si="735"/>
        <v>0</v>
      </c>
      <c r="AX110" s="782">
        <f t="shared" si="735"/>
        <v>0</v>
      </c>
      <c r="AY110" s="780">
        <f t="shared" si="735"/>
        <v>0</v>
      </c>
      <c r="AZ110" s="780">
        <f t="shared" si="735"/>
        <v>0</v>
      </c>
      <c r="BA110" s="780">
        <f t="shared" si="735"/>
        <v>0</v>
      </c>
      <c r="BB110" s="780">
        <f t="shared" si="735"/>
        <v>0</v>
      </c>
      <c r="BC110" s="780">
        <f t="shared" si="735"/>
        <v>0</v>
      </c>
      <c r="BD110" s="780">
        <f t="shared" si="735"/>
        <v>0</v>
      </c>
      <c r="BE110" s="780">
        <f t="shared" si="735"/>
        <v>0</v>
      </c>
      <c r="BF110" s="780">
        <f t="shared" si="735"/>
        <v>0</v>
      </c>
      <c r="BG110" s="780">
        <f t="shared" si="735"/>
        <v>0</v>
      </c>
      <c r="BH110" s="780">
        <f t="shared" si="735"/>
        <v>0</v>
      </c>
      <c r="BI110" s="781">
        <f t="shared" si="735"/>
        <v>0</v>
      </c>
    </row>
    <row r="111" spans="1:61" s="780" customFormat="1" hidden="1" outlineLevel="1">
      <c r="A111" s="780" t="str">
        <f>$A$540</f>
        <v>Net Income</v>
      </c>
      <c r="J111" s="780">
        <f t="shared" ref="J111:BI111" si="736">IF($J$5&gt;$I$5,($J$5-$I$5)*B540,0)</f>
        <v>0</v>
      </c>
      <c r="K111" s="780">
        <f t="shared" si="736"/>
        <v>0</v>
      </c>
      <c r="L111" s="780">
        <f t="shared" si="736"/>
        <v>0</v>
      </c>
      <c r="M111" s="781">
        <f t="shared" si="736"/>
        <v>0</v>
      </c>
      <c r="N111" s="782">
        <f t="shared" si="736"/>
        <v>0</v>
      </c>
      <c r="O111" s="780">
        <f t="shared" si="736"/>
        <v>0</v>
      </c>
      <c r="P111" s="780">
        <f t="shared" si="736"/>
        <v>0</v>
      </c>
      <c r="Q111" s="780">
        <f t="shared" si="736"/>
        <v>0</v>
      </c>
      <c r="R111" s="780">
        <f t="shared" si="736"/>
        <v>0</v>
      </c>
      <c r="S111" s="780">
        <f t="shared" si="736"/>
        <v>0</v>
      </c>
      <c r="T111" s="780">
        <f t="shared" si="736"/>
        <v>0</v>
      </c>
      <c r="U111" s="780">
        <f t="shared" si="736"/>
        <v>0</v>
      </c>
      <c r="V111" s="780">
        <f t="shared" si="736"/>
        <v>0</v>
      </c>
      <c r="W111" s="780">
        <f t="shared" si="736"/>
        <v>0</v>
      </c>
      <c r="X111" s="780">
        <f t="shared" si="736"/>
        <v>0</v>
      </c>
      <c r="Y111" s="781">
        <f t="shared" si="736"/>
        <v>0</v>
      </c>
      <c r="Z111" s="782">
        <f t="shared" si="736"/>
        <v>0</v>
      </c>
      <c r="AA111" s="780">
        <f t="shared" si="736"/>
        <v>0</v>
      </c>
      <c r="AB111" s="780">
        <f t="shared" si="736"/>
        <v>0</v>
      </c>
      <c r="AC111" s="780">
        <f t="shared" si="736"/>
        <v>0</v>
      </c>
      <c r="AD111" s="780">
        <f t="shared" si="736"/>
        <v>0</v>
      </c>
      <c r="AE111" s="780">
        <f t="shared" si="736"/>
        <v>0</v>
      </c>
      <c r="AF111" s="780">
        <f t="shared" si="736"/>
        <v>0</v>
      </c>
      <c r="AG111" s="780">
        <f t="shared" si="736"/>
        <v>0</v>
      </c>
      <c r="AH111" s="780">
        <f t="shared" si="736"/>
        <v>0</v>
      </c>
      <c r="AI111" s="780">
        <f t="shared" si="736"/>
        <v>0</v>
      </c>
      <c r="AJ111" s="780">
        <f t="shared" si="736"/>
        <v>0</v>
      </c>
      <c r="AK111" s="781">
        <f t="shared" si="736"/>
        <v>0</v>
      </c>
      <c r="AL111" s="782">
        <f t="shared" si="736"/>
        <v>0</v>
      </c>
      <c r="AM111" s="780">
        <f t="shared" si="736"/>
        <v>0</v>
      </c>
      <c r="AN111" s="780">
        <f t="shared" si="736"/>
        <v>0</v>
      </c>
      <c r="AO111" s="780">
        <f t="shared" si="736"/>
        <v>0</v>
      </c>
      <c r="AP111" s="780">
        <f t="shared" si="736"/>
        <v>0</v>
      </c>
      <c r="AQ111" s="780">
        <f t="shared" si="736"/>
        <v>0</v>
      </c>
      <c r="AR111" s="780">
        <f t="shared" si="736"/>
        <v>0</v>
      </c>
      <c r="AS111" s="780">
        <f t="shared" si="736"/>
        <v>0</v>
      </c>
      <c r="AT111" s="780">
        <f t="shared" si="736"/>
        <v>0</v>
      </c>
      <c r="AU111" s="780">
        <f t="shared" si="736"/>
        <v>0</v>
      </c>
      <c r="AV111" s="780">
        <f t="shared" si="736"/>
        <v>0</v>
      </c>
      <c r="AW111" s="781">
        <f t="shared" si="736"/>
        <v>0</v>
      </c>
      <c r="AX111" s="782">
        <f t="shared" si="736"/>
        <v>0</v>
      </c>
      <c r="AY111" s="780">
        <f t="shared" si="736"/>
        <v>0</v>
      </c>
      <c r="AZ111" s="780">
        <f t="shared" si="736"/>
        <v>0</v>
      </c>
      <c r="BA111" s="780">
        <f t="shared" si="736"/>
        <v>0</v>
      </c>
      <c r="BB111" s="780">
        <f t="shared" si="736"/>
        <v>0</v>
      </c>
      <c r="BC111" s="780">
        <f t="shared" si="736"/>
        <v>0</v>
      </c>
      <c r="BD111" s="780">
        <f t="shared" si="736"/>
        <v>0</v>
      </c>
      <c r="BE111" s="780">
        <f t="shared" si="736"/>
        <v>0</v>
      </c>
      <c r="BF111" s="780">
        <f t="shared" si="736"/>
        <v>0</v>
      </c>
      <c r="BG111" s="780">
        <f t="shared" si="736"/>
        <v>0</v>
      </c>
      <c r="BH111" s="780">
        <f t="shared" si="736"/>
        <v>0</v>
      </c>
      <c r="BI111" s="781">
        <f t="shared" si="736"/>
        <v>0</v>
      </c>
    </row>
    <row r="112" spans="1:61" s="780" customFormat="1" hidden="1" outlineLevel="1">
      <c r="A112" s="780" t="s">
        <v>288</v>
      </c>
      <c r="J112" s="780">
        <f t="shared" ref="J112" si="737">IF($J$5&gt;$I$5,($J$5-$I$5)*B541,0)</f>
        <v>0</v>
      </c>
      <c r="K112" s="780">
        <f t="shared" ref="K112" si="738">IF($J$5&gt;$I$5,($J$5-$I$5)*C541,0)</f>
        <v>0</v>
      </c>
      <c r="L112" s="780">
        <f t="shared" ref="L112" si="739">IF($J$5&gt;$I$5,($J$5-$I$5)*D541,0)</f>
        <v>0</v>
      </c>
      <c r="M112" s="781">
        <f t="shared" ref="M112" si="740">IF($J$5&gt;$I$5,($J$5-$I$5)*E541,0)</f>
        <v>0</v>
      </c>
      <c r="N112" s="782">
        <f t="shared" ref="N112" si="741">IF($J$5&gt;$I$5,($J$5-$I$5)*F541,0)</f>
        <v>0</v>
      </c>
      <c r="O112" s="780">
        <f t="shared" ref="O112" si="742">IF($J$5&gt;$I$5,($J$5-$I$5)*G541,0)</f>
        <v>0</v>
      </c>
      <c r="P112" s="780">
        <f t="shared" ref="P112" si="743">IF($J$5&gt;$I$5,($J$5-$I$5)*H541,0)</f>
        <v>0</v>
      </c>
      <c r="Q112" s="780">
        <f t="shared" ref="Q112" si="744">IF($J$5&gt;$I$5,($J$5-$I$5)*I541,0)</f>
        <v>0</v>
      </c>
      <c r="R112" s="780">
        <f t="shared" ref="R112" si="745">IF($J$5&gt;$I$5,($J$5-$I$5)*J541,0)</f>
        <v>0</v>
      </c>
      <c r="S112" s="780">
        <f t="shared" ref="S112" si="746">IF($J$5&gt;$I$5,($J$5-$I$5)*K541,0)</f>
        <v>0</v>
      </c>
      <c r="T112" s="780">
        <f t="shared" ref="T112" si="747">IF($J$5&gt;$I$5,($J$5-$I$5)*L541,0)</f>
        <v>0</v>
      </c>
      <c r="U112" s="780">
        <f t="shared" ref="U112" si="748">IF($J$5&gt;$I$5,($J$5-$I$5)*M541,0)</f>
        <v>0</v>
      </c>
      <c r="V112" s="780">
        <f t="shared" ref="V112" si="749">IF($J$5&gt;$I$5,($J$5-$I$5)*N541,0)</f>
        <v>0</v>
      </c>
      <c r="W112" s="780">
        <f t="shared" ref="W112" si="750">IF($J$5&gt;$I$5,($J$5-$I$5)*O541,0)</f>
        <v>0</v>
      </c>
      <c r="X112" s="780">
        <f t="shared" ref="X112" si="751">IF($J$5&gt;$I$5,($J$5-$I$5)*P541,0)</f>
        <v>0</v>
      </c>
      <c r="Y112" s="781">
        <f t="shared" ref="Y112" si="752">IF($J$5&gt;$I$5,($J$5-$I$5)*Q541,0)</f>
        <v>0</v>
      </c>
      <c r="Z112" s="782">
        <f t="shared" ref="Z112" si="753">IF($J$5&gt;$I$5,($J$5-$I$5)*R541,0)</f>
        <v>0</v>
      </c>
      <c r="AA112" s="780">
        <f t="shared" ref="AA112" si="754">IF($J$5&gt;$I$5,($J$5-$I$5)*S541,0)</f>
        <v>0</v>
      </c>
      <c r="AB112" s="780">
        <f t="shared" ref="AB112" si="755">IF($J$5&gt;$I$5,($J$5-$I$5)*T541,0)</f>
        <v>0</v>
      </c>
      <c r="AC112" s="780">
        <f t="shared" ref="AC112" si="756">IF($J$5&gt;$I$5,($J$5-$I$5)*U541,0)</f>
        <v>0</v>
      </c>
      <c r="AD112" s="780">
        <f t="shared" ref="AD112" si="757">IF($J$5&gt;$I$5,($J$5-$I$5)*V541,0)</f>
        <v>0</v>
      </c>
      <c r="AE112" s="780">
        <f t="shared" ref="AE112" si="758">IF($J$5&gt;$I$5,($J$5-$I$5)*W541,0)</f>
        <v>0</v>
      </c>
      <c r="AF112" s="780">
        <f t="shared" ref="AF112" si="759">IF($J$5&gt;$I$5,($J$5-$I$5)*X541,0)</f>
        <v>0</v>
      </c>
      <c r="AG112" s="780">
        <f t="shared" ref="AG112" si="760">IF($J$5&gt;$I$5,($J$5-$I$5)*Y541,0)</f>
        <v>0</v>
      </c>
      <c r="AH112" s="780">
        <f t="shared" ref="AH112" si="761">IF($J$5&gt;$I$5,($J$5-$I$5)*Z541,0)</f>
        <v>0</v>
      </c>
      <c r="AI112" s="780">
        <f t="shared" ref="AI112" si="762">IF($J$5&gt;$I$5,($J$5-$I$5)*AA541,0)</f>
        <v>0</v>
      </c>
      <c r="AJ112" s="780">
        <f t="shared" ref="AJ112" si="763">IF($J$5&gt;$I$5,($J$5-$I$5)*AB541,0)</f>
        <v>0</v>
      </c>
      <c r="AK112" s="781">
        <f t="shared" ref="AK112" si="764">IF($J$5&gt;$I$5,($J$5-$I$5)*AC541,0)</f>
        <v>0</v>
      </c>
      <c r="AL112" s="782">
        <f t="shared" ref="AL112" si="765">IF($J$5&gt;$I$5,($J$5-$I$5)*AD541,0)</f>
        <v>0</v>
      </c>
      <c r="AM112" s="780">
        <f t="shared" ref="AM112" si="766">IF($J$5&gt;$I$5,($J$5-$I$5)*AE541,0)</f>
        <v>0</v>
      </c>
      <c r="AN112" s="780">
        <f t="shared" ref="AN112" si="767">IF($J$5&gt;$I$5,($J$5-$I$5)*AF541,0)</f>
        <v>0</v>
      </c>
      <c r="AO112" s="780">
        <f t="shared" ref="AO112" si="768">IF($J$5&gt;$I$5,($J$5-$I$5)*AG541,0)</f>
        <v>0</v>
      </c>
      <c r="AP112" s="780">
        <f t="shared" ref="AP112" si="769">IF($J$5&gt;$I$5,($J$5-$I$5)*AH541,0)</f>
        <v>0</v>
      </c>
      <c r="AQ112" s="780">
        <f t="shared" ref="AQ112" si="770">IF($J$5&gt;$I$5,($J$5-$I$5)*AI541,0)</f>
        <v>0</v>
      </c>
      <c r="AR112" s="780">
        <f t="shared" ref="AR112" si="771">IF($J$5&gt;$I$5,($J$5-$I$5)*AJ541,0)</f>
        <v>0</v>
      </c>
      <c r="AS112" s="780">
        <f t="shared" ref="AS112" si="772">IF($J$5&gt;$I$5,($J$5-$I$5)*AK541,0)</f>
        <v>0</v>
      </c>
      <c r="AT112" s="780">
        <f t="shared" ref="AT112" si="773">IF($J$5&gt;$I$5,($J$5-$I$5)*AL541,0)</f>
        <v>0</v>
      </c>
      <c r="AU112" s="780">
        <f t="shared" ref="AU112" si="774">IF($J$5&gt;$I$5,($J$5-$I$5)*AM541,0)</f>
        <v>0</v>
      </c>
      <c r="AV112" s="780">
        <f t="shared" ref="AV112" si="775">IF($J$5&gt;$I$5,($J$5-$I$5)*AN541,0)</f>
        <v>0</v>
      </c>
      <c r="AW112" s="781">
        <f t="shared" ref="AW112" si="776">IF($J$5&gt;$I$5,($J$5-$I$5)*AO541,0)</f>
        <v>0</v>
      </c>
      <c r="AX112" s="782">
        <f t="shared" ref="AX112" si="777">IF($J$5&gt;$I$5,($J$5-$I$5)*AP541,0)</f>
        <v>0</v>
      </c>
      <c r="AY112" s="780">
        <f t="shared" ref="AY112" si="778">IF($J$5&gt;$I$5,($J$5-$I$5)*AQ541,0)</f>
        <v>0</v>
      </c>
      <c r="AZ112" s="780">
        <f t="shared" ref="AZ112" si="779">IF($J$5&gt;$I$5,($J$5-$I$5)*AR541,0)</f>
        <v>0</v>
      </c>
      <c r="BA112" s="780">
        <f t="shared" ref="BA112" si="780">IF($J$5&gt;$I$5,($J$5-$I$5)*AS541,0)</f>
        <v>0</v>
      </c>
      <c r="BB112" s="780">
        <f t="shared" ref="BB112" si="781">IF($J$5&gt;$I$5,($J$5-$I$5)*AT541,0)</f>
        <v>0</v>
      </c>
      <c r="BC112" s="780">
        <f t="shared" ref="BC112" si="782">IF($J$5&gt;$I$5,($J$5-$I$5)*AU541,0)</f>
        <v>0</v>
      </c>
      <c r="BD112" s="780">
        <f t="shared" ref="BD112" si="783">IF($J$5&gt;$I$5,($J$5-$I$5)*AV541,0)</f>
        <v>0</v>
      </c>
      <c r="BE112" s="780">
        <f t="shared" ref="BE112" si="784">IF($J$5&gt;$I$5,($J$5-$I$5)*AW541,0)</f>
        <v>0</v>
      </c>
      <c r="BF112" s="780">
        <f t="shared" ref="BF112" si="785">IF($J$5&gt;$I$5,($J$5-$I$5)*AX541,0)</f>
        <v>0</v>
      </c>
      <c r="BG112" s="780">
        <f t="shared" ref="BG112" si="786">IF($J$5&gt;$I$5,($J$5-$I$5)*AY541,0)</f>
        <v>0</v>
      </c>
      <c r="BH112" s="780">
        <f t="shared" ref="BH112" si="787">IF($J$5&gt;$I$5,($J$5-$I$5)*AZ541,0)</f>
        <v>0</v>
      </c>
      <c r="BI112" s="781">
        <f t="shared" ref="BI112" si="788">IF($J$5&gt;$I$5,($J$5-$I$5)*BA541,0)</f>
        <v>0</v>
      </c>
    </row>
    <row r="113" spans="1:61" s="780" customFormat="1" hidden="1" outlineLevel="1">
      <c r="M113" s="781"/>
      <c r="N113" s="782"/>
      <c r="Y113" s="781"/>
      <c r="Z113" s="782"/>
      <c r="AK113" s="781"/>
      <c r="AL113" s="782"/>
      <c r="AW113" s="781"/>
      <c r="AX113" s="782"/>
      <c r="BI113" s="781"/>
    </row>
    <row r="114" spans="1:61" s="780" customFormat="1" hidden="1" outlineLevel="1">
      <c r="A114" s="780" t="s">
        <v>359</v>
      </c>
      <c r="K114" s="780">
        <f>IF($K$5&gt;$J$5,($K$5-$J$5)*B535,0)</f>
        <v>8</v>
      </c>
      <c r="L114" s="780">
        <f t="shared" ref="L114" si="789">IF($K$5&gt;$J$5,($K$5-$J$5)*C535,0)</f>
        <v>8.3824000000000005</v>
      </c>
      <c r="M114" s="781">
        <f t="shared" ref="M114" si="790">IF($K$5&gt;$J$5,($K$5-$J$5)*D535,0)</f>
        <v>8.790016102400001</v>
      </c>
      <c r="N114" s="782">
        <f t="shared" ref="N114" si="791">IF($K$5&gt;$J$5,($K$5-$J$5)*E535,0)</f>
        <v>9.2244218586677267</v>
      </c>
      <c r="O114" s="780">
        <f t="shared" ref="O114" si="792">IF($K$5&gt;$J$5,($K$5-$J$5)*F535,0)</f>
        <v>9.6872643857899394</v>
      </c>
      <c r="P114" s="780">
        <f t="shared" ref="P114" si="793">IF($K$5&gt;$J$5,($K$5-$J$5)*G535,0)</f>
        <v>10.180266404063699</v>
      </c>
      <c r="Q114" s="780">
        <f t="shared" ref="Q114" si="794">IF($K$5&gt;$J$5,($K$5-$J$5)*H535,0)</f>
        <v>10.705228286703797</v>
      </c>
      <c r="R114" s="780">
        <f t="shared" ref="R114" si="795">IF($K$5&gt;$J$5,($K$5-$J$5)*I535,0)</f>
        <v>11.264030122404236</v>
      </c>
      <c r="S114" s="780">
        <f t="shared" ref="S114" si="796">IF($K$5&gt;$J$5,($K$5-$J$5)*J535,0)</f>
        <v>11.858633792363815</v>
      </c>
      <c r="T114" s="780">
        <f t="shared" ref="T114" si="797">IF($K$5&gt;$J$5,($K$5-$J$5)*K535,0)</f>
        <v>12.491085063681208</v>
      </c>
      <c r="U114" s="780">
        <f t="shared" ref="U114" si="798">IF($K$5&gt;$J$5,($K$5-$J$5)*L535,0)</f>
        <v>13.163515701442698</v>
      </c>
      <c r="V114" s="780">
        <f t="shared" ref="V114" si="799">IF($K$5&gt;$J$5,($K$5-$J$5)*M535,0)</f>
        <v>13.878145602265221</v>
      </c>
      <c r="W114" s="780">
        <f t="shared" ref="W114" si="800">IF($K$5&gt;$J$5,($K$5-$J$5)*N535,0)</f>
        <v>14.640802427106802</v>
      </c>
      <c r="X114" s="780">
        <f t="shared" ref="X114" si="801">IF($K$5&gt;$J$5,($K$5-$J$5)*O535,0)</f>
        <v>15.454179973028484</v>
      </c>
      <c r="Y114" s="781">
        <f t="shared" ref="Y114" si="802">IF($K$5&gt;$J$5,($K$5-$J$5)*P535,0)</f>
        <v>16.321067007803048</v>
      </c>
      <c r="Z114" s="782">
        <f t="shared" ref="Z114" si="803">IF($K$5&gt;$J$5,($K$5-$J$5)*Q535,0)</f>
        <v>17.244348126107901</v>
      </c>
      <c r="AA114" s="780">
        <f t="shared" ref="AA114" si="804">IF($K$5&gt;$J$5,($K$5-$J$5)*R535,0)</f>
        <v>18.227004594103096</v>
      </c>
      <c r="AB114" s="780">
        <f t="shared" ref="AB114" si="805">IF($K$5&gt;$J$5,($K$5-$J$5)*S535,0)</f>
        <v>19.272115194972702</v>
      </c>
      <c r="AC114" s="780">
        <f t="shared" ref="AC114" si="806">IF($K$5&gt;$J$5,($K$5-$J$5)*T535,0)</f>
        <v>20.382857089151276</v>
      </c>
      <c r="AD114" s="780">
        <f t="shared" ref="AD114" si="807">IF($K$5&gt;$J$5,($K$5-$J$5)*U535,0)</f>
        <v>21.56250670407784</v>
      </c>
      <c r="AE114" s="780">
        <f t="shared" ref="AE114" si="808">IF($K$5&gt;$J$5,($K$5-$J$5)*V535,0)</f>
        <v>22.814440669410335</v>
      </c>
      <c r="AF114" s="780">
        <f t="shared" ref="AF114" si="809">IF($K$5&gt;$J$5,($K$5-$J$5)*W535,0)</f>
        <v>24.142136814686012</v>
      </c>
      <c r="AG114" s="780">
        <f t="shared" ref="AG114" si="810">IF($K$5&gt;$J$5,($K$5-$J$5)*X535,0)</f>
        <v>25.549175247421399</v>
      </c>
      <c r="AH114" s="780">
        <f t="shared" ref="AH114" si="811">IF($K$5&gt;$J$5,($K$5-$J$5)*Y535,0)</f>
        <v>27.039239530601542</v>
      </c>
      <c r="AI114" s="780">
        <f t="shared" ref="AI114" si="812">IF($K$5&gt;$J$5,($K$5-$J$5)*Z535,0)</f>
        <v>28.620747034243404</v>
      </c>
      <c r="AJ114" s="780">
        <f t="shared" ref="AJ114" si="813">IF($K$5&gt;$J$5,($K$5-$J$5)*AA535,0)</f>
        <v>30.297832899152603</v>
      </c>
      <c r="AK114" s="781">
        <f t="shared" ref="AK114" si="814">IF($K$5&gt;$J$5,($K$5-$J$5)*AB535,0)</f>
        <v>32.074721942842451</v>
      </c>
      <c r="AL114" s="782">
        <f t="shared" ref="AL114" si="815">IF($K$5&gt;$J$5,($K$5-$J$5)*AC535,0)</f>
        <v>33.955728473829772</v>
      </c>
      <c r="AM114" s="780">
        <f t="shared" ref="AM114" si="816">IF($K$5&gt;$J$5,($K$5-$J$5)*AD535,0)</f>
        <v>35.945256397317038</v>
      </c>
      <c r="AN114" s="780">
        <f t="shared" ref="AN114" si="817">IF($K$5&gt;$J$5,($K$5-$J$5)*AE535,0)</f>
        <v>38.047799652671507</v>
      </c>
      <c r="AO114" s="780">
        <f t="shared" ref="AO114" si="818">IF($K$5&gt;$J$5,($K$5-$J$5)*AF535,0)</f>
        <v>40.267943023083284</v>
      </c>
      <c r="AP114" s="780">
        <f t="shared" ref="AP114" si="819">IF($K$5&gt;$J$5,($K$5-$J$5)*AG535,0)</f>
        <v>42.61036335749322</v>
      </c>
      <c r="AQ114" s="780">
        <f t="shared" ref="AQ114" si="820">IF($K$5&gt;$J$5,($K$5-$J$5)*AH535,0)</f>
        <v>45.079831244328588</v>
      </c>
      <c r="AR114" s="780">
        <f t="shared" ref="AR114" si="821">IF($K$5&gt;$J$5,($K$5-$J$5)*AI535,0)</f>
        <v>47.68121317577463</v>
      </c>
      <c r="AS114" s="780">
        <f t="shared" ref="AS114" si="822">IF($K$5&gt;$J$5,($K$5-$J$5)*AJ535,0)</f>
        <v>50.419474240248832</v>
      </c>
      <c r="AT114" s="780">
        <f t="shared" ref="AT114" si="823">IF($K$5&gt;$J$5,($K$5-$J$5)*AK535,0)</f>
        <v>53.299681379443584</v>
      </c>
      <c r="AU114" s="780">
        <f t="shared" ref="AU114" si="824">IF($K$5&gt;$J$5,($K$5-$J$5)*AL535,0)</f>
        <v>56.327007244772894</v>
      </c>
      <c r="AV114" s="780">
        <f t="shared" ref="AV114" si="825">IF($K$5&gt;$J$5,($K$5-$J$5)*AM535,0)</f>
        <v>59.506734686316534</v>
      </c>
      <c r="AW114" s="781">
        <f t="shared" ref="AW114" si="826">IF($K$5&gt;$J$5,($K$5-$J$5)*AN535,0)</f>
        <v>62.844261905417305</v>
      </c>
      <c r="AX114" s="782">
        <f t="shared" ref="AX114" si="827">IF($K$5&gt;$J$5,($K$5-$J$5)*AO535,0)</f>
        <v>66.345108299975465</v>
      </c>
      <c r="AY114" s="780">
        <f t="shared" ref="AY114" si="828">IF($K$5&gt;$J$5,($K$5-$J$5)*AP535,0)</f>
        <v>70.014921029220602</v>
      </c>
      <c r="AZ114" s="780">
        <f t="shared" ref="AZ114" si="829">IF($K$5&gt;$J$5,($K$5-$J$5)*AQ535,0)</f>
        <v>73.859482322350189</v>
      </c>
      <c r="BA114" s="780">
        <f t="shared" ref="BA114" si="830">IF($K$5&gt;$J$5,($K$5-$J$5)*AR535,0)</f>
        <v>77.884717552932145</v>
      </c>
      <c r="BB114" s="780">
        <f t="shared" ref="BB114" si="831">IF($K$5&gt;$J$5,($K$5-$J$5)*AS535,0)</f>
        <v>82.096704098404587</v>
      </c>
      <c r="BC114" s="780">
        <f t="shared" ref="BC114" si="832">IF($K$5&gt;$J$5,($K$5-$J$5)*AT535,0)</f>
        <v>86.50168100139652</v>
      </c>
      <c r="BD114" s="780">
        <f t="shared" ref="BD114" si="833">IF($K$5&gt;$J$5,($K$5-$J$5)*AU535,0)</f>
        <v>91.106059446971614</v>
      </c>
      <c r="BE114" s="780">
        <f t="shared" ref="BE114" si="834">IF($K$5&gt;$J$5,($K$5-$J$5)*AV535,0)</f>
        <v>95.916434067290723</v>
      </c>
      <c r="BF114" s="780">
        <f t="shared" ref="BF114" si="835">IF($K$5&gt;$J$5,($K$5-$J$5)*AW535,0)</f>
        <v>100.93959508263039</v>
      </c>
      <c r="BG114" s="780">
        <f t="shared" ref="BG114" si="836">IF($K$5&gt;$J$5,($K$5-$J$5)*AX535,0)</f>
        <v>106.18254128521424</v>
      </c>
      <c r="BH114" s="780">
        <f t="shared" ref="BH114" si="837">IF($K$5&gt;$J$5,($K$5-$J$5)*AY535,0)</f>
        <v>111.652493869941</v>
      </c>
      <c r="BI114" s="781">
        <f t="shared" ref="BI114" si="838">IF($K$5&gt;$J$5,($K$5-$J$5)*AZ535,0)</f>
        <v>117.35691111385803</v>
      </c>
    </row>
    <row r="115" spans="1:61" s="780" customFormat="1" hidden="1" outlineLevel="1">
      <c r="A115" s="780" t="str">
        <f>$A$536</f>
        <v>Leads</v>
      </c>
      <c r="K115" s="780">
        <f>IF($K$5&gt;$J$5,($K$5-$J$5)*B536,0)</f>
        <v>20</v>
      </c>
      <c r="L115" s="780">
        <f t="shared" ref="L115:BI115" si="839">IF($K$5&gt;$J$5,($K$5-$J$5)*C536,0)</f>
        <v>20.8</v>
      </c>
      <c r="M115" s="781">
        <f t="shared" si="839"/>
        <v>21.632000000000001</v>
      </c>
      <c r="N115" s="782">
        <f t="shared" si="839"/>
        <v>22.497280000000003</v>
      </c>
      <c r="O115" s="780">
        <f t="shared" si="839"/>
        <v>23.397171200000006</v>
      </c>
      <c r="P115" s="780">
        <f t="shared" si="839"/>
        <v>24.333058048000009</v>
      </c>
      <c r="Q115" s="780">
        <f t="shared" si="839"/>
        <v>25.30638036992001</v>
      </c>
      <c r="R115" s="780">
        <f t="shared" si="839"/>
        <v>26.318635584716812</v>
      </c>
      <c r="S115" s="780">
        <f t="shared" si="839"/>
        <v>27.371381008105487</v>
      </c>
      <c r="T115" s="780">
        <f t="shared" si="839"/>
        <v>28.466236248429709</v>
      </c>
      <c r="U115" s="780">
        <f t="shared" si="839"/>
        <v>29.6048856983669</v>
      </c>
      <c r="V115" s="780">
        <f t="shared" si="839"/>
        <v>30.789081126301578</v>
      </c>
      <c r="W115" s="780">
        <f t="shared" si="839"/>
        <v>32.02064437135364</v>
      </c>
      <c r="X115" s="780">
        <f t="shared" si="839"/>
        <v>33.301470146207784</v>
      </c>
      <c r="Y115" s="781">
        <f t="shared" si="839"/>
        <v>34.633528952056096</v>
      </c>
      <c r="Z115" s="782">
        <f t="shared" si="839"/>
        <v>36.018870110138344</v>
      </c>
      <c r="AA115" s="780">
        <f t="shared" si="839"/>
        <v>37.45962491454388</v>
      </c>
      <c r="AB115" s="780">
        <f t="shared" si="839"/>
        <v>38.958009911125636</v>
      </c>
      <c r="AC115" s="780">
        <f t="shared" si="839"/>
        <v>40.516330307570662</v>
      </c>
      <c r="AD115" s="780">
        <f t="shared" si="839"/>
        <v>42.136983519873489</v>
      </c>
      <c r="AE115" s="780">
        <f t="shared" si="839"/>
        <v>43.822462860668423</v>
      </c>
      <c r="AF115" s="780">
        <f t="shared" si="839"/>
        <v>45.57536137509517</v>
      </c>
      <c r="AG115" s="780">
        <f t="shared" si="839"/>
        <v>47.398375830098978</v>
      </c>
      <c r="AH115" s="780">
        <f t="shared" si="839"/>
        <v>49.29431086330294</v>
      </c>
      <c r="AI115" s="780">
        <f t="shared" si="839"/>
        <v>51.26608329783506</v>
      </c>
      <c r="AJ115" s="780">
        <f t="shared" si="839"/>
        <v>53.316726629748466</v>
      </c>
      <c r="AK115" s="781">
        <f t="shared" si="839"/>
        <v>55.44939569493841</v>
      </c>
      <c r="AL115" s="782">
        <f t="shared" si="839"/>
        <v>57.667371522735948</v>
      </c>
      <c r="AM115" s="780">
        <f t="shared" si="839"/>
        <v>59.974066383645386</v>
      </c>
      <c r="AN115" s="780">
        <f t="shared" si="839"/>
        <v>62.373029038991206</v>
      </c>
      <c r="AO115" s="780">
        <f t="shared" si="839"/>
        <v>64.867950200550851</v>
      </c>
      <c r="AP115" s="780">
        <f t="shared" si="839"/>
        <v>67.462668208572893</v>
      </c>
      <c r="AQ115" s="780">
        <f t="shared" si="839"/>
        <v>70.161174936915813</v>
      </c>
      <c r="AR115" s="780">
        <f t="shared" si="839"/>
        <v>72.967621934392454</v>
      </c>
      <c r="AS115" s="780">
        <f t="shared" si="839"/>
        <v>75.886326811768157</v>
      </c>
      <c r="AT115" s="780">
        <f t="shared" si="839"/>
        <v>78.921779884238887</v>
      </c>
      <c r="AU115" s="780">
        <f t="shared" si="839"/>
        <v>82.078651079608449</v>
      </c>
      <c r="AV115" s="780">
        <f t="shared" si="839"/>
        <v>85.361797122792794</v>
      </c>
      <c r="AW115" s="781">
        <f t="shared" si="839"/>
        <v>88.776269007704514</v>
      </c>
      <c r="AX115" s="782">
        <f t="shared" si="839"/>
        <v>92.3273197680127</v>
      </c>
      <c r="AY115" s="780">
        <f t="shared" si="839"/>
        <v>96.020412558733199</v>
      </c>
      <c r="AZ115" s="780">
        <f t="shared" si="839"/>
        <v>99.86122906108254</v>
      </c>
      <c r="BA115" s="780">
        <f t="shared" si="839"/>
        <v>103.85567822352584</v>
      </c>
      <c r="BB115" s="780">
        <f t="shared" si="839"/>
        <v>108.00990535246689</v>
      </c>
      <c r="BC115" s="780">
        <f t="shared" si="839"/>
        <v>112.33030156656557</v>
      </c>
      <c r="BD115" s="780">
        <f t="shared" si="839"/>
        <v>116.82351362922816</v>
      </c>
      <c r="BE115" s="780">
        <f t="shared" si="839"/>
        <v>121.4964541743973</v>
      </c>
      <c r="BF115" s="780">
        <f t="shared" si="839"/>
        <v>126.3563123413732</v>
      </c>
      <c r="BG115" s="780">
        <f t="shared" si="839"/>
        <v>131.41056483502814</v>
      </c>
      <c r="BH115" s="780">
        <f t="shared" si="839"/>
        <v>136.66698742842928</v>
      </c>
      <c r="BI115" s="781">
        <f t="shared" si="839"/>
        <v>142.13366692556644</v>
      </c>
    </row>
    <row r="116" spans="1:61" s="780" customFormat="1" hidden="1" outlineLevel="1">
      <c r="A116" s="780" t="str">
        <f>$A$537</f>
        <v>Audits</v>
      </c>
      <c r="K116" s="780">
        <f t="shared" ref="K116:BI116" si="840">IF($K$5&gt;$J$5,($K$5-$J$5)*B537,0)</f>
        <v>7.8466960352422905</v>
      </c>
      <c r="L116" s="780">
        <f t="shared" si="840"/>
        <v>8.1805560257268723</v>
      </c>
      <c r="M116" s="781">
        <f t="shared" si="840"/>
        <v>8.556158139083367</v>
      </c>
      <c r="N116" s="782">
        <f t="shared" si="840"/>
        <v>8.9523024684242678</v>
      </c>
      <c r="O116" s="780">
        <f t="shared" si="840"/>
        <v>9.3702787716763911</v>
      </c>
      <c r="P116" s="780">
        <f t="shared" si="840"/>
        <v>9.811453812672589</v>
      </c>
      <c r="Q116" s="780">
        <f t="shared" si="840"/>
        <v>10.277273093546537</v>
      </c>
      <c r="R116" s="780">
        <f t="shared" si="840"/>
        <v>10.769262132442826</v>
      </c>
      <c r="S116" s="780">
        <f t="shared" si="840"/>
        <v>11.289027268145146</v>
      </c>
      <c r="T116" s="780">
        <f t="shared" si="840"/>
        <v>11.838255995812663</v>
      </c>
      <c r="U116" s="780">
        <f t="shared" si="840"/>
        <v>12.418716863200714</v>
      </c>
      <c r="V116" s="780">
        <f t="shared" si="840"/>
        <v>13.032258982971491</v>
      </c>
      <c r="W116" s="780">
        <f t="shared" si="840"/>
        <v>13.681748513642187</v>
      </c>
      <c r="X116" s="780">
        <f t="shared" si="840"/>
        <v>14.367753613373562</v>
      </c>
      <c r="Y116" s="781">
        <f t="shared" si="840"/>
        <v>15.094450719778326</v>
      </c>
      <c r="Z116" s="782">
        <f t="shared" si="840"/>
        <v>15.864274704794562</v>
      </c>
      <c r="AA116" s="780">
        <f t="shared" si="840"/>
        <v>16.679756380011042</v>
      </c>
      <c r="AB116" s="780">
        <f t="shared" si="840"/>
        <v>17.543519083999907</v>
      </c>
      <c r="AC116" s="780">
        <f t="shared" si="840"/>
        <v>18.458274953232511</v>
      </c>
      <c r="AD116" s="780">
        <f t="shared" si="840"/>
        <v>19.426821075192013</v>
      </c>
      <c r="AE116" s="780">
        <f t="shared" si="840"/>
        <v>20.452035738521069</v>
      </c>
      <c r="AF116" s="780">
        <f t="shared" si="840"/>
        <v>21.536874999893016</v>
      </c>
      <c r="AG116" s="780">
        <f t="shared" si="840"/>
        <v>22.68436978011453</v>
      </c>
      <c r="AH116" s="780">
        <f t="shared" si="840"/>
        <v>23.897623683136111</v>
      </c>
      <c r="AI116" s="780">
        <f t="shared" si="840"/>
        <v>25.181305860088621</v>
      </c>
      <c r="AJ116" s="780">
        <f t="shared" si="840"/>
        <v>26.509539923847804</v>
      </c>
      <c r="AK116" s="781">
        <f t="shared" si="840"/>
        <v>27.911267150389076</v>
      </c>
      <c r="AL116" s="782">
        <f t="shared" si="840"/>
        <v>29.389855755030599</v>
      </c>
      <c r="AM116" s="780">
        <f t="shared" si="840"/>
        <v>30.948754132327405</v>
      </c>
      <c r="AN116" s="780">
        <f t="shared" si="840"/>
        <v>32.591491812026852</v>
      </c>
      <c r="AO116" s="780">
        <f t="shared" si="840"/>
        <v>34.321681088998503</v>
      </c>
      <c r="AP116" s="780">
        <f t="shared" si="840"/>
        <v>36.143019351142293</v>
      </c>
      <c r="AQ116" s="780">
        <f t="shared" si="840"/>
        <v>38.059292115999952</v>
      </c>
      <c r="AR116" s="780">
        <f t="shared" si="840"/>
        <v>40.074376775040108</v>
      </c>
      <c r="AS116" s="780">
        <f t="shared" si="840"/>
        <v>42.192247034738458</v>
      </c>
      <c r="AT116" s="780">
        <f t="shared" si="840"/>
        <v>44.416978035864261</v>
      </c>
      <c r="AU116" s="780">
        <f t="shared" si="840"/>
        <v>46.752752126886328</v>
      </c>
      <c r="AV116" s="780">
        <f t="shared" si="840"/>
        <v>49.082921316266599</v>
      </c>
      <c r="AW116" s="781">
        <f t="shared" si="840"/>
        <v>51.522543979321924</v>
      </c>
      <c r="AX116" s="782">
        <f t="shared" si="840"/>
        <v>54.075800070640085</v>
      </c>
      <c r="AY116" s="780">
        <f t="shared" si="840"/>
        <v>56.746994933802739</v>
      </c>
      <c r="AZ116" s="780">
        <f t="shared" si="840"/>
        <v>59.54056513100376</v>
      </c>
      <c r="BA116" s="780">
        <f t="shared" si="840"/>
        <v>62.461084744125536</v>
      </c>
      <c r="BB116" s="780">
        <f t="shared" si="840"/>
        <v>65.513272160718657</v>
      </c>
      <c r="BC116" s="780">
        <f t="shared" si="840"/>
        <v>68.701997357177731</v>
      </c>
      <c r="BD116" s="780">
        <f t="shared" si="840"/>
        <v>72.032289690276642</v>
      </c>
      <c r="BE116" s="780">
        <f t="shared" si="840"/>
        <v>75.509346207129425</v>
      </c>
      <c r="BF116" s="780">
        <f t="shared" si="840"/>
        <v>79.138540482595928</v>
      </c>
      <c r="BG116" s="780">
        <f t="shared" si="840"/>
        <v>82.925431992167518</v>
      </c>
      <c r="BH116" s="780">
        <f t="shared" si="840"/>
        <v>86.935804010940174</v>
      </c>
      <c r="BI116" s="781">
        <f t="shared" si="840"/>
        <v>91.123783284069106</v>
      </c>
    </row>
    <row r="117" spans="1:61" s="780" customFormat="1" hidden="1" outlineLevel="1">
      <c r="A117" s="780" t="str">
        <f>$A$538</f>
        <v>Retrofit</v>
      </c>
      <c r="K117" s="780">
        <f t="shared" ref="K117:BI117" si="841">IF($K$5&gt;$J$5,($K$5-$J$5)*B538,0)</f>
        <v>3.2741145374449339</v>
      </c>
      <c r="L117" s="780">
        <f t="shared" si="841"/>
        <v>3.4211429613668018</v>
      </c>
      <c r="M117" s="781">
        <f t="shared" si="841"/>
        <v>3.6089747928733105</v>
      </c>
      <c r="N117" s="782">
        <f t="shared" si="841"/>
        <v>3.80943356172375</v>
      </c>
      <c r="O117" s="780">
        <f t="shared" si="841"/>
        <v>4.023495407635</v>
      </c>
      <c r="P117" s="780">
        <f t="shared" si="841"/>
        <v>4.2522035025469851</v>
      </c>
      <c r="Q117" s="780">
        <f t="shared" si="841"/>
        <v>4.4966691121698661</v>
      </c>
      <c r="R117" s="780">
        <f t="shared" si="841"/>
        <v>4.7580720961942786</v>
      </c>
      <c r="S117" s="780">
        <f t="shared" si="841"/>
        <v>5.0376608331454982</v>
      </c>
      <c r="T117" s="780">
        <f t="shared" si="841"/>
        <v>5.3367515834608863</v>
      </c>
      <c r="U117" s="780">
        <f t="shared" si="841"/>
        <v>5.6567273345837759</v>
      </c>
      <c r="V117" s="780">
        <f t="shared" si="841"/>
        <v>5.9990362027609887</v>
      </c>
      <c r="W117" s="780">
        <f t="shared" si="841"/>
        <v>6.3656710756275423</v>
      </c>
      <c r="X117" s="780">
        <f t="shared" si="841"/>
        <v>6.7527905497767229</v>
      </c>
      <c r="Y117" s="781">
        <f t="shared" si="841"/>
        <v>7.1679946156961591</v>
      </c>
      <c r="Z117" s="782">
        <f t="shared" si="841"/>
        <v>7.6132687220703144</v>
      </c>
      <c r="AA117" s="780">
        <f t="shared" si="841"/>
        <v>8.0906802436821312</v>
      </c>
      <c r="AB117" s="780">
        <f t="shared" si="841"/>
        <v>8.6023733713231554</v>
      </c>
      <c r="AC117" s="780">
        <f t="shared" si="841"/>
        <v>9.1505635635964193</v>
      </c>
      <c r="AD117" s="780">
        <f t="shared" si="841"/>
        <v>9.7375318038296879</v>
      </c>
      <c r="AE117" s="780">
        <f t="shared" si="841"/>
        <v>10.365618926205418</v>
      </c>
      <c r="AF117" s="780">
        <f t="shared" si="841"/>
        <v>11.037220281947453</v>
      </c>
      <c r="AG117" s="780">
        <f t="shared" si="841"/>
        <v>11.754781008099396</v>
      </c>
      <c r="AH117" s="780">
        <f t="shared" si="841"/>
        <v>12.520792138493604</v>
      </c>
      <c r="AI117" s="780">
        <f t="shared" si="841"/>
        <v>13.338724403473293</v>
      </c>
      <c r="AJ117" s="780">
        <f t="shared" si="841"/>
        <v>14.173899457244383</v>
      </c>
      <c r="AK117" s="781">
        <f t="shared" si="841"/>
        <v>15.06160093928195</v>
      </c>
      <c r="AL117" s="782">
        <f t="shared" si="841"/>
        <v>16.004396182835173</v>
      </c>
      <c r="AM117" s="780">
        <f t="shared" si="841"/>
        <v>17.004903510314108</v>
      </c>
      <c r="AN117" s="780">
        <f t="shared" si="841"/>
        <v>18.065792108500531</v>
      </c>
      <c r="AO117" s="780">
        <f t="shared" si="841"/>
        <v>19.189782637475492</v>
      </c>
      <c r="AP117" s="780">
        <f t="shared" si="841"/>
        <v>20.379648596658086</v>
      </c>
      <c r="AQ117" s="780">
        <f t="shared" si="841"/>
        <v>21.638218454438508</v>
      </c>
      <c r="AR117" s="780">
        <f t="shared" si="841"/>
        <v>22.968378532837651</v>
      </c>
      <c r="AS117" s="780">
        <f t="shared" si="841"/>
        <v>24.373076625940293</v>
      </c>
      <c r="AT117" s="780">
        <f t="shared" si="841"/>
        <v>25.855326320842856</v>
      </c>
      <c r="AU117" s="780">
        <f t="shared" si="841"/>
        <v>27.418211982649215</v>
      </c>
      <c r="AV117" s="780">
        <f t="shared" si="841"/>
        <v>28.912823637439345</v>
      </c>
      <c r="AW117" s="781">
        <f t="shared" si="841"/>
        <v>30.481264211401022</v>
      </c>
      <c r="AX117" s="782">
        <f t="shared" si="841"/>
        <v>32.126375520474461</v>
      </c>
      <c r="AY117" s="780">
        <f t="shared" si="841"/>
        <v>33.851080131654975</v>
      </c>
      <c r="AZ117" s="780">
        <f t="shared" si="841"/>
        <v>35.658385333026132</v>
      </c>
      <c r="BA117" s="780">
        <f t="shared" si="841"/>
        <v>37.551387467022387</v>
      </c>
      <c r="BB117" s="780">
        <f t="shared" si="841"/>
        <v>39.533276635822467</v>
      </c>
      <c r="BC117" s="780">
        <f t="shared" si="841"/>
        <v>41.60734178665394</v>
      </c>
      <c r="BD117" s="780">
        <f t="shared" si="841"/>
        <v>43.776976183702011</v>
      </c>
      <c r="BE117" s="780">
        <f t="shared" si="841"/>
        <v>46.045683272271312</v>
      </c>
      <c r="BF117" s="780">
        <f t="shared" si="841"/>
        <v>48.41708293986165</v>
      </c>
      <c r="BG117" s="780">
        <f t="shared" si="841"/>
        <v>50.89491817790028</v>
      </c>
      <c r="BH117" s="780">
        <f t="shared" si="841"/>
        <v>53.556983193725586</v>
      </c>
      <c r="BI117" s="781">
        <f t="shared" si="841"/>
        <v>56.343717835443009</v>
      </c>
    </row>
    <row r="118" spans="1:61" s="780" customFormat="1" hidden="1" outlineLevel="1">
      <c r="A118" s="780" t="str">
        <f>$A$539</f>
        <v>Revenue</v>
      </c>
      <c r="K118" s="780">
        <f t="shared" ref="K118:BI118" si="842">IF($K$5&gt;$J$5,($K$5-$J$5)*B539,0)</f>
        <v>20728.933920704847</v>
      </c>
      <c r="L118" s="780">
        <f t="shared" si="842"/>
        <v>22334.796424579898</v>
      </c>
      <c r="M118" s="781">
        <f t="shared" si="842"/>
        <v>24261.379157843236</v>
      </c>
      <c r="N118" s="782">
        <f t="shared" si="842"/>
        <v>27109.041527058151</v>
      </c>
      <c r="O118" s="780">
        <f t="shared" si="842"/>
        <v>29411.012063918617</v>
      </c>
      <c r="P118" s="780">
        <f t="shared" si="842"/>
        <v>31904.731979940196</v>
      </c>
      <c r="Q118" s="780">
        <f t="shared" si="842"/>
        <v>34157.516935543477</v>
      </c>
      <c r="R118" s="780">
        <f t="shared" si="842"/>
        <v>36585.144030160183</v>
      </c>
      <c r="S118" s="780">
        <f t="shared" si="842"/>
        <v>39202.024549786183</v>
      </c>
      <c r="T118" s="780">
        <f t="shared" si="842"/>
        <v>41489.907780370268</v>
      </c>
      <c r="U118" s="780">
        <f t="shared" si="842"/>
        <v>43934.936399734994</v>
      </c>
      <c r="V118" s="780">
        <f t="shared" si="842"/>
        <v>46547.932291314006</v>
      </c>
      <c r="W118" s="780">
        <f t="shared" si="842"/>
        <v>48812.622611071754</v>
      </c>
      <c r="X118" s="780">
        <f t="shared" si="842"/>
        <v>51746.745047763237</v>
      </c>
      <c r="Y118" s="781">
        <f t="shared" si="842"/>
        <v>54891.491572423707</v>
      </c>
      <c r="Z118" s="782">
        <f t="shared" si="842"/>
        <v>58261.704056497998</v>
      </c>
      <c r="AA118" s="780">
        <f t="shared" si="842"/>
        <v>61872.837706819933</v>
      </c>
      <c r="AB118" s="780">
        <f t="shared" si="842"/>
        <v>65740.922877654608</v>
      </c>
      <c r="AC118" s="780">
        <f t="shared" si="842"/>
        <v>69882.52360507095</v>
      </c>
      <c r="AD118" s="780">
        <f t="shared" si="842"/>
        <v>74314.694687467563</v>
      </c>
      <c r="AE118" s="780">
        <f t="shared" si="842"/>
        <v>79054.939292696072</v>
      </c>
      <c r="AF118" s="780">
        <f t="shared" si="842"/>
        <v>84121.169122674793</v>
      </c>
      <c r="AG118" s="780">
        <f t="shared" si="842"/>
        <v>89531.669104034416</v>
      </c>
      <c r="AH118" s="780">
        <f t="shared" si="842"/>
        <v>95305.068401244935</v>
      </c>
      <c r="AI118" s="780">
        <f t="shared" si="842"/>
        <v>101467.05911812153</v>
      </c>
      <c r="AJ118" s="780">
        <f t="shared" si="842"/>
        <v>107757.45533319093</v>
      </c>
      <c r="AK118" s="781">
        <f t="shared" si="842"/>
        <v>114440.84237520174</v>
      </c>
      <c r="AL118" s="782">
        <f t="shared" si="842"/>
        <v>121536.40957263115</v>
      </c>
      <c r="AM118" s="780">
        <f t="shared" si="842"/>
        <v>129063.73094559579</v>
      </c>
      <c r="AN118" s="780">
        <f t="shared" si="842"/>
        <v>137042.76458890198</v>
      </c>
      <c r="AO118" s="780">
        <f t="shared" si="842"/>
        <v>145493.85755130055</v>
      </c>
      <c r="AP118" s="780">
        <f t="shared" si="842"/>
        <v>154437.75638435522</v>
      </c>
      <c r="AQ118" s="780">
        <f t="shared" si="842"/>
        <v>163895.6234075159</v>
      </c>
      <c r="AR118" s="780">
        <f t="shared" si="842"/>
        <v>173889.05862314338</v>
      </c>
      <c r="AS118" s="780">
        <f t="shared" si="842"/>
        <v>184440.12712015139</v>
      </c>
      <c r="AT118" s="780">
        <f t="shared" si="842"/>
        <v>195571.39172995961</v>
      </c>
      <c r="AU118" s="780">
        <f t="shared" si="842"/>
        <v>207305.95064449144</v>
      </c>
      <c r="AV118" s="780">
        <f t="shared" si="842"/>
        <v>218526.82830504962</v>
      </c>
      <c r="AW118" s="781">
        <f t="shared" si="842"/>
        <v>230299.88241457404</v>
      </c>
      <c r="AX118" s="782">
        <f t="shared" si="842"/>
        <v>242646.40643380623</v>
      </c>
      <c r="AY118" s="780">
        <f t="shared" si="842"/>
        <v>255588.30467884589</v>
      </c>
      <c r="AZ118" s="780">
        <f t="shared" si="842"/>
        <v>269148.12221054058</v>
      </c>
      <c r="BA118" s="780">
        <f t="shared" si="842"/>
        <v>283349.07742205792</v>
      </c>
      <c r="BB118" s="780">
        <f t="shared" si="842"/>
        <v>298215.09739075514</v>
      </c>
      <c r="BC118" s="780">
        <f t="shared" si="842"/>
        <v>313770.85605224856</v>
      </c>
      <c r="BD118" s="780">
        <f t="shared" si="842"/>
        <v>330041.81524662836</v>
      </c>
      <c r="BE118" s="780">
        <f t="shared" si="842"/>
        <v>347054.26867913263</v>
      </c>
      <c r="BF118" s="780">
        <f t="shared" si="842"/>
        <v>364835.38883039018</v>
      </c>
      <c r="BG118" s="780">
        <f t="shared" si="842"/>
        <v>383413.276844654</v>
      </c>
      <c r="BH118" s="780">
        <f t="shared" si="842"/>
        <v>403371.48329652392</v>
      </c>
      <c r="BI118" s="781">
        <f t="shared" si="842"/>
        <v>424263.29435980099</v>
      </c>
    </row>
    <row r="119" spans="1:61" s="780" customFormat="1" hidden="1" outlineLevel="1">
      <c r="A119" s="780" t="str">
        <f>$A$540</f>
        <v>Net Income</v>
      </c>
      <c r="K119" s="780">
        <f t="shared" ref="K119:BI119" si="843">IF($K$5&gt;$J$5,($K$5-$J$5)*B540,0)</f>
        <v>-33184.964170807638</v>
      </c>
      <c r="L119" s="780">
        <f t="shared" si="843"/>
        <v>-14837.14568100147</v>
      </c>
      <c r="M119" s="781">
        <f t="shared" si="843"/>
        <v>-14268.717003781454</v>
      </c>
      <c r="N119" s="782">
        <f t="shared" si="843"/>
        <v>-13405.013342705901</v>
      </c>
      <c r="O119" s="780">
        <f t="shared" si="843"/>
        <v>-12685.072540306182</v>
      </c>
      <c r="P119" s="780">
        <f t="shared" si="843"/>
        <v>-17604.404805924125</v>
      </c>
      <c r="Q119" s="780">
        <f t="shared" si="843"/>
        <v>-15156.124616524507</v>
      </c>
      <c r="R119" s="780">
        <f t="shared" si="843"/>
        <v>-13971.31609512752</v>
      </c>
      <c r="S119" s="780">
        <f t="shared" si="843"/>
        <v>-13027.555718246989</v>
      </c>
      <c r="T119" s="780">
        <f t="shared" si="843"/>
        <v>-12167.444211420123</v>
      </c>
      <c r="U119" s="780">
        <f t="shared" si="843"/>
        <v>-11228.257793696379</v>
      </c>
      <c r="V119" s="780">
        <f t="shared" si="843"/>
        <v>-10203.756141625032</v>
      </c>
      <c r="W119" s="780">
        <f t="shared" si="843"/>
        <v>-8928.9645055486872</v>
      </c>
      <c r="X119" s="780">
        <f t="shared" si="843"/>
        <v>-6565.2951604608934</v>
      </c>
      <c r="Y119" s="781">
        <f t="shared" si="843"/>
        <v>-7951.6323699894165</v>
      </c>
      <c r="Z119" s="782">
        <f t="shared" si="843"/>
        <v>-6483.5792380389103</v>
      </c>
      <c r="AA119" s="780">
        <f t="shared" si="843"/>
        <v>-5307.1722049655655</v>
      </c>
      <c r="AB119" s="780">
        <f t="shared" si="843"/>
        <v>-3966.3475887754175</v>
      </c>
      <c r="AC119" s="780">
        <f t="shared" si="843"/>
        <v>-2466.8649492429358</v>
      </c>
      <c r="AD119" s="780">
        <f t="shared" si="843"/>
        <v>-826.64406907309967</v>
      </c>
      <c r="AE119" s="780">
        <f t="shared" si="843"/>
        <v>-10770.241509529737</v>
      </c>
      <c r="AF119" s="780">
        <f t="shared" si="843"/>
        <v>-19174.962642260827</v>
      </c>
      <c r="AG119" s="780">
        <f t="shared" si="843"/>
        <v>-16925.443971653156</v>
      </c>
      <c r="AH119" s="780">
        <f t="shared" si="843"/>
        <v>-25696.207513260568</v>
      </c>
      <c r="AI119" s="780">
        <f t="shared" si="843"/>
        <v>-30466.524333613874</v>
      </c>
      <c r="AJ119" s="780">
        <f t="shared" si="843"/>
        <v>-30644.209260269774</v>
      </c>
      <c r="AK119" s="781">
        <f t="shared" si="843"/>
        <v>-25743.81021126837</v>
      </c>
      <c r="AL119" s="782">
        <f t="shared" si="843"/>
        <v>-25374.965354328699</v>
      </c>
      <c r="AM119" s="780">
        <f t="shared" si="843"/>
        <v>-21685.632709168298</v>
      </c>
      <c r="AN119" s="780">
        <f t="shared" si="843"/>
        <v>-17735.699053003482</v>
      </c>
      <c r="AO119" s="780">
        <f t="shared" si="843"/>
        <v>-25824.517795504849</v>
      </c>
      <c r="AP119" s="780">
        <f t="shared" si="843"/>
        <v>-13812.381476188923</v>
      </c>
      <c r="AQ119" s="780">
        <f t="shared" si="843"/>
        <v>-15733.807969274916</v>
      </c>
      <c r="AR119" s="780">
        <f t="shared" si="843"/>
        <v>-12981.108202038886</v>
      </c>
      <c r="AS119" s="780">
        <f t="shared" si="843"/>
        <v>-27659.485752690453</v>
      </c>
      <c r="AT119" s="780">
        <f t="shared" si="843"/>
        <v>-14368.892474155029</v>
      </c>
      <c r="AU119" s="780">
        <f t="shared" si="843"/>
        <v>-16222.784178653252</v>
      </c>
      <c r="AV119" s="780">
        <f t="shared" si="843"/>
        <v>-10757.412118790759</v>
      </c>
      <c r="AW119" s="781">
        <f t="shared" si="843"/>
        <v>-7276.3573668028694</v>
      </c>
      <c r="AX119" s="782">
        <f t="shared" si="843"/>
        <v>-728.33143403028953</v>
      </c>
      <c r="AY119" s="780">
        <f t="shared" si="843"/>
        <v>-6343.9301669844717</v>
      </c>
      <c r="AZ119" s="780">
        <f t="shared" si="843"/>
        <v>2806.545093130655</v>
      </c>
      <c r="BA119" s="780">
        <f t="shared" si="843"/>
        <v>10443.101931745798</v>
      </c>
      <c r="BB119" s="780">
        <f t="shared" si="843"/>
        <v>4256.0741498096177</v>
      </c>
      <c r="BC119" s="780">
        <f t="shared" si="843"/>
        <v>-243.85907681621029</v>
      </c>
      <c r="BD119" s="780">
        <f t="shared" si="843"/>
        <v>8404.3480662194488</v>
      </c>
      <c r="BE119" s="780">
        <f t="shared" si="843"/>
        <v>10505.464546137853</v>
      </c>
      <c r="BF119" s="780">
        <f t="shared" si="843"/>
        <v>5996.34105228525</v>
      </c>
      <c r="BG119" s="780">
        <f t="shared" si="843"/>
        <v>31887.180861373214</v>
      </c>
      <c r="BH119" s="780">
        <f t="shared" si="843"/>
        <v>30001.697847926363</v>
      </c>
      <c r="BI119" s="781">
        <f t="shared" si="843"/>
        <v>46776.772437808642</v>
      </c>
    </row>
    <row r="120" spans="1:61" s="780" customFormat="1" hidden="1" outlineLevel="1">
      <c r="A120" s="780" t="s">
        <v>288</v>
      </c>
      <c r="K120" s="780">
        <f t="shared" ref="K120" si="844">IF($K$5&gt;$J$5,($K$5-$J$5)*B541,0)</f>
        <v>1850</v>
      </c>
      <c r="L120" s="780">
        <f t="shared" ref="L120" si="845">IF($K$5&gt;$J$5,($K$5-$J$5)*C541,0)</f>
        <v>1937.1558751999999</v>
      </c>
      <c r="M120" s="781">
        <f t="shared" ref="M120" si="846">IF($K$5&gt;$J$5,($K$5-$J$5)*D541,0)</f>
        <v>2030.0190587848704</v>
      </c>
      <c r="N120" s="782">
        <f t="shared" ref="N120" si="847">IF($K$5&gt;$J$5,($K$5-$J$5)*E541,0)</f>
        <v>2128.941218449359</v>
      </c>
      <c r="O120" s="780">
        <f t="shared" ref="O120" si="848">IF($K$5&gt;$J$5,($K$5-$J$5)*F541,0)</f>
        <v>2234.2900324673633</v>
      </c>
      <c r="P120" s="780">
        <f t="shared" ref="P120" si="849">IF($K$5&gt;$J$5,($K$5-$J$5)*G541,0)</f>
        <v>2346.4496034726417</v>
      </c>
      <c r="Q120" s="780">
        <f t="shared" ref="Q120" si="850">IF($K$5&gt;$J$5,($K$5-$J$5)*H541,0)</f>
        <v>2465.8208731027789</v>
      </c>
      <c r="R120" s="780">
        <f t="shared" ref="R120" si="851">IF($K$5&gt;$J$5,($K$5-$J$5)*I541,0)</f>
        <v>2592.8220377557409</v>
      </c>
      <c r="S120" s="780">
        <f t="shared" ref="S120" si="852">IF($K$5&gt;$J$5,($K$5-$J$5)*J541,0)</f>
        <v>2727.8889657926175</v>
      </c>
      <c r="T120" s="780">
        <f t="shared" ref="T120" si="853">IF($K$5&gt;$J$5,($K$5-$J$5)*K541,0)</f>
        <v>2871.4756166091629</v>
      </c>
      <c r="U120" s="780">
        <f t="shared" ref="U120" si="854">IF($K$5&gt;$J$5,($K$5-$J$5)*L541,0)</f>
        <v>3024.0544620924302</v>
      </c>
      <c r="V120" s="780">
        <f t="shared" ref="V120" si="855">IF($K$5&gt;$J$5,($K$5-$J$5)*M541,0)</f>
        <v>3186.1169110768442</v>
      </c>
      <c r="W120" s="780">
        <f t="shared" ref="W120" si="856">IF($K$5&gt;$J$5,($K$5-$J$5)*N541,0)</f>
        <v>3358.9807376414046</v>
      </c>
      <c r="X120" s="780">
        <f t="shared" ref="X120" si="857">IF($K$5&gt;$J$5,($K$5-$J$5)*O541,0)</f>
        <v>3543.2416591361321</v>
      </c>
      <c r="Y120" s="781">
        <f t="shared" ref="Y120" si="858">IF($K$5&gt;$J$5,($K$5-$J$5)*P541,0)</f>
        <v>3739.515514961849</v>
      </c>
      <c r="Z120" s="782">
        <f t="shared" ref="Z120" si="859">IF($K$5&gt;$J$5,($K$5-$J$5)*Q541,0)</f>
        <v>3948.4383904349252</v>
      </c>
      <c r="AA120" s="780">
        <f t="shared" ref="AA120" si="860">IF($K$5&gt;$J$5,($K$5-$J$5)*R541,0)</f>
        <v>4170.6667372134807</v>
      </c>
      <c r="AB120" s="780">
        <f t="shared" ref="AB120" si="861">IF($K$5&gt;$J$5,($K$5-$J$5)*S541,0)</f>
        <v>4406.877493173627</v>
      </c>
      <c r="AC120" s="780">
        <f t="shared" ref="AC120" si="862">IF($K$5&gt;$J$5,($K$5-$J$5)*T541,0)</f>
        <v>4657.7682048703127</v>
      </c>
      <c r="AD120" s="780">
        <f t="shared" ref="AD120" si="863">IF($K$5&gt;$J$5,($K$5-$J$5)*U541,0)</f>
        <v>4924.0571559566215</v>
      </c>
      <c r="AE120" s="780">
        <f t="shared" ref="AE120" si="864">IF($K$5&gt;$J$5,($K$5-$J$5)*V541,0)</f>
        <v>5206.4835051661303</v>
      </c>
      <c r="AF120" s="780">
        <f t="shared" ref="AF120" si="865">IF($K$5&gt;$J$5,($K$5-$J$5)*W541,0)</f>
        <v>5505.8074376836603</v>
      </c>
      <c r="AG120" s="780">
        <f t="shared" ref="AG120" si="866">IF($K$5&gt;$J$5,($K$5-$J$5)*X541,0)</f>
        <v>5822.8103339388172</v>
      </c>
      <c r="AH120" s="780">
        <f t="shared" ref="AH120" si="867">IF($K$5&gt;$J$5,($K$5-$J$5)*Y541,0)</f>
        <v>6158.2949600526208</v>
      </c>
      <c r="AI120" s="780">
        <f t="shared" ref="AI120" si="868">IF($K$5&gt;$J$5,($K$5-$J$5)*Z541,0)</f>
        <v>6514.1392664878649</v>
      </c>
      <c r="AJ120" s="780">
        <f t="shared" ref="AJ120" si="869">IF($K$5&gt;$J$5,($K$5-$J$5)*AA541,0)</f>
        <v>6891.2420929122554</v>
      </c>
      <c r="AK120" s="781">
        <f t="shared" ref="AK120" si="870">IF($K$5&gt;$J$5,($K$5-$J$5)*AB541,0)</f>
        <v>7290.5201481641989</v>
      </c>
      <c r="AL120" s="782">
        <f t="shared" ref="AL120" si="871">IF($K$5&gt;$J$5,($K$5-$J$5)*AC541,0)</f>
        <v>7712.9078999165331</v>
      </c>
      <c r="AM120" s="780">
        <f t="shared" ref="AM120" si="872">IF($K$5&gt;$J$5,($K$5-$J$5)*AD541,0)</f>
        <v>8159.357530652579</v>
      </c>
      <c r="AN120" s="780">
        <f t="shared" ref="AN120" si="873">IF($K$5&gt;$J$5,($K$5-$J$5)*AE541,0)</f>
        <v>8630.8389688113039</v>
      </c>
      <c r="AO120" s="780">
        <f t="shared" ref="AO120" si="874">IF($K$5&gt;$J$5,($K$5-$J$5)*AF541,0)</f>
        <v>9128.3400039027438</v>
      </c>
      <c r="AP120" s="780">
        <f t="shared" ref="AP120" si="875">IF($K$5&gt;$J$5,($K$5-$J$5)*AG541,0)</f>
        <v>9652.8664942797932</v>
      </c>
      <c r="AQ120" s="780">
        <f t="shared" ref="AQ120" si="876">IF($K$5&gt;$J$5,($K$5-$J$5)*AH541,0)</f>
        <v>10205.442676078563</v>
      </c>
      <c r="AR120" s="780">
        <f t="shared" ref="AR120" si="877">IF($K$5&gt;$J$5,($K$5-$J$5)*AI541,0)</f>
        <v>10787.111581608189</v>
      </c>
      <c r="AS120" s="780">
        <f t="shared" ref="AS120" si="878">IF($K$5&gt;$J$5,($K$5-$J$5)*AJ541,0)</f>
        <v>11398.935575183927</v>
      </c>
      <c r="AT120" s="780">
        <f t="shared" ref="AT120" si="879">IF($K$5&gt;$J$5,($K$5-$J$5)*AK541,0)</f>
        <v>12041.997014057681</v>
      </c>
      <c r="AU120" s="780">
        <f t="shared" ref="AU120" si="880">IF($K$5&gt;$J$5,($K$5-$J$5)*AL541,0)</f>
        <v>11309.223860591001</v>
      </c>
      <c r="AV120" s="780">
        <f t="shared" ref="AV120" si="881">IF($K$5&gt;$J$5,($K$5-$J$5)*AM541,0)</f>
        <v>11938.59815317693</v>
      </c>
      <c r="AW120" s="781">
        <f t="shared" ref="AW120" si="882">IF($K$5&gt;$J$5,($K$5-$J$5)*AN541,0)</f>
        <v>12598.640561226617</v>
      </c>
      <c r="AX120" s="782">
        <f t="shared" ref="AX120" si="883">IF($K$5&gt;$J$5,($K$5-$J$5)*AO541,0)</f>
        <v>13290.384784867672</v>
      </c>
      <c r="AY120" s="780">
        <f t="shared" ref="AY120" si="884">IF($K$5&gt;$J$5,($K$5-$J$5)*AP541,0)</f>
        <v>14014.886742419074</v>
      </c>
      <c r="AZ120" s="780">
        <f t="shared" ref="AZ120" si="885">IF($K$5&gt;$J$5,($K$5-$J$5)*AQ541,0)</f>
        <v>14773.225935151826</v>
      </c>
      <c r="BA120" s="780">
        <f t="shared" ref="BA120" si="886">IF($K$5&gt;$J$5,($K$5-$J$5)*AR541,0)</f>
        <v>15566.50695843432</v>
      </c>
      <c r="BB120" s="780">
        <f t="shared" ref="BB120" si="887">IF($K$5&gt;$J$5,($K$5-$J$5)*AS541,0)</f>
        <v>16395.861162308756</v>
      </c>
      <c r="BC120" s="780">
        <f t="shared" ref="BC120" si="888">IF($K$5&gt;$J$5,($K$5-$J$5)*AT541,0)</f>
        <v>17262.448464000674</v>
      </c>
      <c r="BD120" s="780">
        <f t="shared" ref="BD120" si="889">IF($K$5&gt;$J$5,($K$5-$J$5)*AU541,0)</f>
        <v>18167.459314320589</v>
      </c>
      <c r="BE120" s="780">
        <f t="shared" ref="BE120" si="890">IF($K$5&gt;$J$5,($K$5-$J$5)*AV541,0)</f>
        <v>19112.116819380197</v>
      </c>
      <c r="BF120" s="780">
        <f t="shared" ref="BF120" si="891">IF($K$5&gt;$J$5,($K$5-$J$5)*AW541,0)</f>
        <v>20097.679018522183</v>
      </c>
      <c r="BG120" s="780">
        <f t="shared" ref="BG120" si="892">IF($K$5&gt;$J$5,($K$5-$J$5)*AX541,0)</f>
        <v>12752.947938519361</v>
      </c>
      <c r="BH120" s="780">
        <f t="shared" ref="BH120" si="893">IF($K$5&gt;$J$5,($K$5-$J$5)*AY541,0)</f>
        <v>13398.522569380648</v>
      </c>
      <c r="BI120" s="781">
        <f t="shared" ref="BI120" si="894">IF($K$5&gt;$J$5,($K$5-$J$5)*AZ541,0)</f>
        <v>14071.093642551565</v>
      </c>
    </row>
    <row r="121" spans="1:61" s="780" customFormat="1" hidden="1" outlineLevel="1">
      <c r="M121" s="781"/>
      <c r="N121" s="782"/>
      <c r="Y121" s="781"/>
      <c r="Z121" s="782"/>
      <c r="AK121" s="781"/>
      <c r="AL121" s="782"/>
      <c r="AW121" s="781"/>
      <c r="AX121" s="782"/>
      <c r="BI121" s="781"/>
    </row>
    <row r="122" spans="1:61" s="780" customFormat="1" hidden="1" outlineLevel="1">
      <c r="A122" s="780" t="s">
        <v>359</v>
      </c>
      <c r="L122" s="780">
        <f>IF($L$5&gt;$J$5,($L$5-$K$5)*B535,0)</f>
        <v>0</v>
      </c>
      <c r="M122" s="781">
        <f t="shared" ref="M122" si="895">IF($L$5&gt;$J$5,($L$5-$K$5)*C535,0)</f>
        <v>0</v>
      </c>
      <c r="N122" s="782">
        <f t="shared" ref="N122" si="896">IF($L$5&gt;$J$5,($L$5-$K$5)*D535,0)</f>
        <v>0</v>
      </c>
      <c r="O122" s="780">
        <f t="shared" ref="O122" si="897">IF($L$5&gt;$J$5,($L$5-$K$5)*E535,0)</f>
        <v>0</v>
      </c>
      <c r="P122" s="780">
        <f t="shared" ref="P122" si="898">IF($L$5&gt;$J$5,($L$5-$K$5)*F535,0)</f>
        <v>0</v>
      </c>
      <c r="Q122" s="780">
        <f t="shared" ref="Q122" si="899">IF($L$5&gt;$J$5,($L$5-$K$5)*G535,0)</f>
        <v>0</v>
      </c>
      <c r="R122" s="780">
        <f t="shared" ref="R122" si="900">IF($L$5&gt;$J$5,($L$5-$K$5)*H535,0)</f>
        <v>0</v>
      </c>
      <c r="S122" s="780">
        <f t="shared" ref="S122" si="901">IF($L$5&gt;$J$5,($L$5-$K$5)*I535,0)</f>
        <v>0</v>
      </c>
      <c r="T122" s="780">
        <f t="shared" ref="T122" si="902">IF($L$5&gt;$J$5,($L$5-$K$5)*J535,0)</f>
        <v>0</v>
      </c>
      <c r="U122" s="780">
        <f t="shared" ref="U122" si="903">IF($L$5&gt;$J$5,($L$5-$K$5)*K535,0)</f>
        <v>0</v>
      </c>
      <c r="V122" s="780">
        <f t="shared" ref="V122" si="904">IF($L$5&gt;$J$5,($L$5-$K$5)*L535,0)</f>
        <v>0</v>
      </c>
      <c r="W122" s="780">
        <f t="shared" ref="W122" si="905">IF($L$5&gt;$J$5,($L$5-$K$5)*M535,0)</f>
        <v>0</v>
      </c>
      <c r="X122" s="780">
        <f t="shared" ref="X122" si="906">IF($L$5&gt;$J$5,($L$5-$K$5)*N535,0)</f>
        <v>0</v>
      </c>
      <c r="Y122" s="781">
        <f t="shared" ref="Y122" si="907">IF($L$5&gt;$J$5,($L$5-$K$5)*O535,0)</f>
        <v>0</v>
      </c>
      <c r="Z122" s="782">
        <f t="shared" ref="Z122" si="908">IF($L$5&gt;$J$5,($L$5-$K$5)*P535,0)</f>
        <v>0</v>
      </c>
      <c r="AA122" s="780">
        <f t="shared" ref="AA122" si="909">IF($L$5&gt;$J$5,($L$5-$K$5)*Q535,0)</f>
        <v>0</v>
      </c>
      <c r="AB122" s="780">
        <f t="shared" ref="AB122" si="910">IF($L$5&gt;$J$5,($L$5-$K$5)*R535,0)</f>
        <v>0</v>
      </c>
      <c r="AC122" s="780">
        <f t="shared" ref="AC122" si="911">IF($L$5&gt;$J$5,($L$5-$K$5)*S535,0)</f>
        <v>0</v>
      </c>
      <c r="AD122" s="780">
        <f t="shared" ref="AD122" si="912">IF($L$5&gt;$J$5,($L$5-$K$5)*T535,0)</f>
        <v>0</v>
      </c>
      <c r="AE122" s="780">
        <f t="shared" ref="AE122" si="913">IF($L$5&gt;$J$5,($L$5-$K$5)*U535,0)</f>
        <v>0</v>
      </c>
      <c r="AF122" s="780">
        <f t="shared" ref="AF122" si="914">IF($L$5&gt;$J$5,($L$5-$K$5)*V535,0)</f>
        <v>0</v>
      </c>
      <c r="AG122" s="780">
        <f t="shared" ref="AG122" si="915">IF($L$5&gt;$J$5,($L$5-$K$5)*W535,0)</f>
        <v>0</v>
      </c>
      <c r="AH122" s="780">
        <f t="shared" ref="AH122" si="916">IF($L$5&gt;$J$5,($L$5-$K$5)*X535,0)</f>
        <v>0</v>
      </c>
      <c r="AI122" s="780">
        <f t="shared" ref="AI122" si="917">IF($L$5&gt;$J$5,($L$5-$K$5)*Y535,0)</f>
        <v>0</v>
      </c>
      <c r="AJ122" s="780">
        <f t="shared" ref="AJ122" si="918">IF($L$5&gt;$J$5,($L$5-$K$5)*Z535,0)</f>
        <v>0</v>
      </c>
      <c r="AK122" s="781">
        <f t="shared" ref="AK122" si="919">IF($L$5&gt;$J$5,($L$5-$K$5)*AA535,0)</f>
        <v>0</v>
      </c>
      <c r="AL122" s="782">
        <f t="shared" ref="AL122" si="920">IF($L$5&gt;$J$5,($L$5-$K$5)*AB535,0)</f>
        <v>0</v>
      </c>
      <c r="AM122" s="780">
        <f t="shared" ref="AM122" si="921">IF($L$5&gt;$J$5,($L$5-$K$5)*AC535,0)</f>
        <v>0</v>
      </c>
      <c r="AN122" s="780">
        <f t="shared" ref="AN122" si="922">IF($L$5&gt;$J$5,($L$5-$K$5)*AD535,0)</f>
        <v>0</v>
      </c>
      <c r="AO122" s="780">
        <f t="shared" ref="AO122" si="923">IF($L$5&gt;$J$5,($L$5-$K$5)*AE535,0)</f>
        <v>0</v>
      </c>
      <c r="AP122" s="780">
        <f t="shared" ref="AP122" si="924">IF($L$5&gt;$J$5,($L$5-$K$5)*AF535,0)</f>
        <v>0</v>
      </c>
      <c r="AQ122" s="780">
        <f t="shared" ref="AQ122" si="925">IF($L$5&gt;$J$5,($L$5-$K$5)*AG535,0)</f>
        <v>0</v>
      </c>
      <c r="AR122" s="780">
        <f t="shared" ref="AR122" si="926">IF($L$5&gt;$J$5,($L$5-$K$5)*AH535,0)</f>
        <v>0</v>
      </c>
      <c r="AS122" s="780">
        <f t="shared" ref="AS122" si="927">IF($L$5&gt;$J$5,($L$5-$K$5)*AI535,0)</f>
        <v>0</v>
      </c>
      <c r="AT122" s="780">
        <f t="shared" ref="AT122" si="928">IF($L$5&gt;$J$5,($L$5-$K$5)*AJ535,0)</f>
        <v>0</v>
      </c>
      <c r="AU122" s="780">
        <f t="shared" ref="AU122" si="929">IF($L$5&gt;$J$5,($L$5-$K$5)*AK535,0)</f>
        <v>0</v>
      </c>
      <c r="AV122" s="780">
        <f t="shared" ref="AV122" si="930">IF($L$5&gt;$J$5,($L$5-$K$5)*AL535,0)</f>
        <v>0</v>
      </c>
      <c r="AW122" s="781">
        <f t="shared" ref="AW122" si="931">IF($L$5&gt;$J$5,($L$5-$K$5)*AM535,0)</f>
        <v>0</v>
      </c>
      <c r="AX122" s="782">
        <f t="shared" ref="AX122" si="932">IF($L$5&gt;$J$5,($L$5-$K$5)*AN535,0)</f>
        <v>0</v>
      </c>
      <c r="AY122" s="780">
        <f t="shared" ref="AY122" si="933">IF($L$5&gt;$J$5,($L$5-$K$5)*AO535,0)</f>
        <v>0</v>
      </c>
      <c r="AZ122" s="780">
        <f t="shared" ref="AZ122" si="934">IF($L$5&gt;$J$5,($L$5-$K$5)*AP535,0)</f>
        <v>0</v>
      </c>
      <c r="BA122" s="780">
        <f t="shared" ref="BA122" si="935">IF($L$5&gt;$J$5,($L$5-$K$5)*AQ535,0)</f>
        <v>0</v>
      </c>
      <c r="BB122" s="780">
        <f t="shared" ref="BB122" si="936">IF($L$5&gt;$J$5,($L$5-$K$5)*AR535,0)</f>
        <v>0</v>
      </c>
      <c r="BC122" s="780">
        <f t="shared" ref="BC122" si="937">IF($L$5&gt;$J$5,($L$5-$K$5)*AS535,0)</f>
        <v>0</v>
      </c>
      <c r="BD122" s="780">
        <f t="shared" ref="BD122" si="938">IF($L$5&gt;$J$5,($L$5-$K$5)*AT535,0)</f>
        <v>0</v>
      </c>
      <c r="BE122" s="780">
        <f t="shared" ref="BE122" si="939">IF($L$5&gt;$J$5,($L$5-$K$5)*AU535,0)</f>
        <v>0</v>
      </c>
      <c r="BF122" s="780">
        <f t="shared" ref="BF122" si="940">IF($L$5&gt;$J$5,($L$5-$K$5)*AV535,0)</f>
        <v>0</v>
      </c>
      <c r="BG122" s="780">
        <f t="shared" ref="BG122" si="941">IF($L$5&gt;$J$5,($L$5-$K$5)*AW535,0)</f>
        <v>0</v>
      </c>
      <c r="BH122" s="780">
        <f t="shared" ref="BH122" si="942">IF($L$5&gt;$J$5,($L$5-$K$5)*AX535,0)</f>
        <v>0</v>
      </c>
      <c r="BI122" s="781">
        <f t="shared" ref="BI122" si="943">IF($L$5&gt;$J$5,($L$5-$K$5)*AY535,0)</f>
        <v>0</v>
      </c>
    </row>
    <row r="123" spans="1:61" s="780" customFormat="1" hidden="1" outlineLevel="1">
      <c r="A123" s="780" t="str">
        <f>$A$536</f>
        <v>Leads</v>
      </c>
      <c r="L123" s="780">
        <f>IF($L$5&gt;$J$5,($L$5-$K$5)*B536,0)</f>
        <v>0</v>
      </c>
      <c r="M123" s="781">
        <f t="shared" ref="M123:BI123" si="944">IF($L$5&gt;$J$5,($L$5-$K$5)*C536,0)</f>
        <v>0</v>
      </c>
      <c r="N123" s="782">
        <f t="shared" si="944"/>
        <v>0</v>
      </c>
      <c r="O123" s="780">
        <f t="shared" si="944"/>
        <v>0</v>
      </c>
      <c r="P123" s="780">
        <f t="shared" si="944"/>
        <v>0</v>
      </c>
      <c r="Q123" s="780">
        <f t="shared" si="944"/>
        <v>0</v>
      </c>
      <c r="R123" s="780">
        <f t="shared" si="944"/>
        <v>0</v>
      </c>
      <c r="S123" s="780">
        <f t="shared" si="944"/>
        <v>0</v>
      </c>
      <c r="T123" s="780">
        <f t="shared" si="944"/>
        <v>0</v>
      </c>
      <c r="U123" s="780">
        <f t="shared" si="944"/>
        <v>0</v>
      </c>
      <c r="V123" s="780">
        <f t="shared" si="944"/>
        <v>0</v>
      </c>
      <c r="W123" s="780">
        <f t="shared" si="944"/>
        <v>0</v>
      </c>
      <c r="X123" s="780">
        <f t="shared" si="944"/>
        <v>0</v>
      </c>
      <c r="Y123" s="781">
        <f t="shared" si="944"/>
        <v>0</v>
      </c>
      <c r="Z123" s="782">
        <f t="shared" si="944"/>
        <v>0</v>
      </c>
      <c r="AA123" s="780">
        <f t="shared" si="944"/>
        <v>0</v>
      </c>
      <c r="AB123" s="780">
        <f t="shared" si="944"/>
        <v>0</v>
      </c>
      <c r="AC123" s="780">
        <f t="shared" si="944"/>
        <v>0</v>
      </c>
      <c r="AD123" s="780">
        <f t="shared" si="944"/>
        <v>0</v>
      </c>
      <c r="AE123" s="780">
        <f t="shared" si="944"/>
        <v>0</v>
      </c>
      <c r="AF123" s="780">
        <f t="shared" si="944"/>
        <v>0</v>
      </c>
      <c r="AG123" s="780">
        <f t="shared" si="944"/>
        <v>0</v>
      </c>
      <c r="AH123" s="780">
        <f t="shared" si="944"/>
        <v>0</v>
      </c>
      <c r="AI123" s="780">
        <f t="shared" si="944"/>
        <v>0</v>
      </c>
      <c r="AJ123" s="780">
        <f t="shared" si="944"/>
        <v>0</v>
      </c>
      <c r="AK123" s="781">
        <f t="shared" si="944"/>
        <v>0</v>
      </c>
      <c r="AL123" s="782">
        <f t="shared" si="944"/>
        <v>0</v>
      </c>
      <c r="AM123" s="780">
        <f t="shared" si="944"/>
        <v>0</v>
      </c>
      <c r="AN123" s="780">
        <f t="shared" si="944"/>
        <v>0</v>
      </c>
      <c r="AO123" s="780">
        <f t="shared" si="944"/>
        <v>0</v>
      </c>
      <c r="AP123" s="780">
        <f t="shared" si="944"/>
        <v>0</v>
      </c>
      <c r="AQ123" s="780">
        <f t="shared" si="944"/>
        <v>0</v>
      </c>
      <c r="AR123" s="780">
        <f t="shared" si="944"/>
        <v>0</v>
      </c>
      <c r="AS123" s="780">
        <f t="shared" si="944"/>
        <v>0</v>
      </c>
      <c r="AT123" s="780">
        <f t="shared" si="944"/>
        <v>0</v>
      </c>
      <c r="AU123" s="780">
        <f t="shared" si="944"/>
        <v>0</v>
      </c>
      <c r="AV123" s="780">
        <f t="shared" si="944"/>
        <v>0</v>
      </c>
      <c r="AW123" s="781">
        <f t="shared" si="944"/>
        <v>0</v>
      </c>
      <c r="AX123" s="782">
        <f t="shared" si="944"/>
        <v>0</v>
      </c>
      <c r="AY123" s="780">
        <f t="shared" si="944"/>
        <v>0</v>
      </c>
      <c r="AZ123" s="780">
        <f t="shared" si="944"/>
        <v>0</v>
      </c>
      <c r="BA123" s="780">
        <f t="shared" si="944"/>
        <v>0</v>
      </c>
      <c r="BB123" s="780">
        <f t="shared" si="944"/>
        <v>0</v>
      </c>
      <c r="BC123" s="780">
        <f t="shared" si="944"/>
        <v>0</v>
      </c>
      <c r="BD123" s="780">
        <f t="shared" si="944"/>
        <v>0</v>
      </c>
      <c r="BE123" s="780">
        <f t="shared" si="944"/>
        <v>0</v>
      </c>
      <c r="BF123" s="780">
        <f t="shared" si="944"/>
        <v>0</v>
      </c>
      <c r="BG123" s="780">
        <f t="shared" si="944"/>
        <v>0</v>
      </c>
      <c r="BH123" s="780">
        <f t="shared" si="944"/>
        <v>0</v>
      </c>
      <c r="BI123" s="781">
        <f t="shared" si="944"/>
        <v>0</v>
      </c>
    </row>
    <row r="124" spans="1:61" s="780" customFormat="1" hidden="1" outlineLevel="1">
      <c r="A124" s="780" t="str">
        <f>$A$537</f>
        <v>Audits</v>
      </c>
      <c r="L124" s="780">
        <f t="shared" ref="L124:BI124" si="945">IF($L$5&gt;$J$5,($L$5-$K$5)*B537,0)</f>
        <v>0</v>
      </c>
      <c r="M124" s="781">
        <f t="shared" si="945"/>
        <v>0</v>
      </c>
      <c r="N124" s="782">
        <f t="shared" si="945"/>
        <v>0</v>
      </c>
      <c r="O124" s="780">
        <f t="shared" si="945"/>
        <v>0</v>
      </c>
      <c r="P124" s="780">
        <f t="shared" si="945"/>
        <v>0</v>
      </c>
      <c r="Q124" s="780">
        <f t="shared" si="945"/>
        <v>0</v>
      </c>
      <c r="R124" s="780">
        <f t="shared" si="945"/>
        <v>0</v>
      </c>
      <c r="S124" s="780">
        <f t="shared" si="945"/>
        <v>0</v>
      </c>
      <c r="T124" s="780">
        <f t="shared" si="945"/>
        <v>0</v>
      </c>
      <c r="U124" s="780">
        <f t="shared" si="945"/>
        <v>0</v>
      </c>
      <c r="V124" s="780">
        <f t="shared" si="945"/>
        <v>0</v>
      </c>
      <c r="W124" s="780">
        <f t="shared" si="945"/>
        <v>0</v>
      </c>
      <c r="X124" s="780">
        <f t="shared" si="945"/>
        <v>0</v>
      </c>
      <c r="Y124" s="781">
        <f t="shared" si="945"/>
        <v>0</v>
      </c>
      <c r="Z124" s="782">
        <f t="shared" si="945"/>
        <v>0</v>
      </c>
      <c r="AA124" s="780">
        <f t="shared" si="945"/>
        <v>0</v>
      </c>
      <c r="AB124" s="780">
        <f t="shared" si="945"/>
        <v>0</v>
      </c>
      <c r="AC124" s="780">
        <f t="shared" si="945"/>
        <v>0</v>
      </c>
      <c r="AD124" s="780">
        <f t="shared" si="945"/>
        <v>0</v>
      </c>
      <c r="AE124" s="780">
        <f t="shared" si="945"/>
        <v>0</v>
      </c>
      <c r="AF124" s="780">
        <f t="shared" si="945"/>
        <v>0</v>
      </c>
      <c r="AG124" s="780">
        <f t="shared" si="945"/>
        <v>0</v>
      </c>
      <c r="AH124" s="780">
        <f t="shared" si="945"/>
        <v>0</v>
      </c>
      <c r="AI124" s="780">
        <f t="shared" si="945"/>
        <v>0</v>
      </c>
      <c r="AJ124" s="780">
        <f t="shared" si="945"/>
        <v>0</v>
      </c>
      <c r="AK124" s="781">
        <f t="shared" si="945"/>
        <v>0</v>
      </c>
      <c r="AL124" s="782">
        <f t="shared" si="945"/>
        <v>0</v>
      </c>
      <c r="AM124" s="780">
        <f t="shared" si="945"/>
        <v>0</v>
      </c>
      <c r="AN124" s="780">
        <f t="shared" si="945"/>
        <v>0</v>
      </c>
      <c r="AO124" s="780">
        <f t="shared" si="945"/>
        <v>0</v>
      </c>
      <c r="AP124" s="780">
        <f t="shared" si="945"/>
        <v>0</v>
      </c>
      <c r="AQ124" s="780">
        <f t="shared" si="945"/>
        <v>0</v>
      </c>
      <c r="AR124" s="780">
        <f t="shared" si="945"/>
        <v>0</v>
      </c>
      <c r="AS124" s="780">
        <f t="shared" si="945"/>
        <v>0</v>
      </c>
      <c r="AT124" s="780">
        <f t="shared" si="945"/>
        <v>0</v>
      </c>
      <c r="AU124" s="780">
        <f t="shared" si="945"/>
        <v>0</v>
      </c>
      <c r="AV124" s="780">
        <f t="shared" si="945"/>
        <v>0</v>
      </c>
      <c r="AW124" s="781">
        <f t="shared" si="945"/>
        <v>0</v>
      </c>
      <c r="AX124" s="782">
        <f t="shared" si="945"/>
        <v>0</v>
      </c>
      <c r="AY124" s="780">
        <f t="shared" si="945"/>
        <v>0</v>
      </c>
      <c r="AZ124" s="780">
        <f t="shared" si="945"/>
        <v>0</v>
      </c>
      <c r="BA124" s="780">
        <f t="shared" si="945"/>
        <v>0</v>
      </c>
      <c r="BB124" s="780">
        <f t="shared" si="945"/>
        <v>0</v>
      </c>
      <c r="BC124" s="780">
        <f t="shared" si="945"/>
        <v>0</v>
      </c>
      <c r="BD124" s="780">
        <f t="shared" si="945"/>
        <v>0</v>
      </c>
      <c r="BE124" s="780">
        <f t="shared" si="945"/>
        <v>0</v>
      </c>
      <c r="BF124" s="780">
        <f t="shared" si="945"/>
        <v>0</v>
      </c>
      <c r="BG124" s="780">
        <f t="shared" si="945"/>
        <v>0</v>
      </c>
      <c r="BH124" s="780">
        <f t="shared" si="945"/>
        <v>0</v>
      </c>
      <c r="BI124" s="781">
        <f t="shared" si="945"/>
        <v>0</v>
      </c>
    </row>
    <row r="125" spans="1:61" s="780" customFormat="1" hidden="1" outlineLevel="1">
      <c r="A125" s="780" t="str">
        <f>$A$538</f>
        <v>Retrofit</v>
      </c>
      <c r="L125" s="780">
        <f t="shared" ref="L125:BI125" si="946">IF($L$5&gt;$J$5,($L$5-$K$5)*B538,0)</f>
        <v>0</v>
      </c>
      <c r="M125" s="781">
        <f t="shared" si="946"/>
        <v>0</v>
      </c>
      <c r="N125" s="782">
        <f t="shared" si="946"/>
        <v>0</v>
      </c>
      <c r="O125" s="780">
        <f t="shared" si="946"/>
        <v>0</v>
      </c>
      <c r="P125" s="780">
        <f t="shared" si="946"/>
        <v>0</v>
      </c>
      <c r="Q125" s="780">
        <f t="shared" si="946"/>
        <v>0</v>
      </c>
      <c r="R125" s="780">
        <f t="shared" si="946"/>
        <v>0</v>
      </c>
      <c r="S125" s="780">
        <f t="shared" si="946"/>
        <v>0</v>
      </c>
      <c r="T125" s="780">
        <f t="shared" si="946"/>
        <v>0</v>
      </c>
      <c r="U125" s="780">
        <f t="shared" si="946"/>
        <v>0</v>
      </c>
      <c r="V125" s="780">
        <f t="shared" si="946"/>
        <v>0</v>
      </c>
      <c r="W125" s="780">
        <f t="shared" si="946"/>
        <v>0</v>
      </c>
      <c r="X125" s="780">
        <f t="shared" si="946"/>
        <v>0</v>
      </c>
      <c r="Y125" s="781">
        <f t="shared" si="946"/>
        <v>0</v>
      </c>
      <c r="Z125" s="782">
        <f t="shared" si="946"/>
        <v>0</v>
      </c>
      <c r="AA125" s="780">
        <f t="shared" si="946"/>
        <v>0</v>
      </c>
      <c r="AB125" s="780">
        <f t="shared" si="946"/>
        <v>0</v>
      </c>
      <c r="AC125" s="780">
        <f t="shared" si="946"/>
        <v>0</v>
      </c>
      <c r="AD125" s="780">
        <f t="shared" si="946"/>
        <v>0</v>
      </c>
      <c r="AE125" s="780">
        <f t="shared" si="946"/>
        <v>0</v>
      </c>
      <c r="AF125" s="780">
        <f t="shared" si="946"/>
        <v>0</v>
      </c>
      <c r="AG125" s="780">
        <f t="shared" si="946"/>
        <v>0</v>
      </c>
      <c r="AH125" s="780">
        <f t="shared" si="946"/>
        <v>0</v>
      </c>
      <c r="AI125" s="780">
        <f t="shared" si="946"/>
        <v>0</v>
      </c>
      <c r="AJ125" s="780">
        <f t="shared" si="946"/>
        <v>0</v>
      </c>
      <c r="AK125" s="781">
        <f t="shared" si="946"/>
        <v>0</v>
      </c>
      <c r="AL125" s="782">
        <f t="shared" si="946"/>
        <v>0</v>
      </c>
      <c r="AM125" s="780">
        <f t="shared" si="946"/>
        <v>0</v>
      </c>
      <c r="AN125" s="780">
        <f t="shared" si="946"/>
        <v>0</v>
      </c>
      <c r="AO125" s="780">
        <f t="shared" si="946"/>
        <v>0</v>
      </c>
      <c r="AP125" s="780">
        <f t="shared" si="946"/>
        <v>0</v>
      </c>
      <c r="AQ125" s="780">
        <f t="shared" si="946"/>
        <v>0</v>
      </c>
      <c r="AR125" s="780">
        <f t="shared" si="946"/>
        <v>0</v>
      </c>
      <c r="AS125" s="780">
        <f t="shared" si="946"/>
        <v>0</v>
      </c>
      <c r="AT125" s="780">
        <f t="shared" si="946"/>
        <v>0</v>
      </c>
      <c r="AU125" s="780">
        <f t="shared" si="946"/>
        <v>0</v>
      </c>
      <c r="AV125" s="780">
        <f t="shared" si="946"/>
        <v>0</v>
      </c>
      <c r="AW125" s="781">
        <f t="shared" si="946"/>
        <v>0</v>
      </c>
      <c r="AX125" s="782">
        <f t="shared" si="946"/>
        <v>0</v>
      </c>
      <c r="AY125" s="780">
        <f t="shared" si="946"/>
        <v>0</v>
      </c>
      <c r="AZ125" s="780">
        <f t="shared" si="946"/>
        <v>0</v>
      </c>
      <c r="BA125" s="780">
        <f t="shared" si="946"/>
        <v>0</v>
      </c>
      <c r="BB125" s="780">
        <f t="shared" si="946"/>
        <v>0</v>
      </c>
      <c r="BC125" s="780">
        <f t="shared" si="946"/>
        <v>0</v>
      </c>
      <c r="BD125" s="780">
        <f t="shared" si="946"/>
        <v>0</v>
      </c>
      <c r="BE125" s="780">
        <f t="shared" si="946"/>
        <v>0</v>
      </c>
      <c r="BF125" s="780">
        <f t="shared" si="946"/>
        <v>0</v>
      </c>
      <c r="BG125" s="780">
        <f t="shared" si="946"/>
        <v>0</v>
      </c>
      <c r="BH125" s="780">
        <f t="shared" si="946"/>
        <v>0</v>
      </c>
      <c r="BI125" s="781">
        <f t="shared" si="946"/>
        <v>0</v>
      </c>
    </row>
    <row r="126" spans="1:61" s="780" customFormat="1" hidden="1" outlineLevel="1">
      <c r="A126" s="780" t="str">
        <f>$A$539</f>
        <v>Revenue</v>
      </c>
      <c r="L126" s="780">
        <f t="shared" ref="L126:BI126" si="947">IF($L$5&gt;$J$5,($L$5-$K$5)*B539,0)</f>
        <v>0</v>
      </c>
      <c r="M126" s="781">
        <f t="shared" si="947"/>
        <v>0</v>
      </c>
      <c r="N126" s="782">
        <f t="shared" si="947"/>
        <v>0</v>
      </c>
      <c r="O126" s="780">
        <f t="shared" si="947"/>
        <v>0</v>
      </c>
      <c r="P126" s="780">
        <f t="shared" si="947"/>
        <v>0</v>
      </c>
      <c r="Q126" s="780">
        <f t="shared" si="947"/>
        <v>0</v>
      </c>
      <c r="R126" s="780">
        <f t="shared" si="947"/>
        <v>0</v>
      </c>
      <c r="S126" s="780">
        <f t="shared" si="947"/>
        <v>0</v>
      </c>
      <c r="T126" s="780">
        <f t="shared" si="947"/>
        <v>0</v>
      </c>
      <c r="U126" s="780">
        <f t="shared" si="947"/>
        <v>0</v>
      </c>
      <c r="V126" s="780">
        <f t="shared" si="947"/>
        <v>0</v>
      </c>
      <c r="W126" s="780">
        <f t="shared" si="947"/>
        <v>0</v>
      </c>
      <c r="X126" s="780">
        <f t="shared" si="947"/>
        <v>0</v>
      </c>
      <c r="Y126" s="781">
        <f t="shared" si="947"/>
        <v>0</v>
      </c>
      <c r="Z126" s="782">
        <f t="shared" si="947"/>
        <v>0</v>
      </c>
      <c r="AA126" s="780">
        <f t="shared" si="947"/>
        <v>0</v>
      </c>
      <c r="AB126" s="780">
        <f t="shared" si="947"/>
        <v>0</v>
      </c>
      <c r="AC126" s="780">
        <f t="shared" si="947"/>
        <v>0</v>
      </c>
      <c r="AD126" s="780">
        <f t="shared" si="947"/>
        <v>0</v>
      </c>
      <c r="AE126" s="780">
        <f t="shared" si="947"/>
        <v>0</v>
      </c>
      <c r="AF126" s="780">
        <f t="shared" si="947"/>
        <v>0</v>
      </c>
      <c r="AG126" s="780">
        <f t="shared" si="947"/>
        <v>0</v>
      </c>
      <c r="AH126" s="780">
        <f t="shared" si="947"/>
        <v>0</v>
      </c>
      <c r="AI126" s="780">
        <f t="shared" si="947"/>
        <v>0</v>
      </c>
      <c r="AJ126" s="780">
        <f t="shared" si="947"/>
        <v>0</v>
      </c>
      <c r="AK126" s="781">
        <f t="shared" si="947"/>
        <v>0</v>
      </c>
      <c r="AL126" s="782">
        <f t="shared" si="947"/>
        <v>0</v>
      </c>
      <c r="AM126" s="780">
        <f t="shared" si="947"/>
        <v>0</v>
      </c>
      <c r="AN126" s="780">
        <f t="shared" si="947"/>
        <v>0</v>
      </c>
      <c r="AO126" s="780">
        <f t="shared" si="947"/>
        <v>0</v>
      </c>
      <c r="AP126" s="780">
        <f t="shared" si="947"/>
        <v>0</v>
      </c>
      <c r="AQ126" s="780">
        <f t="shared" si="947"/>
        <v>0</v>
      </c>
      <c r="AR126" s="780">
        <f t="shared" si="947"/>
        <v>0</v>
      </c>
      <c r="AS126" s="780">
        <f t="shared" si="947"/>
        <v>0</v>
      </c>
      <c r="AT126" s="780">
        <f t="shared" si="947"/>
        <v>0</v>
      </c>
      <c r="AU126" s="780">
        <f t="shared" si="947"/>
        <v>0</v>
      </c>
      <c r="AV126" s="780">
        <f t="shared" si="947"/>
        <v>0</v>
      </c>
      <c r="AW126" s="781">
        <f t="shared" si="947"/>
        <v>0</v>
      </c>
      <c r="AX126" s="782">
        <f t="shared" si="947"/>
        <v>0</v>
      </c>
      <c r="AY126" s="780">
        <f t="shared" si="947"/>
        <v>0</v>
      </c>
      <c r="AZ126" s="780">
        <f t="shared" si="947"/>
        <v>0</v>
      </c>
      <c r="BA126" s="780">
        <f t="shared" si="947"/>
        <v>0</v>
      </c>
      <c r="BB126" s="780">
        <f t="shared" si="947"/>
        <v>0</v>
      </c>
      <c r="BC126" s="780">
        <f t="shared" si="947"/>
        <v>0</v>
      </c>
      <c r="BD126" s="780">
        <f t="shared" si="947"/>
        <v>0</v>
      </c>
      <c r="BE126" s="780">
        <f t="shared" si="947"/>
        <v>0</v>
      </c>
      <c r="BF126" s="780">
        <f t="shared" si="947"/>
        <v>0</v>
      </c>
      <c r="BG126" s="780">
        <f t="shared" si="947"/>
        <v>0</v>
      </c>
      <c r="BH126" s="780">
        <f t="shared" si="947"/>
        <v>0</v>
      </c>
      <c r="BI126" s="781">
        <f t="shared" si="947"/>
        <v>0</v>
      </c>
    </row>
    <row r="127" spans="1:61" s="780" customFormat="1" hidden="1" outlineLevel="1">
      <c r="A127" s="780" t="str">
        <f>$A$540</f>
        <v>Net Income</v>
      </c>
      <c r="L127" s="780">
        <f t="shared" ref="L127:BI127" si="948">IF($L$5&gt;$J$5,($L$5-$K$5)*B540,0)</f>
        <v>0</v>
      </c>
      <c r="M127" s="781">
        <f t="shared" si="948"/>
        <v>0</v>
      </c>
      <c r="N127" s="782">
        <f t="shared" si="948"/>
        <v>0</v>
      </c>
      <c r="O127" s="780">
        <f t="shared" si="948"/>
        <v>0</v>
      </c>
      <c r="P127" s="780">
        <f t="shared" si="948"/>
        <v>0</v>
      </c>
      <c r="Q127" s="780">
        <f t="shared" si="948"/>
        <v>0</v>
      </c>
      <c r="R127" s="780">
        <f t="shared" si="948"/>
        <v>0</v>
      </c>
      <c r="S127" s="780">
        <f t="shared" si="948"/>
        <v>0</v>
      </c>
      <c r="T127" s="780">
        <f t="shared" si="948"/>
        <v>0</v>
      </c>
      <c r="U127" s="780">
        <f t="shared" si="948"/>
        <v>0</v>
      </c>
      <c r="V127" s="780">
        <f t="shared" si="948"/>
        <v>0</v>
      </c>
      <c r="W127" s="780">
        <f t="shared" si="948"/>
        <v>0</v>
      </c>
      <c r="X127" s="780">
        <f t="shared" si="948"/>
        <v>0</v>
      </c>
      <c r="Y127" s="781">
        <f t="shared" si="948"/>
        <v>0</v>
      </c>
      <c r="Z127" s="782">
        <f t="shared" si="948"/>
        <v>0</v>
      </c>
      <c r="AA127" s="780">
        <f t="shared" si="948"/>
        <v>0</v>
      </c>
      <c r="AB127" s="780">
        <f t="shared" si="948"/>
        <v>0</v>
      </c>
      <c r="AC127" s="780">
        <f t="shared" si="948"/>
        <v>0</v>
      </c>
      <c r="AD127" s="780">
        <f t="shared" si="948"/>
        <v>0</v>
      </c>
      <c r="AE127" s="780">
        <f t="shared" si="948"/>
        <v>0</v>
      </c>
      <c r="AF127" s="780">
        <f t="shared" si="948"/>
        <v>0</v>
      </c>
      <c r="AG127" s="780">
        <f t="shared" si="948"/>
        <v>0</v>
      </c>
      <c r="AH127" s="780">
        <f t="shared" si="948"/>
        <v>0</v>
      </c>
      <c r="AI127" s="780">
        <f t="shared" si="948"/>
        <v>0</v>
      </c>
      <c r="AJ127" s="780">
        <f t="shared" si="948"/>
        <v>0</v>
      </c>
      <c r="AK127" s="781">
        <f t="shared" si="948"/>
        <v>0</v>
      </c>
      <c r="AL127" s="782">
        <f t="shared" si="948"/>
        <v>0</v>
      </c>
      <c r="AM127" s="780">
        <f t="shared" si="948"/>
        <v>0</v>
      </c>
      <c r="AN127" s="780">
        <f t="shared" si="948"/>
        <v>0</v>
      </c>
      <c r="AO127" s="780">
        <f t="shared" si="948"/>
        <v>0</v>
      </c>
      <c r="AP127" s="780">
        <f t="shared" si="948"/>
        <v>0</v>
      </c>
      <c r="AQ127" s="780">
        <f t="shared" si="948"/>
        <v>0</v>
      </c>
      <c r="AR127" s="780">
        <f t="shared" si="948"/>
        <v>0</v>
      </c>
      <c r="AS127" s="780">
        <f t="shared" si="948"/>
        <v>0</v>
      </c>
      <c r="AT127" s="780">
        <f t="shared" si="948"/>
        <v>0</v>
      </c>
      <c r="AU127" s="780">
        <f t="shared" si="948"/>
        <v>0</v>
      </c>
      <c r="AV127" s="780">
        <f t="shared" si="948"/>
        <v>0</v>
      </c>
      <c r="AW127" s="781">
        <f t="shared" si="948"/>
        <v>0</v>
      </c>
      <c r="AX127" s="782">
        <f t="shared" si="948"/>
        <v>0</v>
      </c>
      <c r="AY127" s="780">
        <f t="shared" si="948"/>
        <v>0</v>
      </c>
      <c r="AZ127" s="780">
        <f t="shared" si="948"/>
        <v>0</v>
      </c>
      <c r="BA127" s="780">
        <f t="shared" si="948"/>
        <v>0</v>
      </c>
      <c r="BB127" s="780">
        <f t="shared" si="948"/>
        <v>0</v>
      </c>
      <c r="BC127" s="780">
        <f t="shared" si="948"/>
        <v>0</v>
      </c>
      <c r="BD127" s="780">
        <f t="shared" si="948"/>
        <v>0</v>
      </c>
      <c r="BE127" s="780">
        <f t="shared" si="948"/>
        <v>0</v>
      </c>
      <c r="BF127" s="780">
        <f t="shared" si="948"/>
        <v>0</v>
      </c>
      <c r="BG127" s="780">
        <f t="shared" si="948"/>
        <v>0</v>
      </c>
      <c r="BH127" s="780">
        <f t="shared" si="948"/>
        <v>0</v>
      </c>
      <c r="BI127" s="781">
        <f t="shared" si="948"/>
        <v>0</v>
      </c>
    </row>
    <row r="128" spans="1:61" s="780" customFormat="1" hidden="1" outlineLevel="1">
      <c r="A128" s="780" t="s">
        <v>288</v>
      </c>
      <c r="L128" s="780">
        <f t="shared" ref="L128" si="949">IF($L$5&gt;$J$5,($L$5-$K$5)*B541,0)</f>
        <v>0</v>
      </c>
      <c r="M128" s="781">
        <f t="shared" ref="M128" si="950">IF($L$5&gt;$J$5,($L$5-$K$5)*C541,0)</f>
        <v>0</v>
      </c>
      <c r="N128" s="782">
        <f t="shared" ref="N128" si="951">IF($L$5&gt;$J$5,($L$5-$K$5)*D541,0)</f>
        <v>0</v>
      </c>
      <c r="O128" s="780">
        <f t="shared" ref="O128" si="952">IF($L$5&gt;$J$5,($L$5-$K$5)*E541,0)</f>
        <v>0</v>
      </c>
      <c r="P128" s="780">
        <f t="shared" ref="P128" si="953">IF($L$5&gt;$J$5,($L$5-$K$5)*F541,0)</f>
        <v>0</v>
      </c>
      <c r="Q128" s="780">
        <f t="shared" ref="Q128" si="954">IF($L$5&gt;$J$5,($L$5-$K$5)*G541,0)</f>
        <v>0</v>
      </c>
      <c r="R128" s="780">
        <f t="shared" ref="R128" si="955">IF($L$5&gt;$J$5,($L$5-$K$5)*H541,0)</f>
        <v>0</v>
      </c>
      <c r="S128" s="780">
        <f t="shared" ref="S128" si="956">IF($L$5&gt;$J$5,($L$5-$K$5)*I541,0)</f>
        <v>0</v>
      </c>
      <c r="T128" s="780">
        <f t="shared" ref="T128" si="957">IF($L$5&gt;$J$5,($L$5-$K$5)*J541,0)</f>
        <v>0</v>
      </c>
      <c r="U128" s="780">
        <f t="shared" ref="U128" si="958">IF($L$5&gt;$J$5,($L$5-$K$5)*K541,0)</f>
        <v>0</v>
      </c>
      <c r="V128" s="780">
        <f t="shared" ref="V128" si="959">IF($L$5&gt;$J$5,($L$5-$K$5)*L541,0)</f>
        <v>0</v>
      </c>
      <c r="W128" s="780">
        <f t="shared" ref="W128" si="960">IF($L$5&gt;$J$5,($L$5-$K$5)*M541,0)</f>
        <v>0</v>
      </c>
      <c r="X128" s="780">
        <f t="shared" ref="X128" si="961">IF($L$5&gt;$J$5,($L$5-$K$5)*N541,0)</f>
        <v>0</v>
      </c>
      <c r="Y128" s="781">
        <f t="shared" ref="Y128" si="962">IF($L$5&gt;$J$5,($L$5-$K$5)*O541,0)</f>
        <v>0</v>
      </c>
      <c r="Z128" s="782">
        <f t="shared" ref="Z128" si="963">IF($L$5&gt;$J$5,($L$5-$K$5)*P541,0)</f>
        <v>0</v>
      </c>
      <c r="AA128" s="780">
        <f t="shared" ref="AA128" si="964">IF($L$5&gt;$J$5,($L$5-$K$5)*Q541,0)</f>
        <v>0</v>
      </c>
      <c r="AB128" s="780">
        <f t="shared" ref="AB128" si="965">IF($L$5&gt;$J$5,($L$5-$K$5)*R541,0)</f>
        <v>0</v>
      </c>
      <c r="AC128" s="780">
        <f t="shared" ref="AC128" si="966">IF($L$5&gt;$J$5,($L$5-$K$5)*S541,0)</f>
        <v>0</v>
      </c>
      <c r="AD128" s="780">
        <f t="shared" ref="AD128" si="967">IF($L$5&gt;$J$5,($L$5-$K$5)*T541,0)</f>
        <v>0</v>
      </c>
      <c r="AE128" s="780">
        <f t="shared" ref="AE128" si="968">IF($L$5&gt;$J$5,($L$5-$K$5)*U541,0)</f>
        <v>0</v>
      </c>
      <c r="AF128" s="780">
        <f t="shared" ref="AF128" si="969">IF($L$5&gt;$J$5,($L$5-$K$5)*V541,0)</f>
        <v>0</v>
      </c>
      <c r="AG128" s="780">
        <f t="shared" ref="AG128" si="970">IF($L$5&gt;$J$5,($L$5-$K$5)*W541,0)</f>
        <v>0</v>
      </c>
      <c r="AH128" s="780">
        <f t="shared" ref="AH128" si="971">IF($L$5&gt;$J$5,($L$5-$K$5)*X541,0)</f>
        <v>0</v>
      </c>
      <c r="AI128" s="780">
        <f t="shared" ref="AI128" si="972">IF($L$5&gt;$J$5,($L$5-$K$5)*Y541,0)</f>
        <v>0</v>
      </c>
      <c r="AJ128" s="780">
        <f t="shared" ref="AJ128" si="973">IF($L$5&gt;$J$5,($L$5-$K$5)*Z541,0)</f>
        <v>0</v>
      </c>
      <c r="AK128" s="781">
        <f t="shared" ref="AK128" si="974">IF($L$5&gt;$J$5,($L$5-$K$5)*AA541,0)</f>
        <v>0</v>
      </c>
      <c r="AL128" s="782">
        <f t="shared" ref="AL128" si="975">IF($L$5&gt;$J$5,($L$5-$K$5)*AB541,0)</f>
        <v>0</v>
      </c>
      <c r="AM128" s="780">
        <f t="shared" ref="AM128" si="976">IF($L$5&gt;$J$5,($L$5-$K$5)*AC541,0)</f>
        <v>0</v>
      </c>
      <c r="AN128" s="780">
        <f t="shared" ref="AN128" si="977">IF($L$5&gt;$J$5,($L$5-$K$5)*AD541,0)</f>
        <v>0</v>
      </c>
      <c r="AO128" s="780">
        <f t="shared" ref="AO128" si="978">IF($L$5&gt;$J$5,($L$5-$K$5)*AE541,0)</f>
        <v>0</v>
      </c>
      <c r="AP128" s="780">
        <f t="shared" ref="AP128" si="979">IF($L$5&gt;$J$5,($L$5-$K$5)*AF541,0)</f>
        <v>0</v>
      </c>
      <c r="AQ128" s="780">
        <f t="shared" ref="AQ128" si="980">IF($L$5&gt;$J$5,($L$5-$K$5)*AG541,0)</f>
        <v>0</v>
      </c>
      <c r="AR128" s="780">
        <f t="shared" ref="AR128" si="981">IF($L$5&gt;$J$5,($L$5-$K$5)*AH541,0)</f>
        <v>0</v>
      </c>
      <c r="AS128" s="780">
        <f t="shared" ref="AS128" si="982">IF($L$5&gt;$J$5,($L$5-$K$5)*AI541,0)</f>
        <v>0</v>
      </c>
      <c r="AT128" s="780">
        <f t="shared" ref="AT128" si="983">IF($L$5&gt;$J$5,($L$5-$K$5)*AJ541,0)</f>
        <v>0</v>
      </c>
      <c r="AU128" s="780">
        <f t="shared" ref="AU128" si="984">IF($L$5&gt;$J$5,($L$5-$K$5)*AK541,0)</f>
        <v>0</v>
      </c>
      <c r="AV128" s="780">
        <f t="shared" ref="AV128" si="985">IF($L$5&gt;$J$5,($L$5-$K$5)*AL541,0)</f>
        <v>0</v>
      </c>
      <c r="AW128" s="781">
        <f t="shared" ref="AW128" si="986">IF($L$5&gt;$J$5,($L$5-$K$5)*AM541,0)</f>
        <v>0</v>
      </c>
      <c r="AX128" s="782">
        <f t="shared" ref="AX128" si="987">IF($L$5&gt;$J$5,($L$5-$K$5)*AN541,0)</f>
        <v>0</v>
      </c>
      <c r="AY128" s="780">
        <f t="shared" ref="AY128" si="988">IF($L$5&gt;$J$5,($L$5-$K$5)*AO541,0)</f>
        <v>0</v>
      </c>
      <c r="AZ128" s="780">
        <f t="shared" ref="AZ128" si="989">IF($L$5&gt;$J$5,($L$5-$K$5)*AP541,0)</f>
        <v>0</v>
      </c>
      <c r="BA128" s="780">
        <f t="shared" ref="BA128" si="990">IF($L$5&gt;$J$5,($L$5-$K$5)*AQ541,0)</f>
        <v>0</v>
      </c>
      <c r="BB128" s="780">
        <f t="shared" ref="BB128" si="991">IF($L$5&gt;$J$5,($L$5-$K$5)*AR541,0)</f>
        <v>0</v>
      </c>
      <c r="BC128" s="780">
        <f t="shared" ref="BC128" si="992">IF($L$5&gt;$J$5,($L$5-$K$5)*AS541,0)</f>
        <v>0</v>
      </c>
      <c r="BD128" s="780">
        <f t="shared" ref="BD128" si="993">IF($L$5&gt;$J$5,($L$5-$K$5)*AT541,0)</f>
        <v>0</v>
      </c>
      <c r="BE128" s="780">
        <f t="shared" ref="BE128" si="994">IF($L$5&gt;$J$5,($L$5-$K$5)*AU541,0)</f>
        <v>0</v>
      </c>
      <c r="BF128" s="780">
        <f t="shared" ref="BF128" si="995">IF($L$5&gt;$J$5,($L$5-$K$5)*AV541,0)</f>
        <v>0</v>
      </c>
      <c r="BG128" s="780">
        <f t="shared" ref="BG128" si="996">IF($L$5&gt;$J$5,($L$5-$K$5)*AW541,0)</f>
        <v>0</v>
      </c>
      <c r="BH128" s="780">
        <f t="shared" ref="BH128" si="997">IF($L$5&gt;$J$5,($L$5-$K$5)*AX541,0)</f>
        <v>0</v>
      </c>
      <c r="BI128" s="781">
        <f t="shared" ref="BI128" si="998">IF($L$5&gt;$J$5,($L$5-$K$5)*AY541,0)</f>
        <v>0</v>
      </c>
    </row>
    <row r="129" spans="1:61" s="780" customFormat="1" hidden="1" outlineLevel="1">
      <c r="M129" s="781"/>
      <c r="N129" s="782"/>
      <c r="Y129" s="781"/>
      <c r="Z129" s="782"/>
      <c r="AK129" s="781"/>
      <c r="AL129" s="782"/>
      <c r="AW129" s="781"/>
      <c r="AX129" s="782"/>
      <c r="BI129" s="781"/>
    </row>
    <row r="130" spans="1:61" s="780" customFormat="1" hidden="1" outlineLevel="1">
      <c r="A130" s="780" t="s">
        <v>359</v>
      </c>
      <c r="M130" s="781">
        <f>IF($M$5&gt;$L$5,($M$5-$L$5)*B535,0)</f>
        <v>8</v>
      </c>
      <c r="N130" s="782">
        <f t="shared" ref="N130" si="999">IF($M$5&gt;$L$5,($M$5-$L$5)*C535,0)</f>
        <v>8.3824000000000005</v>
      </c>
      <c r="O130" s="780">
        <f t="shared" ref="O130" si="1000">IF($M$5&gt;$L$5,($M$5-$L$5)*D535,0)</f>
        <v>8.790016102400001</v>
      </c>
      <c r="P130" s="780">
        <f t="shared" ref="P130" si="1001">IF($M$5&gt;$L$5,($M$5-$L$5)*E535,0)</f>
        <v>9.2244218586677267</v>
      </c>
      <c r="Q130" s="780">
        <f t="shared" ref="Q130" si="1002">IF($M$5&gt;$L$5,($M$5-$L$5)*F535,0)</f>
        <v>9.6872643857899394</v>
      </c>
      <c r="R130" s="780">
        <f t="shared" ref="R130" si="1003">IF($M$5&gt;$L$5,($M$5-$L$5)*G535,0)</f>
        <v>10.180266404063699</v>
      </c>
      <c r="S130" s="780">
        <f t="shared" ref="S130" si="1004">IF($M$5&gt;$L$5,($M$5-$L$5)*H535,0)</f>
        <v>10.705228286703797</v>
      </c>
      <c r="T130" s="780">
        <f t="shared" ref="T130" si="1005">IF($M$5&gt;$L$5,($M$5-$L$5)*I535,0)</f>
        <v>11.264030122404236</v>
      </c>
      <c r="U130" s="780">
        <f t="shared" ref="U130" si="1006">IF($M$5&gt;$L$5,($M$5-$L$5)*J535,0)</f>
        <v>11.858633792363815</v>
      </c>
      <c r="V130" s="780">
        <f t="shared" ref="V130" si="1007">IF($M$5&gt;$L$5,($M$5-$L$5)*K535,0)</f>
        <v>12.491085063681208</v>
      </c>
      <c r="W130" s="780">
        <f t="shared" ref="W130" si="1008">IF($M$5&gt;$L$5,($M$5-$L$5)*L535,0)</f>
        <v>13.163515701442698</v>
      </c>
      <c r="X130" s="780">
        <f t="shared" ref="X130" si="1009">IF($M$5&gt;$L$5,($M$5-$L$5)*M535,0)</f>
        <v>13.878145602265221</v>
      </c>
      <c r="Y130" s="781">
        <f t="shared" ref="Y130" si="1010">IF($M$5&gt;$L$5,($M$5-$L$5)*N535,0)</f>
        <v>14.640802427106802</v>
      </c>
      <c r="Z130" s="782">
        <f t="shared" ref="Z130" si="1011">IF($M$5&gt;$L$5,($M$5-$L$5)*O535,0)</f>
        <v>15.454179973028484</v>
      </c>
      <c r="AA130" s="780">
        <f t="shared" ref="AA130" si="1012">IF($M$5&gt;$L$5,($M$5-$L$5)*P535,0)</f>
        <v>16.321067007803048</v>
      </c>
      <c r="AB130" s="780">
        <f t="shared" ref="AB130" si="1013">IF($M$5&gt;$L$5,($M$5-$L$5)*Q535,0)</f>
        <v>17.244348126107901</v>
      </c>
      <c r="AC130" s="780">
        <f t="shared" ref="AC130" si="1014">IF($M$5&gt;$L$5,($M$5-$L$5)*R535,0)</f>
        <v>18.227004594103096</v>
      </c>
      <c r="AD130" s="780">
        <f t="shared" ref="AD130" si="1015">IF($M$5&gt;$L$5,($M$5-$L$5)*S535,0)</f>
        <v>19.272115194972702</v>
      </c>
      <c r="AE130" s="780">
        <f t="shared" ref="AE130" si="1016">IF($M$5&gt;$L$5,($M$5-$L$5)*T535,0)</f>
        <v>20.382857089151276</v>
      </c>
      <c r="AF130" s="780">
        <f t="shared" ref="AF130" si="1017">IF($M$5&gt;$L$5,($M$5-$L$5)*U535,0)</f>
        <v>21.56250670407784</v>
      </c>
      <c r="AG130" s="780">
        <f t="shared" ref="AG130" si="1018">IF($M$5&gt;$L$5,($M$5-$L$5)*V535,0)</f>
        <v>22.814440669410335</v>
      </c>
      <c r="AH130" s="780">
        <f t="shared" ref="AH130" si="1019">IF($M$5&gt;$L$5,($M$5-$L$5)*W535,0)</f>
        <v>24.142136814686012</v>
      </c>
      <c r="AI130" s="780">
        <f t="shared" ref="AI130" si="1020">IF($M$5&gt;$L$5,($M$5-$L$5)*X535,0)</f>
        <v>25.549175247421399</v>
      </c>
      <c r="AJ130" s="780">
        <f t="shared" ref="AJ130" si="1021">IF($M$5&gt;$L$5,($M$5-$L$5)*Y535,0)</f>
        <v>27.039239530601542</v>
      </c>
      <c r="AK130" s="781">
        <f t="shared" ref="AK130" si="1022">IF($M$5&gt;$L$5,($M$5-$L$5)*Z535,0)</f>
        <v>28.620747034243404</v>
      </c>
      <c r="AL130" s="782">
        <f t="shared" ref="AL130" si="1023">IF($M$5&gt;$L$5,($M$5-$L$5)*AA535,0)</f>
        <v>30.297832899152603</v>
      </c>
      <c r="AM130" s="780">
        <f t="shared" ref="AM130" si="1024">IF($M$5&gt;$L$5,($M$5-$L$5)*AB535,0)</f>
        <v>32.074721942842451</v>
      </c>
      <c r="AN130" s="780">
        <f t="shared" ref="AN130" si="1025">IF($M$5&gt;$L$5,($M$5-$L$5)*AC535,0)</f>
        <v>33.955728473829772</v>
      </c>
      <c r="AO130" s="780">
        <f t="shared" ref="AO130" si="1026">IF($M$5&gt;$L$5,($M$5-$L$5)*AD535,0)</f>
        <v>35.945256397317038</v>
      </c>
      <c r="AP130" s="780">
        <f t="shared" ref="AP130" si="1027">IF($M$5&gt;$L$5,($M$5-$L$5)*AE535,0)</f>
        <v>38.047799652671507</v>
      </c>
      <c r="AQ130" s="780">
        <f t="shared" ref="AQ130" si="1028">IF($M$5&gt;$L$5,($M$5-$L$5)*AF535,0)</f>
        <v>40.267943023083284</v>
      </c>
      <c r="AR130" s="780">
        <f t="shared" ref="AR130" si="1029">IF($M$5&gt;$L$5,($M$5-$L$5)*AG535,0)</f>
        <v>42.61036335749322</v>
      </c>
      <c r="AS130" s="780">
        <f t="shared" ref="AS130" si="1030">IF($M$5&gt;$L$5,($M$5-$L$5)*AH535,0)</f>
        <v>45.079831244328588</v>
      </c>
      <c r="AT130" s="780">
        <f t="shared" ref="AT130" si="1031">IF($M$5&gt;$L$5,($M$5-$L$5)*AI535,0)</f>
        <v>47.68121317577463</v>
      </c>
      <c r="AU130" s="780">
        <f t="shared" ref="AU130" si="1032">IF($M$5&gt;$L$5,($M$5-$L$5)*AJ535,0)</f>
        <v>50.419474240248832</v>
      </c>
      <c r="AV130" s="780">
        <f t="shared" ref="AV130" si="1033">IF($M$5&gt;$L$5,($M$5-$L$5)*AK535,0)</f>
        <v>53.299681379443584</v>
      </c>
      <c r="AW130" s="781">
        <f t="shared" ref="AW130" si="1034">IF($M$5&gt;$L$5,($M$5-$L$5)*AL535,0)</f>
        <v>56.327007244772894</v>
      </c>
      <c r="AX130" s="782">
        <f t="shared" ref="AX130" si="1035">IF($M$5&gt;$L$5,($M$5-$L$5)*AM535,0)</f>
        <v>59.506734686316534</v>
      </c>
      <c r="AY130" s="780">
        <f t="shared" ref="AY130" si="1036">IF($M$5&gt;$L$5,($M$5-$L$5)*AN535,0)</f>
        <v>62.844261905417305</v>
      </c>
      <c r="AZ130" s="780">
        <f t="shared" ref="AZ130" si="1037">IF($M$5&gt;$L$5,($M$5-$L$5)*AO535,0)</f>
        <v>66.345108299975465</v>
      </c>
      <c r="BA130" s="780">
        <f t="shared" ref="BA130" si="1038">IF($M$5&gt;$L$5,($M$5-$L$5)*AP535,0)</f>
        <v>70.014921029220602</v>
      </c>
      <c r="BB130" s="780">
        <f t="shared" ref="BB130" si="1039">IF($M$5&gt;$L$5,($M$5-$L$5)*AQ535,0)</f>
        <v>73.859482322350189</v>
      </c>
      <c r="BC130" s="780">
        <f t="shared" ref="BC130" si="1040">IF($M$5&gt;$L$5,($M$5-$L$5)*AR535,0)</f>
        <v>77.884717552932145</v>
      </c>
      <c r="BD130" s="780">
        <f t="shared" ref="BD130" si="1041">IF($M$5&gt;$L$5,($M$5-$L$5)*AS535,0)</f>
        <v>82.096704098404587</v>
      </c>
      <c r="BE130" s="780">
        <f t="shared" ref="BE130" si="1042">IF($M$5&gt;$L$5,($M$5-$L$5)*AT535,0)</f>
        <v>86.50168100139652</v>
      </c>
      <c r="BF130" s="780">
        <f t="shared" ref="BF130" si="1043">IF($M$5&gt;$L$5,($M$5-$L$5)*AU535,0)</f>
        <v>91.106059446971614</v>
      </c>
      <c r="BG130" s="780">
        <f t="shared" ref="BG130" si="1044">IF($M$5&gt;$L$5,($M$5-$L$5)*AV535,0)</f>
        <v>95.916434067290723</v>
      </c>
      <c r="BH130" s="780">
        <f t="shared" ref="BH130" si="1045">IF($M$5&gt;$L$5,($M$5-$L$5)*AW535,0)</f>
        <v>100.93959508263039</v>
      </c>
      <c r="BI130" s="781">
        <f t="shared" ref="BI130" si="1046">IF($M$5&gt;$L$5,($M$5-$L$5)*AX535,0)</f>
        <v>106.18254128521424</v>
      </c>
    </row>
    <row r="131" spans="1:61" s="780" customFormat="1" hidden="1" outlineLevel="1">
      <c r="A131" s="780" t="str">
        <f>$A$536</f>
        <v>Leads</v>
      </c>
      <c r="M131" s="781">
        <f>IF($M$5&gt;$L$5,($M$5-$L$5)*B536,0)</f>
        <v>20</v>
      </c>
      <c r="N131" s="782">
        <f t="shared" ref="N131:BI131" si="1047">IF($M$5&gt;$L$5,($M$5-$L$5)*C536,0)</f>
        <v>20.8</v>
      </c>
      <c r="O131" s="780">
        <f t="shared" si="1047"/>
        <v>21.632000000000001</v>
      </c>
      <c r="P131" s="780">
        <f t="shared" si="1047"/>
        <v>22.497280000000003</v>
      </c>
      <c r="Q131" s="780">
        <f t="shared" si="1047"/>
        <v>23.397171200000006</v>
      </c>
      <c r="R131" s="780">
        <f t="shared" si="1047"/>
        <v>24.333058048000009</v>
      </c>
      <c r="S131" s="780">
        <f t="shared" si="1047"/>
        <v>25.30638036992001</v>
      </c>
      <c r="T131" s="780">
        <f t="shared" si="1047"/>
        <v>26.318635584716812</v>
      </c>
      <c r="U131" s="780">
        <f t="shared" si="1047"/>
        <v>27.371381008105487</v>
      </c>
      <c r="V131" s="780">
        <f t="shared" si="1047"/>
        <v>28.466236248429709</v>
      </c>
      <c r="W131" s="780">
        <f t="shared" si="1047"/>
        <v>29.6048856983669</v>
      </c>
      <c r="X131" s="780">
        <f t="shared" si="1047"/>
        <v>30.789081126301578</v>
      </c>
      <c r="Y131" s="781">
        <f t="shared" si="1047"/>
        <v>32.02064437135364</v>
      </c>
      <c r="Z131" s="782">
        <f t="shared" si="1047"/>
        <v>33.301470146207784</v>
      </c>
      <c r="AA131" s="780">
        <f t="shared" si="1047"/>
        <v>34.633528952056096</v>
      </c>
      <c r="AB131" s="780">
        <f t="shared" si="1047"/>
        <v>36.018870110138344</v>
      </c>
      <c r="AC131" s="780">
        <f t="shared" si="1047"/>
        <v>37.45962491454388</v>
      </c>
      <c r="AD131" s="780">
        <f t="shared" si="1047"/>
        <v>38.958009911125636</v>
      </c>
      <c r="AE131" s="780">
        <f t="shared" si="1047"/>
        <v>40.516330307570662</v>
      </c>
      <c r="AF131" s="780">
        <f t="shared" si="1047"/>
        <v>42.136983519873489</v>
      </c>
      <c r="AG131" s="780">
        <f t="shared" si="1047"/>
        <v>43.822462860668423</v>
      </c>
      <c r="AH131" s="780">
        <f t="shared" si="1047"/>
        <v>45.57536137509517</v>
      </c>
      <c r="AI131" s="780">
        <f t="shared" si="1047"/>
        <v>47.398375830098978</v>
      </c>
      <c r="AJ131" s="780">
        <f t="shared" si="1047"/>
        <v>49.29431086330294</v>
      </c>
      <c r="AK131" s="781">
        <f t="shared" si="1047"/>
        <v>51.26608329783506</v>
      </c>
      <c r="AL131" s="782">
        <f t="shared" si="1047"/>
        <v>53.316726629748466</v>
      </c>
      <c r="AM131" s="780">
        <f t="shared" si="1047"/>
        <v>55.44939569493841</v>
      </c>
      <c r="AN131" s="780">
        <f t="shared" si="1047"/>
        <v>57.667371522735948</v>
      </c>
      <c r="AO131" s="780">
        <f t="shared" si="1047"/>
        <v>59.974066383645386</v>
      </c>
      <c r="AP131" s="780">
        <f t="shared" si="1047"/>
        <v>62.373029038991206</v>
      </c>
      <c r="AQ131" s="780">
        <f t="shared" si="1047"/>
        <v>64.867950200550851</v>
      </c>
      <c r="AR131" s="780">
        <f t="shared" si="1047"/>
        <v>67.462668208572893</v>
      </c>
      <c r="AS131" s="780">
        <f t="shared" si="1047"/>
        <v>70.161174936915813</v>
      </c>
      <c r="AT131" s="780">
        <f t="shared" si="1047"/>
        <v>72.967621934392454</v>
      </c>
      <c r="AU131" s="780">
        <f t="shared" si="1047"/>
        <v>75.886326811768157</v>
      </c>
      <c r="AV131" s="780">
        <f t="shared" si="1047"/>
        <v>78.921779884238887</v>
      </c>
      <c r="AW131" s="781">
        <f t="shared" si="1047"/>
        <v>82.078651079608449</v>
      </c>
      <c r="AX131" s="782">
        <f t="shared" si="1047"/>
        <v>85.361797122792794</v>
      </c>
      <c r="AY131" s="780">
        <f t="shared" si="1047"/>
        <v>88.776269007704514</v>
      </c>
      <c r="AZ131" s="780">
        <f t="shared" si="1047"/>
        <v>92.3273197680127</v>
      </c>
      <c r="BA131" s="780">
        <f t="shared" si="1047"/>
        <v>96.020412558733199</v>
      </c>
      <c r="BB131" s="780">
        <f t="shared" si="1047"/>
        <v>99.86122906108254</v>
      </c>
      <c r="BC131" s="780">
        <f t="shared" si="1047"/>
        <v>103.85567822352584</v>
      </c>
      <c r="BD131" s="780">
        <f t="shared" si="1047"/>
        <v>108.00990535246689</v>
      </c>
      <c r="BE131" s="780">
        <f t="shared" si="1047"/>
        <v>112.33030156656557</v>
      </c>
      <c r="BF131" s="780">
        <f t="shared" si="1047"/>
        <v>116.82351362922816</v>
      </c>
      <c r="BG131" s="780">
        <f t="shared" si="1047"/>
        <v>121.4964541743973</v>
      </c>
      <c r="BH131" s="780">
        <f t="shared" si="1047"/>
        <v>126.3563123413732</v>
      </c>
      <c r="BI131" s="781">
        <f t="shared" si="1047"/>
        <v>131.41056483502814</v>
      </c>
    </row>
    <row r="132" spans="1:61" s="780" customFormat="1" hidden="1" outlineLevel="1">
      <c r="A132" s="780" t="str">
        <f>$A$537</f>
        <v>Audits</v>
      </c>
      <c r="M132" s="781">
        <f t="shared" ref="M132:BI132" si="1048">IF($M$5&gt;$L$5,($M$5-$L$5)*B537,0)</f>
        <v>7.8466960352422905</v>
      </c>
      <c r="N132" s="782">
        <f t="shared" si="1048"/>
        <v>8.1805560257268723</v>
      </c>
      <c r="O132" s="780">
        <f t="shared" si="1048"/>
        <v>8.556158139083367</v>
      </c>
      <c r="P132" s="780">
        <f t="shared" si="1048"/>
        <v>8.9523024684242678</v>
      </c>
      <c r="Q132" s="780">
        <f t="shared" si="1048"/>
        <v>9.3702787716763911</v>
      </c>
      <c r="R132" s="780">
        <f t="shared" si="1048"/>
        <v>9.811453812672589</v>
      </c>
      <c r="S132" s="780">
        <f t="shared" si="1048"/>
        <v>10.277273093546537</v>
      </c>
      <c r="T132" s="780">
        <f t="shared" si="1048"/>
        <v>10.769262132442826</v>
      </c>
      <c r="U132" s="780">
        <f t="shared" si="1048"/>
        <v>11.289027268145146</v>
      </c>
      <c r="V132" s="780">
        <f t="shared" si="1048"/>
        <v>11.838255995812663</v>
      </c>
      <c r="W132" s="780">
        <f t="shared" si="1048"/>
        <v>12.418716863200714</v>
      </c>
      <c r="X132" s="780">
        <f t="shared" si="1048"/>
        <v>13.032258982971491</v>
      </c>
      <c r="Y132" s="781">
        <f t="shared" si="1048"/>
        <v>13.681748513642187</v>
      </c>
      <c r="Z132" s="782">
        <f t="shared" si="1048"/>
        <v>14.367753613373562</v>
      </c>
      <c r="AA132" s="780">
        <f t="shared" si="1048"/>
        <v>15.094450719778326</v>
      </c>
      <c r="AB132" s="780">
        <f t="shared" si="1048"/>
        <v>15.864274704794562</v>
      </c>
      <c r="AC132" s="780">
        <f t="shared" si="1048"/>
        <v>16.679756380011042</v>
      </c>
      <c r="AD132" s="780">
        <f t="shared" si="1048"/>
        <v>17.543519083999907</v>
      </c>
      <c r="AE132" s="780">
        <f t="shared" si="1048"/>
        <v>18.458274953232511</v>
      </c>
      <c r="AF132" s="780">
        <f t="shared" si="1048"/>
        <v>19.426821075192013</v>
      </c>
      <c r="AG132" s="780">
        <f t="shared" si="1048"/>
        <v>20.452035738521069</v>
      </c>
      <c r="AH132" s="780">
        <f t="shared" si="1048"/>
        <v>21.536874999893016</v>
      </c>
      <c r="AI132" s="780">
        <f t="shared" si="1048"/>
        <v>22.68436978011453</v>
      </c>
      <c r="AJ132" s="780">
        <f t="shared" si="1048"/>
        <v>23.897623683136111</v>
      </c>
      <c r="AK132" s="781">
        <f t="shared" si="1048"/>
        <v>25.181305860088621</v>
      </c>
      <c r="AL132" s="782">
        <f t="shared" si="1048"/>
        <v>26.509539923847804</v>
      </c>
      <c r="AM132" s="780">
        <f t="shared" si="1048"/>
        <v>27.911267150389076</v>
      </c>
      <c r="AN132" s="780">
        <f t="shared" si="1048"/>
        <v>29.389855755030599</v>
      </c>
      <c r="AO132" s="780">
        <f t="shared" si="1048"/>
        <v>30.948754132327405</v>
      </c>
      <c r="AP132" s="780">
        <f t="shared" si="1048"/>
        <v>32.591491812026852</v>
      </c>
      <c r="AQ132" s="780">
        <f t="shared" si="1048"/>
        <v>34.321681088998503</v>
      </c>
      <c r="AR132" s="780">
        <f t="shared" si="1048"/>
        <v>36.143019351142293</v>
      </c>
      <c r="AS132" s="780">
        <f t="shared" si="1048"/>
        <v>38.059292115999952</v>
      </c>
      <c r="AT132" s="780">
        <f t="shared" si="1048"/>
        <v>40.074376775040108</v>
      </c>
      <c r="AU132" s="780">
        <f t="shared" si="1048"/>
        <v>42.192247034738458</v>
      </c>
      <c r="AV132" s="780">
        <f t="shared" si="1048"/>
        <v>44.416978035864261</v>
      </c>
      <c r="AW132" s="781">
        <f t="shared" si="1048"/>
        <v>46.752752126886328</v>
      </c>
      <c r="AX132" s="782">
        <f t="shared" si="1048"/>
        <v>49.082921316266599</v>
      </c>
      <c r="AY132" s="780">
        <f t="shared" si="1048"/>
        <v>51.522543979321924</v>
      </c>
      <c r="AZ132" s="780">
        <f t="shared" si="1048"/>
        <v>54.075800070640085</v>
      </c>
      <c r="BA132" s="780">
        <f t="shared" si="1048"/>
        <v>56.746994933802739</v>
      </c>
      <c r="BB132" s="780">
        <f t="shared" si="1048"/>
        <v>59.54056513100376</v>
      </c>
      <c r="BC132" s="780">
        <f t="shared" si="1048"/>
        <v>62.461084744125536</v>
      </c>
      <c r="BD132" s="780">
        <f t="shared" si="1048"/>
        <v>65.513272160718657</v>
      </c>
      <c r="BE132" s="780">
        <f t="shared" si="1048"/>
        <v>68.701997357177731</v>
      </c>
      <c r="BF132" s="780">
        <f t="shared" si="1048"/>
        <v>72.032289690276642</v>
      </c>
      <c r="BG132" s="780">
        <f t="shared" si="1048"/>
        <v>75.509346207129425</v>
      </c>
      <c r="BH132" s="780">
        <f t="shared" si="1048"/>
        <v>79.138540482595928</v>
      </c>
      <c r="BI132" s="781">
        <f t="shared" si="1048"/>
        <v>82.925431992167518</v>
      </c>
    </row>
    <row r="133" spans="1:61" s="780" customFormat="1" hidden="1" outlineLevel="1">
      <c r="A133" s="780" t="str">
        <f>$A$538</f>
        <v>Retrofit</v>
      </c>
      <c r="M133" s="781">
        <f t="shared" ref="M133:BI133" si="1049">IF($M$5&gt;$L$5,($M$5-$L$5)*B538,0)</f>
        <v>3.2741145374449339</v>
      </c>
      <c r="N133" s="782">
        <f t="shared" si="1049"/>
        <v>3.4211429613668018</v>
      </c>
      <c r="O133" s="780">
        <f t="shared" si="1049"/>
        <v>3.6089747928733105</v>
      </c>
      <c r="P133" s="780">
        <f t="shared" si="1049"/>
        <v>3.80943356172375</v>
      </c>
      <c r="Q133" s="780">
        <f t="shared" si="1049"/>
        <v>4.023495407635</v>
      </c>
      <c r="R133" s="780">
        <f t="shared" si="1049"/>
        <v>4.2522035025469851</v>
      </c>
      <c r="S133" s="780">
        <f t="shared" si="1049"/>
        <v>4.4966691121698661</v>
      </c>
      <c r="T133" s="780">
        <f t="shared" si="1049"/>
        <v>4.7580720961942786</v>
      </c>
      <c r="U133" s="780">
        <f t="shared" si="1049"/>
        <v>5.0376608331454982</v>
      </c>
      <c r="V133" s="780">
        <f t="shared" si="1049"/>
        <v>5.3367515834608863</v>
      </c>
      <c r="W133" s="780">
        <f t="shared" si="1049"/>
        <v>5.6567273345837759</v>
      </c>
      <c r="X133" s="780">
        <f t="shared" si="1049"/>
        <v>5.9990362027609887</v>
      </c>
      <c r="Y133" s="781">
        <f t="shared" si="1049"/>
        <v>6.3656710756275423</v>
      </c>
      <c r="Z133" s="782">
        <f t="shared" si="1049"/>
        <v>6.7527905497767229</v>
      </c>
      <c r="AA133" s="780">
        <f t="shared" si="1049"/>
        <v>7.1679946156961591</v>
      </c>
      <c r="AB133" s="780">
        <f t="shared" si="1049"/>
        <v>7.6132687220703144</v>
      </c>
      <c r="AC133" s="780">
        <f t="shared" si="1049"/>
        <v>8.0906802436821312</v>
      </c>
      <c r="AD133" s="780">
        <f t="shared" si="1049"/>
        <v>8.6023733713231554</v>
      </c>
      <c r="AE133" s="780">
        <f t="shared" si="1049"/>
        <v>9.1505635635964193</v>
      </c>
      <c r="AF133" s="780">
        <f t="shared" si="1049"/>
        <v>9.7375318038296879</v>
      </c>
      <c r="AG133" s="780">
        <f t="shared" si="1049"/>
        <v>10.365618926205418</v>
      </c>
      <c r="AH133" s="780">
        <f t="shared" si="1049"/>
        <v>11.037220281947453</v>
      </c>
      <c r="AI133" s="780">
        <f t="shared" si="1049"/>
        <v>11.754781008099396</v>
      </c>
      <c r="AJ133" s="780">
        <f t="shared" si="1049"/>
        <v>12.520792138493604</v>
      </c>
      <c r="AK133" s="781">
        <f t="shared" si="1049"/>
        <v>13.338724403473293</v>
      </c>
      <c r="AL133" s="782">
        <f t="shared" si="1049"/>
        <v>14.173899457244383</v>
      </c>
      <c r="AM133" s="780">
        <f t="shared" si="1049"/>
        <v>15.06160093928195</v>
      </c>
      <c r="AN133" s="780">
        <f t="shared" si="1049"/>
        <v>16.004396182835173</v>
      </c>
      <c r="AO133" s="780">
        <f t="shared" si="1049"/>
        <v>17.004903510314108</v>
      </c>
      <c r="AP133" s="780">
        <f t="shared" si="1049"/>
        <v>18.065792108500531</v>
      </c>
      <c r="AQ133" s="780">
        <f t="shared" si="1049"/>
        <v>19.189782637475492</v>
      </c>
      <c r="AR133" s="780">
        <f t="shared" si="1049"/>
        <v>20.379648596658086</v>
      </c>
      <c r="AS133" s="780">
        <f t="shared" si="1049"/>
        <v>21.638218454438508</v>
      </c>
      <c r="AT133" s="780">
        <f t="shared" si="1049"/>
        <v>22.968378532837651</v>
      </c>
      <c r="AU133" s="780">
        <f t="shared" si="1049"/>
        <v>24.373076625940293</v>
      </c>
      <c r="AV133" s="780">
        <f t="shared" si="1049"/>
        <v>25.855326320842856</v>
      </c>
      <c r="AW133" s="781">
        <f t="shared" si="1049"/>
        <v>27.418211982649215</v>
      </c>
      <c r="AX133" s="782">
        <f t="shared" si="1049"/>
        <v>28.912823637439345</v>
      </c>
      <c r="AY133" s="780">
        <f t="shared" si="1049"/>
        <v>30.481264211401022</v>
      </c>
      <c r="AZ133" s="780">
        <f t="shared" si="1049"/>
        <v>32.126375520474461</v>
      </c>
      <c r="BA133" s="780">
        <f t="shared" si="1049"/>
        <v>33.851080131654975</v>
      </c>
      <c r="BB133" s="780">
        <f t="shared" si="1049"/>
        <v>35.658385333026132</v>
      </c>
      <c r="BC133" s="780">
        <f t="shared" si="1049"/>
        <v>37.551387467022387</v>
      </c>
      <c r="BD133" s="780">
        <f t="shared" si="1049"/>
        <v>39.533276635822467</v>
      </c>
      <c r="BE133" s="780">
        <f t="shared" si="1049"/>
        <v>41.60734178665394</v>
      </c>
      <c r="BF133" s="780">
        <f t="shared" si="1049"/>
        <v>43.776976183702011</v>
      </c>
      <c r="BG133" s="780">
        <f t="shared" si="1049"/>
        <v>46.045683272271312</v>
      </c>
      <c r="BH133" s="780">
        <f t="shared" si="1049"/>
        <v>48.41708293986165</v>
      </c>
      <c r="BI133" s="781">
        <f t="shared" si="1049"/>
        <v>50.89491817790028</v>
      </c>
    </row>
    <row r="134" spans="1:61" s="780" customFormat="1" hidden="1" outlineLevel="1">
      <c r="A134" s="780" t="str">
        <f>$A$539</f>
        <v>Revenue</v>
      </c>
      <c r="M134" s="781">
        <f t="shared" ref="M134:BI134" si="1050">IF($M$5&gt;$L$5,($M$5-$L$5)*B539,0)</f>
        <v>20728.933920704847</v>
      </c>
      <c r="N134" s="782">
        <f t="shared" si="1050"/>
        <v>22334.796424579898</v>
      </c>
      <c r="O134" s="780">
        <f t="shared" si="1050"/>
        <v>24261.379157843236</v>
      </c>
      <c r="P134" s="780">
        <f t="shared" si="1050"/>
        <v>27109.041527058151</v>
      </c>
      <c r="Q134" s="780">
        <f t="shared" si="1050"/>
        <v>29411.012063918617</v>
      </c>
      <c r="R134" s="780">
        <f t="shared" si="1050"/>
        <v>31904.731979940196</v>
      </c>
      <c r="S134" s="780">
        <f t="shared" si="1050"/>
        <v>34157.516935543477</v>
      </c>
      <c r="T134" s="780">
        <f t="shared" si="1050"/>
        <v>36585.144030160183</v>
      </c>
      <c r="U134" s="780">
        <f t="shared" si="1050"/>
        <v>39202.024549786183</v>
      </c>
      <c r="V134" s="780">
        <f t="shared" si="1050"/>
        <v>41489.907780370268</v>
      </c>
      <c r="W134" s="780">
        <f t="shared" si="1050"/>
        <v>43934.936399734994</v>
      </c>
      <c r="X134" s="780">
        <f t="shared" si="1050"/>
        <v>46547.932291314006</v>
      </c>
      <c r="Y134" s="781">
        <f t="shared" si="1050"/>
        <v>48812.622611071754</v>
      </c>
      <c r="Z134" s="782">
        <f t="shared" si="1050"/>
        <v>51746.745047763237</v>
      </c>
      <c r="AA134" s="780">
        <f t="shared" si="1050"/>
        <v>54891.491572423707</v>
      </c>
      <c r="AB134" s="780">
        <f t="shared" si="1050"/>
        <v>58261.704056497998</v>
      </c>
      <c r="AC134" s="780">
        <f t="shared" si="1050"/>
        <v>61872.837706819933</v>
      </c>
      <c r="AD134" s="780">
        <f t="shared" si="1050"/>
        <v>65740.922877654608</v>
      </c>
      <c r="AE134" s="780">
        <f t="shared" si="1050"/>
        <v>69882.52360507095</v>
      </c>
      <c r="AF134" s="780">
        <f t="shared" si="1050"/>
        <v>74314.694687467563</v>
      </c>
      <c r="AG134" s="780">
        <f t="shared" si="1050"/>
        <v>79054.939292696072</v>
      </c>
      <c r="AH134" s="780">
        <f t="shared" si="1050"/>
        <v>84121.169122674793</v>
      </c>
      <c r="AI134" s="780">
        <f t="shared" si="1050"/>
        <v>89531.669104034416</v>
      </c>
      <c r="AJ134" s="780">
        <f t="shared" si="1050"/>
        <v>95305.068401244935</v>
      </c>
      <c r="AK134" s="781">
        <f t="shared" si="1050"/>
        <v>101467.05911812153</v>
      </c>
      <c r="AL134" s="782">
        <f t="shared" si="1050"/>
        <v>107757.45533319093</v>
      </c>
      <c r="AM134" s="780">
        <f t="shared" si="1050"/>
        <v>114440.84237520174</v>
      </c>
      <c r="AN134" s="780">
        <f t="shared" si="1050"/>
        <v>121536.40957263115</v>
      </c>
      <c r="AO134" s="780">
        <f t="shared" si="1050"/>
        <v>129063.73094559579</v>
      </c>
      <c r="AP134" s="780">
        <f t="shared" si="1050"/>
        <v>137042.76458890198</v>
      </c>
      <c r="AQ134" s="780">
        <f t="shared" si="1050"/>
        <v>145493.85755130055</v>
      </c>
      <c r="AR134" s="780">
        <f t="shared" si="1050"/>
        <v>154437.75638435522</v>
      </c>
      <c r="AS134" s="780">
        <f t="shared" si="1050"/>
        <v>163895.6234075159</v>
      </c>
      <c r="AT134" s="780">
        <f t="shared" si="1050"/>
        <v>173889.05862314338</v>
      </c>
      <c r="AU134" s="780">
        <f t="shared" si="1050"/>
        <v>184440.12712015139</v>
      </c>
      <c r="AV134" s="780">
        <f t="shared" si="1050"/>
        <v>195571.39172995961</v>
      </c>
      <c r="AW134" s="781">
        <f t="shared" si="1050"/>
        <v>207305.95064449144</v>
      </c>
      <c r="AX134" s="782">
        <f t="shared" si="1050"/>
        <v>218526.82830504962</v>
      </c>
      <c r="AY134" s="780">
        <f t="shared" si="1050"/>
        <v>230299.88241457404</v>
      </c>
      <c r="AZ134" s="780">
        <f t="shared" si="1050"/>
        <v>242646.40643380623</v>
      </c>
      <c r="BA134" s="780">
        <f t="shared" si="1050"/>
        <v>255588.30467884589</v>
      </c>
      <c r="BB134" s="780">
        <f t="shared" si="1050"/>
        <v>269148.12221054058</v>
      </c>
      <c r="BC134" s="780">
        <f t="shared" si="1050"/>
        <v>283349.07742205792</v>
      </c>
      <c r="BD134" s="780">
        <f t="shared" si="1050"/>
        <v>298215.09739075514</v>
      </c>
      <c r="BE134" s="780">
        <f t="shared" si="1050"/>
        <v>313770.85605224856</v>
      </c>
      <c r="BF134" s="780">
        <f t="shared" si="1050"/>
        <v>330041.81524662836</v>
      </c>
      <c r="BG134" s="780">
        <f t="shared" si="1050"/>
        <v>347054.26867913263</v>
      </c>
      <c r="BH134" s="780">
        <f t="shared" si="1050"/>
        <v>364835.38883039018</v>
      </c>
      <c r="BI134" s="781">
        <f t="shared" si="1050"/>
        <v>383413.276844654</v>
      </c>
    </row>
    <row r="135" spans="1:61" s="780" customFormat="1" hidden="1" outlineLevel="1">
      <c r="A135" s="780" t="str">
        <f>$A$540</f>
        <v>Net Income</v>
      </c>
      <c r="M135" s="781">
        <f t="shared" ref="M135:BI135" si="1051">IF($M$5&gt;$L$5,($M$5-$L$5)*B540,0)</f>
        <v>-33184.964170807638</v>
      </c>
      <c r="N135" s="782">
        <f t="shared" si="1051"/>
        <v>-14837.14568100147</v>
      </c>
      <c r="O135" s="780">
        <f t="shared" si="1051"/>
        <v>-14268.717003781454</v>
      </c>
      <c r="P135" s="780">
        <f t="shared" si="1051"/>
        <v>-13405.013342705901</v>
      </c>
      <c r="Q135" s="780">
        <f t="shared" si="1051"/>
        <v>-12685.072540306182</v>
      </c>
      <c r="R135" s="780">
        <f t="shared" si="1051"/>
        <v>-17604.404805924125</v>
      </c>
      <c r="S135" s="780">
        <f t="shared" si="1051"/>
        <v>-15156.124616524507</v>
      </c>
      <c r="T135" s="780">
        <f t="shared" si="1051"/>
        <v>-13971.31609512752</v>
      </c>
      <c r="U135" s="780">
        <f t="shared" si="1051"/>
        <v>-13027.555718246989</v>
      </c>
      <c r="V135" s="780">
        <f t="shared" si="1051"/>
        <v>-12167.444211420123</v>
      </c>
      <c r="W135" s="780">
        <f t="shared" si="1051"/>
        <v>-11228.257793696379</v>
      </c>
      <c r="X135" s="780">
        <f t="shared" si="1051"/>
        <v>-10203.756141625032</v>
      </c>
      <c r="Y135" s="781">
        <f t="shared" si="1051"/>
        <v>-8928.9645055486872</v>
      </c>
      <c r="Z135" s="782">
        <f t="shared" si="1051"/>
        <v>-6565.2951604608934</v>
      </c>
      <c r="AA135" s="780">
        <f t="shared" si="1051"/>
        <v>-7951.6323699894165</v>
      </c>
      <c r="AB135" s="780">
        <f t="shared" si="1051"/>
        <v>-6483.5792380389103</v>
      </c>
      <c r="AC135" s="780">
        <f t="shared" si="1051"/>
        <v>-5307.1722049655655</v>
      </c>
      <c r="AD135" s="780">
        <f t="shared" si="1051"/>
        <v>-3966.3475887754175</v>
      </c>
      <c r="AE135" s="780">
        <f t="shared" si="1051"/>
        <v>-2466.8649492429358</v>
      </c>
      <c r="AF135" s="780">
        <f t="shared" si="1051"/>
        <v>-826.64406907309967</v>
      </c>
      <c r="AG135" s="780">
        <f t="shared" si="1051"/>
        <v>-10770.241509529737</v>
      </c>
      <c r="AH135" s="780">
        <f t="shared" si="1051"/>
        <v>-19174.962642260827</v>
      </c>
      <c r="AI135" s="780">
        <f t="shared" si="1051"/>
        <v>-16925.443971653156</v>
      </c>
      <c r="AJ135" s="780">
        <f t="shared" si="1051"/>
        <v>-25696.207513260568</v>
      </c>
      <c r="AK135" s="781">
        <f t="shared" si="1051"/>
        <v>-30466.524333613874</v>
      </c>
      <c r="AL135" s="782">
        <f t="shared" si="1051"/>
        <v>-30644.209260269774</v>
      </c>
      <c r="AM135" s="780">
        <f t="shared" si="1051"/>
        <v>-25743.81021126837</v>
      </c>
      <c r="AN135" s="780">
        <f t="shared" si="1051"/>
        <v>-25374.965354328699</v>
      </c>
      <c r="AO135" s="780">
        <f t="shared" si="1051"/>
        <v>-21685.632709168298</v>
      </c>
      <c r="AP135" s="780">
        <f t="shared" si="1051"/>
        <v>-17735.699053003482</v>
      </c>
      <c r="AQ135" s="780">
        <f t="shared" si="1051"/>
        <v>-25824.517795504849</v>
      </c>
      <c r="AR135" s="780">
        <f t="shared" si="1051"/>
        <v>-13812.381476188923</v>
      </c>
      <c r="AS135" s="780">
        <f t="shared" si="1051"/>
        <v>-15733.807969274916</v>
      </c>
      <c r="AT135" s="780">
        <f t="shared" si="1051"/>
        <v>-12981.108202038886</v>
      </c>
      <c r="AU135" s="780">
        <f t="shared" si="1051"/>
        <v>-27659.485752690453</v>
      </c>
      <c r="AV135" s="780">
        <f t="shared" si="1051"/>
        <v>-14368.892474155029</v>
      </c>
      <c r="AW135" s="781">
        <f t="shared" si="1051"/>
        <v>-16222.784178653252</v>
      </c>
      <c r="AX135" s="782">
        <f t="shared" si="1051"/>
        <v>-10757.412118790759</v>
      </c>
      <c r="AY135" s="780">
        <f t="shared" si="1051"/>
        <v>-7276.3573668028694</v>
      </c>
      <c r="AZ135" s="780">
        <f t="shared" si="1051"/>
        <v>-728.33143403028953</v>
      </c>
      <c r="BA135" s="780">
        <f t="shared" si="1051"/>
        <v>-6343.9301669844717</v>
      </c>
      <c r="BB135" s="780">
        <f t="shared" si="1051"/>
        <v>2806.545093130655</v>
      </c>
      <c r="BC135" s="780">
        <f t="shared" si="1051"/>
        <v>10443.101931745798</v>
      </c>
      <c r="BD135" s="780">
        <f t="shared" si="1051"/>
        <v>4256.0741498096177</v>
      </c>
      <c r="BE135" s="780">
        <f t="shared" si="1051"/>
        <v>-243.85907681621029</v>
      </c>
      <c r="BF135" s="780">
        <f t="shared" si="1051"/>
        <v>8404.3480662194488</v>
      </c>
      <c r="BG135" s="780">
        <f t="shared" si="1051"/>
        <v>10505.464546137853</v>
      </c>
      <c r="BH135" s="780">
        <f t="shared" si="1051"/>
        <v>5996.34105228525</v>
      </c>
      <c r="BI135" s="781">
        <f t="shared" si="1051"/>
        <v>31887.180861373214</v>
      </c>
    </row>
    <row r="136" spans="1:61" s="780" customFormat="1" hidden="1" outlineLevel="1">
      <c r="A136" s="780" t="s">
        <v>288</v>
      </c>
      <c r="M136" s="781">
        <f t="shared" ref="M136" si="1052">IF($M$5&gt;$L$5,($M$5-$L$5)*B541,0)</f>
        <v>1850</v>
      </c>
      <c r="N136" s="782">
        <f t="shared" ref="N136" si="1053">IF($M$5&gt;$L$5,($M$5-$L$5)*C541,0)</f>
        <v>1937.1558751999999</v>
      </c>
      <c r="O136" s="780">
        <f t="shared" ref="O136" si="1054">IF($M$5&gt;$L$5,($M$5-$L$5)*D541,0)</f>
        <v>2030.0190587848704</v>
      </c>
      <c r="P136" s="780">
        <f t="shared" ref="P136" si="1055">IF($M$5&gt;$L$5,($M$5-$L$5)*E541,0)</f>
        <v>2128.941218449359</v>
      </c>
      <c r="Q136" s="780">
        <f t="shared" ref="Q136" si="1056">IF($M$5&gt;$L$5,($M$5-$L$5)*F541,0)</f>
        <v>2234.2900324673633</v>
      </c>
      <c r="R136" s="780">
        <f t="shared" ref="R136" si="1057">IF($M$5&gt;$L$5,($M$5-$L$5)*G541,0)</f>
        <v>2346.4496034726417</v>
      </c>
      <c r="S136" s="780">
        <f t="shared" ref="S136" si="1058">IF($M$5&gt;$L$5,($M$5-$L$5)*H541,0)</f>
        <v>2465.8208731027789</v>
      </c>
      <c r="T136" s="780">
        <f t="shared" ref="T136" si="1059">IF($M$5&gt;$L$5,($M$5-$L$5)*I541,0)</f>
        <v>2592.8220377557409</v>
      </c>
      <c r="U136" s="780">
        <f t="shared" ref="U136" si="1060">IF($M$5&gt;$L$5,($M$5-$L$5)*J541,0)</f>
        <v>2727.8889657926175</v>
      </c>
      <c r="V136" s="780">
        <f t="shared" ref="V136" si="1061">IF($M$5&gt;$L$5,($M$5-$L$5)*K541,0)</f>
        <v>2871.4756166091629</v>
      </c>
      <c r="W136" s="780">
        <f t="shared" ref="W136" si="1062">IF($M$5&gt;$L$5,($M$5-$L$5)*L541,0)</f>
        <v>3024.0544620924302</v>
      </c>
      <c r="X136" s="780">
        <f t="shared" ref="X136" si="1063">IF($M$5&gt;$L$5,($M$5-$L$5)*M541,0)</f>
        <v>3186.1169110768442</v>
      </c>
      <c r="Y136" s="781">
        <f t="shared" ref="Y136" si="1064">IF($M$5&gt;$L$5,($M$5-$L$5)*N541,0)</f>
        <v>3358.9807376414046</v>
      </c>
      <c r="Z136" s="782">
        <f t="shared" ref="Z136" si="1065">IF($M$5&gt;$L$5,($M$5-$L$5)*O541,0)</f>
        <v>3543.2416591361321</v>
      </c>
      <c r="AA136" s="780">
        <f t="shared" ref="AA136" si="1066">IF($M$5&gt;$L$5,($M$5-$L$5)*P541,0)</f>
        <v>3739.515514961849</v>
      </c>
      <c r="AB136" s="780">
        <f t="shared" ref="AB136" si="1067">IF($M$5&gt;$L$5,($M$5-$L$5)*Q541,0)</f>
        <v>3948.4383904349252</v>
      </c>
      <c r="AC136" s="780">
        <f t="shared" ref="AC136" si="1068">IF($M$5&gt;$L$5,($M$5-$L$5)*R541,0)</f>
        <v>4170.6667372134807</v>
      </c>
      <c r="AD136" s="780">
        <f t="shared" ref="AD136" si="1069">IF($M$5&gt;$L$5,($M$5-$L$5)*S541,0)</f>
        <v>4406.877493173627</v>
      </c>
      <c r="AE136" s="780">
        <f t="shared" ref="AE136" si="1070">IF($M$5&gt;$L$5,($M$5-$L$5)*T541,0)</f>
        <v>4657.7682048703127</v>
      </c>
      <c r="AF136" s="780">
        <f t="shared" ref="AF136" si="1071">IF($M$5&gt;$L$5,($M$5-$L$5)*U541,0)</f>
        <v>4924.0571559566215</v>
      </c>
      <c r="AG136" s="780">
        <f t="shared" ref="AG136" si="1072">IF($M$5&gt;$L$5,($M$5-$L$5)*V541,0)</f>
        <v>5206.4835051661303</v>
      </c>
      <c r="AH136" s="780">
        <f t="shared" ref="AH136" si="1073">IF($M$5&gt;$L$5,($M$5-$L$5)*W541,0)</f>
        <v>5505.8074376836603</v>
      </c>
      <c r="AI136" s="780">
        <f t="shared" ref="AI136" si="1074">IF($M$5&gt;$L$5,($M$5-$L$5)*X541,0)</f>
        <v>5822.8103339388172</v>
      </c>
      <c r="AJ136" s="780">
        <f t="shared" ref="AJ136" si="1075">IF($M$5&gt;$L$5,($M$5-$L$5)*Y541,0)</f>
        <v>6158.2949600526208</v>
      </c>
      <c r="AK136" s="781">
        <f t="shared" ref="AK136" si="1076">IF($M$5&gt;$L$5,($M$5-$L$5)*Z541,0)</f>
        <v>6514.1392664878649</v>
      </c>
      <c r="AL136" s="782">
        <f t="shared" ref="AL136" si="1077">IF($M$5&gt;$L$5,($M$5-$L$5)*AA541,0)</f>
        <v>6891.2420929122554</v>
      </c>
      <c r="AM136" s="780">
        <f t="shared" ref="AM136" si="1078">IF($M$5&gt;$L$5,($M$5-$L$5)*AB541,0)</f>
        <v>7290.5201481641989</v>
      </c>
      <c r="AN136" s="780">
        <f t="shared" ref="AN136" si="1079">IF($M$5&gt;$L$5,($M$5-$L$5)*AC541,0)</f>
        <v>7712.9078999165331</v>
      </c>
      <c r="AO136" s="780">
        <f t="shared" ref="AO136" si="1080">IF($M$5&gt;$L$5,($M$5-$L$5)*AD541,0)</f>
        <v>8159.357530652579</v>
      </c>
      <c r="AP136" s="780">
        <f t="shared" ref="AP136" si="1081">IF($M$5&gt;$L$5,($M$5-$L$5)*AE541,0)</f>
        <v>8630.8389688113039</v>
      </c>
      <c r="AQ136" s="780">
        <f t="shared" ref="AQ136" si="1082">IF($M$5&gt;$L$5,($M$5-$L$5)*AF541,0)</f>
        <v>9128.3400039027438</v>
      </c>
      <c r="AR136" s="780">
        <f t="shared" ref="AR136" si="1083">IF($M$5&gt;$L$5,($M$5-$L$5)*AG541,0)</f>
        <v>9652.8664942797932</v>
      </c>
      <c r="AS136" s="780">
        <f t="shared" ref="AS136" si="1084">IF($M$5&gt;$L$5,($M$5-$L$5)*AH541,0)</f>
        <v>10205.442676078563</v>
      </c>
      <c r="AT136" s="780">
        <f t="shared" ref="AT136" si="1085">IF($M$5&gt;$L$5,($M$5-$L$5)*AI541,0)</f>
        <v>10787.111581608189</v>
      </c>
      <c r="AU136" s="780">
        <f t="shared" ref="AU136" si="1086">IF($M$5&gt;$L$5,($M$5-$L$5)*AJ541,0)</f>
        <v>11398.935575183927</v>
      </c>
      <c r="AV136" s="780">
        <f t="shared" ref="AV136" si="1087">IF($M$5&gt;$L$5,($M$5-$L$5)*AK541,0)</f>
        <v>12041.997014057681</v>
      </c>
      <c r="AW136" s="781">
        <f t="shared" ref="AW136" si="1088">IF($M$5&gt;$L$5,($M$5-$L$5)*AL541,0)</f>
        <v>11309.223860591001</v>
      </c>
      <c r="AX136" s="782">
        <f t="shared" ref="AX136" si="1089">IF($M$5&gt;$L$5,($M$5-$L$5)*AM541,0)</f>
        <v>11938.59815317693</v>
      </c>
      <c r="AY136" s="780">
        <f t="shared" ref="AY136" si="1090">IF($M$5&gt;$L$5,($M$5-$L$5)*AN541,0)</f>
        <v>12598.640561226617</v>
      </c>
      <c r="AZ136" s="780">
        <f t="shared" ref="AZ136" si="1091">IF($M$5&gt;$L$5,($M$5-$L$5)*AO541,0)</f>
        <v>13290.384784867672</v>
      </c>
      <c r="BA136" s="780">
        <f t="shared" ref="BA136" si="1092">IF($M$5&gt;$L$5,($M$5-$L$5)*AP541,0)</f>
        <v>14014.886742419074</v>
      </c>
      <c r="BB136" s="780">
        <f t="shared" ref="BB136" si="1093">IF($M$5&gt;$L$5,($M$5-$L$5)*AQ541,0)</f>
        <v>14773.225935151826</v>
      </c>
      <c r="BC136" s="780">
        <f t="shared" ref="BC136" si="1094">IF($M$5&gt;$L$5,($M$5-$L$5)*AR541,0)</f>
        <v>15566.50695843432</v>
      </c>
      <c r="BD136" s="780">
        <f t="shared" ref="BD136" si="1095">IF($M$5&gt;$L$5,($M$5-$L$5)*AS541,0)</f>
        <v>16395.861162308756</v>
      </c>
      <c r="BE136" s="780">
        <f t="shared" ref="BE136" si="1096">IF($M$5&gt;$L$5,($M$5-$L$5)*AT541,0)</f>
        <v>17262.448464000674</v>
      </c>
      <c r="BF136" s="780">
        <f t="shared" ref="BF136" si="1097">IF($M$5&gt;$L$5,($M$5-$L$5)*AU541,0)</f>
        <v>18167.459314320589</v>
      </c>
      <c r="BG136" s="780">
        <f t="shared" ref="BG136" si="1098">IF($M$5&gt;$L$5,($M$5-$L$5)*AV541,0)</f>
        <v>19112.116819380197</v>
      </c>
      <c r="BH136" s="780">
        <f t="shared" ref="BH136" si="1099">IF($M$5&gt;$L$5,($M$5-$L$5)*AW541,0)</f>
        <v>20097.679018522183</v>
      </c>
      <c r="BI136" s="781">
        <f t="shared" ref="BI136" si="1100">IF($M$5&gt;$L$5,($M$5-$L$5)*AX541,0)</f>
        <v>12752.947938519361</v>
      </c>
    </row>
    <row r="137" spans="1:61" s="780" customFormat="1" hidden="1" outlineLevel="1">
      <c r="M137" s="781"/>
      <c r="N137" s="782"/>
      <c r="Y137" s="781"/>
      <c r="Z137" s="782"/>
      <c r="AK137" s="781"/>
      <c r="AL137" s="782"/>
      <c r="AW137" s="781"/>
      <c r="AX137" s="782"/>
      <c r="BI137" s="781"/>
    </row>
    <row r="138" spans="1:61" s="780" customFormat="1" hidden="1" outlineLevel="1">
      <c r="A138" s="780" t="s">
        <v>359</v>
      </c>
      <c r="M138" s="781"/>
      <c r="N138" s="782">
        <f>IF($N$5&gt;$M$5,($N$5-$M$5)*B535,0)</f>
        <v>0</v>
      </c>
      <c r="O138" s="780">
        <f t="shared" ref="O138" si="1101">IF($N$5&gt;$M$5,($N$5-$M$5)*C535,0)</f>
        <v>0</v>
      </c>
      <c r="P138" s="780">
        <f t="shared" ref="P138" si="1102">IF($N$5&gt;$M$5,($N$5-$M$5)*D535,0)</f>
        <v>0</v>
      </c>
      <c r="Q138" s="780">
        <f t="shared" ref="Q138" si="1103">IF($N$5&gt;$M$5,($N$5-$M$5)*E535,0)</f>
        <v>0</v>
      </c>
      <c r="R138" s="780">
        <f t="shared" ref="R138" si="1104">IF($N$5&gt;$M$5,($N$5-$M$5)*F535,0)</f>
        <v>0</v>
      </c>
      <c r="S138" s="780">
        <f t="shared" ref="S138" si="1105">IF($N$5&gt;$M$5,($N$5-$M$5)*G535,0)</f>
        <v>0</v>
      </c>
      <c r="T138" s="780">
        <f t="shared" ref="T138" si="1106">IF($N$5&gt;$M$5,($N$5-$M$5)*H535,0)</f>
        <v>0</v>
      </c>
      <c r="U138" s="780">
        <f t="shared" ref="U138" si="1107">IF($N$5&gt;$M$5,($N$5-$M$5)*I535,0)</f>
        <v>0</v>
      </c>
      <c r="V138" s="780">
        <f t="shared" ref="V138" si="1108">IF($N$5&gt;$M$5,($N$5-$M$5)*J535,0)</f>
        <v>0</v>
      </c>
      <c r="W138" s="780">
        <f t="shared" ref="W138" si="1109">IF($N$5&gt;$M$5,($N$5-$M$5)*K535,0)</f>
        <v>0</v>
      </c>
      <c r="X138" s="780">
        <f t="shared" ref="X138" si="1110">IF($N$5&gt;$M$5,($N$5-$M$5)*L535,0)</f>
        <v>0</v>
      </c>
      <c r="Y138" s="781">
        <f t="shared" ref="Y138" si="1111">IF($N$5&gt;$M$5,($N$5-$M$5)*M535,0)</f>
        <v>0</v>
      </c>
      <c r="Z138" s="782">
        <f t="shared" ref="Z138" si="1112">IF($N$5&gt;$M$5,($N$5-$M$5)*N535,0)</f>
        <v>0</v>
      </c>
      <c r="AA138" s="780">
        <f t="shared" ref="AA138" si="1113">IF($N$5&gt;$M$5,($N$5-$M$5)*O535,0)</f>
        <v>0</v>
      </c>
      <c r="AB138" s="780">
        <f t="shared" ref="AB138" si="1114">IF($N$5&gt;$M$5,($N$5-$M$5)*P535,0)</f>
        <v>0</v>
      </c>
      <c r="AC138" s="780">
        <f t="shared" ref="AC138" si="1115">IF($N$5&gt;$M$5,($N$5-$M$5)*Q535,0)</f>
        <v>0</v>
      </c>
      <c r="AD138" s="780">
        <f t="shared" ref="AD138" si="1116">IF($N$5&gt;$M$5,($N$5-$M$5)*R535,0)</f>
        <v>0</v>
      </c>
      <c r="AE138" s="780">
        <f t="shared" ref="AE138" si="1117">IF($N$5&gt;$M$5,($N$5-$M$5)*S535,0)</f>
        <v>0</v>
      </c>
      <c r="AF138" s="780">
        <f t="shared" ref="AF138" si="1118">IF($N$5&gt;$M$5,($N$5-$M$5)*T535,0)</f>
        <v>0</v>
      </c>
      <c r="AG138" s="780">
        <f t="shared" ref="AG138" si="1119">IF($N$5&gt;$M$5,($N$5-$M$5)*U535,0)</f>
        <v>0</v>
      </c>
      <c r="AH138" s="780">
        <f t="shared" ref="AH138" si="1120">IF($N$5&gt;$M$5,($N$5-$M$5)*V535,0)</f>
        <v>0</v>
      </c>
      <c r="AI138" s="780">
        <f t="shared" ref="AI138" si="1121">IF($N$5&gt;$M$5,($N$5-$M$5)*W535,0)</f>
        <v>0</v>
      </c>
      <c r="AJ138" s="780">
        <f t="shared" ref="AJ138" si="1122">IF($N$5&gt;$M$5,($N$5-$M$5)*X535,0)</f>
        <v>0</v>
      </c>
      <c r="AK138" s="781">
        <f t="shared" ref="AK138" si="1123">IF($N$5&gt;$M$5,($N$5-$M$5)*Y535,0)</f>
        <v>0</v>
      </c>
      <c r="AL138" s="782">
        <f t="shared" ref="AL138" si="1124">IF($N$5&gt;$M$5,($N$5-$M$5)*Z535,0)</f>
        <v>0</v>
      </c>
      <c r="AM138" s="780">
        <f t="shared" ref="AM138" si="1125">IF($N$5&gt;$M$5,($N$5-$M$5)*AA535,0)</f>
        <v>0</v>
      </c>
      <c r="AN138" s="780">
        <f t="shared" ref="AN138" si="1126">IF($N$5&gt;$M$5,($N$5-$M$5)*AB535,0)</f>
        <v>0</v>
      </c>
      <c r="AO138" s="780">
        <f t="shared" ref="AO138" si="1127">IF($N$5&gt;$M$5,($N$5-$M$5)*AC535,0)</f>
        <v>0</v>
      </c>
      <c r="AP138" s="780">
        <f t="shared" ref="AP138" si="1128">IF($N$5&gt;$M$5,($N$5-$M$5)*AD535,0)</f>
        <v>0</v>
      </c>
      <c r="AQ138" s="780">
        <f t="shared" ref="AQ138" si="1129">IF($N$5&gt;$M$5,($N$5-$M$5)*AE535,0)</f>
        <v>0</v>
      </c>
      <c r="AR138" s="780">
        <f t="shared" ref="AR138" si="1130">IF($N$5&gt;$M$5,($N$5-$M$5)*AF535,0)</f>
        <v>0</v>
      </c>
      <c r="AS138" s="780">
        <f t="shared" ref="AS138" si="1131">IF($N$5&gt;$M$5,($N$5-$M$5)*AG535,0)</f>
        <v>0</v>
      </c>
      <c r="AT138" s="780">
        <f t="shared" ref="AT138" si="1132">IF($N$5&gt;$M$5,($N$5-$M$5)*AH535,0)</f>
        <v>0</v>
      </c>
      <c r="AU138" s="780">
        <f t="shared" ref="AU138" si="1133">IF($N$5&gt;$M$5,($N$5-$M$5)*AI535,0)</f>
        <v>0</v>
      </c>
      <c r="AV138" s="780">
        <f t="shared" ref="AV138" si="1134">IF($N$5&gt;$M$5,($N$5-$M$5)*AJ535,0)</f>
        <v>0</v>
      </c>
      <c r="AW138" s="781">
        <f t="shared" ref="AW138" si="1135">IF($N$5&gt;$M$5,($N$5-$M$5)*AK535,0)</f>
        <v>0</v>
      </c>
      <c r="AX138" s="782">
        <f t="shared" ref="AX138" si="1136">IF($N$5&gt;$M$5,($N$5-$M$5)*AL535,0)</f>
        <v>0</v>
      </c>
      <c r="AY138" s="780">
        <f t="shared" ref="AY138" si="1137">IF($N$5&gt;$M$5,($N$5-$M$5)*AM535,0)</f>
        <v>0</v>
      </c>
      <c r="AZ138" s="780">
        <f t="shared" ref="AZ138" si="1138">IF($N$5&gt;$M$5,($N$5-$M$5)*AN535,0)</f>
        <v>0</v>
      </c>
      <c r="BA138" s="780">
        <f t="shared" ref="BA138" si="1139">IF($N$5&gt;$M$5,($N$5-$M$5)*AO535,0)</f>
        <v>0</v>
      </c>
      <c r="BB138" s="780">
        <f t="shared" ref="BB138" si="1140">IF($N$5&gt;$M$5,($N$5-$M$5)*AP535,0)</f>
        <v>0</v>
      </c>
      <c r="BC138" s="780">
        <f t="shared" ref="BC138" si="1141">IF($N$5&gt;$M$5,($N$5-$M$5)*AQ535,0)</f>
        <v>0</v>
      </c>
      <c r="BD138" s="780">
        <f t="shared" ref="BD138" si="1142">IF($N$5&gt;$M$5,($N$5-$M$5)*AR535,0)</f>
        <v>0</v>
      </c>
      <c r="BE138" s="780">
        <f t="shared" ref="BE138" si="1143">IF($N$5&gt;$M$5,($N$5-$M$5)*AS535,0)</f>
        <v>0</v>
      </c>
      <c r="BF138" s="780">
        <f t="shared" ref="BF138" si="1144">IF($N$5&gt;$M$5,($N$5-$M$5)*AT535,0)</f>
        <v>0</v>
      </c>
      <c r="BG138" s="780">
        <f t="shared" ref="BG138" si="1145">IF($N$5&gt;$M$5,($N$5-$M$5)*AU535,0)</f>
        <v>0</v>
      </c>
      <c r="BH138" s="780">
        <f t="shared" ref="BH138" si="1146">IF($N$5&gt;$M$5,($N$5-$M$5)*AV535,0)</f>
        <v>0</v>
      </c>
      <c r="BI138" s="781">
        <f t="shared" ref="BI138" si="1147">IF($N$5&gt;$M$5,($N$5-$M$5)*AW535,0)</f>
        <v>0</v>
      </c>
    </row>
    <row r="139" spans="1:61" s="780" customFormat="1" hidden="1" outlineLevel="1">
      <c r="A139" s="780" t="str">
        <f>$A$536</f>
        <v>Leads</v>
      </c>
      <c r="M139" s="781"/>
      <c r="N139" s="782">
        <f>IF($N$5&gt;$M$5,($N$5-$M$5)*B536,0)</f>
        <v>0</v>
      </c>
      <c r="O139" s="780">
        <f t="shared" ref="O139:BI139" si="1148">IF($N$5&gt;$M$5,($N$5-$M$5)*C536,0)</f>
        <v>0</v>
      </c>
      <c r="P139" s="780">
        <f t="shared" si="1148"/>
        <v>0</v>
      </c>
      <c r="Q139" s="780">
        <f t="shared" si="1148"/>
        <v>0</v>
      </c>
      <c r="R139" s="780">
        <f t="shared" si="1148"/>
        <v>0</v>
      </c>
      <c r="S139" s="780">
        <f t="shared" si="1148"/>
        <v>0</v>
      </c>
      <c r="T139" s="780">
        <f t="shared" si="1148"/>
        <v>0</v>
      </c>
      <c r="U139" s="780">
        <f t="shared" si="1148"/>
        <v>0</v>
      </c>
      <c r="V139" s="780">
        <f t="shared" si="1148"/>
        <v>0</v>
      </c>
      <c r="W139" s="780">
        <f t="shared" si="1148"/>
        <v>0</v>
      </c>
      <c r="X139" s="780">
        <f t="shared" si="1148"/>
        <v>0</v>
      </c>
      <c r="Y139" s="781">
        <f t="shared" si="1148"/>
        <v>0</v>
      </c>
      <c r="Z139" s="782">
        <f t="shared" si="1148"/>
        <v>0</v>
      </c>
      <c r="AA139" s="780">
        <f t="shared" si="1148"/>
        <v>0</v>
      </c>
      <c r="AB139" s="780">
        <f t="shared" si="1148"/>
        <v>0</v>
      </c>
      <c r="AC139" s="780">
        <f t="shared" si="1148"/>
        <v>0</v>
      </c>
      <c r="AD139" s="780">
        <f t="shared" si="1148"/>
        <v>0</v>
      </c>
      <c r="AE139" s="780">
        <f t="shared" si="1148"/>
        <v>0</v>
      </c>
      <c r="AF139" s="780">
        <f t="shared" si="1148"/>
        <v>0</v>
      </c>
      <c r="AG139" s="780">
        <f t="shared" si="1148"/>
        <v>0</v>
      </c>
      <c r="AH139" s="780">
        <f t="shared" si="1148"/>
        <v>0</v>
      </c>
      <c r="AI139" s="780">
        <f t="shared" si="1148"/>
        <v>0</v>
      </c>
      <c r="AJ139" s="780">
        <f t="shared" si="1148"/>
        <v>0</v>
      </c>
      <c r="AK139" s="781">
        <f t="shared" si="1148"/>
        <v>0</v>
      </c>
      <c r="AL139" s="782">
        <f t="shared" si="1148"/>
        <v>0</v>
      </c>
      <c r="AM139" s="780">
        <f t="shared" si="1148"/>
        <v>0</v>
      </c>
      <c r="AN139" s="780">
        <f t="shared" si="1148"/>
        <v>0</v>
      </c>
      <c r="AO139" s="780">
        <f t="shared" si="1148"/>
        <v>0</v>
      </c>
      <c r="AP139" s="780">
        <f t="shared" si="1148"/>
        <v>0</v>
      </c>
      <c r="AQ139" s="780">
        <f t="shared" si="1148"/>
        <v>0</v>
      </c>
      <c r="AR139" s="780">
        <f t="shared" si="1148"/>
        <v>0</v>
      </c>
      <c r="AS139" s="780">
        <f t="shared" si="1148"/>
        <v>0</v>
      </c>
      <c r="AT139" s="780">
        <f t="shared" si="1148"/>
        <v>0</v>
      </c>
      <c r="AU139" s="780">
        <f t="shared" si="1148"/>
        <v>0</v>
      </c>
      <c r="AV139" s="780">
        <f t="shared" si="1148"/>
        <v>0</v>
      </c>
      <c r="AW139" s="781">
        <f t="shared" si="1148"/>
        <v>0</v>
      </c>
      <c r="AX139" s="782">
        <f t="shared" si="1148"/>
        <v>0</v>
      </c>
      <c r="AY139" s="780">
        <f t="shared" si="1148"/>
        <v>0</v>
      </c>
      <c r="AZ139" s="780">
        <f t="shared" si="1148"/>
        <v>0</v>
      </c>
      <c r="BA139" s="780">
        <f t="shared" si="1148"/>
        <v>0</v>
      </c>
      <c r="BB139" s="780">
        <f t="shared" si="1148"/>
        <v>0</v>
      </c>
      <c r="BC139" s="780">
        <f t="shared" si="1148"/>
        <v>0</v>
      </c>
      <c r="BD139" s="780">
        <f t="shared" si="1148"/>
        <v>0</v>
      </c>
      <c r="BE139" s="780">
        <f t="shared" si="1148"/>
        <v>0</v>
      </c>
      <c r="BF139" s="780">
        <f t="shared" si="1148"/>
        <v>0</v>
      </c>
      <c r="BG139" s="780">
        <f t="shared" si="1148"/>
        <v>0</v>
      </c>
      <c r="BH139" s="780">
        <f t="shared" si="1148"/>
        <v>0</v>
      </c>
      <c r="BI139" s="781">
        <f t="shared" si="1148"/>
        <v>0</v>
      </c>
    </row>
    <row r="140" spans="1:61" s="780" customFormat="1" hidden="1" outlineLevel="1">
      <c r="A140" s="780" t="str">
        <f>$A$537</f>
        <v>Audits</v>
      </c>
      <c r="M140" s="781"/>
      <c r="N140" s="782">
        <f t="shared" ref="N140:BI140" si="1149">IF($N$5&gt;$M$5,($N$5-$M$5)*B537,0)</f>
        <v>0</v>
      </c>
      <c r="O140" s="780">
        <f t="shared" si="1149"/>
        <v>0</v>
      </c>
      <c r="P140" s="780">
        <f t="shared" si="1149"/>
        <v>0</v>
      </c>
      <c r="Q140" s="780">
        <f t="shared" si="1149"/>
        <v>0</v>
      </c>
      <c r="R140" s="780">
        <f t="shared" si="1149"/>
        <v>0</v>
      </c>
      <c r="S140" s="780">
        <f t="shared" si="1149"/>
        <v>0</v>
      </c>
      <c r="T140" s="780">
        <f t="shared" si="1149"/>
        <v>0</v>
      </c>
      <c r="U140" s="780">
        <f t="shared" si="1149"/>
        <v>0</v>
      </c>
      <c r="V140" s="780">
        <f t="shared" si="1149"/>
        <v>0</v>
      </c>
      <c r="W140" s="780">
        <f t="shared" si="1149"/>
        <v>0</v>
      </c>
      <c r="X140" s="780">
        <f t="shared" si="1149"/>
        <v>0</v>
      </c>
      <c r="Y140" s="781">
        <f t="shared" si="1149"/>
        <v>0</v>
      </c>
      <c r="Z140" s="782">
        <f t="shared" si="1149"/>
        <v>0</v>
      </c>
      <c r="AA140" s="780">
        <f t="shared" si="1149"/>
        <v>0</v>
      </c>
      <c r="AB140" s="780">
        <f t="shared" si="1149"/>
        <v>0</v>
      </c>
      <c r="AC140" s="780">
        <f t="shared" si="1149"/>
        <v>0</v>
      </c>
      <c r="AD140" s="780">
        <f t="shared" si="1149"/>
        <v>0</v>
      </c>
      <c r="AE140" s="780">
        <f t="shared" si="1149"/>
        <v>0</v>
      </c>
      <c r="AF140" s="780">
        <f t="shared" si="1149"/>
        <v>0</v>
      </c>
      <c r="AG140" s="780">
        <f t="shared" si="1149"/>
        <v>0</v>
      </c>
      <c r="AH140" s="780">
        <f t="shared" si="1149"/>
        <v>0</v>
      </c>
      <c r="AI140" s="780">
        <f t="shared" si="1149"/>
        <v>0</v>
      </c>
      <c r="AJ140" s="780">
        <f t="shared" si="1149"/>
        <v>0</v>
      </c>
      <c r="AK140" s="781">
        <f t="shared" si="1149"/>
        <v>0</v>
      </c>
      <c r="AL140" s="782">
        <f t="shared" si="1149"/>
        <v>0</v>
      </c>
      <c r="AM140" s="780">
        <f t="shared" si="1149"/>
        <v>0</v>
      </c>
      <c r="AN140" s="780">
        <f t="shared" si="1149"/>
        <v>0</v>
      </c>
      <c r="AO140" s="780">
        <f t="shared" si="1149"/>
        <v>0</v>
      </c>
      <c r="AP140" s="780">
        <f t="shared" si="1149"/>
        <v>0</v>
      </c>
      <c r="AQ140" s="780">
        <f t="shared" si="1149"/>
        <v>0</v>
      </c>
      <c r="AR140" s="780">
        <f t="shared" si="1149"/>
        <v>0</v>
      </c>
      <c r="AS140" s="780">
        <f t="shared" si="1149"/>
        <v>0</v>
      </c>
      <c r="AT140" s="780">
        <f t="shared" si="1149"/>
        <v>0</v>
      </c>
      <c r="AU140" s="780">
        <f t="shared" si="1149"/>
        <v>0</v>
      </c>
      <c r="AV140" s="780">
        <f t="shared" si="1149"/>
        <v>0</v>
      </c>
      <c r="AW140" s="781">
        <f t="shared" si="1149"/>
        <v>0</v>
      </c>
      <c r="AX140" s="782">
        <f t="shared" si="1149"/>
        <v>0</v>
      </c>
      <c r="AY140" s="780">
        <f t="shared" si="1149"/>
        <v>0</v>
      </c>
      <c r="AZ140" s="780">
        <f t="shared" si="1149"/>
        <v>0</v>
      </c>
      <c r="BA140" s="780">
        <f t="shared" si="1149"/>
        <v>0</v>
      </c>
      <c r="BB140" s="780">
        <f t="shared" si="1149"/>
        <v>0</v>
      </c>
      <c r="BC140" s="780">
        <f t="shared" si="1149"/>
        <v>0</v>
      </c>
      <c r="BD140" s="780">
        <f t="shared" si="1149"/>
        <v>0</v>
      </c>
      <c r="BE140" s="780">
        <f t="shared" si="1149"/>
        <v>0</v>
      </c>
      <c r="BF140" s="780">
        <f t="shared" si="1149"/>
        <v>0</v>
      </c>
      <c r="BG140" s="780">
        <f t="shared" si="1149"/>
        <v>0</v>
      </c>
      <c r="BH140" s="780">
        <f t="shared" si="1149"/>
        <v>0</v>
      </c>
      <c r="BI140" s="781">
        <f t="shared" si="1149"/>
        <v>0</v>
      </c>
    </row>
    <row r="141" spans="1:61" s="780" customFormat="1" hidden="1" outlineLevel="1">
      <c r="A141" s="780" t="str">
        <f>$A$538</f>
        <v>Retrofit</v>
      </c>
      <c r="M141" s="781"/>
      <c r="N141" s="782">
        <f t="shared" ref="N141:BI141" si="1150">IF($N$5&gt;$M$5,($N$5-$M$5)*B538,0)</f>
        <v>0</v>
      </c>
      <c r="O141" s="780">
        <f t="shared" si="1150"/>
        <v>0</v>
      </c>
      <c r="P141" s="780">
        <f t="shared" si="1150"/>
        <v>0</v>
      </c>
      <c r="Q141" s="780">
        <f t="shared" si="1150"/>
        <v>0</v>
      </c>
      <c r="R141" s="780">
        <f t="shared" si="1150"/>
        <v>0</v>
      </c>
      <c r="S141" s="780">
        <f t="shared" si="1150"/>
        <v>0</v>
      </c>
      <c r="T141" s="780">
        <f t="shared" si="1150"/>
        <v>0</v>
      </c>
      <c r="U141" s="780">
        <f t="shared" si="1150"/>
        <v>0</v>
      </c>
      <c r="V141" s="780">
        <f t="shared" si="1150"/>
        <v>0</v>
      </c>
      <c r="W141" s="780">
        <f t="shared" si="1150"/>
        <v>0</v>
      </c>
      <c r="X141" s="780">
        <f t="shared" si="1150"/>
        <v>0</v>
      </c>
      <c r="Y141" s="781">
        <f t="shared" si="1150"/>
        <v>0</v>
      </c>
      <c r="Z141" s="782">
        <f t="shared" si="1150"/>
        <v>0</v>
      </c>
      <c r="AA141" s="780">
        <f t="shared" si="1150"/>
        <v>0</v>
      </c>
      <c r="AB141" s="780">
        <f t="shared" si="1150"/>
        <v>0</v>
      </c>
      <c r="AC141" s="780">
        <f t="shared" si="1150"/>
        <v>0</v>
      </c>
      <c r="AD141" s="780">
        <f t="shared" si="1150"/>
        <v>0</v>
      </c>
      <c r="AE141" s="780">
        <f t="shared" si="1150"/>
        <v>0</v>
      </c>
      <c r="AF141" s="780">
        <f t="shared" si="1150"/>
        <v>0</v>
      </c>
      <c r="AG141" s="780">
        <f t="shared" si="1150"/>
        <v>0</v>
      </c>
      <c r="AH141" s="780">
        <f t="shared" si="1150"/>
        <v>0</v>
      </c>
      <c r="AI141" s="780">
        <f t="shared" si="1150"/>
        <v>0</v>
      </c>
      <c r="AJ141" s="780">
        <f t="shared" si="1150"/>
        <v>0</v>
      </c>
      <c r="AK141" s="781">
        <f t="shared" si="1150"/>
        <v>0</v>
      </c>
      <c r="AL141" s="782">
        <f t="shared" si="1150"/>
        <v>0</v>
      </c>
      <c r="AM141" s="780">
        <f t="shared" si="1150"/>
        <v>0</v>
      </c>
      <c r="AN141" s="780">
        <f t="shared" si="1150"/>
        <v>0</v>
      </c>
      <c r="AO141" s="780">
        <f t="shared" si="1150"/>
        <v>0</v>
      </c>
      <c r="AP141" s="780">
        <f t="shared" si="1150"/>
        <v>0</v>
      </c>
      <c r="AQ141" s="780">
        <f t="shared" si="1150"/>
        <v>0</v>
      </c>
      <c r="AR141" s="780">
        <f t="shared" si="1150"/>
        <v>0</v>
      </c>
      <c r="AS141" s="780">
        <f t="shared" si="1150"/>
        <v>0</v>
      </c>
      <c r="AT141" s="780">
        <f t="shared" si="1150"/>
        <v>0</v>
      </c>
      <c r="AU141" s="780">
        <f t="shared" si="1150"/>
        <v>0</v>
      </c>
      <c r="AV141" s="780">
        <f t="shared" si="1150"/>
        <v>0</v>
      </c>
      <c r="AW141" s="781">
        <f t="shared" si="1150"/>
        <v>0</v>
      </c>
      <c r="AX141" s="782">
        <f t="shared" si="1150"/>
        <v>0</v>
      </c>
      <c r="AY141" s="780">
        <f t="shared" si="1150"/>
        <v>0</v>
      </c>
      <c r="AZ141" s="780">
        <f t="shared" si="1150"/>
        <v>0</v>
      </c>
      <c r="BA141" s="780">
        <f t="shared" si="1150"/>
        <v>0</v>
      </c>
      <c r="BB141" s="780">
        <f t="shared" si="1150"/>
        <v>0</v>
      </c>
      <c r="BC141" s="780">
        <f t="shared" si="1150"/>
        <v>0</v>
      </c>
      <c r="BD141" s="780">
        <f t="shared" si="1150"/>
        <v>0</v>
      </c>
      <c r="BE141" s="780">
        <f t="shared" si="1150"/>
        <v>0</v>
      </c>
      <c r="BF141" s="780">
        <f t="shared" si="1150"/>
        <v>0</v>
      </c>
      <c r="BG141" s="780">
        <f t="shared" si="1150"/>
        <v>0</v>
      </c>
      <c r="BH141" s="780">
        <f t="shared" si="1150"/>
        <v>0</v>
      </c>
      <c r="BI141" s="781">
        <f t="shared" si="1150"/>
        <v>0</v>
      </c>
    </row>
    <row r="142" spans="1:61" s="780" customFormat="1" hidden="1" outlineLevel="1">
      <c r="A142" s="780" t="str">
        <f>$A$539</f>
        <v>Revenue</v>
      </c>
      <c r="M142" s="781"/>
      <c r="N142" s="782">
        <f t="shared" ref="N142:BI142" si="1151">IF($N$5&gt;$M$5,($N$5-$M$5)*B539,0)</f>
        <v>0</v>
      </c>
      <c r="O142" s="780">
        <f t="shared" si="1151"/>
        <v>0</v>
      </c>
      <c r="P142" s="780">
        <f t="shared" si="1151"/>
        <v>0</v>
      </c>
      <c r="Q142" s="780">
        <f t="shared" si="1151"/>
        <v>0</v>
      </c>
      <c r="R142" s="780">
        <f t="shared" si="1151"/>
        <v>0</v>
      </c>
      <c r="S142" s="780">
        <f t="shared" si="1151"/>
        <v>0</v>
      </c>
      <c r="T142" s="780">
        <f t="shared" si="1151"/>
        <v>0</v>
      </c>
      <c r="U142" s="780">
        <f t="shared" si="1151"/>
        <v>0</v>
      </c>
      <c r="V142" s="780">
        <f t="shared" si="1151"/>
        <v>0</v>
      </c>
      <c r="W142" s="780">
        <f t="shared" si="1151"/>
        <v>0</v>
      </c>
      <c r="X142" s="780">
        <f t="shared" si="1151"/>
        <v>0</v>
      </c>
      <c r="Y142" s="781">
        <f t="shared" si="1151"/>
        <v>0</v>
      </c>
      <c r="Z142" s="782">
        <f t="shared" si="1151"/>
        <v>0</v>
      </c>
      <c r="AA142" s="780">
        <f t="shared" si="1151"/>
        <v>0</v>
      </c>
      <c r="AB142" s="780">
        <f t="shared" si="1151"/>
        <v>0</v>
      </c>
      <c r="AC142" s="780">
        <f t="shared" si="1151"/>
        <v>0</v>
      </c>
      <c r="AD142" s="780">
        <f t="shared" si="1151"/>
        <v>0</v>
      </c>
      <c r="AE142" s="780">
        <f t="shared" si="1151"/>
        <v>0</v>
      </c>
      <c r="AF142" s="780">
        <f t="shared" si="1151"/>
        <v>0</v>
      </c>
      <c r="AG142" s="780">
        <f t="shared" si="1151"/>
        <v>0</v>
      </c>
      <c r="AH142" s="780">
        <f t="shared" si="1151"/>
        <v>0</v>
      </c>
      <c r="AI142" s="780">
        <f t="shared" si="1151"/>
        <v>0</v>
      </c>
      <c r="AJ142" s="780">
        <f t="shared" si="1151"/>
        <v>0</v>
      </c>
      <c r="AK142" s="781">
        <f t="shared" si="1151"/>
        <v>0</v>
      </c>
      <c r="AL142" s="782">
        <f t="shared" si="1151"/>
        <v>0</v>
      </c>
      <c r="AM142" s="780">
        <f t="shared" si="1151"/>
        <v>0</v>
      </c>
      <c r="AN142" s="780">
        <f t="shared" si="1151"/>
        <v>0</v>
      </c>
      <c r="AO142" s="780">
        <f t="shared" si="1151"/>
        <v>0</v>
      </c>
      <c r="AP142" s="780">
        <f t="shared" si="1151"/>
        <v>0</v>
      </c>
      <c r="AQ142" s="780">
        <f t="shared" si="1151"/>
        <v>0</v>
      </c>
      <c r="AR142" s="780">
        <f t="shared" si="1151"/>
        <v>0</v>
      </c>
      <c r="AS142" s="780">
        <f t="shared" si="1151"/>
        <v>0</v>
      </c>
      <c r="AT142" s="780">
        <f t="shared" si="1151"/>
        <v>0</v>
      </c>
      <c r="AU142" s="780">
        <f t="shared" si="1151"/>
        <v>0</v>
      </c>
      <c r="AV142" s="780">
        <f t="shared" si="1151"/>
        <v>0</v>
      </c>
      <c r="AW142" s="781">
        <f t="shared" si="1151"/>
        <v>0</v>
      </c>
      <c r="AX142" s="782">
        <f t="shared" si="1151"/>
        <v>0</v>
      </c>
      <c r="AY142" s="780">
        <f t="shared" si="1151"/>
        <v>0</v>
      </c>
      <c r="AZ142" s="780">
        <f t="shared" si="1151"/>
        <v>0</v>
      </c>
      <c r="BA142" s="780">
        <f t="shared" si="1151"/>
        <v>0</v>
      </c>
      <c r="BB142" s="780">
        <f t="shared" si="1151"/>
        <v>0</v>
      </c>
      <c r="BC142" s="780">
        <f t="shared" si="1151"/>
        <v>0</v>
      </c>
      <c r="BD142" s="780">
        <f t="shared" si="1151"/>
        <v>0</v>
      </c>
      <c r="BE142" s="780">
        <f t="shared" si="1151"/>
        <v>0</v>
      </c>
      <c r="BF142" s="780">
        <f t="shared" si="1151"/>
        <v>0</v>
      </c>
      <c r="BG142" s="780">
        <f t="shared" si="1151"/>
        <v>0</v>
      </c>
      <c r="BH142" s="780">
        <f t="shared" si="1151"/>
        <v>0</v>
      </c>
      <c r="BI142" s="781">
        <f t="shared" si="1151"/>
        <v>0</v>
      </c>
    </row>
    <row r="143" spans="1:61" s="780" customFormat="1" hidden="1" outlineLevel="1">
      <c r="A143" s="780" t="str">
        <f>$A$540</f>
        <v>Net Income</v>
      </c>
      <c r="M143" s="781"/>
      <c r="N143" s="782">
        <f t="shared" ref="N143:BI143" si="1152">IF($N$5&gt;$M$5,($N$5-$M$5)*B540,0)</f>
        <v>0</v>
      </c>
      <c r="O143" s="780">
        <f t="shared" si="1152"/>
        <v>0</v>
      </c>
      <c r="P143" s="780">
        <f t="shared" si="1152"/>
        <v>0</v>
      </c>
      <c r="Q143" s="780">
        <f t="shared" si="1152"/>
        <v>0</v>
      </c>
      <c r="R143" s="780">
        <f t="shared" si="1152"/>
        <v>0</v>
      </c>
      <c r="S143" s="780">
        <f t="shared" si="1152"/>
        <v>0</v>
      </c>
      <c r="T143" s="780">
        <f t="shared" si="1152"/>
        <v>0</v>
      </c>
      <c r="U143" s="780">
        <f t="shared" si="1152"/>
        <v>0</v>
      </c>
      <c r="V143" s="780">
        <f t="shared" si="1152"/>
        <v>0</v>
      </c>
      <c r="W143" s="780">
        <f t="shared" si="1152"/>
        <v>0</v>
      </c>
      <c r="X143" s="780">
        <f t="shared" si="1152"/>
        <v>0</v>
      </c>
      <c r="Y143" s="781">
        <f t="shared" si="1152"/>
        <v>0</v>
      </c>
      <c r="Z143" s="782">
        <f t="shared" si="1152"/>
        <v>0</v>
      </c>
      <c r="AA143" s="780">
        <f t="shared" si="1152"/>
        <v>0</v>
      </c>
      <c r="AB143" s="780">
        <f t="shared" si="1152"/>
        <v>0</v>
      </c>
      <c r="AC143" s="780">
        <f t="shared" si="1152"/>
        <v>0</v>
      </c>
      <c r="AD143" s="780">
        <f t="shared" si="1152"/>
        <v>0</v>
      </c>
      <c r="AE143" s="780">
        <f t="shared" si="1152"/>
        <v>0</v>
      </c>
      <c r="AF143" s="780">
        <f t="shared" si="1152"/>
        <v>0</v>
      </c>
      <c r="AG143" s="780">
        <f t="shared" si="1152"/>
        <v>0</v>
      </c>
      <c r="AH143" s="780">
        <f t="shared" si="1152"/>
        <v>0</v>
      </c>
      <c r="AI143" s="780">
        <f t="shared" si="1152"/>
        <v>0</v>
      </c>
      <c r="AJ143" s="780">
        <f t="shared" si="1152"/>
        <v>0</v>
      </c>
      <c r="AK143" s="781">
        <f t="shared" si="1152"/>
        <v>0</v>
      </c>
      <c r="AL143" s="782">
        <f t="shared" si="1152"/>
        <v>0</v>
      </c>
      <c r="AM143" s="780">
        <f t="shared" si="1152"/>
        <v>0</v>
      </c>
      <c r="AN143" s="780">
        <f t="shared" si="1152"/>
        <v>0</v>
      </c>
      <c r="AO143" s="780">
        <f t="shared" si="1152"/>
        <v>0</v>
      </c>
      <c r="AP143" s="780">
        <f t="shared" si="1152"/>
        <v>0</v>
      </c>
      <c r="AQ143" s="780">
        <f t="shared" si="1152"/>
        <v>0</v>
      </c>
      <c r="AR143" s="780">
        <f t="shared" si="1152"/>
        <v>0</v>
      </c>
      <c r="AS143" s="780">
        <f t="shared" si="1152"/>
        <v>0</v>
      </c>
      <c r="AT143" s="780">
        <f t="shared" si="1152"/>
        <v>0</v>
      </c>
      <c r="AU143" s="780">
        <f t="shared" si="1152"/>
        <v>0</v>
      </c>
      <c r="AV143" s="780">
        <f t="shared" si="1152"/>
        <v>0</v>
      </c>
      <c r="AW143" s="781">
        <f t="shared" si="1152"/>
        <v>0</v>
      </c>
      <c r="AX143" s="782">
        <f t="shared" si="1152"/>
        <v>0</v>
      </c>
      <c r="AY143" s="780">
        <f t="shared" si="1152"/>
        <v>0</v>
      </c>
      <c r="AZ143" s="780">
        <f t="shared" si="1152"/>
        <v>0</v>
      </c>
      <c r="BA143" s="780">
        <f t="shared" si="1152"/>
        <v>0</v>
      </c>
      <c r="BB143" s="780">
        <f t="shared" si="1152"/>
        <v>0</v>
      </c>
      <c r="BC143" s="780">
        <f t="shared" si="1152"/>
        <v>0</v>
      </c>
      <c r="BD143" s="780">
        <f t="shared" si="1152"/>
        <v>0</v>
      </c>
      <c r="BE143" s="780">
        <f t="shared" si="1152"/>
        <v>0</v>
      </c>
      <c r="BF143" s="780">
        <f t="shared" si="1152"/>
        <v>0</v>
      </c>
      <c r="BG143" s="780">
        <f t="shared" si="1152"/>
        <v>0</v>
      </c>
      <c r="BH143" s="780">
        <f t="shared" si="1152"/>
        <v>0</v>
      </c>
      <c r="BI143" s="781">
        <f t="shared" si="1152"/>
        <v>0</v>
      </c>
    </row>
    <row r="144" spans="1:61" s="780" customFormat="1" hidden="1" outlineLevel="1">
      <c r="A144" s="780" t="s">
        <v>288</v>
      </c>
      <c r="M144" s="781"/>
      <c r="N144" s="782">
        <f t="shared" ref="N144" si="1153">IF($N$5&gt;$M$5,($N$5-$M$5)*B541,0)</f>
        <v>0</v>
      </c>
      <c r="O144" s="780">
        <f t="shared" ref="O144" si="1154">IF($N$5&gt;$M$5,($N$5-$M$5)*C541,0)</f>
        <v>0</v>
      </c>
      <c r="P144" s="780">
        <f t="shared" ref="P144" si="1155">IF($N$5&gt;$M$5,($N$5-$M$5)*D541,0)</f>
        <v>0</v>
      </c>
      <c r="Q144" s="780">
        <f t="shared" ref="Q144" si="1156">IF($N$5&gt;$M$5,($N$5-$M$5)*E541,0)</f>
        <v>0</v>
      </c>
      <c r="R144" s="780">
        <f t="shared" ref="R144" si="1157">IF($N$5&gt;$M$5,($N$5-$M$5)*F541,0)</f>
        <v>0</v>
      </c>
      <c r="S144" s="780">
        <f t="shared" ref="S144" si="1158">IF($N$5&gt;$M$5,($N$5-$M$5)*G541,0)</f>
        <v>0</v>
      </c>
      <c r="T144" s="780">
        <f t="shared" ref="T144" si="1159">IF($N$5&gt;$M$5,($N$5-$M$5)*H541,0)</f>
        <v>0</v>
      </c>
      <c r="U144" s="780">
        <f t="shared" ref="U144" si="1160">IF($N$5&gt;$M$5,($N$5-$M$5)*I541,0)</f>
        <v>0</v>
      </c>
      <c r="V144" s="780">
        <f t="shared" ref="V144" si="1161">IF($N$5&gt;$M$5,($N$5-$M$5)*J541,0)</f>
        <v>0</v>
      </c>
      <c r="W144" s="780">
        <f t="shared" ref="W144" si="1162">IF($N$5&gt;$M$5,($N$5-$M$5)*K541,0)</f>
        <v>0</v>
      </c>
      <c r="X144" s="780">
        <f t="shared" ref="X144" si="1163">IF($N$5&gt;$M$5,($N$5-$M$5)*L541,0)</f>
        <v>0</v>
      </c>
      <c r="Y144" s="781">
        <f t="shared" ref="Y144" si="1164">IF($N$5&gt;$M$5,($N$5-$M$5)*M541,0)</f>
        <v>0</v>
      </c>
      <c r="Z144" s="782">
        <f t="shared" ref="Z144" si="1165">IF($N$5&gt;$M$5,($N$5-$M$5)*N541,0)</f>
        <v>0</v>
      </c>
      <c r="AA144" s="780">
        <f t="shared" ref="AA144" si="1166">IF($N$5&gt;$M$5,($N$5-$M$5)*O541,0)</f>
        <v>0</v>
      </c>
      <c r="AB144" s="780">
        <f t="shared" ref="AB144" si="1167">IF($N$5&gt;$M$5,($N$5-$M$5)*P541,0)</f>
        <v>0</v>
      </c>
      <c r="AC144" s="780">
        <f t="shared" ref="AC144" si="1168">IF($N$5&gt;$M$5,($N$5-$M$5)*Q541,0)</f>
        <v>0</v>
      </c>
      <c r="AD144" s="780">
        <f t="shared" ref="AD144" si="1169">IF($N$5&gt;$M$5,($N$5-$M$5)*R541,0)</f>
        <v>0</v>
      </c>
      <c r="AE144" s="780">
        <f t="shared" ref="AE144" si="1170">IF($N$5&gt;$M$5,($N$5-$M$5)*S541,0)</f>
        <v>0</v>
      </c>
      <c r="AF144" s="780">
        <f t="shared" ref="AF144" si="1171">IF($N$5&gt;$M$5,($N$5-$M$5)*T541,0)</f>
        <v>0</v>
      </c>
      <c r="AG144" s="780">
        <f t="shared" ref="AG144" si="1172">IF($N$5&gt;$M$5,($N$5-$M$5)*U541,0)</f>
        <v>0</v>
      </c>
      <c r="AH144" s="780">
        <f t="shared" ref="AH144" si="1173">IF($N$5&gt;$M$5,($N$5-$M$5)*V541,0)</f>
        <v>0</v>
      </c>
      <c r="AI144" s="780">
        <f t="shared" ref="AI144" si="1174">IF($N$5&gt;$M$5,($N$5-$M$5)*W541,0)</f>
        <v>0</v>
      </c>
      <c r="AJ144" s="780">
        <f t="shared" ref="AJ144" si="1175">IF($N$5&gt;$M$5,($N$5-$M$5)*X541,0)</f>
        <v>0</v>
      </c>
      <c r="AK144" s="781">
        <f t="shared" ref="AK144" si="1176">IF($N$5&gt;$M$5,($N$5-$M$5)*Y541,0)</f>
        <v>0</v>
      </c>
      <c r="AL144" s="782">
        <f t="shared" ref="AL144" si="1177">IF($N$5&gt;$M$5,($N$5-$M$5)*Z541,0)</f>
        <v>0</v>
      </c>
      <c r="AM144" s="780">
        <f t="shared" ref="AM144" si="1178">IF($N$5&gt;$M$5,($N$5-$M$5)*AA541,0)</f>
        <v>0</v>
      </c>
      <c r="AN144" s="780">
        <f t="shared" ref="AN144" si="1179">IF($N$5&gt;$M$5,($N$5-$M$5)*AB541,0)</f>
        <v>0</v>
      </c>
      <c r="AO144" s="780">
        <f t="shared" ref="AO144" si="1180">IF($N$5&gt;$M$5,($N$5-$M$5)*AC541,0)</f>
        <v>0</v>
      </c>
      <c r="AP144" s="780">
        <f t="shared" ref="AP144" si="1181">IF($N$5&gt;$M$5,($N$5-$M$5)*AD541,0)</f>
        <v>0</v>
      </c>
      <c r="AQ144" s="780">
        <f t="shared" ref="AQ144" si="1182">IF($N$5&gt;$M$5,($N$5-$M$5)*AE541,0)</f>
        <v>0</v>
      </c>
      <c r="AR144" s="780">
        <f t="shared" ref="AR144" si="1183">IF($N$5&gt;$M$5,($N$5-$M$5)*AF541,0)</f>
        <v>0</v>
      </c>
      <c r="AS144" s="780">
        <f t="shared" ref="AS144" si="1184">IF($N$5&gt;$M$5,($N$5-$M$5)*AG541,0)</f>
        <v>0</v>
      </c>
      <c r="AT144" s="780">
        <f t="shared" ref="AT144" si="1185">IF($N$5&gt;$M$5,($N$5-$M$5)*AH541,0)</f>
        <v>0</v>
      </c>
      <c r="AU144" s="780">
        <f t="shared" ref="AU144" si="1186">IF($N$5&gt;$M$5,($N$5-$M$5)*AI541,0)</f>
        <v>0</v>
      </c>
      <c r="AV144" s="780">
        <f t="shared" ref="AV144" si="1187">IF($N$5&gt;$M$5,($N$5-$M$5)*AJ541,0)</f>
        <v>0</v>
      </c>
      <c r="AW144" s="781">
        <f t="shared" ref="AW144" si="1188">IF($N$5&gt;$M$5,($N$5-$M$5)*AK541,0)</f>
        <v>0</v>
      </c>
      <c r="AX144" s="782">
        <f t="shared" ref="AX144" si="1189">IF($N$5&gt;$M$5,($N$5-$M$5)*AL541,0)</f>
        <v>0</v>
      </c>
      <c r="AY144" s="780">
        <f t="shared" ref="AY144" si="1190">IF($N$5&gt;$M$5,($N$5-$M$5)*AM541,0)</f>
        <v>0</v>
      </c>
      <c r="AZ144" s="780">
        <f t="shared" ref="AZ144" si="1191">IF($N$5&gt;$M$5,($N$5-$M$5)*AN541,0)</f>
        <v>0</v>
      </c>
      <c r="BA144" s="780">
        <f t="shared" ref="BA144" si="1192">IF($N$5&gt;$M$5,($N$5-$M$5)*AO541,0)</f>
        <v>0</v>
      </c>
      <c r="BB144" s="780">
        <f t="shared" ref="BB144" si="1193">IF($N$5&gt;$M$5,($N$5-$M$5)*AP541,0)</f>
        <v>0</v>
      </c>
      <c r="BC144" s="780">
        <f t="shared" ref="BC144" si="1194">IF($N$5&gt;$M$5,($N$5-$M$5)*AQ541,0)</f>
        <v>0</v>
      </c>
      <c r="BD144" s="780">
        <f t="shared" ref="BD144" si="1195">IF($N$5&gt;$M$5,($N$5-$M$5)*AR541,0)</f>
        <v>0</v>
      </c>
      <c r="BE144" s="780">
        <f t="shared" ref="BE144" si="1196">IF($N$5&gt;$M$5,($N$5-$M$5)*AS541,0)</f>
        <v>0</v>
      </c>
      <c r="BF144" s="780">
        <f t="shared" ref="BF144" si="1197">IF($N$5&gt;$M$5,($N$5-$M$5)*AT541,0)</f>
        <v>0</v>
      </c>
      <c r="BG144" s="780">
        <f t="shared" ref="BG144" si="1198">IF($N$5&gt;$M$5,($N$5-$M$5)*AU541,0)</f>
        <v>0</v>
      </c>
      <c r="BH144" s="780">
        <f t="shared" ref="BH144" si="1199">IF($N$5&gt;$M$5,($N$5-$M$5)*AV541,0)</f>
        <v>0</v>
      </c>
      <c r="BI144" s="781">
        <f t="shared" ref="BI144" si="1200">IF($N$5&gt;$M$5,($N$5-$M$5)*AW541,0)</f>
        <v>0</v>
      </c>
    </row>
    <row r="145" spans="1:61" s="780" customFormat="1" hidden="1" outlineLevel="1">
      <c r="M145" s="781"/>
      <c r="N145" s="782"/>
      <c r="Y145" s="781"/>
      <c r="Z145" s="782"/>
      <c r="AK145" s="781"/>
      <c r="AL145" s="782"/>
      <c r="AW145" s="781"/>
      <c r="AX145" s="782"/>
      <c r="BI145" s="781"/>
    </row>
    <row r="146" spans="1:61" s="780" customFormat="1" hidden="1" outlineLevel="1">
      <c r="A146" s="780" t="s">
        <v>359</v>
      </c>
      <c r="M146" s="781"/>
      <c r="N146" s="782"/>
      <c r="O146" s="780">
        <f>IF($O$5&gt;$N$5,($O$5-$N$5)*B535,0)</f>
        <v>8</v>
      </c>
      <c r="P146" s="780">
        <f t="shared" ref="P146" si="1201">IF($O$5&gt;$N$5,($O$5-$N$5)*C535,0)</f>
        <v>8.3824000000000005</v>
      </c>
      <c r="Q146" s="780">
        <f t="shared" ref="Q146" si="1202">IF($O$5&gt;$N$5,($O$5-$N$5)*D535,0)</f>
        <v>8.790016102400001</v>
      </c>
      <c r="R146" s="780">
        <f t="shared" ref="R146" si="1203">IF($O$5&gt;$N$5,($O$5-$N$5)*E535,0)</f>
        <v>9.2244218586677267</v>
      </c>
      <c r="S146" s="780">
        <f t="shared" ref="S146" si="1204">IF($O$5&gt;$N$5,($O$5-$N$5)*F535,0)</f>
        <v>9.6872643857899394</v>
      </c>
      <c r="T146" s="780">
        <f t="shared" ref="T146" si="1205">IF($O$5&gt;$N$5,($O$5-$N$5)*G535,0)</f>
        <v>10.180266404063699</v>
      </c>
      <c r="U146" s="780">
        <f t="shared" ref="U146" si="1206">IF($O$5&gt;$N$5,($O$5-$N$5)*H535,0)</f>
        <v>10.705228286703797</v>
      </c>
      <c r="V146" s="780">
        <f t="shared" ref="V146" si="1207">IF($O$5&gt;$N$5,($O$5-$N$5)*I535,0)</f>
        <v>11.264030122404236</v>
      </c>
      <c r="W146" s="780">
        <f t="shared" ref="W146" si="1208">IF($O$5&gt;$N$5,($O$5-$N$5)*J535,0)</f>
        <v>11.858633792363815</v>
      </c>
      <c r="X146" s="780">
        <f t="shared" ref="X146" si="1209">IF($O$5&gt;$N$5,($O$5-$N$5)*K535,0)</f>
        <v>12.491085063681208</v>
      </c>
      <c r="Y146" s="781">
        <f t="shared" ref="Y146" si="1210">IF($O$5&gt;$N$5,($O$5-$N$5)*L535,0)</f>
        <v>13.163515701442698</v>
      </c>
      <c r="Z146" s="782">
        <f t="shared" ref="Z146" si="1211">IF($O$5&gt;$N$5,($O$5-$N$5)*M535,0)</f>
        <v>13.878145602265221</v>
      </c>
      <c r="AA146" s="780">
        <f t="shared" ref="AA146" si="1212">IF($O$5&gt;$N$5,($O$5-$N$5)*N535,0)</f>
        <v>14.640802427106802</v>
      </c>
      <c r="AB146" s="780">
        <f t="shared" ref="AB146" si="1213">IF($O$5&gt;$N$5,($O$5-$N$5)*O535,0)</f>
        <v>15.454179973028484</v>
      </c>
      <c r="AC146" s="780">
        <f t="shared" ref="AC146" si="1214">IF($O$5&gt;$N$5,($O$5-$N$5)*P535,0)</f>
        <v>16.321067007803048</v>
      </c>
      <c r="AD146" s="780">
        <f t="shared" ref="AD146" si="1215">IF($O$5&gt;$N$5,($O$5-$N$5)*Q535,0)</f>
        <v>17.244348126107901</v>
      </c>
      <c r="AE146" s="780">
        <f t="shared" ref="AE146" si="1216">IF($O$5&gt;$N$5,($O$5-$N$5)*R535,0)</f>
        <v>18.227004594103096</v>
      </c>
      <c r="AF146" s="780">
        <f t="shared" ref="AF146" si="1217">IF($O$5&gt;$N$5,($O$5-$N$5)*S535,0)</f>
        <v>19.272115194972702</v>
      </c>
      <c r="AG146" s="780">
        <f t="shared" ref="AG146" si="1218">IF($O$5&gt;$N$5,($O$5-$N$5)*T535,0)</f>
        <v>20.382857089151276</v>
      </c>
      <c r="AH146" s="780">
        <f t="shared" ref="AH146" si="1219">IF($O$5&gt;$N$5,($O$5-$N$5)*U535,0)</f>
        <v>21.56250670407784</v>
      </c>
      <c r="AI146" s="780">
        <f t="shared" ref="AI146" si="1220">IF($O$5&gt;$N$5,($O$5-$N$5)*V535,0)</f>
        <v>22.814440669410335</v>
      </c>
      <c r="AJ146" s="780">
        <f t="shared" ref="AJ146" si="1221">IF($O$5&gt;$N$5,($O$5-$N$5)*W535,0)</f>
        <v>24.142136814686012</v>
      </c>
      <c r="AK146" s="781">
        <f t="shared" ref="AK146" si="1222">IF($O$5&gt;$N$5,($O$5-$N$5)*X535,0)</f>
        <v>25.549175247421399</v>
      </c>
      <c r="AL146" s="782">
        <f t="shared" ref="AL146" si="1223">IF($O$5&gt;$N$5,($O$5-$N$5)*Y535,0)</f>
        <v>27.039239530601542</v>
      </c>
      <c r="AM146" s="780">
        <f t="shared" ref="AM146" si="1224">IF($O$5&gt;$N$5,($O$5-$N$5)*Z535,0)</f>
        <v>28.620747034243404</v>
      </c>
      <c r="AN146" s="780">
        <f t="shared" ref="AN146" si="1225">IF($O$5&gt;$N$5,($O$5-$N$5)*AA535,0)</f>
        <v>30.297832899152603</v>
      </c>
      <c r="AO146" s="780">
        <f t="shared" ref="AO146" si="1226">IF($O$5&gt;$N$5,($O$5-$N$5)*AB535,0)</f>
        <v>32.074721942842451</v>
      </c>
      <c r="AP146" s="780">
        <f t="shared" ref="AP146" si="1227">IF($O$5&gt;$N$5,($O$5-$N$5)*AC535,0)</f>
        <v>33.955728473829772</v>
      </c>
      <c r="AQ146" s="780">
        <f t="shared" ref="AQ146" si="1228">IF($O$5&gt;$N$5,($O$5-$N$5)*AD535,0)</f>
        <v>35.945256397317038</v>
      </c>
      <c r="AR146" s="780">
        <f t="shared" ref="AR146" si="1229">IF($O$5&gt;$N$5,($O$5-$N$5)*AE535,0)</f>
        <v>38.047799652671507</v>
      </c>
      <c r="AS146" s="780">
        <f t="shared" ref="AS146" si="1230">IF($O$5&gt;$N$5,($O$5-$N$5)*AF535,0)</f>
        <v>40.267943023083284</v>
      </c>
      <c r="AT146" s="780">
        <f t="shared" ref="AT146" si="1231">IF($O$5&gt;$N$5,($O$5-$N$5)*AG535,0)</f>
        <v>42.61036335749322</v>
      </c>
      <c r="AU146" s="780">
        <f t="shared" ref="AU146" si="1232">IF($O$5&gt;$N$5,($O$5-$N$5)*AH535,0)</f>
        <v>45.079831244328588</v>
      </c>
      <c r="AV146" s="780">
        <f t="shared" ref="AV146" si="1233">IF($O$5&gt;$N$5,($O$5-$N$5)*AI535,0)</f>
        <v>47.68121317577463</v>
      </c>
      <c r="AW146" s="781">
        <f t="shared" ref="AW146" si="1234">IF($O$5&gt;$N$5,($O$5-$N$5)*AJ535,0)</f>
        <v>50.419474240248832</v>
      </c>
      <c r="AX146" s="782">
        <f t="shared" ref="AX146" si="1235">IF($O$5&gt;$N$5,($O$5-$N$5)*AK535,0)</f>
        <v>53.299681379443584</v>
      </c>
      <c r="AY146" s="780">
        <f t="shared" ref="AY146" si="1236">IF($O$5&gt;$N$5,($O$5-$N$5)*AL535,0)</f>
        <v>56.327007244772894</v>
      </c>
      <c r="AZ146" s="780">
        <f t="shared" ref="AZ146" si="1237">IF($O$5&gt;$N$5,($O$5-$N$5)*AM535,0)</f>
        <v>59.506734686316534</v>
      </c>
      <c r="BA146" s="780">
        <f t="shared" ref="BA146" si="1238">IF($O$5&gt;$N$5,($O$5-$N$5)*AN535,0)</f>
        <v>62.844261905417305</v>
      </c>
      <c r="BB146" s="780">
        <f t="shared" ref="BB146" si="1239">IF($O$5&gt;$N$5,($O$5-$N$5)*AO535,0)</f>
        <v>66.345108299975465</v>
      </c>
      <c r="BC146" s="780">
        <f t="shared" ref="BC146" si="1240">IF($O$5&gt;$N$5,($O$5-$N$5)*AP535,0)</f>
        <v>70.014921029220602</v>
      </c>
      <c r="BD146" s="780">
        <f t="shared" ref="BD146" si="1241">IF($O$5&gt;$N$5,($O$5-$N$5)*AQ535,0)</f>
        <v>73.859482322350189</v>
      </c>
      <c r="BE146" s="780">
        <f t="shared" ref="BE146" si="1242">IF($O$5&gt;$N$5,($O$5-$N$5)*AR535,0)</f>
        <v>77.884717552932145</v>
      </c>
      <c r="BF146" s="780">
        <f t="shared" ref="BF146" si="1243">IF($O$5&gt;$N$5,($O$5-$N$5)*AS535,0)</f>
        <v>82.096704098404587</v>
      </c>
      <c r="BG146" s="780">
        <f t="shared" ref="BG146" si="1244">IF($O$5&gt;$N$5,($O$5-$N$5)*AT535,0)</f>
        <v>86.50168100139652</v>
      </c>
      <c r="BH146" s="780">
        <f t="shared" ref="BH146" si="1245">IF($O$5&gt;$N$5,($O$5-$N$5)*AU535,0)</f>
        <v>91.106059446971614</v>
      </c>
      <c r="BI146" s="781">
        <f t="shared" ref="BI146" si="1246">IF($O$5&gt;$N$5,($O$5-$N$5)*AV535,0)</f>
        <v>95.916434067290723</v>
      </c>
    </row>
    <row r="147" spans="1:61" s="780" customFormat="1" hidden="1" outlineLevel="1">
      <c r="A147" s="780" t="str">
        <f>$A$536</f>
        <v>Leads</v>
      </c>
      <c r="M147" s="781"/>
      <c r="N147" s="782"/>
      <c r="O147" s="780">
        <f>IF($O$5&gt;$N$5,($O$5-$N$5)*B536,0)</f>
        <v>20</v>
      </c>
      <c r="P147" s="780">
        <f t="shared" ref="P147:BI147" si="1247">IF($O$5&gt;$N$5,($O$5-$N$5)*C536,0)</f>
        <v>20.8</v>
      </c>
      <c r="Q147" s="780">
        <f t="shared" si="1247"/>
        <v>21.632000000000001</v>
      </c>
      <c r="R147" s="780">
        <f t="shared" si="1247"/>
        <v>22.497280000000003</v>
      </c>
      <c r="S147" s="780">
        <f t="shared" si="1247"/>
        <v>23.397171200000006</v>
      </c>
      <c r="T147" s="780">
        <f t="shared" si="1247"/>
        <v>24.333058048000009</v>
      </c>
      <c r="U147" s="780">
        <f t="shared" si="1247"/>
        <v>25.30638036992001</v>
      </c>
      <c r="V147" s="780">
        <f t="shared" si="1247"/>
        <v>26.318635584716812</v>
      </c>
      <c r="W147" s="780">
        <f t="shared" si="1247"/>
        <v>27.371381008105487</v>
      </c>
      <c r="X147" s="780">
        <f t="shared" si="1247"/>
        <v>28.466236248429709</v>
      </c>
      <c r="Y147" s="781">
        <f t="shared" si="1247"/>
        <v>29.6048856983669</v>
      </c>
      <c r="Z147" s="782">
        <f t="shared" si="1247"/>
        <v>30.789081126301578</v>
      </c>
      <c r="AA147" s="780">
        <f t="shared" si="1247"/>
        <v>32.02064437135364</v>
      </c>
      <c r="AB147" s="780">
        <f t="shared" si="1247"/>
        <v>33.301470146207784</v>
      </c>
      <c r="AC147" s="780">
        <f t="shared" si="1247"/>
        <v>34.633528952056096</v>
      </c>
      <c r="AD147" s="780">
        <f t="shared" si="1247"/>
        <v>36.018870110138344</v>
      </c>
      <c r="AE147" s="780">
        <f t="shared" si="1247"/>
        <v>37.45962491454388</v>
      </c>
      <c r="AF147" s="780">
        <f t="shared" si="1247"/>
        <v>38.958009911125636</v>
      </c>
      <c r="AG147" s="780">
        <f t="shared" si="1247"/>
        <v>40.516330307570662</v>
      </c>
      <c r="AH147" s="780">
        <f t="shared" si="1247"/>
        <v>42.136983519873489</v>
      </c>
      <c r="AI147" s="780">
        <f t="shared" si="1247"/>
        <v>43.822462860668423</v>
      </c>
      <c r="AJ147" s="780">
        <f t="shared" si="1247"/>
        <v>45.57536137509517</v>
      </c>
      <c r="AK147" s="781">
        <f t="shared" si="1247"/>
        <v>47.398375830098978</v>
      </c>
      <c r="AL147" s="782">
        <f t="shared" si="1247"/>
        <v>49.29431086330294</v>
      </c>
      <c r="AM147" s="780">
        <f t="shared" si="1247"/>
        <v>51.26608329783506</v>
      </c>
      <c r="AN147" s="780">
        <f t="shared" si="1247"/>
        <v>53.316726629748466</v>
      </c>
      <c r="AO147" s="780">
        <f t="shared" si="1247"/>
        <v>55.44939569493841</v>
      </c>
      <c r="AP147" s="780">
        <f t="shared" si="1247"/>
        <v>57.667371522735948</v>
      </c>
      <c r="AQ147" s="780">
        <f t="shared" si="1247"/>
        <v>59.974066383645386</v>
      </c>
      <c r="AR147" s="780">
        <f t="shared" si="1247"/>
        <v>62.373029038991206</v>
      </c>
      <c r="AS147" s="780">
        <f t="shared" si="1247"/>
        <v>64.867950200550851</v>
      </c>
      <c r="AT147" s="780">
        <f t="shared" si="1247"/>
        <v>67.462668208572893</v>
      </c>
      <c r="AU147" s="780">
        <f t="shared" si="1247"/>
        <v>70.161174936915813</v>
      </c>
      <c r="AV147" s="780">
        <f t="shared" si="1247"/>
        <v>72.967621934392454</v>
      </c>
      <c r="AW147" s="781">
        <f t="shared" si="1247"/>
        <v>75.886326811768157</v>
      </c>
      <c r="AX147" s="782">
        <f t="shared" si="1247"/>
        <v>78.921779884238887</v>
      </c>
      <c r="AY147" s="780">
        <f t="shared" si="1247"/>
        <v>82.078651079608449</v>
      </c>
      <c r="AZ147" s="780">
        <f t="shared" si="1247"/>
        <v>85.361797122792794</v>
      </c>
      <c r="BA147" s="780">
        <f t="shared" si="1247"/>
        <v>88.776269007704514</v>
      </c>
      <c r="BB147" s="780">
        <f t="shared" si="1247"/>
        <v>92.3273197680127</v>
      </c>
      <c r="BC147" s="780">
        <f t="shared" si="1247"/>
        <v>96.020412558733199</v>
      </c>
      <c r="BD147" s="780">
        <f t="shared" si="1247"/>
        <v>99.86122906108254</v>
      </c>
      <c r="BE147" s="780">
        <f t="shared" si="1247"/>
        <v>103.85567822352584</v>
      </c>
      <c r="BF147" s="780">
        <f t="shared" si="1247"/>
        <v>108.00990535246689</v>
      </c>
      <c r="BG147" s="780">
        <f t="shared" si="1247"/>
        <v>112.33030156656557</v>
      </c>
      <c r="BH147" s="780">
        <f t="shared" si="1247"/>
        <v>116.82351362922816</v>
      </c>
      <c r="BI147" s="781">
        <f t="shared" si="1247"/>
        <v>121.4964541743973</v>
      </c>
    </row>
    <row r="148" spans="1:61" s="780" customFormat="1" hidden="1" outlineLevel="1">
      <c r="A148" s="780" t="str">
        <f>$A$537</f>
        <v>Audits</v>
      </c>
      <c r="M148" s="781"/>
      <c r="N148" s="782"/>
      <c r="O148" s="780">
        <f t="shared" ref="O148:BI148" si="1248">IF($O$5&gt;$N$5,($O$5-$N$5)*B537,0)</f>
        <v>7.8466960352422905</v>
      </c>
      <c r="P148" s="780">
        <f t="shared" si="1248"/>
        <v>8.1805560257268723</v>
      </c>
      <c r="Q148" s="780">
        <f t="shared" si="1248"/>
        <v>8.556158139083367</v>
      </c>
      <c r="R148" s="780">
        <f t="shared" si="1248"/>
        <v>8.9523024684242678</v>
      </c>
      <c r="S148" s="780">
        <f t="shared" si="1248"/>
        <v>9.3702787716763911</v>
      </c>
      <c r="T148" s="780">
        <f t="shared" si="1248"/>
        <v>9.811453812672589</v>
      </c>
      <c r="U148" s="780">
        <f t="shared" si="1248"/>
        <v>10.277273093546537</v>
      </c>
      <c r="V148" s="780">
        <f t="shared" si="1248"/>
        <v>10.769262132442826</v>
      </c>
      <c r="W148" s="780">
        <f t="shared" si="1248"/>
        <v>11.289027268145146</v>
      </c>
      <c r="X148" s="780">
        <f t="shared" si="1248"/>
        <v>11.838255995812663</v>
      </c>
      <c r="Y148" s="781">
        <f t="shared" si="1248"/>
        <v>12.418716863200714</v>
      </c>
      <c r="Z148" s="782">
        <f t="shared" si="1248"/>
        <v>13.032258982971491</v>
      </c>
      <c r="AA148" s="780">
        <f t="shared" si="1248"/>
        <v>13.681748513642187</v>
      </c>
      <c r="AB148" s="780">
        <f t="shared" si="1248"/>
        <v>14.367753613373562</v>
      </c>
      <c r="AC148" s="780">
        <f t="shared" si="1248"/>
        <v>15.094450719778326</v>
      </c>
      <c r="AD148" s="780">
        <f t="shared" si="1248"/>
        <v>15.864274704794562</v>
      </c>
      <c r="AE148" s="780">
        <f t="shared" si="1248"/>
        <v>16.679756380011042</v>
      </c>
      <c r="AF148" s="780">
        <f t="shared" si="1248"/>
        <v>17.543519083999907</v>
      </c>
      <c r="AG148" s="780">
        <f t="shared" si="1248"/>
        <v>18.458274953232511</v>
      </c>
      <c r="AH148" s="780">
        <f t="shared" si="1248"/>
        <v>19.426821075192013</v>
      </c>
      <c r="AI148" s="780">
        <f t="shared" si="1248"/>
        <v>20.452035738521069</v>
      </c>
      <c r="AJ148" s="780">
        <f t="shared" si="1248"/>
        <v>21.536874999893016</v>
      </c>
      <c r="AK148" s="781">
        <f t="shared" si="1248"/>
        <v>22.68436978011453</v>
      </c>
      <c r="AL148" s="782">
        <f t="shared" si="1248"/>
        <v>23.897623683136111</v>
      </c>
      <c r="AM148" s="780">
        <f t="shared" si="1248"/>
        <v>25.181305860088621</v>
      </c>
      <c r="AN148" s="780">
        <f t="shared" si="1248"/>
        <v>26.509539923847804</v>
      </c>
      <c r="AO148" s="780">
        <f t="shared" si="1248"/>
        <v>27.911267150389076</v>
      </c>
      <c r="AP148" s="780">
        <f t="shared" si="1248"/>
        <v>29.389855755030599</v>
      </c>
      <c r="AQ148" s="780">
        <f t="shared" si="1248"/>
        <v>30.948754132327405</v>
      </c>
      <c r="AR148" s="780">
        <f t="shared" si="1248"/>
        <v>32.591491812026852</v>
      </c>
      <c r="AS148" s="780">
        <f t="shared" si="1248"/>
        <v>34.321681088998503</v>
      </c>
      <c r="AT148" s="780">
        <f t="shared" si="1248"/>
        <v>36.143019351142293</v>
      </c>
      <c r="AU148" s="780">
        <f t="shared" si="1248"/>
        <v>38.059292115999952</v>
      </c>
      <c r="AV148" s="780">
        <f t="shared" si="1248"/>
        <v>40.074376775040108</v>
      </c>
      <c r="AW148" s="781">
        <f t="shared" si="1248"/>
        <v>42.192247034738458</v>
      </c>
      <c r="AX148" s="782">
        <f t="shared" si="1248"/>
        <v>44.416978035864261</v>
      </c>
      <c r="AY148" s="780">
        <f t="shared" si="1248"/>
        <v>46.752752126886328</v>
      </c>
      <c r="AZ148" s="780">
        <f t="shared" si="1248"/>
        <v>49.082921316266599</v>
      </c>
      <c r="BA148" s="780">
        <f t="shared" si="1248"/>
        <v>51.522543979321924</v>
      </c>
      <c r="BB148" s="780">
        <f t="shared" si="1248"/>
        <v>54.075800070640085</v>
      </c>
      <c r="BC148" s="780">
        <f t="shared" si="1248"/>
        <v>56.746994933802739</v>
      </c>
      <c r="BD148" s="780">
        <f t="shared" si="1248"/>
        <v>59.54056513100376</v>
      </c>
      <c r="BE148" s="780">
        <f t="shared" si="1248"/>
        <v>62.461084744125536</v>
      </c>
      <c r="BF148" s="780">
        <f t="shared" si="1248"/>
        <v>65.513272160718657</v>
      </c>
      <c r="BG148" s="780">
        <f t="shared" si="1248"/>
        <v>68.701997357177731</v>
      </c>
      <c r="BH148" s="780">
        <f t="shared" si="1248"/>
        <v>72.032289690276642</v>
      </c>
      <c r="BI148" s="781">
        <f t="shared" si="1248"/>
        <v>75.509346207129425</v>
      </c>
    </row>
    <row r="149" spans="1:61" s="780" customFormat="1" hidden="1" outlineLevel="1">
      <c r="A149" s="780" t="str">
        <f>$A$538</f>
        <v>Retrofit</v>
      </c>
      <c r="M149" s="781"/>
      <c r="N149" s="782"/>
      <c r="O149" s="780">
        <f t="shared" ref="O149:BI149" si="1249">IF($O$5&gt;$N$5,($O$5-$N$5)*B538,0)</f>
        <v>3.2741145374449339</v>
      </c>
      <c r="P149" s="780">
        <f t="shared" si="1249"/>
        <v>3.4211429613668018</v>
      </c>
      <c r="Q149" s="780">
        <f t="shared" si="1249"/>
        <v>3.6089747928733105</v>
      </c>
      <c r="R149" s="780">
        <f t="shared" si="1249"/>
        <v>3.80943356172375</v>
      </c>
      <c r="S149" s="780">
        <f t="shared" si="1249"/>
        <v>4.023495407635</v>
      </c>
      <c r="T149" s="780">
        <f t="shared" si="1249"/>
        <v>4.2522035025469851</v>
      </c>
      <c r="U149" s="780">
        <f t="shared" si="1249"/>
        <v>4.4966691121698661</v>
      </c>
      <c r="V149" s="780">
        <f t="shared" si="1249"/>
        <v>4.7580720961942786</v>
      </c>
      <c r="W149" s="780">
        <f t="shared" si="1249"/>
        <v>5.0376608331454982</v>
      </c>
      <c r="X149" s="780">
        <f t="shared" si="1249"/>
        <v>5.3367515834608863</v>
      </c>
      <c r="Y149" s="781">
        <f t="shared" si="1249"/>
        <v>5.6567273345837759</v>
      </c>
      <c r="Z149" s="782">
        <f t="shared" si="1249"/>
        <v>5.9990362027609887</v>
      </c>
      <c r="AA149" s="780">
        <f t="shared" si="1249"/>
        <v>6.3656710756275423</v>
      </c>
      <c r="AB149" s="780">
        <f t="shared" si="1249"/>
        <v>6.7527905497767229</v>
      </c>
      <c r="AC149" s="780">
        <f t="shared" si="1249"/>
        <v>7.1679946156961591</v>
      </c>
      <c r="AD149" s="780">
        <f t="shared" si="1249"/>
        <v>7.6132687220703144</v>
      </c>
      <c r="AE149" s="780">
        <f t="shared" si="1249"/>
        <v>8.0906802436821312</v>
      </c>
      <c r="AF149" s="780">
        <f t="shared" si="1249"/>
        <v>8.6023733713231554</v>
      </c>
      <c r="AG149" s="780">
        <f t="shared" si="1249"/>
        <v>9.1505635635964193</v>
      </c>
      <c r="AH149" s="780">
        <f t="shared" si="1249"/>
        <v>9.7375318038296879</v>
      </c>
      <c r="AI149" s="780">
        <f t="shared" si="1249"/>
        <v>10.365618926205418</v>
      </c>
      <c r="AJ149" s="780">
        <f t="shared" si="1249"/>
        <v>11.037220281947453</v>
      </c>
      <c r="AK149" s="781">
        <f t="shared" si="1249"/>
        <v>11.754781008099396</v>
      </c>
      <c r="AL149" s="782">
        <f t="shared" si="1249"/>
        <v>12.520792138493604</v>
      </c>
      <c r="AM149" s="780">
        <f t="shared" si="1249"/>
        <v>13.338724403473293</v>
      </c>
      <c r="AN149" s="780">
        <f t="shared" si="1249"/>
        <v>14.173899457244383</v>
      </c>
      <c r="AO149" s="780">
        <f t="shared" si="1249"/>
        <v>15.06160093928195</v>
      </c>
      <c r="AP149" s="780">
        <f t="shared" si="1249"/>
        <v>16.004396182835173</v>
      </c>
      <c r="AQ149" s="780">
        <f t="shared" si="1249"/>
        <v>17.004903510314108</v>
      </c>
      <c r="AR149" s="780">
        <f t="shared" si="1249"/>
        <v>18.065792108500531</v>
      </c>
      <c r="AS149" s="780">
        <f t="shared" si="1249"/>
        <v>19.189782637475492</v>
      </c>
      <c r="AT149" s="780">
        <f t="shared" si="1249"/>
        <v>20.379648596658086</v>
      </c>
      <c r="AU149" s="780">
        <f t="shared" si="1249"/>
        <v>21.638218454438508</v>
      </c>
      <c r="AV149" s="780">
        <f t="shared" si="1249"/>
        <v>22.968378532837651</v>
      </c>
      <c r="AW149" s="781">
        <f t="shared" si="1249"/>
        <v>24.373076625940293</v>
      </c>
      <c r="AX149" s="782">
        <f t="shared" si="1249"/>
        <v>25.855326320842856</v>
      </c>
      <c r="AY149" s="780">
        <f t="shared" si="1249"/>
        <v>27.418211982649215</v>
      </c>
      <c r="AZ149" s="780">
        <f t="shared" si="1249"/>
        <v>28.912823637439345</v>
      </c>
      <c r="BA149" s="780">
        <f t="shared" si="1249"/>
        <v>30.481264211401022</v>
      </c>
      <c r="BB149" s="780">
        <f t="shared" si="1249"/>
        <v>32.126375520474461</v>
      </c>
      <c r="BC149" s="780">
        <f t="shared" si="1249"/>
        <v>33.851080131654975</v>
      </c>
      <c r="BD149" s="780">
        <f t="shared" si="1249"/>
        <v>35.658385333026132</v>
      </c>
      <c r="BE149" s="780">
        <f t="shared" si="1249"/>
        <v>37.551387467022387</v>
      </c>
      <c r="BF149" s="780">
        <f t="shared" si="1249"/>
        <v>39.533276635822467</v>
      </c>
      <c r="BG149" s="780">
        <f t="shared" si="1249"/>
        <v>41.60734178665394</v>
      </c>
      <c r="BH149" s="780">
        <f t="shared" si="1249"/>
        <v>43.776976183702011</v>
      </c>
      <c r="BI149" s="781">
        <f t="shared" si="1249"/>
        <v>46.045683272271312</v>
      </c>
    </row>
    <row r="150" spans="1:61" s="780" customFormat="1" hidden="1" outlineLevel="1">
      <c r="A150" s="780" t="str">
        <f>$A$539</f>
        <v>Revenue</v>
      </c>
      <c r="M150" s="781"/>
      <c r="N150" s="782"/>
      <c r="O150" s="780">
        <f t="shared" ref="O150:BI150" si="1250">IF($O$5&gt;$N$5,($O$5-$N$5)*B539,0)</f>
        <v>20728.933920704847</v>
      </c>
      <c r="P150" s="780">
        <f t="shared" si="1250"/>
        <v>22334.796424579898</v>
      </c>
      <c r="Q150" s="780">
        <f t="shared" si="1250"/>
        <v>24261.379157843236</v>
      </c>
      <c r="R150" s="780">
        <f t="shared" si="1250"/>
        <v>27109.041527058151</v>
      </c>
      <c r="S150" s="780">
        <f t="shared" si="1250"/>
        <v>29411.012063918617</v>
      </c>
      <c r="T150" s="780">
        <f t="shared" si="1250"/>
        <v>31904.731979940196</v>
      </c>
      <c r="U150" s="780">
        <f t="shared" si="1250"/>
        <v>34157.516935543477</v>
      </c>
      <c r="V150" s="780">
        <f t="shared" si="1250"/>
        <v>36585.144030160183</v>
      </c>
      <c r="W150" s="780">
        <f t="shared" si="1250"/>
        <v>39202.024549786183</v>
      </c>
      <c r="X150" s="780">
        <f t="shared" si="1250"/>
        <v>41489.907780370268</v>
      </c>
      <c r="Y150" s="781">
        <f t="shared" si="1250"/>
        <v>43934.936399734994</v>
      </c>
      <c r="Z150" s="782">
        <f t="shared" si="1250"/>
        <v>46547.932291314006</v>
      </c>
      <c r="AA150" s="780">
        <f t="shared" si="1250"/>
        <v>48812.622611071754</v>
      </c>
      <c r="AB150" s="780">
        <f t="shared" si="1250"/>
        <v>51746.745047763237</v>
      </c>
      <c r="AC150" s="780">
        <f t="shared" si="1250"/>
        <v>54891.491572423707</v>
      </c>
      <c r="AD150" s="780">
        <f t="shared" si="1250"/>
        <v>58261.704056497998</v>
      </c>
      <c r="AE150" s="780">
        <f t="shared" si="1250"/>
        <v>61872.837706819933</v>
      </c>
      <c r="AF150" s="780">
        <f t="shared" si="1250"/>
        <v>65740.922877654608</v>
      </c>
      <c r="AG150" s="780">
        <f t="shared" si="1250"/>
        <v>69882.52360507095</v>
      </c>
      <c r="AH150" s="780">
        <f t="shared" si="1250"/>
        <v>74314.694687467563</v>
      </c>
      <c r="AI150" s="780">
        <f t="shared" si="1250"/>
        <v>79054.939292696072</v>
      </c>
      <c r="AJ150" s="780">
        <f t="shared" si="1250"/>
        <v>84121.169122674793</v>
      </c>
      <c r="AK150" s="781">
        <f t="shared" si="1250"/>
        <v>89531.669104034416</v>
      </c>
      <c r="AL150" s="782">
        <f t="shared" si="1250"/>
        <v>95305.068401244935</v>
      </c>
      <c r="AM150" s="780">
        <f t="shared" si="1250"/>
        <v>101467.05911812153</v>
      </c>
      <c r="AN150" s="780">
        <f t="shared" si="1250"/>
        <v>107757.45533319093</v>
      </c>
      <c r="AO150" s="780">
        <f t="shared" si="1250"/>
        <v>114440.84237520174</v>
      </c>
      <c r="AP150" s="780">
        <f t="shared" si="1250"/>
        <v>121536.40957263115</v>
      </c>
      <c r="AQ150" s="780">
        <f t="shared" si="1250"/>
        <v>129063.73094559579</v>
      </c>
      <c r="AR150" s="780">
        <f t="shared" si="1250"/>
        <v>137042.76458890198</v>
      </c>
      <c r="AS150" s="780">
        <f t="shared" si="1250"/>
        <v>145493.85755130055</v>
      </c>
      <c r="AT150" s="780">
        <f t="shared" si="1250"/>
        <v>154437.75638435522</v>
      </c>
      <c r="AU150" s="780">
        <f t="shared" si="1250"/>
        <v>163895.6234075159</v>
      </c>
      <c r="AV150" s="780">
        <f t="shared" si="1250"/>
        <v>173889.05862314338</v>
      </c>
      <c r="AW150" s="781">
        <f t="shared" si="1250"/>
        <v>184440.12712015139</v>
      </c>
      <c r="AX150" s="782">
        <f t="shared" si="1250"/>
        <v>195571.39172995961</v>
      </c>
      <c r="AY150" s="780">
        <f t="shared" si="1250"/>
        <v>207305.95064449144</v>
      </c>
      <c r="AZ150" s="780">
        <f t="shared" si="1250"/>
        <v>218526.82830504962</v>
      </c>
      <c r="BA150" s="780">
        <f t="shared" si="1250"/>
        <v>230299.88241457404</v>
      </c>
      <c r="BB150" s="780">
        <f t="shared" si="1250"/>
        <v>242646.40643380623</v>
      </c>
      <c r="BC150" s="780">
        <f t="shared" si="1250"/>
        <v>255588.30467884589</v>
      </c>
      <c r="BD150" s="780">
        <f t="shared" si="1250"/>
        <v>269148.12221054058</v>
      </c>
      <c r="BE150" s="780">
        <f t="shared" si="1250"/>
        <v>283349.07742205792</v>
      </c>
      <c r="BF150" s="780">
        <f t="shared" si="1250"/>
        <v>298215.09739075514</v>
      </c>
      <c r="BG150" s="780">
        <f t="shared" si="1250"/>
        <v>313770.85605224856</v>
      </c>
      <c r="BH150" s="780">
        <f t="shared" si="1250"/>
        <v>330041.81524662836</v>
      </c>
      <c r="BI150" s="781">
        <f t="shared" si="1250"/>
        <v>347054.26867913263</v>
      </c>
    </row>
    <row r="151" spans="1:61" s="780" customFormat="1" hidden="1" outlineLevel="1">
      <c r="A151" s="780" t="str">
        <f>$A$540</f>
        <v>Net Income</v>
      </c>
      <c r="M151" s="781"/>
      <c r="N151" s="782"/>
      <c r="O151" s="780">
        <f t="shared" ref="O151:BI151" si="1251">IF($O$5&gt;$N$5,($O$5-$N$5)*B540,0)</f>
        <v>-33184.964170807638</v>
      </c>
      <c r="P151" s="780">
        <f t="shared" si="1251"/>
        <v>-14837.14568100147</v>
      </c>
      <c r="Q151" s="780">
        <f t="shared" si="1251"/>
        <v>-14268.717003781454</v>
      </c>
      <c r="R151" s="780">
        <f t="shared" si="1251"/>
        <v>-13405.013342705901</v>
      </c>
      <c r="S151" s="780">
        <f t="shared" si="1251"/>
        <v>-12685.072540306182</v>
      </c>
      <c r="T151" s="780">
        <f t="shared" si="1251"/>
        <v>-17604.404805924125</v>
      </c>
      <c r="U151" s="780">
        <f t="shared" si="1251"/>
        <v>-15156.124616524507</v>
      </c>
      <c r="V151" s="780">
        <f t="shared" si="1251"/>
        <v>-13971.31609512752</v>
      </c>
      <c r="W151" s="780">
        <f t="shared" si="1251"/>
        <v>-13027.555718246989</v>
      </c>
      <c r="X151" s="780">
        <f t="shared" si="1251"/>
        <v>-12167.444211420123</v>
      </c>
      <c r="Y151" s="781">
        <f t="shared" si="1251"/>
        <v>-11228.257793696379</v>
      </c>
      <c r="Z151" s="782">
        <f t="shared" si="1251"/>
        <v>-10203.756141625032</v>
      </c>
      <c r="AA151" s="780">
        <f t="shared" si="1251"/>
        <v>-8928.9645055486872</v>
      </c>
      <c r="AB151" s="780">
        <f t="shared" si="1251"/>
        <v>-6565.2951604608934</v>
      </c>
      <c r="AC151" s="780">
        <f t="shared" si="1251"/>
        <v>-7951.6323699894165</v>
      </c>
      <c r="AD151" s="780">
        <f t="shared" si="1251"/>
        <v>-6483.5792380389103</v>
      </c>
      <c r="AE151" s="780">
        <f t="shared" si="1251"/>
        <v>-5307.1722049655655</v>
      </c>
      <c r="AF151" s="780">
        <f t="shared" si="1251"/>
        <v>-3966.3475887754175</v>
      </c>
      <c r="AG151" s="780">
        <f t="shared" si="1251"/>
        <v>-2466.8649492429358</v>
      </c>
      <c r="AH151" s="780">
        <f t="shared" si="1251"/>
        <v>-826.64406907309967</v>
      </c>
      <c r="AI151" s="780">
        <f t="shared" si="1251"/>
        <v>-10770.241509529737</v>
      </c>
      <c r="AJ151" s="780">
        <f t="shared" si="1251"/>
        <v>-19174.962642260827</v>
      </c>
      <c r="AK151" s="781">
        <f t="shared" si="1251"/>
        <v>-16925.443971653156</v>
      </c>
      <c r="AL151" s="782">
        <f t="shared" si="1251"/>
        <v>-25696.207513260568</v>
      </c>
      <c r="AM151" s="780">
        <f t="shared" si="1251"/>
        <v>-30466.524333613874</v>
      </c>
      <c r="AN151" s="780">
        <f t="shared" si="1251"/>
        <v>-30644.209260269774</v>
      </c>
      <c r="AO151" s="780">
        <f t="shared" si="1251"/>
        <v>-25743.81021126837</v>
      </c>
      <c r="AP151" s="780">
        <f t="shared" si="1251"/>
        <v>-25374.965354328699</v>
      </c>
      <c r="AQ151" s="780">
        <f t="shared" si="1251"/>
        <v>-21685.632709168298</v>
      </c>
      <c r="AR151" s="780">
        <f t="shared" si="1251"/>
        <v>-17735.699053003482</v>
      </c>
      <c r="AS151" s="780">
        <f t="shared" si="1251"/>
        <v>-25824.517795504849</v>
      </c>
      <c r="AT151" s="780">
        <f t="shared" si="1251"/>
        <v>-13812.381476188923</v>
      </c>
      <c r="AU151" s="780">
        <f t="shared" si="1251"/>
        <v>-15733.807969274916</v>
      </c>
      <c r="AV151" s="780">
        <f t="shared" si="1251"/>
        <v>-12981.108202038886</v>
      </c>
      <c r="AW151" s="781">
        <f t="shared" si="1251"/>
        <v>-27659.485752690453</v>
      </c>
      <c r="AX151" s="782">
        <f t="shared" si="1251"/>
        <v>-14368.892474155029</v>
      </c>
      <c r="AY151" s="780">
        <f t="shared" si="1251"/>
        <v>-16222.784178653252</v>
      </c>
      <c r="AZ151" s="780">
        <f t="shared" si="1251"/>
        <v>-10757.412118790759</v>
      </c>
      <c r="BA151" s="780">
        <f t="shared" si="1251"/>
        <v>-7276.3573668028694</v>
      </c>
      <c r="BB151" s="780">
        <f t="shared" si="1251"/>
        <v>-728.33143403028953</v>
      </c>
      <c r="BC151" s="780">
        <f t="shared" si="1251"/>
        <v>-6343.9301669844717</v>
      </c>
      <c r="BD151" s="780">
        <f t="shared" si="1251"/>
        <v>2806.545093130655</v>
      </c>
      <c r="BE151" s="780">
        <f t="shared" si="1251"/>
        <v>10443.101931745798</v>
      </c>
      <c r="BF151" s="780">
        <f t="shared" si="1251"/>
        <v>4256.0741498096177</v>
      </c>
      <c r="BG151" s="780">
        <f t="shared" si="1251"/>
        <v>-243.85907681621029</v>
      </c>
      <c r="BH151" s="780">
        <f t="shared" si="1251"/>
        <v>8404.3480662194488</v>
      </c>
      <c r="BI151" s="781">
        <f t="shared" si="1251"/>
        <v>10505.464546137853</v>
      </c>
    </row>
    <row r="152" spans="1:61" s="780" customFormat="1" hidden="1" outlineLevel="1">
      <c r="A152" s="780" t="str">
        <f>$A$541</f>
        <v>Program Revenue</v>
      </c>
      <c r="M152" s="781"/>
      <c r="N152" s="782"/>
      <c r="O152" s="780">
        <f t="shared" ref="O152" si="1252">IF($O$5&gt;$N$5,($O$5-$N$5)*B541,0)</f>
        <v>1850</v>
      </c>
      <c r="P152" s="780">
        <f t="shared" ref="P152" si="1253">IF($O$5&gt;$N$5,($O$5-$N$5)*C541,0)</f>
        <v>1937.1558751999999</v>
      </c>
      <c r="Q152" s="780">
        <f t="shared" ref="Q152" si="1254">IF($O$5&gt;$N$5,($O$5-$N$5)*D541,0)</f>
        <v>2030.0190587848704</v>
      </c>
      <c r="R152" s="780">
        <f t="shared" ref="R152" si="1255">IF($O$5&gt;$N$5,($O$5-$N$5)*E541,0)</f>
        <v>2128.941218449359</v>
      </c>
      <c r="S152" s="780">
        <f t="shared" ref="S152" si="1256">IF($O$5&gt;$N$5,($O$5-$N$5)*F541,0)</f>
        <v>2234.2900324673633</v>
      </c>
      <c r="T152" s="780">
        <f t="shared" ref="T152" si="1257">IF($O$5&gt;$N$5,($O$5-$N$5)*G541,0)</f>
        <v>2346.4496034726417</v>
      </c>
      <c r="U152" s="780">
        <f t="shared" ref="U152" si="1258">IF($O$5&gt;$N$5,($O$5-$N$5)*H541,0)</f>
        <v>2465.8208731027789</v>
      </c>
      <c r="V152" s="780">
        <f t="shared" ref="V152" si="1259">IF($O$5&gt;$N$5,($O$5-$N$5)*I541,0)</f>
        <v>2592.8220377557409</v>
      </c>
      <c r="W152" s="780">
        <f t="shared" ref="W152" si="1260">IF($O$5&gt;$N$5,($O$5-$N$5)*J541,0)</f>
        <v>2727.8889657926175</v>
      </c>
      <c r="X152" s="780">
        <f t="shared" ref="X152" si="1261">IF($O$5&gt;$N$5,($O$5-$N$5)*K541,0)</f>
        <v>2871.4756166091629</v>
      </c>
      <c r="Y152" s="781">
        <f t="shared" ref="Y152" si="1262">IF($O$5&gt;$N$5,($O$5-$N$5)*L541,0)</f>
        <v>3024.0544620924302</v>
      </c>
      <c r="Z152" s="782">
        <f t="shared" ref="Z152" si="1263">IF($O$5&gt;$N$5,($O$5-$N$5)*M541,0)</f>
        <v>3186.1169110768442</v>
      </c>
      <c r="AA152" s="780">
        <f t="shared" ref="AA152" si="1264">IF($O$5&gt;$N$5,($O$5-$N$5)*N541,0)</f>
        <v>3358.9807376414046</v>
      </c>
      <c r="AB152" s="780">
        <f t="shared" ref="AB152" si="1265">IF($O$5&gt;$N$5,($O$5-$N$5)*O541,0)</f>
        <v>3543.2416591361321</v>
      </c>
      <c r="AC152" s="780">
        <f t="shared" ref="AC152" si="1266">IF($O$5&gt;$N$5,($O$5-$N$5)*P541,0)</f>
        <v>3739.515514961849</v>
      </c>
      <c r="AD152" s="780">
        <f t="shared" ref="AD152" si="1267">IF($O$5&gt;$N$5,($O$5-$N$5)*Q541,0)</f>
        <v>3948.4383904349252</v>
      </c>
      <c r="AE152" s="780">
        <f t="shared" ref="AE152" si="1268">IF($O$5&gt;$N$5,($O$5-$N$5)*R541,0)</f>
        <v>4170.6667372134807</v>
      </c>
      <c r="AF152" s="780">
        <f t="shared" ref="AF152" si="1269">IF($O$5&gt;$N$5,($O$5-$N$5)*S541,0)</f>
        <v>4406.877493173627</v>
      </c>
      <c r="AG152" s="780">
        <f t="shared" ref="AG152" si="1270">IF($O$5&gt;$N$5,($O$5-$N$5)*T541,0)</f>
        <v>4657.7682048703127</v>
      </c>
      <c r="AH152" s="780">
        <f t="shared" ref="AH152" si="1271">IF($O$5&gt;$N$5,($O$5-$N$5)*U541,0)</f>
        <v>4924.0571559566215</v>
      </c>
      <c r="AI152" s="780">
        <f t="shared" ref="AI152" si="1272">IF($O$5&gt;$N$5,($O$5-$N$5)*V541,0)</f>
        <v>5206.4835051661303</v>
      </c>
      <c r="AJ152" s="780">
        <f t="shared" ref="AJ152" si="1273">IF($O$5&gt;$N$5,($O$5-$N$5)*W541,0)</f>
        <v>5505.8074376836603</v>
      </c>
      <c r="AK152" s="781">
        <f t="shared" ref="AK152" si="1274">IF($O$5&gt;$N$5,($O$5-$N$5)*X541,0)</f>
        <v>5822.8103339388172</v>
      </c>
      <c r="AL152" s="782">
        <f t="shared" ref="AL152" si="1275">IF($O$5&gt;$N$5,($O$5-$N$5)*Y541,0)</f>
        <v>6158.2949600526208</v>
      </c>
      <c r="AM152" s="780">
        <f t="shared" ref="AM152" si="1276">IF($O$5&gt;$N$5,($O$5-$N$5)*Z541,0)</f>
        <v>6514.1392664878649</v>
      </c>
      <c r="AN152" s="780">
        <f t="shared" ref="AN152" si="1277">IF($O$5&gt;$N$5,($O$5-$N$5)*AA541,0)</f>
        <v>6891.2420929122554</v>
      </c>
      <c r="AO152" s="780">
        <f t="shared" ref="AO152" si="1278">IF($O$5&gt;$N$5,($O$5-$N$5)*AB541,0)</f>
        <v>7290.5201481641989</v>
      </c>
      <c r="AP152" s="780">
        <f t="shared" ref="AP152" si="1279">IF($O$5&gt;$N$5,($O$5-$N$5)*AC541,0)</f>
        <v>7712.9078999165331</v>
      </c>
      <c r="AQ152" s="780">
        <f t="shared" ref="AQ152" si="1280">IF($O$5&gt;$N$5,($O$5-$N$5)*AD541,0)</f>
        <v>8159.357530652579</v>
      </c>
      <c r="AR152" s="780">
        <f t="shared" ref="AR152" si="1281">IF($O$5&gt;$N$5,($O$5-$N$5)*AE541,0)</f>
        <v>8630.8389688113039</v>
      </c>
      <c r="AS152" s="780">
        <f t="shared" ref="AS152" si="1282">IF($O$5&gt;$N$5,($O$5-$N$5)*AF541,0)</f>
        <v>9128.3400039027438</v>
      </c>
      <c r="AT152" s="780">
        <f t="shared" ref="AT152" si="1283">IF($O$5&gt;$N$5,($O$5-$N$5)*AG541,0)</f>
        <v>9652.8664942797932</v>
      </c>
      <c r="AU152" s="780">
        <f t="shared" ref="AU152" si="1284">IF($O$5&gt;$N$5,($O$5-$N$5)*AH541,0)</f>
        <v>10205.442676078563</v>
      </c>
      <c r="AV152" s="780">
        <f t="shared" ref="AV152" si="1285">IF($O$5&gt;$N$5,($O$5-$N$5)*AI541,0)</f>
        <v>10787.111581608189</v>
      </c>
      <c r="AW152" s="781">
        <f t="shared" ref="AW152" si="1286">IF($O$5&gt;$N$5,($O$5-$N$5)*AJ541,0)</f>
        <v>11398.935575183927</v>
      </c>
      <c r="AX152" s="782">
        <f t="shared" ref="AX152" si="1287">IF($O$5&gt;$N$5,($O$5-$N$5)*AK541,0)</f>
        <v>12041.997014057681</v>
      </c>
      <c r="AY152" s="780">
        <f t="shared" ref="AY152" si="1288">IF($O$5&gt;$N$5,($O$5-$N$5)*AL541,0)</f>
        <v>11309.223860591001</v>
      </c>
      <c r="AZ152" s="780">
        <f t="shared" ref="AZ152" si="1289">IF($O$5&gt;$N$5,($O$5-$N$5)*AM541,0)</f>
        <v>11938.59815317693</v>
      </c>
      <c r="BA152" s="780">
        <f t="shared" ref="BA152" si="1290">IF($O$5&gt;$N$5,($O$5-$N$5)*AN541,0)</f>
        <v>12598.640561226617</v>
      </c>
      <c r="BB152" s="780">
        <f t="shared" ref="BB152" si="1291">IF($O$5&gt;$N$5,($O$5-$N$5)*AO541,0)</f>
        <v>13290.384784867672</v>
      </c>
      <c r="BC152" s="780">
        <f t="shared" ref="BC152" si="1292">IF($O$5&gt;$N$5,($O$5-$N$5)*AP541,0)</f>
        <v>14014.886742419074</v>
      </c>
      <c r="BD152" s="780">
        <f t="shared" ref="BD152" si="1293">IF($O$5&gt;$N$5,($O$5-$N$5)*AQ541,0)</f>
        <v>14773.225935151826</v>
      </c>
      <c r="BE152" s="780">
        <f t="shared" ref="BE152" si="1294">IF($O$5&gt;$N$5,($O$5-$N$5)*AR541,0)</f>
        <v>15566.50695843432</v>
      </c>
      <c r="BF152" s="780">
        <f t="shared" ref="BF152" si="1295">IF($O$5&gt;$N$5,($O$5-$N$5)*AS541,0)</f>
        <v>16395.861162308756</v>
      </c>
      <c r="BG152" s="780">
        <f t="shared" ref="BG152" si="1296">IF($O$5&gt;$N$5,($O$5-$N$5)*AT541,0)</f>
        <v>17262.448464000674</v>
      </c>
      <c r="BH152" s="780">
        <f t="shared" ref="BH152" si="1297">IF($O$5&gt;$N$5,($O$5-$N$5)*AU541,0)</f>
        <v>18167.459314320589</v>
      </c>
      <c r="BI152" s="781">
        <f t="shared" ref="BI152" si="1298">IF($O$5&gt;$N$5,($O$5-$N$5)*AV541,0)</f>
        <v>19112.116819380197</v>
      </c>
    </row>
    <row r="153" spans="1:61" s="780" customFormat="1" hidden="1" outlineLevel="1">
      <c r="M153" s="781"/>
      <c r="N153" s="782"/>
      <c r="Y153" s="781"/>
      <c r="Z153" s="782"/>
      <c r="AK153" s="781"/>
      <c r="AL153" s="782"/>
      <c r="AW153" s="781"/>
      <c r="AX153" s="782"/>
      <c r="BI153" s="781"/>
    </row>
    <row r="154" spans="1:61" s="780" customFormat="1" hidden="1" outlineLevel="1">
      <c r="A154" s="780" t="s">
        <v>359</v>
      </c>
      <c r="M154" s="781"/>
      <c r="N154" s="782"/>
      <c r="P154" s="780">
        <f>IF($P$5&gt;$O$5,($P$5-$O$5)*B535,0)</f>
        <v>0</v>
      </c>
      <c r="Q154" s="780">
        <f t="shared" ref="Q154" si="1299">IF($P$5&gt;$O$5,($P$5-$O$5)*C535,0)</f>
        <v>0</v>
      </c>
      <c r="R154" s="780">
        <f t="shared" ref="R154" si="1300">IF($P$5&gt;$O$5,($P$5-$O$5)*D535,0)</f>
        <v>0</v>
      </c>
      <c r="S154" s="780">
        <f t="shared" ref="S154" si="1301">IF($P$5&gt;$O$5,($P$5-$O$5)*E535,0)</f>
        <v>0</v>
      </c>
      <c r="T154" s="780">
        <f t="shared" ref="T154" si="1302">IF($P$5&gt;$O$5,($P$5-$O$5)*F535,0)</f>
        <v>0</v>
      </c>
      <c r="U154" s="780">
        <f t="shared" ref="U154" si="1303">IF($P$5&gt;$O$5,($P$5-$O$5)*G535,0)</f>
        <v>0</v>
      </c>
      <c r="V154" s="780">
        <f t="shared" ref="V154" si="1304">IF($P$5&gt;$O$5,($P$5-$O$5)*H535,0)</f>
        <v>0</v>
      </c>
      <c r="W154" s="780">
        <f t="shared" ref="W154" si="1305">IF($P$5&gt;$O$5,($P$5-$O$5)*I535,0)</f>
        <v>0</v>
      </c>
      <c r="X154" s="780">
        <f t="shared" ref="X154" si="1306">IF($P$5&gt;$O$5,($P$5-$O$5)*J535,0)</f>
        <v>0</v>
      </c>
      <c r="Y154" s="781">
        <f t="shared" ref="Y154" si="1307">IF($P$5&gt;$O$5,($P$5-$O$5)*K535,0)</f>
        <v>0</v>
      </c>
      <c r="Z154" s="782">
        <f t="shared" ref="Z154" si="1308">IF($P$5&gt;$O$5,($P$5-$O$5)*L535,0)</f>
        <v>0</v>
      </c>
      <c r="AA154" s="780">
        <f t="shared" ref="AA154" si="1309">IF($P$5&gt;$O$5,($P$5-$O$5)*M535,0)</f>
        <v>0</v>
      </c>
      <c r="AB154" s="780">
        <f t="shared" ref="AB154" si="1310">IF($P$5&gt;$O$5,($P$5-$O$5)*N535,0)</f>
        <v>0</v>
      </c>
      <c r="AC154" s="780">
        <f t="shared" ref="AC154" si="1311">IF($P$5&gt;$O$5,($P$5-$O$5)*O535,0)</f>
        <v>0</v>
      </c>
      <c r="AD154" s="780">
        <f t="shared" ref="AD154" si="1312">IF($P$5&gt;$O$5,($P$5-$O$5)*P535,0)</f>
        <v>0</v>
      </c>
      <c r="AE154" s="780">
        <f t="shared" ref="AE154" si="1313">IF($P$5&gt;$O$5,($P$5-$O$5)*Q535,0)</f>
        <v>0</v>
      </c>
      <c r="AF154" s="780">
        <f t="shared" ref="AF154" si="1314">IF($P$5&gt;$O$5,($P$5-$O$5)*R535,0)</f>
        <v>0</v>
      </c>
      <c r="AG154" s="780">
        <f t="shared" ref="AG154" si="1315">IF($P$5&gt;$O$5,($P$5-$O$5)*S535,0)</f>
        <v>0</v>
      </c>
      <c r="AH154" s="780">
        <f t="shared" ref="AH154" si="1316">IF($P$5&gt;$O$5,($P$5-$O$5)*T535,0)</f>
        <v>0</v>
      </c>
      <c r="AI154" s="780">
        <f t="shared" ref="AI154" si="1317">IF($P$5&gt;$O$5,($P$5-$O$5)*U535,0)</f>
        <v>0</v>
      </c>
      <c r="AJ154" s="780">
        <f t="shared" ref="AJ154" si="1318">IF($P$5&gt;$O$5,($P$5-$O$5)*V535,0)</f>
        <v>0</v>
      </c>
      <c r="AK154" s="781">
        <f t="shared" ref="AK154" si="1319">IF($P$5&gt;$O$5,($P$5-$O$5)*W535,0)</f>
        <v>0</v>
      </c>
      <c r="AL154" s="782">
        <f t="shared" ref="AL154" si="1320">IF($P$5&gt;$O$5,($P$5-$O$5)*X535,0)</f>
        <v>0</v>
      </c>
      <c r="AM154" s="780">
        <f t="shared" ref="AM154" si="1321">IF($P$5&gt;$O$5,($P$5-$O$5)*Y535,0)</f>
        <v>0</v>
      </c>
      <c r="AN154" s="780">
        <f t="shared" ref="AN154" si="1322">IF($P$5&gt;$O$5,($P$5-$O$5)*Z535,0)</f>
        <v>0</v>
      </c>
      <c r="AO154" s="780">
        <f t="shared" ref="AO154" si="1323">IF($P$5&gt;$O$5,($P$5-$O$5)*AA535,0)</f>
        <v>0</v>
      </c>
      <c r="AP154" s="780">
        <f t="shared" ref="AP154" si="1324">IF($P$5&gt;$O$5,($P$5-$O$5)*AB535,0)</f>
        <v>0</v>
      </c>
      <c r="AQ154" s="780">
        <f t="shared" ref="AQ154" si="1325">IF($P$5&gt;$O$5,($P$5-$O$5)*AC535,0)</f>
        <v>0</v>
      </c>
      <c r="AR154" s="780">
        <f t="shared" ref="AR154" si="1326">IF($P$5&gt;$O$5,($P$5-$O$5)*AD535,0)</f>
        <v>0</v>
      </c>
      <c r="AS154" s="780">
        <f t="shared" ref="AS154" si="1327">IF($P$5&gt;$O$5,($P$5-$O$5)*AE535,0)</f>
        <v>0</v>
      </c>
      <c r="AT154" s="780">
        <f t="shared" ref="AT154" si="1328">IF($P$5&gt;$O$5,($P$5-$O$5)*AF535,0)</f>
        <v>0</v>
      </c>
      <c r="AU154" s="780">
        <f t="shared" ref="AU154" si="1329">IF($P$5&gt;$O$5,($P$5-$O$5)*AG535,0)</f>
        <v>0</v>
      </c>
      <c r="AV154" s="780">
        <f t="shared" ref="AV154" si="1330">IF($P$5&gt;$O$5,($P$5-$O$5)*AH535,0)</f>
        <v>0</v>
      </c>
      <c r="AW154" s="781">
        <f t="shared" ref="AW154" si="1331">IF($P$5&gt;$O$5,($P$5-$O$5)*AI535,0)</f>
        <v>0</v>
      </c>
      <c r="AX154" s="782">
        <f t="shared" ref="AX154" si="1332">IF($P$5&gt;$O$5,($P$5-$O$5)*AJ535,0)</f>
        <v>0</v>
      </c>
      <c r="AY154" s="780">
        <f t="shared" ref="AY154" si="1333">IF($P$5&gt;$O$5,($P$5-$O$5)*AK535,0)</f>
        <v>0</v>
      </c>
      <c r="AZ154" s="780">
        <f t="shared" ref="AZ154" si="1334">IF($P$5&gt;$O$5,($P$5-$O$5)*AL535,0)</f>
        <v>0</v>
      </c>
      <c r="BA154" s="780">
        <f t="shared" ref="BA154" si="1335">IF($P$5&gt;$O$5,($P$5-$O$5)*AM535,0)</f>
        <v>0</v>
      </c>
      <c r="BB154" s="780">
        <f t="shared" ref="BB154" si="1336">IF($P$5&gt;$O$5,($P$5-$O$5)*AN535,0)</f>
        <v>0</v>
      </c>
      <c r="BC154" s="780">
        <f t="shared" ref="BC154" si="1337">IF($P$5&gt;$O$5,($P$5-$O$5)*AO535,0)</f>
        <v>0</v>
      </c>
      <c r="BD154" s="780">
        <f t="shared" ref="BD154" si="1338">IF($P$5&gt;$O$5,($P$5-$O$5)*AP535,0)</f>
        <v>0</v>
      </c>
      <c r="BE154" s="780">
        <f t="shared" ref="BE154" si="1339">IF($P$5&gt;$O$5,($P$5-$O$5)*AQ535,0)</f>
        <v>0</v>
      </c>
      <c r="BF154" s="780">
        <f t="shared" ref="BF154" si="1340">IF($P$5&gt;$O$5,($P$5-$O$5)*AR535,0)</f>
        <v>0</v>
      </c>
      <c r="BG154" s="780">
        <f t="shared" ref="BG154" si="1341">IF($P$5&gt;$O$5,($P$5-$O$5)*AS535,0)</f>
        <v>0</v>
      </c>
      <c r="BH154" s="780">
        <f t="shared" ref="BH154" si="1342">IF($P$5&gt;$O$5,($P$5-$O$5)*AT535,0)</f>
        <v>0</v>
      </c>
      <c r="BI154" s="781">
        <f t="shared" ref="BI154" si="1343">IF($P$5&gt;$O$5,($P$5-$O$5)*AU535,0)</f>
        <v>0</v>
      </c>
    </row>
    <row r="155" spans="1:61" s="780" customFormat="1" hidden="1" outlineLevel="1">
      <c r="A155" s="780" t="str">
        <f>$A$536</f>
        <v>Leads</v>
      </c>
      <c r="M155" s="781"/>
      <c r="N155" s="782"/>
      <c r="P155" s="780">
        <f>IF($P$5&gt;$O$5,($P$5-$O$5)*B536,0)</f>
        <v>0</v>
      </c>
      <c r="Q155" s="780">
        <f t="shared" ref="Q155:BI155" si="1344">IF($P$5&gt;$O$5,($P$5-$O$5)*C536,0)</f>
        <v>0</v>
      </c>
      <c r="R155" s="780">
        <f t="shared" si="1344"/>
        <v>0</v>
      </c>
      <c r="S155" s="780">
        <f t="shared" si="1344"/>
        <v>0</v>
      </c>
      <c r="T155" s="780">
        <f t="shared" si="1344"/>
        <v>0</v>
      </c>
      <c r="U155" s="780">
        <f t="shared" si="1344"/>
        <v>0</v>
      </c>
      <c r="V155" s="780">
        <f t="shared" si="1344"/>
        <v>0</v>
      </c>
      <c r="W155" s="780">
        <f t="shared" si="1344"/>
        <v>0</v>
      </c>
      <c r="X155" s="780">
        <f t="shared" si="1344"/>
        <v>0</v>
      </c>
      <c r="Y155" s="781">
        <f t="shared" si="1344"/>
        <v>0</v>
      </c>
      <c r="Z155" s="782">
        <f t="shared" si="1344"/>
        <v>0</v>
      </c>
      <c r="AA155" s="780">
        <f t="shared" si="1344"/>
        <v>0</v>
      </c>
      <c r="AB155" s="780">
        <f t="shared" si="1344"/>
        <v>0</v>
      </c>
      <c r="AC155" s="780">
        <f t="shared" si="1344"/>
        <v>0</v>
      </c>
      <c r="AD155" s="780">
        <f t="shared" si="1344"/>
        <v>0</v>
      </c>
      <c r="AE155" s="780">
        <f t="shared" si="1344"/>
        <v>0</v>
      </c>
      <c r="AF155" s="780">
        <f t="shared" si="1344"/>
        <v>0</v>
      </c>
      <c r="AG155" s="780">
        <f t="shared" si="1344"/>
        <v>0</v>
      </c>
      <c r="AH155" s="780">
        <f t="shared" si="1344"/>
        <v>0</v>
      </c>
      <c r="AI155" s="780">
        <f t="shared" si="1344"/>
        <v>0</v>
      </c>
      <c r="AJ155" s="780">
        <f t="shared" si="1344"/>
        <v>0</v>
      </c>
      <c r="AK155" s="781">
        <f t="shared" si="1344"/>
        <v>0</v>
      </c>
      <c r="AL155" s="782">
        <f t="shared" si="1344"/>
        <v>0</v>
      </c>
      <c r="AM155" s="780">
        <f t="shared" si="1344"/>
        <v>0</v>
      </c>
      <c r="AN155" s="780">
        <f t="shared" si="1344"/>
        <v>0</v>
      </c>
      <c r="AO155" s="780">
        <f t="shared" si="1344"/>
        <v>0</v>
      </c>
      <c r="AP155" s="780">
        <f t="shared" si="1344"/>
        <v>0</v>
      </c>
      <c r="AQ155" s="780">
        <f t="shared" si="1344"/>
        <v>0</v>
      </c>
      <c r="AR155" s="780">
        <f t="shared" si="1344"/>
        <v>0</v>
      </c>
      <c r="AS155" s="780">
        <f t="shared" si="1344"/>
        <v>0</v>
      </c>
      <c r="AT155" s="780">
        <f t="shared" si="1344"/>
        <v>0</v>
      </c>
      <c r="AU155" s="780">
        <f t="shared" si="1344"/>
        <v>0</v>
      </c>
      <c r="AV155" s="780">
        <f t="shared" si="1344"/>
        <v>0</v>
      </c>
      <c r="AW155" s="781">
        <f t="shared" si="1344"/>
        <v>0</v>
      </c>
      <c r="AX155" s="782">
        <f t="shared" si="1344"/>
        <v>0</v>
      </c>
      <c r="AY155" s="780">
        <f t="shared" si="1344"/>
        <v>0</v>
      </c>
      <c r="AZ155" s="780">
        <f t="shared" si="1344"/>
        <v>0</v>
      </c>
      <c r="BA155" s="780">
        <f t="shared" si="1344"/>
        <v>0</v>
      </c>
      <c r="BB155" s="780">
        <f t="shared" si="1344"/>
        <v>0</v>
      </c>
      <c r="BC155" s="780">
        <f t="shared" si="1344"/>
        <v>0</v>
      </c>
      <c r="BD155" s="780">
        <f t="shared" si="1344"/>
        <v>0</v>
      </c>
      <c r="BE155" s="780">
        <f t="shared" si="1344"/>
        <v>0</v>
      </c>
      <c r="BF155" s="780">
        <f t="shared" si="1344"/>
        <v>0</v>
      </c>
      <c r="BG155" s="780">
        <f t="shared" si="1344"/>
        <v>0</v>
      </c>
      <c r="BH155" s="780">
        <f t="shared" si="1344"/>
        <v>0</v>
      </c>
      <c r="BI155" s="781">
        <f t="shared" si="1344"/>
        <v>0</v>
      </c>
    </row>
    <row r="156" spans="1:61" s="780" customFormat="1" hidden="1" outlineLevel="1">
      <c r="A156" s="780" t="str">
        <f>$A$537</f>
        <v>Audits</v>
      </c>
      <c r="M156" s="781"/>
      <c r="N156" s="782"/>
      <c r="P156" s="780">
        <f t="shared" ref="P156:BI156" si="1345">IF($P$5&gt;$O$5,($P$5-$O$5)*B537,0)</f>
        <v>0</v>
      </c>
      <c r="Q156" s="780">
        <f t="shared" si="1345"/>
        <v>0</v>
      </c>
      <c r="R156" s="780">
        <f t="shared" si="1345"/>
        <v>0</v>
      </c>
      <c r="S156" s="780">
        <f t="shared" si="1345"/>
        <v>0</v>
      </c>
      <c r="T156" s="780">
        <f t="shared" si="1345"/>
        <v>0</v>
      </c>
      <c r="U156" s="780">
        <f t="shared" si="1345"/>
        <v>0</v>
      </c>
      <c r="V156" s="780">
        <f t="shared" si="1345"/>
        <v>0</v>
      </c>
      <c r="W156" s="780">
        <f t="shared" si="1345"/>
        <v>0</v>
      </c>
      <c r="X156" s="780">
        <f t="shared" si="1345"/>
        <v>0</v>
      </c>
      <c r="Y156" s="781">
        <f t="shared" si="1345"/>
        <v>0</v>
      </c>
      <c r="Z156" s="782">
        <f t="shared" si="1345"/>
        <v>0</v>
      </c>
      <c r="AA156" s="780">
        <f t="shared" si="1345"/>
        <v>0</v>
      </c>
      <c r="AB156" s="780">
        <f t="shared" si="1345"/>
        <v>0</v>
      </c>
      <c r="AC156" s="780">
        <f t="shared" si="1345"/>
        <v>0</v>
      </c>
      <c r="AD156" s="780">
        <f t="shared" si="1345"/>
        <v>0</v>
      </c>
      <c r="AE156" s="780">
        <f t="shared" si="1345"/>
        <v>0</v>
      </c>
      <c r="AF156" s="780">
        <f t="shared" si="1345"/>
        <v>0</v>
      </c>
      <c r="AG156" s="780">
        <f t="shared" si="1345"/>
        <v>0</v>
      </c>
      <c r="AH156" s="780">
        <f t="shared" si="1345"/>
        <v>0</v>
      </c>
      <c r="AI156" s="780">
        <f t="shared" si="1345"/>
        <v>0</v>
      </c>
      <c r="AJ156" s="780">
        <f t="shared" si="1345"/>
        <v>0</v>
      </c>
      <c r="AK156" s="781">
        <f t="shared" si="1345"/>
        <v>0</v>
      </c>
      <c r="AL156" s="782">
        <f t="shared" si="1345"/>
        <v>0</v>
      </c>
      <c r="AM156" s="780">
        <f t="shared" si="1345"/>
        <v>0</v>
      </c>
      <c r="AN156" s="780">
        <f t="shared" si="1345"/>
        <v>0</v>
      </c>
      <c r="AO156" s="780">
        <f t="shared" si="1345"/>
        <v>0</v>
      </c>
      <c r="AP156" s="780">
        <f t="shared" si="1345"/>
        <v>0</v>
      </c>
      <c r="AQ156" s="780">
        <f t="shared" si="1345"/>
        <v>0</v>
      </c>
      <c r="AR156" s="780">
        <f t="shared" si="1345"/>
        <v>0</v>
      </c>
      <c r="AS156" s="780">
        <f t="shared" si="1345"/>
        <v>0</v>
      </c>
      <c r="AT156" s="780">
        <f t="shared" si="1345"/>
        <v>0</v>
      </c>
      <c r="AU156" s="780">
        <f t="shared" si="1345"/>
        <v>0</v>
      </c>
      <c r="AV156" s="780">
        <f t="shared" si="1345"/>
        <v>0</v>
      </c>
      <c r="AW156" s="781">
        <f t="shared" si="1345"/>
        <v>0</v>
      </c>
      <c r="AX156" s="782">
        <f t="shared" si="1345"/>
        <v>0</v>
      </c>
      <c r="AY156" s="780">
        <f t="shared" si="1345"/>
        <v>0</v>
      </c>
      <c r="AZ156" s="780">
        <f t="shared" si="1345"/>
        <v>0</v>
      </c>
      <c r="BA156" s="780">
        <f t="shared" si="1345"/>
        <v>0</v>
      </c>
      <c r="BB156" s="780">
        <f t="shared" si="1345"/>
        <v>0</v>
      </c>
      <c r="BC156" s="780">
        <f t="shared" si="1345"/>
        <v>0</v>
      </c>
      <c r="BD156" s="780">
        <f t="shared" si="1345"/>
        <v>0</v>
      </c>
      <c r="BE156" s="780">
        <f t="shared" si="1345"/>
        <v>0</v>
      </c>
      <c r="BF156" s="780">
        <f t="shared" si="1345"/>
        <v>0</v>
      </c>
      <c r="BG156" s="780">
        <f t="shared" si="1345"/>
        <v>0</v>
      </c>
      <c r="BH156" s="780">
        <f t="shared" si="1345"/>
        <v>0</v>
      </c>
      <c r="BI156" s="781">
        <f t="shared" si="1345"/>
        <v>0</v>
      </c>
    </row>
    <row r="157" spans="1:61" s="780" customFormat="1" hidden="1" outlineLevel="1">
      <c r="A157" s="780" t="str">
        <f>$A$538</f>
        <v>Retrofit</v>
      </c>
      <c r="M157" s="781"/>
      <c r="N157" s="782"/>
      <c r="P157" s="780">
        <f t="shared" ref="P157:BI157" si="1346">IF($P$5&gt;$O$5,($P$5-$O$5)*B538,0)</f>
        <v>0</v>
      </c>
      <c r="Q157" s="780">
        <f t="shared" si="1346"/>
        <v>0</v>
      </c>
      <c r="R157" s="780">
        <f t="shared" si="1346"/>
        <v>0</v>
      </c>
      <c r="S157" s="780">
        <f t="shared" si="1346"/>
        <v>0</v>
      </c>
      <c r="T157" s="780">
        <f t="shared" si="1346"/>
        <v>0</v>
      </c>
      <c r="U157" s="780">
        <f t="shared" si="1346"/>
        <v>0</v>
      </c>
      <c r="V157" s="780">
        <f t="shared" si="1346"/>
        <v>0</v>
      </c>
      <c r="W157" s="780">
        <f t="shared" si="1346"/>
        <v>0</v>
      </c>
      <c r="X157" s="780">
        <f t="shared" si="1346"/>
        <v>0</v>
      </c>
      <c r="Y157" s="781">
        <f t="shared" si="1346"/>
        <v>0</v>
      </c>
      <c r="Z157" s="782">
        <f t="shared" si="1346"/>
        <v>0</v>
      </c>
      <c r="AA157" s="780">
        <f t="shared" si="1346"/>
        <v>0</v>
      </c>
      <c r="AB157" s="780">
        <f t="shared" si="1346"/>
        <v>0</v>
      </c>
      <c r="AC157" s="780">
        <f t="shared" si="1346"/>
        <v>0</v>
      </c>
      <c r="AD157" s="780">
        <f t="shared" si="1346"/>
        <v>0</v>
      </c>
      <c r="AE157" s="780">
        <f t="shared" si="1346"/>
        <v>0</v>
      </c>
      <c r="AF157" s="780">
        <f t="shared" si="1346"/>
        <v>0</v>
      </c>
      <c r="AG157" s="780">
        <f t="shared" si="1346"/>
        <v>0</v>
      </c>
      <c r="AH157" s="780">
        <f t="shared" si="1346"/>
        <v>0</v>
      </c>
      <c r="AI157" s="780">
        <f t="shared" si="1346"/>
        <v>0</v>
      </c>
      <c r="AJ157" s="780">
        <f t="shared" si="1346"/>
        <v>0</v>
      </c>
      <c r="AK157" s="781">
        <f t="shared" si="1346"/>
        <v>0</v>
      </c>
      <c r="AL157" s="782">
        <f t="shared" si="1346"/>
        <v>0</v>
      </c>
      <c r="AM157" s="780">
        <f t="shared" si="1346"/>
        <v>0</v>
      </c>
      <c r="AN157" s="780">
        <f t="shared" si="1346"/>
        <v>0</v>
      </c>
      <c r="AO157" s="780">
        <f t="shared" si="1346"/>
        <v>0</v>
      </c>
      <c r="AP157" s="780">
        <f t="shared" si="1346"/>
        <v>0</v>
      </c>
      <c r="AQ157" s="780">
        <f t="shared" si="1346"/>
        <v>0</v>
      </c>
      <c r="AR157" s="780">
        <f t="shared" si="1346"/>
        <v>0</v>
      </c>
      <c r="AS157" s="780">
        <f t="shared" si="1346"/>
        <v>0</v>
      </c>
      <c r="AT157" s="780">
        <f t="shared" si="1346"/>
        <v>0</v>
      </c>
      <c r="AU157" s="780">
        <f t="shared" si="1346"/>
        <v>0</v>
      </c>
      <c r="AV157" s="780">
        <f t="shared" si="1346"/>
        <v>0</v>
      </c>
      <c r="AW157" s="781">
        <f t="shared" si="1346"/>
        <v>0</v>
      </c>
      <c r="AX157" s="782">
        <f t="shared" si="1346"/>
        <v>0</v>
      </c>
      <c r="AY157" s="780">
        <f t="shared" si="1346"/>
        <v>0</v>
      </c>
      <c r="AZ157" s="780">
        <f t="shared" si="1346"/>
        <v>0</v>
      </c>
      <c r="BA157" s="780">
        <f t="shared" si="1346"/>
        <v>0</v>
      </c>
      <c r="BB157" s="780">
        <f t="shared" si="1346"/>
        <v>0</v>
      </c>
      <c r="BC157" s="780">
        <f t="shared" si="1346"/>
        <v>0</v>
      </c>
      <c r="BD157" s="780">
        <f t="shared" si="1346"/>
        <v>0</v>
      </c>
      <c r="BE157" s="780">
        <f t="shared" si="1346"/>
        <v>0</v>
      </c>
      <c r="BF157" s="780">
        <f t="shared" si="1346"/>
        <v>0</v>
      </c>
      <c r="BG157" s="780">
        <f t="shared" si="1346"/>
        <v>0</v>
      </c>
      <c r="BH157" s="780">
        <f t="shared" si="1346"/>
        <v>0</v>
      </c>
      <c r="BI157" s="781">
        <f t="shared" si="1346"/>
        <v>0</v>
      </c>
    </row>
    <row r="158" spans="1:61" s="780" customFormat="1" hidden="1" outlineLevel="1">
      <c r="A158" s="780" t="str">
        <f>$A$539</f>
        <v>Revenue</v>
      </c>
      <c r="M158" s="781"/>
      <c r="N158" s="782"/>
      <c r="P158" s="780">
        <f t="shared" ref="P158:BI158" si="1347">IF($P$5&gt;$O$5,($P$5-$O$5)*B539,0)</f>
        <v>0</v>
      </c>
      <c r="Q158" s="780">
        <f t="shared" si="1347"/>
        <v>0</v>
      </c>
      <c r="R158" s="780">
        <f t="shared" si="1347"/>
        <v>0</v>
      </c>
      <c r="S158" s="780">
        <f t="shared" si="1347"/>
        <v>0</v>
      </c>
      <c r="T158" s="780">
        <f t="shared" si="1347"/>
        <v>0</v>
      </c>
      <c r="U158" s="780">
        <f t="shared" si="1347"/>
        <v>0</v>
      </c>
      <c r="V158" s="780">
        <f t="shared" si="1347"/>
        <v>0</v>
      </c>
      <c r="W158" s="780">
        <f t="shared" si="1347"/>
        <v>0</v>
      </c>
      <c r="X158" s="780">
        <f t="shared" si="1347"/>
        <v>0</v>
      </c>
      <c r="Y158" s="781">
        <f t="shared" si="1347"/>
        <v>0</v>
      </c>
      <c r="Z158" s="782">
        <f t="shared" si="1347"/>
        <v>0</v>
      </c>
      <c r="AA158" s="780">
        <f t="shared" si="1347"/>
        <v>0</v>
      </c>
      <c r="AB158" s="780">
        <f t="shared" si="1347"/>
        <v>0</v>
      </c>
      <c r="AC158" s="780">
        <f t="shared" si="1347"/>
        <v>0</v>
      </c>
      <c r="AD158" s="780">
        <f t="shared" si="1347"/>
        <v>0</v>
      </c>
      <c r="AE158" s="780">
        <f t="shared" si="1347"/>
        <v>0</v>
      </c>
      <c r="AF158" s="780">
        <f t="shared" si="1347"/>
        <v>0</v>
      </c>
      <c r="AG158" s="780">
        <f t="shared" si="1347"/>
        <v>0</v>
      </c>
      <c r="AH158" s="780">
        <f t="shared" si="1347"/>
        <v>0</v>
      </c>
      <c r="AI158" s="780">
        <f t="shared" si="1347"/>
        <v>0</v>
      </c>
      <c r="AJ158" s="780">
        <f t="shared" si="1347"/>
        <v>0</v>
      </c>
      <c r="AK158" s="781">
        <f t="shared" si="1347"/>
        <v>0</v>
      </c>
      <c r="AL158" s="782">
        <f t="shared" si="1347"/>
        <v>0</v>
      </c>
      <c r="AM158" s="780">
        <f t="shared" si="1347"/>
        <v>0</v>
      </c>
      <c r="AN158" s="780">
        <f t="shared" si="1347"/>
        <v>0</v>
      </c>
      <c r="AO158" s="780">
        <f t="shared" si="1347"/>
        <v>0</v>
      </c>
      <c r="AP158" s="780">
        <f t="shared" si="1347"/>
        <v>0</v>
      </c>
      <c r="AQ158" s="780">
        <f t="shared" si="1347"/>
        <v>0</v>
      </c>
      <c r="AR158" s="780">
        <f t="shared" si="1347"/>
        <v>0</v>
      </c>
      <c r="AS158" s="780">
        <f t="shared" si="1347"/>
        <v>0</v>
      </c>
      <c r="AT158" s="780">
        <f t="shared" si="1347"/>
        <v>0</v>
      </c>
      <c r="AU158" s="780">
        <f t="shared" si="1347"/>
        <v>0</v>
      </c>
      <c r="AV158" s="780">
        <f t="shared" si="1347"/>
        <v>0</v>
      </c>
      <c r="AW158" s="781">
        <f t="shared" si="1347"/>
        <v>0</v>
      </c>
      <c r="AX158" s="782">
        <f t="shared" si="1347"/>
        <v>0</v>
      </c>
      <c r="AY158" s="780">
        <f t="shared" si="1347"/>
        <v>0</v>
      </c>
      <c r="AZ158" s="780">
        <f t="shared" si="1347"/>
        <v>0</v>
      </c>
      <c r="BA158" s="780">
        <f t="shared" si="1347"/>
        <v>0</v>
      </c>
      <c r="BB158" s="780">
        <f t="shared" si="1347"/>
        <v>0</v>
      </c>
      <c r="BC158" s="780">
        <f t="shared" si="1347"/>
        <v>0</v>
      </c>
      <c r="BD158" s="780">
        <f t="shared" si="1347"/>
        <v>0</v>
      </c>
      <c r="BE158" s="780">
        <f t="shared" si="1347"/>
        <v>0</v>
      </c>
      <c r="BF158" s="780">
        <f t="shared" si="1347"/>
        <v>0</v>
      </c>
      <c r="BG158" s="780">
        <f t="shared" si="1347"/>
        <v>0</v>
      </c>
      <c r="BH158" s="780">
        <f t="shared" si="1347"/>
        <v>0</v>
      </c>
      <c r="BI158" s="781">
        <f t="shared" si="1347"/>
        <v>0</v>
      </c>
    </row>
    <row r="159" spans="1:61" s="780" customFormat="1" hidden="1" outlineLevel="1">
      <c r="A159" s="780" t="str">
        <f>$A$540</f>
        <v>Net Income</v>
      </c>
      <c r="M159" s="781"/>
      <c r="N159" s="782"/>
      <c r="P159" s="780">
        <f t="shared" ref="P159:BI159" si="1348">IF($P$5&gt;$O$5,($P$5-$O$5)*B540,0)</f>
        <v>0</v>
      </c>
      <c r="Q159" s="780">
        <f t="shared" si="1348"/>
        <v>0</v>
      </c>
      <c r="R159" s="780">
        <f t="shared" si="1348"/>
        <v>0</v>
      </c>
      <c r="S159" s="780">
        <f t="shared" si="1348"/>
        <v>0</v>
      </c>
      <c r="T159" s="780">
        <f t="shared" si="1348"/>
        <v>0</v>
      </c>
      <c r="U159" s="780">
        <f t="shared" si="1348"/>
        <v>0</v>
      </c>
      <c r="V159" s="780">
        <f t="shared" si="1348"/>
        <v>0</v>
      </c>
      <c r="W159" s="780">
        <f t="shared" si="1348"/>
        <v>0</v>
      </c>
      <c r="X159" s="780">
        <f t="shared" si="1348"/>
        <v>0</v>
      </c>
      <c r="Y159" s="781">
        <f t="shared" si="1348"/>
        <v>0</v>
      </c>
      <c r="Z159" s="782">
        <f t="shared" si="1348"/>
        <v>0</v>
      </c>
      <c r="AA159" s="780">
        <f t="shared" si="1348"/>
        <v>0</v>
      </c>
      <c r="AB159" s="780">
        <f t="shared" si="1348"/>
        <v>0</v>
      </c>
      <c r="AC159" s="780">
        <f t="shared" si="1348"/>
        <v>0</v>
      </c>
      <c r="AD159" s="780">
        <f t="shared" si="1348"/>
        <v>0</v>
      </c>
      <c r="AE159" s="780">
        <f t="shared" si="1348"/>
        <v>0</v>
      </c>
      <c r="AF159" s="780">
        <f t="shared" si="1348"/>
        <v>0</v>
      </c>
      <c r="AG159" s="780">
        <f t="shared" si="1348"/>
        <v>0</v>
      </c>
      <c r="AH159" s="780">
        <f t="shared" si="1348"/>
        <v>0</v>
      </c>
      <c r="AI159" s="780">
        <f t="shared" si="1348"/>
        <v>0</v>
      </c>
      <c r="AJ159" s="780">
        <f t="shared" si="1348"/>
        <v>0</v>
      </c>
      <c r="AK159" s="781">
        <f t="shared" si="1348"/>
        <v>0</v>
      </c>
      <c r="AL159" s="782">
        <f t="shared" si="1348"/>
        <v>0</v>
      </c>
      <c r="AM159" s="780">
        <f t="shared" si="1348"/>
        <v>0</v>
      </c>
      <c r="AN159" s="780">
        <f t="shared" si="1348"/>
        <v>0</v>
      </c>
      <c r="AO159" s="780">
        <f t="shared" si="1348"/>
        <v>0</v>
      </c>
      <c r="AP159" s="780">
        <f t="shared" si="1348"/>
        <v>0</v>
      </c>
      <c r="AQ159" s="780">
        <f t="shared" si="1348"/>
        <v>0</v>
      </c>
      <c r="AR159" s="780">
        <f t="shared" si="1348"/>
        <v>0</v>
      </c>
      <c r="AS159" s="780">
        <f t="shared" si="1348"/>
        <v>0</v>
      </c>
      <c r="AT159" s="780">
        <f t="shared" si="1348"/>
        <v>0</v>
      </c>
      <c r="AU159" s="780">
        <f t="shared" si="1348"/>
        <v>0</v>
      </c>
      <c r="AV159" s="780">
        <f t="shared" si="1348"/>
        <v>0</v>
      </c>
      <c r="AW159" s="781">
        <f t="shared" si="1348"/>
        <v>0</v>
      </c>
      <c r="AX159" s="782">
        <f t="shared" si="1348"/>
        <v>0</v>
      </c>
      <c r="AY159" s="780">
        <f t="shared" si="1348"/>
        <v>0</v>
      </c>
      <c r="AZ159" s="780">
        <f t="shared" si="1348"/>
        <v>0</v>
      </c>
      <c r="BA159" s="780">
        <f t="shared" si="1348"/>
        <v>0</v>
      </c>
      <c r="BB159" s="780">
        <f t="shared" si="1348"/>
        <v>0</v>
      </c>
      <c r="BC159" s="780">
        <f t="shared" si="1348"/>
        <v>0</v>
      </c>
      <c r="BD159" s="780">
        <f t="shared" si="1348"/>
        <v>0</v>
      </c>
      <c r="BE159" s="780">
        <f t="shared" si="1348"/>
        <v>0</v>
      </c>
      <c r="BF159" s="780">
        <f t="shared" si="1348"/>
        <v>0</v>
      </c>
      <c r="BG159" s="780">
        <f t="shared" si="1348"/>
        <v>0</v>
      </c>
      <c r="BH159" s="780">
        <f t="shared" si="1348"/>
        <v>0</v>
      </c>
      <c r="BI159" s="781">
        <f t="shared" si="1348"/>
        <v>0</v>
      </c>
    </row>
    <row r="160" spans="1:61" s="780" customFormat="1" hidden="1" outlineLevel="1">
      <c r="A160" s="780" t="str">
        <f>$A$541</f>
        <v>Program Revenue</v>
      </c>
      <c r="M160" s="781"/>
      <c r="N160" s="782"/>
      <c r="P160" s="780">
        <f t="shared" ref="P160" si="1349">IF($P$5&gt;$O$5,($P$5-$O$5)*B541,0)</f>
        <v>0</v>
      </c>
      <c r="Q160" s="780">
        <f t="shared" ref="Q160" si="1350">IF($P$5&gt;$O$5,($P$5-$O$5)*C541,0)</f>
        <v>0</v>
      </c>
      <c r="R160" s="780">
        <f t="shared" ref="R160" si="1351">IF($P$5&gt;$O$5,($P$5-$O$5)*D541,0)</f>
        <v>0</v>
      </c>
      <c r="S160" s="780">
        <f t="shared" ref="S160" si="1352">IF($P$5&gt;$O$5,($P$5-$O$5)*E541,0)</f>
        <v>0</v>
      </c>
      <c r="T160" s="780">
        <f t="shared" ref="T160" si="1353">IF($P$5&gt;$O$5,($P$5-$O$5)*F541,0)</f>
        <v>0</v>
      </c>
      <c r="U160" s="780">
        <f t="shared" ref="U160" si="1354">IF($P$5&gt;$O$5,($P$5-$O$5)*G541,0)</f>
        <v>0</v>
      </c>
      <c r="V160" s="780">
        <f t="shared" ref="V160" si="1355">IF($P$5&gt;$O$5,($P$5-$O$5)*H541,0)</f>
        <v>0</v>
      </c>
      <c r="W160" s="780">
        <f t="shared" ref="W160" si="1356">IF($P$5&gt;$O$5,($P$5-$O$5)*I541,0)</f>
        <v>0</v>
      </c>
      <c r="X160" s="780">
        <f t="shared" ref="X160" si="1357">IF($P$5&gt;$O$5,($P$5-$O$5)*J541,0)</f>
        <v>0</v>
      </c>
      <c r="Y160" s="781">
        <f t="shared" ref="Y160" si="1358">IF($P$5&gt;$O$5,($P$5-$O$5)*K541,0)</f>
        <v>0</v>
      </c>
      <c r="Z160" s="782">
        <f t="shared" ref="Z160" si="1359">IF($P$5&gt;$O$5,($P$5-$O$5)*L541,0)</f>
        <v>0</v>
      </c>
      <c r="AA160" s="780">
        <f t="shared" ref="AA160" si="1360">IF($P$5&gt;$O$5,($P$5-$O$5)*M541,0)</f>
        <v>0</v>
      </c>
      <c r="AB160" s="780">
        <f t="shared" ref="AB160" si="1361">IF($P$5&gt;$O$5,($P$5-$O$5)*N541,0)</f>
        <v>0</v>
      </c>
      <c r="AC160" s="780">
        <f t="shared" ref="AC160" si="1362">IF($P$5&gt;$O$5,($P$5-$O$5)*O541,0)</f>
        <v>0</v>
      </c>
      <c r="AD160" s="780">
        <f t="shared" ref="AD160" si="1363">IF($P$5&gt;$O$5,($P$5-$O$5)*P541,0)</f>
        <v>0</v>
      </c>
      <c r="AE160" s="780">
        <f t="shared" ref="AE160" si="1364">IF($P$5&gt;$O$5,($P$5-$O$5)*Q541,0)</f>
        <v>0</v>
      </c>
      <c r="AF160" s="780">
        <f t="shared" ref="AF160" si="1365">IF($P$5&gt;$O$5,($P$5-$O$5)*R541,0)</f>
        <v>0</v>
      </c>
      <c r="AG160" s="780">
        <f t="shared" ref="AG160" si="1366">IF($P$5&gt;$O$5,($P$5-$O$5)*S541,0)</f>
        <v>0</v>
      </c>
      <c r="AH160" s="780">
        <f t="shared" ref="AH160" si="1367">IF($P$5&gt;$O$5,($P$5-$O$5)*T541,0)</f>
        <v>0</v>
      </c>
      <c r="AI160" s="780">
        <f t="shared" ref="AI160" si="1368">IF($P$5&gt;$O$5,($P$5-$O$5)*U541,0)</f>
        <v>0</v>
      </c>
      <c r="AJ160" s="780">
        <f t="shared" ref="AJ160" si="1369">IF($P$5&gt;$O$5,($P$5-$O$5)*V541,0)</f>
        <v>0</v>
      </c>
      <c r="AK160" s="781">
        <f t="shared" ref="AK160" si="1370">IF($P$5&gt;$O$5,($P$5-$O$5)*W541,0)</f>
        <v>0</v>
      </c>
      <c r="AL160" s="782">
        <f t="shared" ref="AL160" si="1371">IF($P$5&gt;$O$5,($P$5-$O$5)*X541,0)</f>
        <v>0</v>
      </c>
      <c r="AM160" s="780">
        <f t="shared" ref="AM160" si="1372">IF($P$5&gt;$O$5,($P$5-$O$5)*Y541,0)</f>
        <v>0</v>
      </c>
      <c r="AN160" s="780">
        <f t="shared" ref="AN160" si="1373">IF($P$5&gt;$O$5,($P$5-$O$5)*Z541,0)</f>
        <v>0</v>
      </c>
      <c r="AO160" s="780">
        <f t="shared" ref="AO160" si="1374">IF($P$5&gt;$O$5,($P$5-$O$5)*AA541,0)</f>
        <v>0</v>
      </c>
      <c r="AP160" s="780">
        <f t="shared" ref="AP160" si="1375">IF($P$5&gt;$O$5,($P$5-$O$5)*AB541,0)</f>
        <v>0</v>
      </c>
      <c r="AQ160" s="780">
        <f t="shared" ref="AQ160" si="1376">IF($P$5&gt;$O$5,($P$5-$O$5)*AC541,0)</f>
        <v>0</v>
      </c>
      <c r="AR160" s="780">
        <f t="shared" ref="AR160" si="1377">IF($P$5&gt;$O$5,($P$5-$O$5)*AD541,0)</f>
        <v>0</v>
      </c>
      <c r="AS160" s="780">
        <f t="shared" ref="AS160" si="1378">IF($P$5&gt;$O$5,($P$5-$O$5)*AE541,0)</f>
        <v>0</v>
      </c>
      <c r="AT160" s="780">
        <f t="shared" ref="AT160" si="1379">IF($P$5&gt;$O$5,($P$5-$O$5)*AF541,0)</f>
        <v>0</v>
      </c>
      <c r="AU160" s="780">
        <f t="shared" ref="AU160" si="1380">IF($P$5&gt;$O$5,($P$5-$O$5)*AG541,0)</f>
        <v>0</v>
      </c>
      <c r="AV160" s="780">
        <f t="shared" ref="AV160" si="1381">IF($P$5&gt;$O$5,($P$5-$O$5)*AH541,0)</f>
        <v>0</v>
      </c>
      <c r="AW160" s="781">
        <f t="shared" ref="AW160" si="1382">IF($P$5&gt;$O$5,($P$5-$O$5)*AI541,0)</f>
        <v>0</v>
      </c>
      <c r="AX160" s="782">
        <f t="shared" ref="AX160" si="1383">IF($P$5&gt;$O$5,($P$5-$O$5)*AJ541,0)</f>
        <v>0</v>
      </c>
      <c r="AY160" s="780">
        <f t="shared" ref="AY160" si="1384">IF($P$5&gt;$O$5,($P$5-$O$5)*AK541,0)</f>
        <v>0</v>
      </c>
      <c r="AZ160" s="780">
        <f t="shared" ref="AZ160" si="1385">IF($P$5&gt;$O$5,($P$5-$O$5)*AL541,0)</f>
        <v>0</v>
      </c>
      <c r="BA160" s="780">
        <f t="shared" ref="BA160" si="1386">IF($P$5&gt;$O$5,($P$5-$O$5)*AM541,0)</f>
        <v>0</v>
      </c>
      <c r="BB160" s="780">
        <f t="shared" ref="BB160" si="1387">IF($P$5&gt;$O$5,($P$5-$O$5)*AN541,0)</f>
        <v>0</v>
      </c>
      <c r="BC160" s="780">
        <f t="shared" ref="BC160" si="1388">IF($P$5&gt;$O$5,($P$5-$O$5)*AO541,0)</f>
        <v>0</v>
      </c>
      <c r="BD160" s="780">
        <f t="shared" ref="BD160" si="1389">IF($P$5&gt;$O$5,($P$5-$O$5)*AP541,0)</f>
        <v>0</v>
      </c>
      <c r="BE160" s="780">
        <f t="shared" ref="BE160" si="1390">IF($P$5&gt;$O$5,($P$5-$O$5)*AQ541,0)</f>
        <v>0</v>
      </c>
      <c r="BF160" s="780">
        <f t="shared" ref="BF160" si="1391">IF($P$5&gt;$O$5,($P$5-$O$5)*AR541,0)</f>
        <v>0</v>
      </c>
      <c r="BG160" s="780">
        <f t="shared" ref="BG160" si="1392">IF($P$5&gt;$O$5,($P$5-$O$5)*AS541,0)</f>
        <v>0</v>
      </c>
      <c r="BH160" s="780">
        <f t="shared" ref="BH160" si="1393">IF($P$5&gt;$O$5,($P$5-$O$5)*AT541,0)</f>
        <v>0</v>
      </c>
      <c r="BI160" s="781">
        <f t="shared" ref="BI160" si="1394">IF($P$5&gt;$O$5,($P$5-$O$5)*AU541,0)</f>
        <v>0</v>
      </c>
    </row>
    <row r="161" spans="1:61" s="780" customFormat="1" hidden="1" outlineLevel="1">
      <c r="M161" s="781"/>
      <c r="N161" s="782"/>
      <c r="Y161" s="781"/>
      <c r="Z161" s="782"/>
      <c r="AK161" s="781"/>
      <c r="AL161" s="782"/>
      <c r="AW161" s="781"/>
      <c r="AX161" s="782"/>
      <c r="BI161" s="781"/>
    </row>
    <row r="162" spans="1:61" s="780" customFormat="1" hidden="1" outlineLevel="1">
      <c r="A162" s="780" t="s">
        <v>359</v>
      </c>
      <c r="M162" s="781"/>
      <c r="N162" s="782"/>
      <c r="Q162" s="780">
        <f>IF($Q$5&gt;$P$5,($Q$5-$P$5)*B535,0)</f>
        <v>0</v>
      </c>
      <c r="R162" s="780">
        <f t="shared" ref="R162" si="1395">IF($Q$5&gt;$P$5,($Q$5-$P$5)*C535,0)</f>
        <v>0</v>
      </c>
      <c r="S162" s="780">
        <f t="shared" ref="S162" si="1396">IF($Q$5&gt;$P$5,($Q$5-$P$5)*D535,0)</f>
        <v>0</v>
      </c>
      <c r="T162" s="780">
        <f t="shared" ref="T162" si="1397">IF($Q$5&gt;$P$5,($Q$5-$P$5)*E535,0)</f>
        <v>0</v>
      </c>
      <c r="U162" s="780">
        <f t="shared" ref="U162" si="1398">IF($Q$5&gt;$P$5,($Q$5-$P$5)*F535,0)</f>
        <v>0</v>
      </c>
      <c r="V162" s="780">
        <f t="shared" ref="V162" si="1399">IF($Q$5&gt;$P$5,($Q$5-$P$5)*G535,0)</f>
        <v>0</v>
      </c>
      <c r="W162" s="780">
        <f t="shared" ref="W162" si="1400">IF($Q$5&gt;$P$5,($Q$5-$P$5)*H535,0)</f>
        <v>0</v>
      </c>
      <c r="X162" s="780">
        <f t="shared" ref="X162" si="1401">IF($Q$5&gt;$P$5,($Q$5-$P$5)*I535,0)</f>
        <v>0</v>
      </c>
      <c r="Y162" s="781">
        <f t="shared" ref="Y162" si="1402">IF($Q$5&gt;$P$5,($Q$5-$P$5)*J535,0)</f>
        <v>0</v>
      </c>
      <c r="Z162" s="782">
        <f t="shared" ref="Z162" si="1403">IF($Q$5&gt;$P$5,($Q$5-$P$5)*K535,0)</f>
        <v>0</v>
      </c>
      <c r="AA162" s="780">
        <f t="shared" ref="AA162" si="1404">IF($Q$5&gt;$P$5,($Q$5-$P$5)*L535,0)</f>
        <v>0</v>
      </c>
      <c r="AB162" s="780">
        <f t="shared" ref="AB162" si="1405">IF($Q$5&gt;$P$5,($Q$5-$P$5)*M535,0)</f>
        <v>0</v>
      </c>
      <c r="AC162" s="780">
        <f t="shared" ref="AC162" si="1406">IF($Q$5&gt;$P$5,($Q$5-$P$5)*N535,0)</f>
        <v>0</v>
      </c>
      <c r="AD162" s="780">
        <f t="shared" ref="AD162" si="1407">IF($Q$5&gt;$P$5,($Q$5-$P$5)*O535,0)</f>
        <v>0</v>
      </c>
      <c r="AE162" s="780">
        <f t="shared" ref="AE162" si="1408">IF($Q$5&gt;$P$5,($Q$5-$P$5)*P535,0)</f>
        <v>0</v>
      </c>
      <c r="AF162" s="780">
        <f t="shared" ref="AF162" si="1409">IF($Q$5&gt;$P$5,($Q$5-$P$5)*Q535,0)</f>
        <v>0</v>
      </c>
      <c r="AG162" s="780">
        <f t="shared" ref="AG162" si="1410">IF($Q$5&gt;$P$5,($Q$5-$P$5)*R535,0)</f>
        <v>0</v>
      </c>
      <c r="AH162" s="780">
        <f t="shared" ref="AH162" si="1411">IF($Q$5&gt;$P$5,($Q$5-$P$5)*S535,0)</f>
        <v>0</v>
      </c>
      <c r="AI162" s="780">
        <f t="shared" ref="AI162" si="1412">IF($Q$5&gt;$P$5,($Q$5-$P$5)*T535,0)</f>
        <v>0</v>
      </c>
      <c r="AJ162" s="780">
        <f t="shared" ref="AJ162" si="1413">IF($Q$5&gt;$P$5,($Q$5-$P$5)*U535,0)</f>
        <v>0</v>
      </c>
      <c r="AK162" s="781">
        <f t="shared" ref="AK162" si="1414">IF($Q$5&gt;$P$5,($Q$5-$P$5)*V535,0)</f>
        <v>0</v>
      </c>
      <c r="AL162" s="782">
        <f t="shared" ref="AL162" si="1415">IF($Q$5&gt;$P$5,($Q$5-$P$5)*W535,0)</f>
        <v>0</v>
      </c>
      <c r="AM162" s="780">
        <f t="shared" ref="AM162" si="1416">IF($Q$5&gt;$P$5,($Q$5-$P$5)*X535,0)</f>
        <v>0</v>
      </c>
      <c r="AN162" s="780">
        <f t="shared" ref="AN162" si="1417">IF($Q$5&gt;$P$5,($Q$5-$P$5)*Y535,0)</f>
        <v>0</v>
      </c>
      <c r="AO162" s="780">
        <f t="shared" ref="AO162" si="1418">IF($Q$5&gt;$P$5,($Q$5-$P$5)*Z535,0)</f>
        <v>0</v>
      </c>
      <c r="AP162" s="780">
        <f t="shared" ref="AP162" si="1419">IF($Q$5&gt;$P$5,($Q$5-$P$5)*AA535,0)</f>
        <v>0</v>
      </c>
      <c r="AQ162" s="780">
        <f t="shared" ref="AQ162" si="1420">IF($Q$5&gt;$P$5,($Q$5-$P$5)*AB535,0)</f>
        <v>0</v>
      </c>
      <c r="AR162" s="780">
        <f t="shared" ref="AR162" si="1421">IF($Q$5&gt;$P$5,($Q$5-$P$5)*AC535,0)</f>
        <v>0</v>
      </c>
      <c r="AS162" s="780">
        <f t="shared" ref="AS162" si="1422">IF($Q$5&gt;$P$5,($Q$5-$P$5)*AD535,0)</f>
        <v>0</v>
      </c>
      <c r="AT162" s="780">
        <f t="shared" ref="AT162" si="1423">IF($Q$5&gt;$P$5,($Q$5-$P$5)*AE535,0)</f>
        <v>0</v>
      </c>
      <c r="AU162" s="780">
        <f t="shared" ref="AU162" si="1424">IF($Q$5&gt;$P$5,($Q$5-$P$5)*AF535,0)</f>
        <v>0</v>
      </c>
      <c r="AV162" s="780">
        <f t="shared" ref="AV162" si="1425">IF($Q$5&gt;$P$5,($Q$5-$P$5)*AG535,0)</f>
        <v>0</v>
      </c>
      <c r="AW162" s="781">
        <f t="shared" ref="AW162" si="1426">IF($Q$5&gt;$P$5,($Q$5-$P$5)*AH535,0)</f>
        <v>0</v>
      </c>
      <c r="AX162" s="782">
        <f t="shared" ref="AX162" si="1427">IF($Q$5&gt;$P$5,($Q$5-$P$5)*AI535,0)</f>
        <v>0</v>
      </c>
      <c r="AY162" s="780">
        <f t="shared" ref="AY162" si="1428">IF($Q$5&gt;$P$5,($Q$5-$P$5)*AJ535,0)</f>
        <v>0</v>
      </c>
      <c r="AZ162" s="780">
        <f t="shared" ref="AZ162" si="1429">IF($Q$5&gt;$P$5,($Q$5-$P$5)*AK535,0)</f>
        <v>0</v>
      </c>
      <c r="BA162" s="780">
        <f t="shared" ref="BA162" si="1430">IF($Q$5&gt;$P$5,($Q$5-$P$5)*AL535,0)</f>
        <v>0</v>
      </c>
      <c r="BB162" s="780">
        <f t="shared" ref="BB162" si="1431">IF($Q$5&gt;$P$5,($Q$5-$P$5)*AM535,0)</f>
        <v>0</v>
      </c>
      <c r="BC162" s="780">
        <f t="shared" ref="BC162" si="1432">IF($Q$5&gt;$P$5,($Q$5-$P$5)*AN535,0)</f>
        <v>0</v>
      </c>
      <c r="BD162" s="780">
        <f t="shared" ref="BD162" si="1433">IF($Q$5&gt;$P$5,($Q$5-$P$5)*AO535,0)</f>
        <v>0</v>
      </c>
      <c r="BE162" s="780">
        <f t="shared" ref="BE162" si="1434">IF($Q$5&gt;$P$5,($Q$5-$P$5)*AP535,0)</f>
        <v>0</v>
      </c>
      <c r="BF162" s="780">
        <f t="shared" ref="BF162" si="1435">IF($Q$5&gt;$P$5,($Q$5-$P$5)*AQ535,0)</f>
        <v>0</v>
      </c>
      <c r="BG162" s="780">
        <f t="shared" ref="BG162" si="1436">IF($Q$5&gt;$P$5,($Q$5-$P$5)*AR535,0)</f>
        <v>0</v>
      </c>
      <c r="BH162" s="780">
        <f t="shared" ref="BH162" si="1437">IF($Q$5&gt;$P$5,($Q$5-$P$5)*AS535,0)</f>
        <v>0</v>
      </c>
      <c r="BI162" s="781">
        <f t="shared" ref="BI162" si="1438">IF($Q$5&gt;$P$5,($Q$5-$P$5)*AT535,0)</f>
        <v>0</v>
      </c>
    </row>
    <row r="163" spans="1:61" s="780" customFormat="1" hidden="1" outlineLevel="1">
      <c r="A163" s="780" t="str">
        <f>$A$536</f>
        <v>Leads</v>
      </c>
      <c r="M163" s="781"/>
      <c r="N163" s="782"/>
      <c r="Q163" s="780">
        <f>IF($Q$5&gt;$P$5,($Q$5-$P$5)*B536,0)</f>
        <v>0</v>
      </c>
      <c r="R163" s="780">
        <f t="shared" ref="R163:BI163" si="1439">IF($Q$5&gt;$P$5,($Q$5-$P$5)*C536,0)</f>
        <v>0</v>
      </c>
      <c r="S163" s="780">
        <f t="shared" si="1439"/>
        <v>0</v>
      </c>
      <c r="T163" s="780">
        <f t="shared" si="1439"/>
        <v>0</v>
      </c>
      <c r="U163" s="780">
        <f t="shared" si="1439"/>
        <v>0</v>
      </c>
      <c r="V163" s="780">
        <f t="shared" si="1439"/>
        <v>0</v>
      </c>
      <c r="W163" s="780">
        <f t="shared" si="1439"/>
        <v>0</v>
      </c>
      <c r="X163" s="780">
        <f t="shared" si="1439"/>
        <v>0</v>
      </c>
      <c r="Y163" s="781">
        <f t="shared" si="1439"/>
        <v>0</v>
      </c>
      <c r="Z163" s="782">
        <f t="shared" si="1439"/>
        <v>0</v>
      </c>
      <c r="AA163" s="780">
        <f t="shared" si="1439"/>
        <v>0</v>
      </c>
      <c r="AB163" s="780">
        <f t="shared" si="1439"/>
        <v>0</v>
      </c>
      <c r="AC163" s="780">
        <f t="shared" si="1439"/>
        <v>0</v>
      </c>
      <c r="AD163" s="780">
        <f t="shared" si="1439"/>
        <v>0</v>
      </c>
      <c r="AE163" s="780">
        <f t="shared" si="1439"/>
        <v>0</v>
      </c>
      <c r="AF163" s="780">
        <f t="shared" si="1439"/>
        <v>0</v>
      </c>
      <c r="AG163" s="780">
        <f t="shared" si="1439"/>
        <v>0</v>
      </c>
      <c r="AH163" s="780">
        <f t="shared" si="1439"/>
        <v>0</v>
      </c>
      <c r="AI163" s="780">
        <f t="shared" si="1439"/>
        <v>0</v>
      </c>
      <c r="AJ163" s="780">
        <f t="shared" si="1439"/>
        <v>0</v>
      </c>
      <c r="AK163" s="781">
        <f t="shared" si="1439"/>
        <v>0</v>
      </c>
      <c r="AL163" s="782">
        <f t="shared" si="1439"/>
        <v>0</v>
      </c>
      <c r="AM163" s="780">
        <f t="shared" si="1439"/>
        <v>0</v>
      </c>
      <c r="AN163" s="780">
        <f t="shared" si="1439"/>
        <v>0</v>
      </c>
      <c r="AO163" s="780">
        <f t="shared" si="1439"/>
        <v>0</v>
      </c>
      <c r="AP163" s="780">
        <f t="shared" si="1439"/>
        <v>0</v>
      </c>
      <c r="AQ163" s="780">
        <f t="shared" si="1439"/>
        <v>0</v>
      </c>
      <c r="AR163" s="780">
        <f t="shared" si="1439"/>
        <v>0</v>
      </c>
      <c r="AS163" s="780">
        <f t="shared" si="1439"/>
        <v>0</v>
      </c>
      <c r="AT163" s="780">
        <f t="shared" si="1439"/>
        <v>0</v>
      </c>
      <c r="AU163" s="780">
        <f t="shared" si="1439"/>
        <v>0</v>
      </c>
      <c r="AV163" s="780">
        <f t="shared" si="1439"/>
        <v>0</v>
      </c>
      <c r="AW163" s="781">
        <f t="shared" si="1439"/>
        <v>0</v>
      </c>
      <c r="AX163" s="782">
        <f t="shared" si="1439"/>
        <v>0</v>
      </c>
      <c r="AY163" s="780">
        <f t="shared" si="1439"/>
        <v>0</v>
      </c>
      <c r="AZ163" s="780">
        <f t="shared" si="1439"/>
        <v>0</v>
      </c>
      <c r="BA163" s="780">
        <f t="shared" si="1439"/>
        <v>0</v>
      </c>
      <c r="BB163" s="780">
        <f t="shared" si="1439"/>
        <v>0</v>
      </c>
      <c r="BC163" s="780">
        <f t="shared" si="1439"/>
        <v>0</v>
      </c>
      <c r="BD163" s="780">
        <f t="shared" si="1439"/>
        <v>0</v>
      </c>
      <c r="BE163" s="780">
        <f t="shared" si="1439"/>
        <v>0</v>
      </c>
      <c r="BF163" s="780">
        <f t="shared" si="1439"/>
        <v>0</v>
      </c>
      <c r="BG163" s="780">
        <f t="shared" si="1439"/>
        <v>0</v>
      </c>
      <c r="BH163" s="780">
        <f t="shared" si="1439"/>
        <v>0</v>
      </c>
      <c r="BI163" s="781">
        <f t="shared" si="1439"/>
        <v>0</v>
      </c>
    </row>
    <row r="164" spans="1:61" s="780" customFormat="1" hidden="1" outlineLevel="1">
      <c r="A164" s="780" t="str">
        <f>$A$537</f>
        <v>Audits</v>
      </c>
      <c r="M164" s="781"/>
      <c r="N164" s="782"/>
      <c r="Q164" s="780">
        <f t="shared" ref="Q164:BI164" si="1440">IF($Q$5&gt;$P$5,($Q$5-$P$5)*B537,0)</f>
        <v>0</v>
      </c>
      <c r="R164" s="780">
        <f t="shared" si="1440"/>
        <v>0</v>
      </c>
      <c r="S164" s="780">
        <f t="shared" si="1440"/>
        <v>0</v>
      </c>
      <c r="T164" s="780">
        <f t="shared" si="1440"/>
        <v>0</v>
      </c>
      <c r="U164" s="780">
        <f t="shared" si="1440"/>
        <v>0</v>
      </c>
      <c r="V164" s="780">
        <f t="shared" si="1440"/>
        <v>0</v>
      </c>
      <c r="W164" s="780">
        <f t="shared" si="1440"/>
        <v>0</v>
      </c>
      <c r="X164" s="780">
        <f t="shared" si="1440"/>
        <v>0</v>
      </c>
      <c r="Y164" s="781">
        <f t="shared" si="1440"/>
        <v>0</v>
      </c>
      <c r="Z164" s="782">
        <f t="shared" si="1440"/>
        <v>0</v>
      </c>
      <c r="AA164" s="780">
        <f t="shared" si="1440"/>
        <v>0</v>
      </c>
      <c r="AB164" s="780">
        <f t="shared" si="1440"/>
        <v>0</v>
      </c>
      <c r="AC164" s="780">
        <f t="shared" si="1440"/>
        <v>0</v>
      </c>
      <c r="AD164" s="780">
        <f t="shared" si="1440"/>
        <v>0</v>
      </c>
      <c r="AE164" s="780">
        <f t="shared" si="1440"/>
        <v>0</v>
      </c>
      <c r="AF164" s="780">
        <f t="shared" si="1440"/>
        <v>0</v>
      </c>
      <c r="AG164" s="780">
        <f t="shared" si="1440"/>
        <v>0</v>
      </c>
      <c r="AH164" s="780">
        <f t="shared" si="1440"/>
        <v>0</v>
      </c>
      <c r="AI164" s="780">
        <f t="shared" si="1440"/>
        <v>0</v>
      </c>
      <c r="AJ164" s="780">
        <f t="shared" si="1440"/>
        <v>0</v>
      </c>
      <c r="AK164" s="781">
        <f t="shared" si="1440"/>
        <v>0</v>
      </c>
      <c r="AL164" s="782">
        <f t="shared" si="1440"/>
        <v>0</v>
      </c>
      <c r="AM164" s="780">
        <f t="shared" si="1440"/>
        <v>0</v>
      </c>
      <c r="AN164" s="780">
        <f t="shared" si="1440"/>
        <v>0</v>
      </c>
      <c r="AO164" s="780">
        <f t="shared" si="1440"/>
        <v>0</v>
      </c>
      <c r="AP164" s="780">
        <f t="shared" si="1440"/>
        <v>0</v>
      </c>
      <c r="AQ164" s="780">
        <f t="shared" si="1440"/>
        <v>0</v>
      </c>
      <c r="AR164" s="780">
        <f t="shared" si="1440"/>
        <v>0</v>
      </c>
      <c r="AS164" s="780">
        <f t="shared" si="1440"/>
        <v>0</v>
      </c>
      <c r="AT164" s="780">
        <f t="shared" si="1440"/>
        <v>0</v>
      </c>
      <c r="AU164" s="780">
        <f t="shared" si="1440"/>
        <v>0</v>
      </c>
      <c r="AV164" s="780">
        <f t="shared" si="1440"/>
        <v>0</v>
      </c>
      <c r="AW164" s="781">
        <f t="shared" si="1440"/>
        <v>0</v>
      </c>
      <c r="AX164" s="782">
        <f t="shared" si="1440"/>
        <v>0</v>
      </c>
      <c r="AY164" s="780">
        <f t="shared" si="1440"/>
        <v>0</v>
      </c>
      <c r="AZ164" s="780">
        <f t="shared" si="1440"/>
        <v>0</v>
      </c>
      <c r="BA164" s="780">
        <f t="shared" si="1440"/>
        <v>0</v>
      </c>
      <c r="BB164" s="780">
        <f t="shared" si="1440"/>
        <v>0</v>
      </c>
      <c r="BC164" s="780">
        <f t="shared" si="1440"/>
        <v>0</v>
      </c>
      <c r="BD164" s="780">
        <f t="shared" si="1440"/>
        <v>0</v>
      </c>
      <c r="BE164" s="780">
        <f t="shared" si="1440"/>
        <v>0</v>
      </c>
      <c r="BF164" s="780">
        <f t="shared" si="1440"/>
        <v>0</v>
      </c>
      <c r="BG164" s="780">
        <f t="shared" si="1440"/>
        <v>0</v>
      </c>
      <c r="BH164" s="780">
        <f t="shared" si="1440"/>
        <v>0</v>
      </c>
      <c r="BI164" s="781">
        <f t="shared" si="1440"/>
        <v>0</v>
      </c>
    </row>
    <row r="165" spans="1:61" s="780" customFormat="1" hidden="1" outlineLevel="1">
      <c r="A165" s="780" t="str">
        <f>$A$538</f>
        <v>Retrofit</v>
      </c>
      <c r="M165" s="781"/>
      <c r="N165" s="782"/>
      <c r="Q165" s="780">
        <f t="shared" ref="Q165:BI165" si="1441">IF($Q$5&gt;$P$5,($Q$5-$P$5)*B538,0)</f>
        <v>0</v>
      </c>
      <c r="R165" s="780">
        <f t="shared" si="1441"/>
        <v>0</v>
      </c>
      <c r="S165" s="780">
        <f t="shared" si="1441"/>
        <v>0</v>
      </c>
      <c r="T165" s="780">
        <f t="shared" si="1441"/>
        <v>0</v>
      </c>
      <c r="U165" s="780">
        <f t="shared" si="1441"/>
        <v>0</v>
      </c>
      <c r="V165" s="780">
        <f t="shared" si="1441"/>
        <v>0</v>
      </c>
      <c r="W165" s="780">
        <f t="shared" si="1441"/>
        <v>0</v>
      </c>
      <c r="X165" s="780">
        <f t="shared" si="1441"/>
        <v>0</v>
      </c>
      <c r="Y165" s="781">
        <f t="shared" si="1441"/>
        <v>0</v>
      </c>
      <c r="Z165" s="782">
        <f t="shared" si="1441"/>
        <v>0</v>
      </c>
      <c r="AA165" s="780">
        <f t="shared" si="1441"/>
        <v>0</v>
      </c>
      <c r="AB165" s="780">
        <f t="shared" si="1441"/>
        <v>0</v>
      </c>
      <c r="AC165" s="780">
        <f t="shared" si="1441"/>
        <v>0</v>
      </c>
      <c r="AD165" s="780">
        <f t="shared" si="1441"/>
        <v>0</v>
      </c>
      <c r="AE165" s="780">
        <f t="shared" si="1441"/>
        <v>0</v>
      </c>
      <c r="AF165" s="780">
        <f t="shared" si="1441"/>
        <v>0</v>
      </c>
      <c r="AG165" s="780">
        <f t="shared" si="1441"/>
        <v>0</v>
      </c>
      <c r="AH165" s="780">
        <f t="shared" si="1441"/>
        <v>0</v>
      </c>
      <c r="AI165" s="780">
        <f t="shared" si="1441"/>
        <v>0</v>
      </c>
      <c r="AJ165" s="780">
        <f t="shared" si="1441"/>
        <v>0</v>
      </c>
      <c r="AK165" s="781">
        <f t="shared" si="1441"/>
        <v>0</v>
      </c>
      <c r="AL165" s="782">
        <f t="shared" si="1441"/>
        <v>0</v>
      </c>
      <c r="AM165" s="780">
        <f t="shared" si="1441"/>
        <v>0</v>
      </c>
      <c r="AN165" s="780">
        <f t="shared" si="1441"/>
        <v>0</v>
      </c>
      <c r="AO165" s="780">
        <f t="shared" si="1441"/>
        <v>0</v>
      </c>
      <c r="AP165" s="780">
        <f t="shared" si="1441"/>
        <v>0</v>
      </c>
      <c r="AQ165" s="780">
        <f t="shared" si="1441"/>
        <v>0</v>
      </c>
      <c r="AR165" s="780">
        <f t="shared" si="1441"/>
        <v>0</v>
      </c>
      <c r="AS165" s="780">
        <f t="shared" si="1441"/>
        <v>0</v>
      </c>
      <c r="AT165" s="780">
        <f t="shared" si="1441"/>
        <v>0</v>
      </c>
      <c r="AU165" s="780">
        <f t="shared" si="1441"/>
        <v>0</v>
      </c>
      <c r="AV165" s="780">
        <f t="shared" si="1441"/>
        <v>0</v>
      </c>
      <c r="AW165" s="781">
        <f t="shared" si="1441"/>
        <v>0</v>
      </c>
      <c r="AX165" s="782">
        <f t="shared" si="1441"/>
        <v>0</v>
      </c>
      <c r="AY165" s="780">
        <f t="shared" si="1441"/>
        <v>0</v>
      </c>
      <c r="AZ165" s="780">
        <f t="shared" si="1441"/>
        <v>0</v>
      </c>
      <c r="BA165" s="780">
        <f t="shared" si="1441"/>
        <v>0</v>
      </c>
      <c r="BB165" s="780">
        <f t="shared" si="1441"/>
        <v>0</v>
      </c>
      <c r="BC165" s="780">
        <f t="shared" si="1441"/>
        <v>0</v>
      </c>
      <c r="BD165" s="780">
        <f t="shared" si="1441"/>
        <v>0</v>
      </c>
      <c r="BE165" s="780">
        <f t="shared" si="1441"/>
        <v>0</v>
      </c>
      <c r="BF165" s="780">
        <f t="shared" si="1441"/>
        <v>0</v>
      </c>
      <c r="BG165" s="780">
        <f t="shared" si="1441"/>
        <v>0</v>
      </c>
      <c r="BH165" s="780">
        <f t="shared" si="1441"/>
        <v>0</v>
      </c>
      <c r="BI165" s="781">
        <f t="shared" si="1441"/>
        <v>0</v>
      </c>
    </row>
    <row r="166" spans="1:61" s="780" customFormat="1" hidden="1" outlineLevel="1">
      <c r="A166" s="780" t="str">
        <f>$A$539</f>
        <v>Revenue</v>
      </c>
      <c r="M166" s="781"/>
      <c r="N166" s="782"/>
      <c r="Q166" s="780">
        <f t="shared" ref="Q166:BI166" si="1442">IF($Q$5&gt;$P$5,($Q$5-$P$5)*B539,0)</f>
        <v>0</v>
      </c>
      <c r="R166" s="780">
        <f t="shared" si="1442"/>
        <v>0</v>
      </c>
      <c r="S166" s="780">
        <f t="shared" si="1442"/>
        <v>0</v>
      </c>
      <c r="T166" s="780">
        <f t="shared" si="1442"/>
        <v>0</v>
      </c>
      <c r="U166" s="780">
        <f t="shared" si="1442"/>
        <v>0</v>
      </c>
      <c r="V166" s="780">
        <f t="shared" si="1442"/>
        <v>0</v>
      </c>
      <c r="W166" s="780">
        <f t="shared" si="1442"/>
        <v>0</v>
      </c>
      <c r="X166" s="780">
        <f t="shared" si="1442"/>
        <v>0</v>
      </c>
      <c r="Y166" s="781">
        <f t="shared" si="1442"/>
        <v>0</v>
      </c>
      <c r="Z166" s="782">
        <f t="shared" si="1442"/>
        <v>0</v>
      </c>
      <c r="AA166" s="780">
        <f t="shared" si="1442"/>
        <v>0</v>
      </c>
      <c r="AB166" s="780">
        <f t="shared" si="1442"/>
        <v>0</v>
      </c>
      <c r="AC166" s="780">
        <f t="shared" si="1442"/>
        <v>0</v>
      </c>
      <c r="AD166" s="780">
        <f t="shared" si="1442"/>
        <v>0</v>
      </c>
      <c r="AE166" s="780">
        <f t="shared" si="1442"/>
        <v>0</v>
      </c>
      <c r="AF166" s="780">
        <f t="shared" si="1442"/>
        <v>0</v>
      </c>
      <c r="AG166" s="780">
        <f t="shared" si="1442"/>
        <v>0</v>
      </c>
      <c r="AH166" s="780">
        <f t="shared" si="1442"/>
        <v>0</v>
      </c>
      <c r="AI166" s="780">
        <f t="shared" si="1442"/>
        <v>0</v>
      </c>
      <c r="AJ166" s="780">
        <f t="shared" si="1442"/>
        <v>0</v>
      </c>
      <c r="AK166" s="781">
        <f t="shared" si="1442"/>
        <v>0</v>
      </c>
      <c r="AL166" s="782">
        <f t="shared" si="1442"/>
        <v>0</v>
      </c>
      <c r="AM166" s="780">
        <f t="shared" si="1442"/>
        <v>0</v>
      </c>
      <c r="AN166" s="780">
        <f t="shared" si="1442"/>
        <v>0</v>
      </c>
      <c r="AO166" s="780">
        <f t="shared" si="1442"/>
        <v>0</v>
      </c>
      <c r="AP166" s="780">
        <f t="shared" si="1442"/>
        <v>0</v>
      </c>
      <c r="AQ166" s="780">
        <f t="shared" si="1442"/>
        <v>0</v>
      </c>
      <c r="AR166" s="780">
        <f t="shared" si="1442"/>
        <v>0</v>
      </c>
      <c r="AS166" s="780">
        <f t="shared" si="1442"/>
        <v>0</v>
      </c>
      <c r="AT166" s="780">
        <f t="shared" si="1442"/>
        <v>0</v>
      </c>
      <c r="AU166" s="780">
        <f t="shared" si="1442"/>
        <v>0</v>
      </c>
      <c r="AV166" s="780">
        <f t="shared" si="1442"/>
        <v>0</v>
      </c>
      <c r="AW166" s="781">
        <f t="shared" si="1442"/>
        <v>0</v>
      </c>
      <c r="AX166" s="782">
        <f t="shared" si="1442"/>
        <v>0</v>
      </c>
      <c r="AY166" s="780">
        <f t="shared" si="1442"/>
        <v>0</v>
      </c>
      <c r="AZ166" s="780">
        <f t="shared" si="1442"/>
        <v>0</v>
      </c>
      <c r="BA166" s="780">
        <f t="shared" si="1442"/>
        <v>0</v>
      </c>
      <c r="BB166" s="780">
        <f t="shared" si="1442"/>
        <v>0</v>
      </c>
      <c r="BC166" s="780">
        <f t="shared" si="1442"/>
        <v>0</v>
      </c>
      <c r="BD166" s="780">
        <f t="shared" si="1442"/>
        <v>0</v>
      </c>
      <c r="BE166" s="780">
        <f t="shared" si="1442"/>
        <v>0</v>
      </c>
      <c r="BF166" s="780">
        <f t="shared" si="1442"/>
        <v>0</v>
      </c>
      <c r="BG166" s="780">
        <f t="shared" si="1442"/>
        <v>0</v>
      </c>
      <c r="BH166" s="780">
        <f t="shared" si="1442"/>
        <v>0</v>
      </c>
      <c r="BI166" s="781">
        <f t="shared" si="1442"/>
        <v>0</v>
      </c>
    </row>
    <row r="167" spans="1:61" s="780" customFormat="1" hidden="1" outlineLevel="1">
      <c r="A167" s="780" t="str">
        <f>$A$540</f>
        <v>Net Income</v>
      </c>
      <c r="M167" s="781"/>
      <c r="N167" s="782"/>
      <c r="Q167" s="780">
        <f t="shared" ref="Q167:BI167" si="1443">IF($Q$5&gt;$P$5,($Q$5-$P$5)*B540,0)</f>
        <v>0</v>
      </c>
      <c r="R167" s="780">
        <f t="shared" si="1443"/>
        <v>0</v>
      </c>
      <c r="S167" s="780">
        <f t="shared" si="1443"/>
        <v>0</v>
      </c>
      <c r="T167" s="780">
        <f t="shared" si="1443"/>
        <v>0</v>
      </c>
      <c r="U167" s="780">
        <f t="shared" si="1443"/>
        <v>0</v>
      </c>
      <c r="V167" s="780">
        <f t="shared" si="1443"/>
        <v>0</v>
      </c>
      <c r="W167" s="780">
        <f t="shared" si="1443"/>
        <v>0</v>
      </c>
      <c r="X167" s="780">
        <f t="shared" si="1443"/>
        <v>0</v>
      </c>
      <c r="Y167" s="781">
        <f t="shared" si="1443"/>
        <v>0</v>
      </c>
      <c r="Z167" s="782">
        <f t="shared" si="1443"/>
        <v>0</v>
      </c>
      <c r="AA167" s="780">
        <f t="shared" si="1443"/>
        <v>0</v>
      </c>
      <c r="AB167" s="780">
        <f t="shared" si="1443"/>
        <v>0</v>
      </c>
      <c r="AC167" s="780">
        <f t="shared" si="1443"/>
        <v>0</v>
      </c>
      <c r="AD167" s="780">
        <f t="shared" si="1443"/>
        <v>0</v>
      </c>
      <c r="AE167" s="780">
        <f t="shared" si="1443"/>
        <v>0</v>
      </c>
      <c r="AF167" s="780">
        <f t="shared" si="1443"/>
        <v>0</v>
      </c>
      <c r="AG167" s="780">
        <f t="shared" si="1443"/>
        <v>0</v>
      </c>
      <c r="AH167" s="780">
        <f t="shared" si="1443"/>
        <v>0</v>
      </c>
      <c r="AI167" s="780">
        <f t="shared" si="1443"/>
        <v>0</v>
      </c>
      <c r="AJ167" s="780">
        <f t="shared" si="1443"/>
        <v>0</v>
      </c>
      <c r="AK167" s="781">
        <f t="shared" si="1443"/>
        <v>0</v>
      </c>
      <c r="AL167" s="782">
        <f t="shared" si="1443"/>
        <v>0</v>
      </c>
      <c r="AM167" s="780">
        <f t="shared" si="1443"/>
        <v>0</v>
      </c>
      <c r="AN167" s="780">
        <f t="shared" si="1443"/>
        <v>0</v>
      </c>
      <c r="AO167" s="780">
        <f t="shared" si="1443"/>
        <v>0</v>
      </c>
      <c r="AP167" s="780">
        <f t="shared" si="1443"/>
        <v>0</v>
      </c>
      <c r="AQ167" s="780">
        <f t="shared" si="1443"/>
        <v>0</v>
      </c>
      <c r="AR167" s="780">
        <f t="shared" si="1443"/>
        <v>0</v>
      </c>
      <c r="AS167" s="780">
        <f t="shared" si="1443"/>
        <v>0</v>
      </c>
      <c r="AT167" s="780">
        <f t="shared" si="1443"/>
        <v>0</v>
      </c>
      <c r="AU167" s="780">
        <f t="shared" si="1443"/>
        <v>0</v>
      </c>
      <c r="AV167" s="780">
        <f t="shared" si="1443"/>
        <v>0</v>
      </c>
      <c r="AW167" s="781">
        <f t="shared" si="1443"/>
        <v>0</v>
      </c>
      <c r="AX167" s="782">
        <f t="shared" si="1443"/>
        <v>0</v>
      </c>
      <c r="AY167" s="780">
        <f t="shared" si="1443"/>
        <v>0</v>
      </c>
      <c r="AZ167" s="780">
        <f t="shared" si="1443"/>
        <v>0</v>
      </c>
      <c r="BA167" s="780">
        <f t="shared" si="1443"/>
        <v>0</v>
      </c>
      <c r="BB167" s="780">
        <f t="shared" si="1443"/>
        <v>0</v>
      </c>
      <c r="BC167" s="780">
        <f t="shared" si="1443"/>
        <v>0</v>
      </c>
      <c r="BD167" s="780">
        <f t="shared" si="1443"/>
        <v>0</v>
      </c>
      <c r="BE167" s="780">
        <f t="shared" si="1443"/>
        <v>0</v>
      </c>
      <c r="BF167" s="780">
        <f t="shared" si="1443"/>
        <v>0</v>
      </c>
      <c r="BG167" s="780">
        <f t="shared" si="1443"/>
        <v>0</v>
      </c>
      <c r="BH167" s="780">
        <f t="shared" si="1443"/>
        <v>0</v>
      </c>
      <c r="BI167" s="781">
        <f t="shared" si="1443"/>
        <v>0</v>
      </c>
    </row>
    <row r="168" spans="1:61" s="780" customFormat="1" hidden="1" outlineLevel="1">
      <c r="A168" s="780" t="str">
        <f>$A$541</f>
        <v>Program Revenue</v>
      </c>
      <c r="M168" s="781"/>
      <c r="N168" s="782"/>
      <c r="Q168" s="780">
        <f t="shared" ref="Q168" si="1444">IF($Q$5&gt;$P$5,($Q$5-$P$5)*B541,0)</f>
        <v>0</v>
      </c>
      <c r="R168" s="780">
        <f t="shared" ref="R168" si="1445">IF($Q$5&gt;$P$5,($Q$5-$P$5)*C541,0)</f>
        <v>0</v>
      </c>
      <c r="S168" s="780">
        <f t="shared" ref="S168" si="1446">IF($Q$5&gt;$P$5,($Q$5-$P$5)*D541,0)</f>
        <v>0</v>
      </c>
      <c r="T168" s="780">
        <f t="shared" ref="T168" si="1447">IF($Q$5&gt;$P$5,($Q$5-$P$5)*E541,0)</f>
        <v>0</v>
      </c>
      <c r="U168" s="780">
        <f t="shared" ref="U168" si="1448">IF($Q$5&gt;$P$5,($Q$5-$P$5)*F541,0)</f>
        <v>0</v>
      </c>
      <c r="V168" s="780">
        <f t="shared" ref="V168" si="1449">IF($Q$5&gt;$P$5,($Q$5-$P$5)*G541,0)</f>
        <v>0</v>
      </c>
      <c r="W168" s="780">
        <f t="shared" ref="W168" si="1450">IF($Q$5&gt;$P$5,($Q$5-$P$5)*H541,0)</f>
        <v>0</v>
      </c>
      <c r="X168" s="780">
        <f t="shared" ref="X168" si="1451">IF($Q$5&gt;$P$5,($Q$5-$P$5)*I541,0)</f>
        <v>0</v>
      </c>
      <c r="Y168" s="781">
        <f t="shared" ref="Y168" si="1452">IF($Q$5&gt;$P$5,($Q$5-$P$5)*J541,0)</f>
        <v>0</v>
      </c>
      <c r="Z168" s="782">
        <f t="shared" ref="Z168" si="1453">IF($Q$5&gt;$P$5,($Q$5-$P$5)*K541,0)</f>
        <v>0</v>
      </c>
      <c r="AA168" s="780">
        <f t="shared" ref="AA168" si="1454">IF($Q$5&gt;$P$5,($Q$5-$P$5)*L541,0)</f>
        <v>0</v>
      </c>
      <c r="AB168" s="780">
        <f t="shared" ref="AB168" si="1455">IF($Q$5&gt;$P$5,($Q$5-$P$5)*M541,0)</f>
        <v>0</v>
      </c>
      <c r="AC168" s="780">
        <f t="shared" ref="AC168" si="1456">IF($Q$5&gt;$P$5,($Q$5-$P$5)*N541,0)</f>
        <v>0</v>
      </c>
      <c r="AD168" s="780">
        <f t="shared" ref="AD168" si="1457">IF($Q$5&gt;$P$5,($Q$5-$P$5)*O541,0)</f>
        <v>0</v>
      </c>
      <c r="AE168" s="780">
        <f t="shared" ref="AE168" si="1458">IF($Q$5&gt;$P$5,($Q$5-$P$5)*P541,0)</f>
        <v>0</v>
      </c>
      <c r="AF168" s="780">
        <f t="shared" ref="AF168" si="1459">IF($Q$5&gt;$P$5,($Q$5-$P$5)*Q541,0)</f>
        <v>0</v>
      </c>
      <c r="AG168" s="780">
        <f t="shared" ref="AG168" si="1460">IF($Q$5&gt;$P$5,($Q$5-$P$5)*R541,0)</f>
        <v>0</v>
      </c>
      <c r="AH168" s="780">
        <f t="shared" ref="AH168" si="1461">IF($Q$5&gt;$P$5,($Q$5-$P$5)*S541,0)</f>
        <v>0</v>
      </c>
      <c r="AI168" s="780">
        <f t="shared" ref="AI168" si="1462">IF($Q$5&gt;$P$5,($Q$5-$P$5)*T541,0)</f>
        <v>0</v>
      </c>
      <c r="AJ168" s="780">
        <f t="shared" ref="AJ168" si="1463">IF($Q$5&gt;$P$5,($Q$5-$P$5)*U541,0)</f>
        <v>0</v>
      </c>
      <c r="AK168" s="781">
        <f t="shared" ref="AK168" si="1464">IF($Q$5&gt;$P$5,($Q$5-$P$5)*V541,0)</f>
        <v>0</v>
      </c>
      <c r="AL168" s="782">
        <f t="shared" ref="AL168" si="1465">IF($Q$5&gt;$P$5,($Q$5-$P$5)*W541,0)</f>
        <v>0</v>
      </c>
      <c r="AM168" s="780">
        <f t="shared" ref="AM168" si="1466">IF($Q$5&gt;$P$5,($Q$5-$P$5)*X541,0)</f>
        <v>0</v>
      </c>
      <c r="AN168" s="780">
        <f t="shared" ref="AN168" si="1467">IF($Q$5&gt;$P$5,($Q$5-$P$5)*Y541,0)</f>
        <v>0</v>
      </c>
      <c r="AO168" s="780">
        <f t="shared" ref="AO168" si="1468">IF($Q$5&gt;$P$5,($Q$5-$P$5)*Z541,0)</f>
        <v>0</v>
      </c>
      <c r="AP168" s="780">
        <f t="shared" ref="AP168" si="1469">IF($Q$5&gt;$P$5,($Q$5-$P$5)*AA541,0)</f>
        <v>0</v>
      </c>
      <c r="AQ168" s="780">
        <f t="shared" ref="AQ168" si="1470">IF($Q$5&gt;$P$5,($Q$5-$P$5)*AB541,0)</f>
        <v>0</v>
      </c>
      <c r="AR168" s="780">
        <f t="shared" ref="AR168" si="1471">IF($Q$5&gt;$P$5,($Q$5-$P$5)*AC541,0)</f>
        <v>0</v>
      </c>
      <c r="AS168" s="780">
        <f t="shared" ref="AS168" si="1472">IF($Q$5&gt;$P$5,($Q$5-$P$5)*AD541,0)</f>
        <v>0</v>
      </c>
      <c r="AT168" s="780">
        <f t="shared" ref="AT168" si="1473">IF($Q$5&gt;$P$5,($Q$5-$P$5)*AE541,0)</f>
        <v>0</v>
      </c>
      <c r="AU168" s="780">
        <f t="shared" ref="AU168" si="1474">IF($Q$5&gt;$P$5,($Q$5-$P$5)*AF541,0)</f>
        <v>0</v>
      </c>
      <c r="AV168" s="780">
        <f t="shared" ref="AV168" si="1475">IF($Q$5&gt;$P$5,($Q$5-$P$5)*AG541,0)</f>
        <v>0</v>
      </c>
      <c r="AW168" s="781">
        <f t="shared" ref="AW168" si="1476">IF($Q$5&gt;$P$5,($Q$5-$P$5)*AH541,0)</f>
        <v>0</v>
      </c>
      <c r="AX168" s="782">
        <f t="shared" ref="AX168" si="1477">IF($Q$5&gt;$P$5,($Q$5-$P$5)*AI541,0)</f>
        <v>0</v>
      </c>
      <c r="AY168" s="780">
        <f t="shared" ref="AY168" si="1478">IF($Q$5&gt;$P$5,($Q$5-$P$5)*AJ541,0)</f>
        <v>0</v>
      </c>
      <c r="AZ168" s="780">
        <f t="shared" ref="AZ168" si="1479">IF($Q$5&gt;$P$5,($Q$5-$P$5)*AK541,0)</f>
        <v>0</v>
      </c>
      <c r="BA168" s="780">
        <f t="shared" ref="BA168" si="1480">IF($Q$5&gt;$P$5,($Q$5-$P$5)*AL541,0)</f>
        <v>0</v>
      </c>
      <c r="BB168" s="780">
        <f t="shared" ref="BB168" si="1481">IF($Q$5&gt;$P$5,($Q$5-$P$5)*AM541,0)</f>
        <v>0</v>
      </c>
      <c r="BC168" s="780">
        <f t="shared" ref="BC168" si="1482">IF($Q$5&gt;$P$5,($Q$5-$P$5)*AN541,0)</f>
        <v>0</v>
      </c>
      <c r="BD168" s="780">
        <f t="shared" ref="BD168" si="1483">IF($Q$5&gt;$P$5,($Q$5-$P$5)*AO541,0)</f>
        <v>0</v>
      </c>
      <c r="BE168" s="780">
        <f t="shared" ref="BE168" si="1484">IF($Q$5&gt;$P$5,($Q$5-$P$5)*AP541,0)</f>
        <v>0</v>
      </c>
      <c r="BF168" s="780">
        <f t="shared" ref="BF168" si="1485">IF($Q$5&gt;$P$5,($Q$5-$P$5)*AQ541,0)</f>
        <v>0</v>
      </c>
      <c r="BG168" s="780">
        <f t="shared" ref="BG168" si="1486">IF($Q$5&gt;$P$5,($Q$5-$P$5)*AR541,0)</f>
        <v>0</v>
      </c>
      <c r="BH168" s="780">
        <f t="shared" ref="BH168" si="1487">IF($Q$5&gt;$P$5,($Q$5-$P$5)*AS541,0)</f>
        <v>0</v>
      </c>
      <c r="BI168" s="781">
        <f t="shared" ref="BI168" si="1488">IF($Q$5&gt;$P$5,($Q$5-$P$5)*AT541,0)</f>
        <v>0</v>
      </c>
    </row>
    <row r="169" spans="1:61" s="780" customFormat="1" hidden="1" outlineLevel="1">
      <c r="M169" s="781"/>
      <c r="N169" s="782"/>
      <c r="Y169" s="781"/>
      <c r="Z169" s="782"/>
      <c r="AK169" s="781"/>
      <c r="AL169" s="782"/>
      <c r="AW169" s="781"/>
      <c r="AX169" s="782"/>
      <c r="BI169" s="781"/>
    </row>
    <row r="170" spans="1:61" s="780" customFormat="1" hidden="1" outlineLevel="1">
      <c r="A170" s="780" t="s">
        <v>359</v>
      </c>
      <c r="M170" s="781"/>
      <c r="N170" s="782"/>
      <c r="R170" s="780">
        <f>IF($R$5&gt;$Q$5,($R$5-$Q$5)*B535,0)</f>
        <v>8</v>
      </c>
      <c r="S170" s="780">
        <f t="shared" ref="S170" si="1489">IF($R$5&gt;$Q$5,($R$5-$Q$5)*C535,0)</f>
        <v>8.3824000000000005</v>
      </c>
      <c r="T170" s="780">
        <f t="shared" ref="T170" si="1490">IF($R$5&gt;$Q$5,($R$5-$Q$5)*D535,0)</f>
        <v>8.790016102400001</v>
      </c>
      <c r="U170" s="780">
        <f t="shared" ref="U170" si="1491">IF($R$5&gt;$Q$5,($R$5-$Q$5)*E535,0)</f>
        <v>9.2244218586677267</v>
      </c>
      <c r="V170" s="780">
        <f t="shared" ref="V170" si="1492">IF($R$5&gt;$Q$5,($R$5-$Q$5)*F535,0)</f>
        <v>9.6872643857899394</v>
      </c>
      <c r="W170" s="780">
        <f t="shared" ref="W170" si="1493">IF($R$5&gt;$Q$5,($R$5-$Q$5)*G535,0)</f>
        <v>10.180266404063699</v>
      </c>
      <c r="X170" s="780">
        <f t="shared" ref="X170" si="1494">IF($R$5&gt;$Q$5,($R$5-$Q$5)*H535,0)</f>
        <v>10.705228286703797</v>
      </c>
      <c r="Y170" s="781">
        <f t="shared" ref="Y170" si="1495">IF($R$5&gt;$Q$5,($R$5-$Q$5)*I535,0)</f>
        <v>11.264030122404236</v>
      </c>
      <c r="Z170" s="782">
        <f t="shared" ref="Z170" si="1496">IF($R$5&gt;$Q$5,($R$5-$Q$5)*J535,0)</f>
        <v>11.858633792363815</v>
      </c>
      <c r="AA170" s="780">
        <f t="shared" ref="AA170" si="1497">IF($R$5&gt;$Q$5,($R$5-$Q$5)*K535,0)</f>
        <v>12.491085063681208</v>
      </c>
      <c r="AB170" s="780">
        <f t="shared" ref="AB170" si="1498">IF($R$5&gt;$Q$5,($R$5-$Q$5)*L535,0)</f>
        <v>13.163515701442698</v>
      </c>
      <c r="AC170" s="780">
        <f t="shared" ref="AC170" si="1499">IF($R$5&gt;$Q$5,($R$5-$Q$5)*M535,0)</f>
        <v>13.878145602265221</v>
      </c>
      <c r="AD170" s="780">
        <f t="shared" ref="AD170" si="1500">IF($R$5&gt;$Q$5,($R$5-$Q$5)*N535,0)</f>
        <v>14.640802427106802</v>
      </c>
      <c r="AE170" s="780">
        <f t="shared" ref="AE170" si="1501">IF($R$5&gt;$Q$5,($R$5-$Q$5)*O535,0)</f>
        <v>15.454179973028484</v>
      </c>
      <c r="AF170" s="780">
        <f t="shared" ref="AF170" si="1502">IF($R$5&gt;$Q$5,($R$5-$Q$5)*P535,0)</f>
        <v>16.321067007803048</v>
      </c>
      <c r="AG170" s="780">
        <f t="shared" ref="AG170" si="1503">IF($R$5&gt;$Q$5,($R$5-$Q$5)*Q535,0)</f>
        <v>17.244348126107901</v>
      </c>
      <c r="AH170" s="780">
        <f t="shared" ref="AH170" si="1504">IF($R$5&gt;$Q$5,($R$5-$Q$5)*R535,0)</f>
        <v>18.227004594103096</v>
      </c>
      <c r="AI170" s="780">
        <f t="shared" ref="AI170" si="1505">IF($R$5&gt;$Q$5,($R$5-$Q$5)*S535,0)</f>
        <v>19.272115194972702</v>
      </c>
      <c r="AJ170" s="780">
        <f t="shared" ref="AJ170" si="1506">IF($R$5&gt;$Q$5,($R$5-$Q$5)*T535,0)</f>
        <v>20.382857089151276</v>
      </c>
      <c r="AK170" s="781">
        <f t="shared" ref="AK170" si="1507">IF($R$5&gt;$Q$5,($R$5-$Q$5)*U535,0)</f>
        <v>21.56250670407784</v>
      </c>
      <c r="AL170" s="782">
        <f t="shared" ref="AL170" si="1508">IF($R$5&gt;$Q$5,($R$5-$Q$5)*V535,0)</f>
        <v>22.814440669410335</v>
      </c>
      <c r="AM170" s="780">
        <f t="shared" ref="AM170" si="1509">IF($R$5&gt;$Q$5,($R$5-$Q$5)*W535,0)</f>
        <v>24.142136814686012</v>
      </c>
      <c r="AN170" s="780">
        <f t="shared" ref="AN170" si="1510">IF($R$5&gt;$Q$5,($R$5-$Q$5)*X535,0)</f>
        <v>25.549175247421399</v>
      </c>
      <c r="AO170" s="780">
        <f t="shared" ref="AO170" si="1511">IF($R$5&gt;$Q$5,($R$5-$Q$5)*Y535,0)</f>
        <v>27.039239530601542</v>
      </c>
      <c r="AP170" s="780">
        <f t="shared" ref="AP170" si="1512">IF($R$5&gt;$Q$5,($R$5-$Q$5)*Z535,0)</f>
        <v>28.620747034243404</v>
      </c>
      <c r="AQ170" s="780">
        <f t="shared" ref="AQ170" si="1513">IF($R$5&gt;$Q$5,($R$5-$Q$5)*AA535,0)</f>
        <v>30.297832899152603</v>
      </c>
      <c r="AR170" s="780">
        <f t="shared" ref="AR170" si="1514">IF($R$5&gt;$Q$5,($R$5-$Q$5)*AB535,0)</f>
        <v>32.074721942842451</v>
      </c>
      <c r="AS170" s="780">
        <f t="shared" ref="AS170" si="1515">IF($R$5&gt;$Q$5,($R$5-$Q$5)*AC535,0)</f>
        <v>33.955728473829772</v>
      </c>
      <c r="AT170" s="780">
        <f t="shared" ref="AT170" si="1516">IF($R$5&gt;$Q$5,($R$5-$Q$5)*AD535,0)</f>
        <v>35.945256397317038</v>
      </c>
      <c r="AU170" s="780">
        <f t="shared" ref="AU170" si="1517">IF($R$5&gt;$Q$5,($R$5-$Q$5)*AE535,0)</f>
        <v>38.047799652671507</v>
      </c>
      <c r="AV170" s="780">
        <f t="shared" ref="AV170" si="1518">IF($R$5&gt;$Q$5,($R$5-$Q$5)*AF535,0)</f>
        <v>40.267943023083284</v>
      </c>
      <c r="AW170" s="781">
        <f t="shared" ref="AW170" si="1519">IF($R$5&gt;$Q$5,($R$5-$Q$5)*AG535,0)</f>
        <v>42.61036335749322</v>
      </c>
      <c r="AX170" s="782">
        <f t="shared" ref="AX170" si="1520">IF($R$5&gt;$Q$5,($R$5-$Q$5)*AH535,0)</f>
        <v>45.079831244328588</v>
      </c>
      <c r="AY170" s="780">
        <f t="shared" ref="AY170" si="1521">IF($R$5&gt;$Q$5,($R$5-$Q$5)*AI535,0)</f>
        <v>47.68121317577463</v>
      </c>
      <c r="AZ170" s="780">
        <f t="shared" ref="AZ170" si="1522">IF($R$5&gt;$Q$5,($R$5-$Q$5)*AJ535,0)</f>
        <v>50.419474240248832</v>
      </c>
      <c r="BA170" s="780">
        <f t="shared" ref="BA170" si="1523">IF($R$5&gt;$Q$5,($R$5-$Q$5)*AK535,0)</f>
        <v>53.299681379443584</v>
      </c>
      <c r="BB170" s="780">
        <f t="shared" ref="BB170" si="1524">IF($R$5&gt;$Q$5,($R$5-$Q$5)*AL535,0)</f>
        <v>56.327007244772894</v>
      </c>
      <c r="BC170" s="780">
        <f t="shared" ref="BC170" si="1525">IF($R$5&gt;$Q$5,($R$5-$Q$5)*AM535,0)</f>
        <v>59.506734686316534</v>
      </c>
      <c r="BD170" s="780">
        <f t="shared" ref="BD170" si="1526">IF($R$5&gt;$Q$5,($R$5-$Q$5)*AN535,0)</f>
        <v>62.844261905417305</v>
      </c>
      <c r="BE170" s="780">
        <f t="shared" ref="BE170" si="1527">IF($R$5&gt;$Q$5,($R$5-$Q$5)*AO535,0)</f>
        <v>66.345108299975465</v>
      </c>
      <c r="BF170" s="780">
        <f t="shared" ref="BF170" si="1528">IF($R$5&gt;$Q$5,($R$5-$Q$5)*AP535,0)</f>
        <v>70.014921029220602</v>
      </c>
      <c r="BG170" s="780">
        <f t="shared" ref="BG170" si="1529">IF($R$5&gt;$Q$5,($R$5-$Q$5)*AQ535,0)</f>
        <v>73.859482322350189</v>
      </c>
      <c r="BH170" s="780">
        <f t="shared" ref="BH170" si="1530">IF($R$5&gt;$Q$5,($R$5-$Q$5)*AR535,0)</f>
        <v>77.884717552932145</v>
      </c>
      <c r="BI170" s="781">
        <f t="shared" ref="BI170" si="1531">IF($R$5&gt;$Q$5,($R$5-$Q$5)*AS535,0)</f>
        <v>82.096704098404587</v>
      </c>
    </row>
    <row r="171" spans="1:61" s="780" customFormat="1" hidden="1" outlineLevel="1">
      <c r="A171" s="780" t="str">
        <f>$A$536</f>
        <v>Leads</v>
      </c>
      <c r="M171" s="781"/>
      <c r="N171" s="782"/>
      <c r="R171" s="780">
        <f>IF($R$5&gt;$Q$5,($R$5-$Q$5)*B536,0)</f>
        <v>20</v>
      </c>
      <c r="S171" s="780">
        <f t="shared" ref="S171:BI171" si="1532">IF($R$5&gt;$Q$5,($R$5-$Q$5)*C536,0)</f>
        <v>20.8</v>
      </c>
      <c r="T171" s="780">
        <f t="shared" si="1532"/>
        <v>21.632000000000001</v>
      </c>
      <c r="U171" s="780">
        <f t="shared" si="1532"/>
        <v>22.497280000000003</v>
      </c>
      <c r="V171" s="780">
        <f t="shared" si="1532"/>
        <v>23.397171200000006</v>
      </c>
      <c r="W171" s="780">
        <f t="shared" si="1532"/>
        <v>24.333058048000009</v>
      </c>
      <c r="X171" s="780">
        <f t="shared" si="1532"/>
        <v>25.30638036992001</v>
      </c>
      <c r="Y171" s="781">
        <f t="shared" si="1532"/>
        <v>26.318635584716812</v>
      </c>
      <c r="Z171" s="782">
        <f t="shared" si="1532"/>
        <v>27.371381008105487</v>
      </c>
      <c r="AA171" s="780">
        <f t="shared" si="1532"/>
        <v>28.466236248429709</v>
      </c>
      <c r="AB171" s="780">
        <f t="shared" si="1532"/>
        <v>29.6048856983669</v>
      </c>
      <c r="AC171" s="780">
        <f t="shared" si="1532"/>
        <v>30.789081126301578</v>
      </c>
      <c r="AD171" s="780">
        <f t="shared" si="1532"/>
        <v>32.02064437135364</v>
      </c>
      <c r="AE171" s="780">
        <f t="shared" si="1532"/>
        <v>33.301470146207784</v>
      </c>
      <c r="AF171" s="780">
        <f t="shared" si="1532"/>
        <v>34.633528952056096</v>
      </c>
      <c r="AG171" s="780">
        <f t="shared" si="1532"/>
        <v>36.018870110138344</v>
      </c>
      <c r="AH171" s="780">
        <f t="shared" si="1532"/>
        <v>37.45962491454388</v>
      </c>
      <c r="AI171" s="780">
        <f t="shared" si="1532"/>
        <v>38.958009911125636</v>
      </c>
      <c r="AJ171" s="780">
        <f t="shared" si="1532"/>
        <v>40.516330307570662</v>
      </c>
      <c r="AK171" s="781">
        <f t="shared" si="1532"/>
        <v>42.136983519873489</v>
      </c>
      <c r="AL171" s="782">
        <f t="shared" si="1532"/>
        <v>43.822462860668423</v>
      </c>
      <c r="AM171" s="780">
        <f t="shared" si="1532"/>
        <v>45.57536137509517</v>
      </c>
      <c r="AN171" s="780">
        <f t="shared" si="1532"/>
        <v>47.398375830098978</v>
      </c>
      <c r="AO171" s="780">
        <f t="shared" si="1532"/>
        <v>49.29431086330294</v>
      </c>
      <c r="AP171" s="780">
        <f t="shared" si="1532"/>
        <v>51.26608329783506</v>
      </c>
      <c r="AQ171" s="780">
        <f t="shared" si="1532"/>
        <v>53.316726629748466</v>
      </c>
      <c r="AR171" s="780">
        <f t="shared" si="1532"/>
        <v>55.44939569493841</v>
      </c>
      <c r="AS171" s="780">
        <f t="shared" si="1532"/>
        <v>57.667371522735948</v>
      </c>
      <c r="AT171" s="780">
        <f t="shared" si="1532"/>
        <v>59.974066383645386</v>
      </c>
      <c r="AU171" s="780">
        <f t="shared" si="1532"/>
        <v>62.373029038991206</v>
      </c>
      <c r="AV171" s="780">
        <f t="shared" si="1532"/>
        <v>64.867950200550851</v>
      </c>
      <c r="AW171" s="781">
        <f t="shared" si="1532"/>
        <v>67.462668208572893</v>
      </c>
      <c r="AX171" s="782">
        <f t="shared" si="1532"/>
        <v>70.161174936915813</v>
      </c>
      <c r="AY171" s="780">
        <f t="shared" si="1532"/>
        <v>72.967621934392454</v>
      </c>
      <c r="AZ171" s="780">
        <f t="shared" si="1532"/>
        <v>75.886326811768157</v>
      </c>
      <c r="BA171" s="780">
        <f t="shared" si="1532"/>
        <v>78.921779884238887</v>
      </c>
      <c r="BB171" s="780">
        <f t="shared" si="1532"/>
        <v>82.078651079608449</v>
      </c>
      <c r="BC171" s="780">
        <f t="shared" si="1532"/>
        <v>85.361797122792794</v>
      </c>
      <c r="BD171" s="780">
        <f t="shared" si="1532"/>
        <v>88.776269007704514</v>
      </c>
      <c r="BE171" s="780">
        <f t="shared" si="1532"/>
        <v>92.3273197680127</v>
      </c>
      <c r="BF171" s="780">
        <f t="shared" si="1532"/>
        <v>96.020412558733199</v>
      </c>
      <c r="BG171" s="780">
        <f t="shared" si="1532"/>
        <v>99.86122906108254</v>
      </c>
      <c r="BH171" s="780">
        <f t="shared" si="1532"/>
        <v>103.85567822352584</v>
      </c>
      <c r="BI171" s="781">
        <f t="shared" si="1532"/>
        <v>108.00990535246689</v>
      </c>
    </row>
    <row r="172" spans="1:61" s="780" customFormat="1" hidden="1" outlineLevel="1">
      <c r="A172" s="780" t="str">
        <f>$A$537</f>
        <v>Audits</v>
      </c>
      <c r="M172" s="781"/>
      <c r="N172" s="782"/>
      <c r="R172" s="780">
        <f t="shared" ref="R172:BI172" si="1533">IF($R$5&gt;$Q$5,($R$5-$Q$5)*B537,0)</f>
        <v>7.8466960352422905</v>
      </c>
      <c r="S172" s="780">
        <f t="shared" si="1533"/>
        <v>8.1805560257268723</v>
      </c>
      <c r="T172" s="780">
        <f t="shared" si="1533"/>
        <v>8.556158139083367</v>
      </c>
      <c r="U172" s="780">
        <f t="shared" si="1533"/>
        <v>8.9523024684242678</v>
      </c>
      <c r="V172" s="780">
        <f t="shared" si="1533"/>
        <v>9.3702787716763911</v>
      </c>
      <c r="W172" s="780">
        <f t="shared" si="1533"/>
        <v>9.811453812672589</v>
      </c>
      <c r="X172" s="780">
        <f t="shared" si="1533"/>
        <v>10.277273093546537</v>
      </c>
      <c r="Y172" s="781">
        <f t="shared" si="1533"/>
        <v>10.769262132442826</v>
      </c>
      <c r="Z172" s="782">
        <f t="shared" si="1533"/>
        <v>11.289027268145146</v>
      </c>
      <c r="AA172" s="780">
        <f t="shared" si="1533"/>
        <v>11.838255995812663</v>
      </c>
      <c r="AB172" s="780">
        <f t="shared" si="1533"/>
        <v>12.418716863200714</v>
      </c>
      <c r="AC172" s="780">
        <f t="shared" si="1533"/>
        <v>13.032258982971491</v>
      </c>
      <c r="AD172" s="780">
        <f t="shared" si="1533"/>
        <v>13.681748513642187</v>
      </c>
      <c r="AE172" s="780">
        <f t="shared" si="1533"/>
        <v>14.367753613373562</v>
      </c>
      <c r="AF172" s="780">
        <f t="shared" si="1533"/>
        <v>15.094450719778326</v>
      </c>
      <c r="AG172" s="780">
        <f t="shared" si="1533"/>
        <v>15.864274704794562</v>
      </c>
      <c r="AH172" s="780">
        <f t="shared" si="1533"/>
        <v>16.679756380011042</v>
      </c>
      <c r="AI172" s="780">
        <f t="shared" si="1533"/>
        <v>17.543519083999907</v>
      </c>
      <c r="AJ172" s="780">
        <f t="shared" si="1533"/>
        <v>18.458274953232511</v>
      </c>
      <c r="AK172" s="781">
        <f t="shared" si="1533"/>
        <v>19.426821075192013</v>
      </c>
      <c r="AL172" s="782">
        <f t="shared" si="1533"/>
        <v>20.452035738521069</v>
      </c>
      <c r="AM172" s="780">
        <f t="shared" si="1533"/>
        <v>21.536874999893016</v>
      </c>
      <c r="AN172" s="780">
        <f t="shared" si="1533"/>
        <v>22.68436978011453</v>
      </c>
      <c r="AO172" s="780">
        <f t="shared" si="1533"/>
        <v>23.897623683136111</v>
      </c>
      <c r="AP172" s="780">
        <f t="shared" si="1533"/>
        <v>25.181305860088621</v>
      </c>
      <c r="AQ172" s="780">
        <f t="shared" si="1533"/>
        <v>26.509539923847804</v>
      </c>
      <c r="AR172" s="780">
        <f t="shared" si="1533"/>
        <v>27.911267150389076</v>
      </c>
      <c r="AS172" s="780">
        <f t="shared" si="1533"/>
        <v>29.389855755030599</v>
      </c>
      <c r="AT172" s="780">
        <f t="shared" si="1533"/>
        <v>30.948754132327405</v>
      </c>
      <c r="AU172" s="780">
        <f t="shared" si="1533"/>
        <v>32.591491812026852</v>
      </c>
      <c r="AV172" s="780">
        <f t="shared" si="1533"/>
        <v>34.321681088998503</v>
      </c>
      <c r="AW172" s="781">
        <f t="shared" si="1533"/>
        <v>36.143019351142293</v>
      </c>
      <c r="AX172" s="782">
        <f t="shared" si="1533"/>
        <v>38.059292115999952</v>
      </c>
      <c r="AY172" s="780">
        <f t="shared" si="1533"/>
        <v>40.074376775040108</v>
      </c>
      <c r="AZ172" s="780">
        <f t="shared" si="1533"/>
        <v>42.192247034738458</v>
      </c>
      <c r="BA172" s="780">
        <f t="shared" si="1533"/>
        <v>44.416978035864261</v>
      </c>
      <c r="BB172" s="780">
        <f t="shared" si="1533"/>
        <v>46.752752126886328</v>
      </c>
      <c r="BC172" s="780">
        <f t="shared" si="1533"/>
        <v>49.082921316266599</v>
      </c>
      <c r="BD172" s="780">
        <f t="shared" si="1533"/>
        <v>51.522543979321924</v>
      </c>
      <c r="BE172" s="780">
        <f t="shared" si="1533"/>
        <v>54.075800070640085</v>
      </c>
      <c r="BF172" s="780">
        <f t="shared" si="1533"/>
        <v>56.746994933802739</v>
      </c>
      <c r="BG172" s="780">
        <f t="shared" si="1533"/>
        <v>59.54056513100376</v>
      </c>
      <c r="BH172" s="780">
        <f t="shared" si="1533"/>
        <v>62.461084744125536</v>
      </c>
      <c r="BI172" s="781">
        <f t="shared" si="1533"/>
        <v>65.513272160718657</v>
      </c>
    </row>
    <row r="173" spans="1:61" s="780" customFormat="1" hidden="1" outlineLevel="1">
      <c r="A173" s="780" t="str">
        <f>$A$538</f>
        <v>Retrofit</v>
      </c>
      <c r="M173" s="781"/>
      <c r="N173" s="782"/>
      <c r="R173" s="780">
        <f t="shared" ref="R173:BI173" si="1534">IF($R$5&gt;$Q$5,($R$5-$Q$5)*B538,0)</f>
        <v>3.2741145374449339</v>
      </c>
      <c r="S173" s="780">
        <f t="shared" si="1534"/>
        <v>3.4211429613668018</v>
      </c>
      <c r="T173" s="780">
        <f t="shared" si="1534"/>
        <v>3.6089747928733105</v>
      </c>
      <c r="U173" s="780">
        <f t="shared" si="1534"/>
        <v>3.80943356172375</v>
      </c>
      <c r="V173" s="780">
        <f t="shared" si="1534"/>
        <v>4.023495407635</v>
      </c>
      <c r="W173" s="780">
        <f t="shared" si="1534"/>
        <v>4.2522035025469851</v>
      </c>
      <c r="X173" s="780">
        <f t="shared" si="1534"/>
        <v>4.4966691121698661</v>
      </c>
      <c r="Y173" s="781">
        <f t="shared" si="1534"/>
        <v>4.7580720961942786</v>
      </c>
      <c r="Z173" s="782">
        <f t="shared" si="1534"/>
        <v>5.0376608331454982</v>
      </c>
      <c r="AA173" s="780">
        <f t="shared" si="1534"/>
        <v>5.3367515834608863</v>
      </c>
      <c r="AB173" s="780">
        <f t="shared" si="1534"/>
        <v>5.6567273345837759</v>
      </c>
      <c r="AC173" s="780">
        <f t="shared" si="1534"/>
        <v>5.9990362027609887</v>
      </c>
      <c r="AD173" s="780">
        <f t="shared" si="1534"/>
        <v>6.3656710756275423</v>
      </c>
      <c r="AE173" s="780">
        <f t="shared" si="1534"/>
        <v>6.7527905497767229</v>
      </c>
      <c r="AF173" s="780">
        <f t="shared" si="1534"/>
        <v>7.1679946156961591</v>
      </c>
      <c r="AG173" s="780">
        <f t="shared" si="1534"/>
        <v>7.6132687220703144</v>
      </c>
      <c r="AH173" s="780">
        <f t="shared" si="1534"/>
        <v>8.0906802436821312</v>
      </c>
      <c r="AI173" s="780">
        <f t="shared" si="1534"/>
        <v>8.6023733713231554</v>
      </c>
      <c r="AJ173" s="780">
        <f t="shared" si="1534"/>
        <v>9.1505635635964193</v>
      </c>
      <c r="AK173" s="781">
        <f t="shared" si="1534"/>
        <v>9.7375318038296879</v>
      </c>
      <c r="AL173" s="782">
        <f t="shared" si="1534"/>
        <v>10.365618926205418</v>
      </c>
      <c r="AM173" s="780">
        <f t="shared" si="1534"/>
        <v>11.037220281947453</v>
      </c>
      <c r="AN173" s="780">
        <f t="shared" si="1534"/>
        <v>11.754781008099396</v>
      </c>
      <c r="AO173" s="780">
        <f t="shared" si="1534"/>
        <v>12.520792138493604</v>
      </c>
      <c r="AP173" s="780">
        <f t="shared" si="1534"/>
        <v>13.338724403473293</v>
      </c>
      <c r="AQ173" s="780">
        <f t="shared" si="1534"/>
        <v>14.173899457244383</v>
      </c>
      <c r="AR173" s="780">
        <f t="shared" si="1534"/>
        <v>15.06160093928195</v>
      </c>
      <c r="AS173" s="780">
        <f t="shared" si="1534"/>
        <v>16.004396182835173</v>
      </c>
      <c r="AT173" s="780">
        <f t="shared" si="1534"/>
        <v>17.004903510314108</v>
      </c>
      <c r="AU173" s="780">
        <f t="shared" si="1534"/>
        <v>18.065792108500531</v>
      </c>
      <c r="AV173" s="780">
        <f t="shared" si="1534"/>
        <v>19.189782637475492</v>
      </c>
      <c r="AW173" s="781">
        <f t="shared" si="1534"/>
        <v>20.379648596658086</v>
      </c>
      <c r="AX173" s="782">
        <f t="shared" si="1534"/>
        <v>21.638218454438508</v>
      </c>
      <c r="AY173" s="780">
        <f t="shared" si="1534"/>
        <v>22.968378532837651</v>
      </c>
      <c r="AZ173" s="780">
        <f t="shared" si="1534"/>
        <v>24.373076625940293</v>
      </c>
      <c r="BA173" s="780">
        <f t="shared" si="1534"/>
        <v>25.855326320842856</v>
      </c>
      <c r="BB173" s="780">
        <f t="shared" si="1534"/>
        <v>27.418211982649215</v>
      </c>
      <c r="BC173" s="780">
        <f t="shared" si="1534"/>
        <v>28.912823637439345</v>
      </c>
      <c r="BD173" s="780">
        <f t="shared" si="1534"/>
        <v>30.481264211401022</v>
      </c>
      <c r="BE173" s="780">
        <f t="shared" si="1534"/>
        <v>32.126375520474461</v>
      </c>
      <c r="BF173" s="780">
        <f t="shared" si="1534"/>
        <v>33.851080131654975</v>
      </c>
      <c r="BG173" s="780">
        <f t="shared" si="1534"/>
        <v>35.658385333026132</v>
      </c>
      <c r="BH173" s="780">
        <f t="shared" si="1534"/>
        <v>37.551387467022387</v>
      </c>
      <c r="BI173" s="781">
        <f t="shared" si="1534"/>
        <v>39.533276635822467</v>
      </c>
    </row>
    <row r="174" spans="1:61" s="780" customFormat="1" hidden="1" outlineLevel="1">
      <c r="A174" s="780" t="str">
        <f>$A$539</f>
        <v>Revenue</v>
      </c>
      <c r="M174" s="781"/>
      <c r="N174" s="782"/>
      <c r="R174" s="780">
        <f t="shared" ref="R174:BI174" si="1535">IF($R$5&gt;$Q$5,($R$5-$Q$5)*B539,0)</f>
        <v>20728.933920704847</v>
      </c>
      <c r="S174" s="780">
        <f t="shared" si="1535"/>
        <v>22334.796424579898</v>
      </c>
      <c r="T174" s="780">
        <f t="shared" si="1535"/>
        <v>24261.379157843236</v>
      </c>
      <c r="U174" s="780">
        <f t="shared" si="1535"/>
        <v>27109.041527058151</v>
      </c>
      <c r="V174" s="780">
        <f t="shared" si="1535"/>
        <v>29411.012063918617</v>
      </c>
      <c r="W174" s="780">
        <f t="shared" si="1535"/>
        <v>31904.731979940196</v>
      </c>
      <c r="X174" s="780">
        <f t="shared" si="1535"/>
        <v>34157.516935543477</v>
      </c>
      <c r="Y174" s="781">
        <f t="shared" si="1535"/>
        <v>36585.144030160183</v>
      </c>
      <c r="Z174" s="782">
        <f t="shared" si="1535"/>
        <v>39202.024549786183</v>
      </c>
      <c r="AA174" s="780">
        <f t="shared" si="1535"/>
        <v>41489.907780370268</v>
      </c>
      <c r="AB174" s="780">
        <f t="shared" si="1535"/>
        <v>43934.936399734994</v>
      </c>
      <c r="AC174" s="780">
        <f t="shared" si="1535"/>
        <v>46547.932291314006</v>
      </c>
      <c r="AD174" s="780">
        <f t="shared" si="1535"/>
        <v>48812.622611071754</v>
      </c>
      <c r="AE174" s="780">
        <f t="shared" si="1535"/>
        <v>51746.745047763237</v>
      </c>
      <c r="AF174" s="780">
        <f t="shared" si="1535"/>
        <v>54891.491572423707</v>
      </c>
      <c r="AG174" s="780">
        <f t="shared" si="1535"/>
        <v>58261.704056497998</v>
      </c>
      <c r="AH174" s="780">
        <f t="shared" si="1535"/>
        <v>61872.837706819933</v>
      </c>
      <c r="AI174" s="780">
        <f t="shared" si="1535"/>
        <v>65740.922877654608</v>
      </c>
      <c r="AJ174" s="780">
        <f t="shared" si="1535"/>
        <v>69882.52360507095</v>
      </c>
      <c r="AK174" s="781">
        <f t="shared" si="1535"/>
        <v>74314.694687467563</v>
      </c>
      <c r="AL174" s="782">
        <f t="shared" si="1535"/>
        <v>79054.939292696072</v>
      </c>
      <c r="AM174" s="780">
        <f t="shared" si="1535"/>
        <v>84121.169122674793</v>
      </c>
      <c r="AN174" s="780">
        <f t="shared" si="1535"/>
        <v>89531.669104034416</v>
      </c>
      <c r="AO174" s="780">
        <f t="shared" si="1535"/>
        <v>95305.068401244935</v>
      </c>
      <c r="AP174" s="780">
        <f t="shared" si="1535"/>
        <v>101467.05911812153</v>
      </c>
      <c r="AQ174" s="780">
        <f t="shared" si="1535"/>
        <v>107757.45533319093</v>
      </c>
      <c r="AR174" s="780">
        <f t="shared" si="1535"/>
        <v>114440.84237520174</v>
      </c>
      <c r="AS174" s="780">
        <f t="shared" si="1535"/>
        <v>121536.40957263115</v>
      </c>
      <c r="AT174" s="780">
        <f t="shared" si="1535"/>
        <v>129063.73094559579</v>
      </c>
      <c r="AU174" s="780">
        <f t="shared" si="1535"/>
        <v>137042.76458890198</v>
      </c>
      <c r="AV174" s="780">
        <f t="shared" si="1535"/>
        <v>145493.85755130055</v>
      </c>
      <c r="AW174" s="781">
        <f t="shared" si="1535"/>
        <v>154437.75638435522</v>
      </c>
      <c r="AX174" s="782">
        <f t="shared" si="1535"/>
        <v>163895.6234075159</v>
      </c>
      <c r="AY174" s="780">
        <f t="shared" si="1535"/>
        <v>173889.05862314338</v>
      </c>
      <c r="AZ174" s="780">
        <f t="shared" si="1535"/>
        <v>184440.12712015139</v>
      </c>
      <c r="BA174" s="780">
        <f t="shared" si="1535"/>
        <v>195571.39172995961</v>
      </c>
      <c r="BB174" s="780">
        <f t="shared" si="1535"/>
        <v>207305.95064449144</v>
      </c>
      <c r="BC174" s="780">
        <f t="shared" si="1535"/>
        <v>218526.82830504962</v>
      </c>
      <c r="BD174" s="780">
        <f t="shared" si="1535"/>
        <v>230299.88241457404</v>
      </c>
      <c r="BE174" s="780">
        <f t="shared" si="1535"/>
        <v>242646.40643380623</v>
      </c>
      <c r="BF174" s="780">
        <f t="shared" si="1535"/>
        <v>255588.30467884589</v>
      </c>
      <c r="BG174" s="780">
        <f t="shared" si="1535"/>
        <v>269148.12221054058</v>
      </c>
      <c r="BH174" s="780">
        <f t="shared" si="1535"/>
        <v>283349.07742205792</v>
      </c>
      <c r="BI174" s="781">
        <f t="shared" si="1535"/>
        <v>298215.09739075514</v>
      </c>
    </row>
    <row r="175" spans="1:61" s="780" customFormat="1" hidden="1" outlineLevel="1">
      <c r="A175" s="780" t="str">
        <f>$A$540</f>
        <v>Net Income</v>
      </c>
      <c r="M175" s="781"/>
      <c r="N175" s="782"/>
      <c r="R175" s="780">
        <f t="shared" ref="R175:BI175" si="1536">IF($R$5&gt;$Q$5,($R$5-$Q$5)*B540,0)</f>
        <v>-33184.964170807638</v>
      </c>
      <c r="S175" s="780">
        <f t="shared" si="1536"/>
        <v>-14837.14568100147</v>
      </c>
      <c r="T175" s="780">
        <f t="shared" si="1536"/>
        <v>-14268.717003781454</v>
      </c>
      <c r="U175" s="780">
        <f t="shared" si="1536"/>
        <v>-13405.013342705901</v>
      </c>
      <c r="V175" s="780">
        <f t="shared" si="1536"/>
        <v>-12685.072540306182</v>
      </c>
      <c r="W175" s="780">
        <f t="shared" si="1536"/>
        <v>-17604.404805924125</v>
      </c>
      <c r="X175" s="780">
        <f t="shared" si="1536"/>
        <v>-15156.124616524507</v>
      </c>
      <c r="Y175" s="781">
        <f t="shared" si="1536"/>
        <v>-13971.31609512752</v>
      </c>
      <c r="Z175" s="782">
        <f t="shared" si="1536"/>
        <v>-13027.555718246989</v>
      </c>
      <c r="AA175" s="780">
        <f t="shared" si="1536"/>
        <v>-12167.444211420123</v>
      </c>
      <c r="AB175" s="780">
        <f t="shared" si="1536"/>
        <v>-11228.257793696379</v>
      </c>
      <c r="AC175" s="780">
        <f t="shared" si="1536"/>
        <v>-10203.756141625032</v>
      </c>
      <c r="AD175" s="780">
        <f t="shared" si="1536"/>
        <v>-8928.9645055486872</v>
      </c>
      <c r="AE175" s="780">
        <f t="shared" si="1536"/>
        <v>-6565.2951604608934</v>
      </c>
      <c r="AF175" s="780">
        <f t="shared" si="1536"/>
        <v>-7951.6323699894165</v>
      </c>
      <c r="AG175" s="780">
        <f t="shared" si="1536"/>
        <v>-6483.5792380389103</v>
      </c>
      <c r="AH175" s="780">
        <f t="shared" si="1536"/>
        <v>-5307.1722049655655</v>
      </c>
      <c r="AI175" s="780">
        <f t="shared" si="1536"/>
        <v>-3966.3475887754175</v>
      </c>
      <c r="AJ175" s="780">
        <f t="shared" si="1536"/>
        <v>-2466.8649492429358</v>
      </c>
      <c r="AK175" s="781">
        <f t="shared" si="1536"/>
        <v>-826.64406907309967</v>
      </c>
      <c r="AL175" s="782">
        <f t="shared" si="1536"/>
        <v>-10770.241509529737</v>
      </c>
      <c r="AM175" s="780">
        <f t="shared" si="1536"/>
        <v>-19174.962642260827</v>
      </c>
      <c r="AN175" s="780">
        <f t="shared" si="1536"/>
        <v>-16925.443971653156</v>
      </c>
      <c r="AO175" s="780">
        <f t="shared" si="1536"/>
        <v>-25696.207513260568</v>
      </c>
      <c r="AP175" s="780">
        <f t="shared" si="1536"/>
        <v>-30466.524333613874</v>
      </c>
      <c r="AQ175" s="780">
        <f t="shared" si="1536"/>
        <v>-30644.209260269774</v>
      </c>
      <c r="AR175" s="780">
        <f t="shared" si="1536"/>
        <v>-25743.81021126837</v>
      </c>
      <c r="AS175" s="780">
        <f t="shared" si="1536"/>
        <v>-25374.965354328699</v>
      </c>
      <c r="AT175" s="780">
        <f t="shared" si="1536"/>
        <v>-21685.632709168298</v>
      </c>
      <c r="AU175" s="780">
        <f t="shared" si="1536"/>
        <v>-17735.699053003482</v>
      </c>
      <c r="AV175" s="780">
        <f t="shared" si="1536"/>
        <v>-25824.517795504849</v>
      </c>
      <c r="AW175" s="781">
        <f t="shared" si="1536"/>
        <v>-13812.381476188923</v>
      </c>
      <c r="AX175" s="782">
        <f t="shared" si="1536"/>
        <v>-15733.807969274916</v>
      </c>
      <c r="AY175" s="780">
        <f t="shared" si="1536"/>
        <v>-12981.108202038886</v>
      </c>
      <c r="AZ175" s="780">
        <f t="shared" si="1536"/>
        <v>-27659.485752690453</v>
      </c>
      <c r="BA175" s="780">
        <f t="shared" si="1536"/>
        <v>-14368.892474155029</v>
      </c>
      <c r="BB175" s="780">
        <f t="shared" si="1536"/>
        <v>-16222.784178653252</v>
      </c>
      <c r="BC175" s="780">
        <f t="shared" si="1536"/>
        <v>-10757.412118790759</v>
      </c>
      <c r="BD175" s="780">
        <f t="shared" si="1536"/>
        <v>-7276.3573668028694</v>
      </c>
      <c r="BE175" s="780">
        <f t="shared" si="1536"/>
        <v>-728.33143403028953</v>
      </c>
      <c r="BF175" s="780">
        <f t="shared" si="1536"/>
        <v>-6343.9301669844717</v>
      </c>
      <c r="BG175" s="780">
        <f t="shared" si="1536"/>
        <v>2806.545093130655</v>
      </c>
      <c r="BH175" s="780">
        <f t="shared" si="1536"/>
        <v>10443.101931745798</v>
      </c>
      <c r="BI175" s="781">
        <f t="shared" si="1536"/>
        <v>4256.0741498096177</v>
      </c>
    </row>
    <row r="176" spans="1:61" s="780" customFormat="1" hidden="1" outlineLevel="1">
      <c r="A176" s="780" t="str">
        <f>$A$541</f>
        <v>Program Revenue</v>
      </c>
      <c r="M176" s="781"/>
      <c r="N176" s="782"/>
      <c r="R176" s="780">
        <f t="shared" ref="R176" si="1537">IF($R$5&gt;$Q$5,($R$5-$Q$5)*B541,0)</f>
        <v>1850</v>
      </c>
      <c r="S176" s="780">
        <f t="shared" ref="S176" si="1538">IF($R$5&gt;$Q$5,($R$5-$Q$5)*C541,0)</f>
        <v>1937.1558751999999</v>
      </c>
      <c r="T176" s="780">
        <f t="shared" ref="T176" si="1539">IF($R$5&gt;$Q$5,($R$5-$Q$5)*D541,0)</f>
        <v>2030.0190587848704</v>
      </c>
      <c r="U176" s="780">
        <f t="shared" ref="U176" si="1540">IF($R$5&gt;$Q$5,($R$5-$Q$5)*E541,0)</f>
        <v>2128.941218449359</v>
      </c>
      <c r="V176" s="780">
        <f t="shared" ref="V176" si="1541">IF($R$5&gt;$Q$5,($R$5-$Q$5)*F541,0)</f>
        <v>2234.2900324673633</v>
      </c>
      <c r="W176" s="780">
        <f t="shared" ref="W176" si="1542">IF($R$5&gt;$Q$5,($R$5-$Q$5)*G541,0)</f>
        <v>2346.4496034726417</v>
      </c>
      <c r="X176" s="780">
        <f t="shared" ref="X176" si="1543">IF($R$5&gt;$Q$5,($R$5-$Q$5)*H541,0)</f>
        <v>2465.8208731027789</v>
      </c>
      <c r="Y176" s="781">
        <f t="shared" ref="Y176" si="1544">IF($R$5&gt;$Q$5,($R$5-$Q$5)*I541,0)</f>
        <v>2592.8220377557409</v>
      </c>
      <c r="Z176" s="782">
        <f t="shared" ref="Z176" si="1545">IF($R$5&gt;$Q$5,($R$5-$Q$5)*J541,0)</f>
        <v>2727.8889657926175</v>
      </c>
      <c r="AA176" s="780">
        <f t="shared" ref="AA176" si="1546">IF($R$5&gt;$Q$5,($R$5-$Q$5)*K541,0)</f>
        <v>2871.4756166091629</v>
      </c>
      <c r="AB176" s="780">
        <f t="shared" ref="AB176" si="1547">IF($R$5&gt;$Q$5,($R$5-$Q$5)*L541,0)</f>
        <v>3024.0544620924302</v>
      </c>
      <c r="AC176" s="780">
        <f t="shared" ref="AC176" si="1548">IF($R$5&gt;$Q$5,($R$5-$Q$5)*M541,0)</f>
        <v>3186.1169110768442</v>
      </c>
      <c r="AD176" s="780">
        <f t="shared" ref="AD176" si="1549">IF($R$5&gt;$Q$5,($R$5-$Q$5)*N541,0)</f>
        <v>3358.9807376414046</v>
      </c>
      <c r="AE176" s="780">
        <f t="shared" ref="AE176" si="1550">IF($R$5&gt;$Q$5,($R$5-$Q$5)*O541,0)</f>
        <v>3543.2416591361321</v>
      </c>
      <c r="AF176" s="780">
        <f t="shared" ref="AF176" si="1551">IF($R$5&gt;$Q$5,($R$5-$Q$5)*P541,0)</f>
        <v>3739.515514961849</v>
      </c>
      <c r="AG176" s="780">
        <f t="shared" ref="AG176" si="1552">IF($R$5&gt;$Q$5,($R$5-$Q$5)*Q541,0)</f>
        <v>3948.4383904349252</v>
      </c>
      <c r="AH176" s="780">
        <f t="shared" ref="AH176" si="1553">IF($R$5&gt;$Q$5,($R$5-$Q$5)*R541,0)</f>
        <v>4170.6667372134807</v>
      </c>
      <c r="AI176" s="780">
        <f t="shared" ref="AI176" si="1554">IF($R$5&gt;$Q$5,($R$5-$Q$5)*S541,0)</f>
        <v>4406.877493173627</v>
      </c>
      <c r="AJ176" s="780">
        <f t="shared" ref="AJ176" si="1555">IF($R$5&gt;$Q$5,($R$5-$Q$5)*T541,0)</f>
        <v>4657.7682048703127</v>
      </c>
      <c r="AK176" s="781">
        <f t="shared" ref="AK176" si="1556">IF($R$5&gt;$Q$5,($R$5-$Q$5)*U541,0)</f>
        <v>4924.0571559566215</v>
      </c>
      <c r="AL176" s="782">
        <f t="shared" ref="AL176" si="1557">IF($R$5&gt;$Q$5,($R$5-$Q$5)*V541,0)</f>
        <v>5206.4835051661303</v>
      </c>
      <c r="AM176" s="780">
        <f t="shared" ref="AM176" si="1558">IF($R$5&gt;$Q$5,($R$5-$Q$5)*W541,0)</f>
        <v>5505.8074376836603</v>
      </c>
      <c r="AN176" s="780">
        <f t="shared" ref="AN176" si="1559">IF($R$5&gt;$Q$5,($R$5-$Q$5)*X541,0)</f>
        <v>5822.8103339388172</v>
      </c>
      <c r="AO176" s="780">
        <f t="shared" ref="AO176" si="1560">IF($R$5&gt;$Q$5,($R$5-$Q$5)*Y541,0)</f>
        <v>6158.2949600526208</v>
      </c>
      <c r="AP176" s="780">
        <f t="shared" ref="AP176" si="1561">IF($R$5&gt;$Q$5,($R$5-$Q$5)*Z541,0)</f>
        <v>6514.1392664878649</v>
      </c>
      <c r="AQ176" s="780">
        <f t="shared" ref="AQ176" si="1562">IF($R$5&gt;$Q$5,($R$5-$Q$5)*AA541,0)</f>
        <v>6891.2420929122554</v>
      </c>
      <c r="AR176" s="780">
        <f t="shared" ref="AR176" si="1563">IF($R$5&gt;$Q$5,($R$5-$Q$5)*AB541,0)</f>
        <v>7290.5201481641989</v>
      </c>
      <c r="AS176" s="780">
        <f t="shared" ref="AS176" si="1564">IF($R$5&gt;$Q$5,($R$5-$Q$5)*AC541,0)</f>
        <v>7712.9078999165331</v>
      </c>
      <c r="AT176" s="780">
        <f t="shared" ref="AT176" si="1565">IF($R$5&gt;$Q$5,($R$5-$Q$5)*AD541,0)</f>
        <v>8159.357530652579</v>
      </c>
      <c r="AU176" s="780">
        <f t="shared" ref="AU176" si="1566">IF($R$5&gt;$Q$5,($R$5-$Q$5)*AE541,0)</f>
        <v>8630.8389688113039</v>
      </c>
      <c r="AV176" s="780">
        <f t="shared" ref="AV176" si="1567">IF($R$5&gt;$Q$5,($R$5-$Q$5)*AF541,0)</f>
        <v>9128.3400039027438</v>
      </c>
      <c r="AW176" s="781">
        <f t="shared" ref="AW176" si="1568">IF($R$5&gt;$Q$5,($R$5-$Q$5)*AG541,0)</f>
        <v>9652.8664942797932</v>
      </c>
      <c r="AX176" s="782">
        <f t="shared" ref="AX176" si="1569">IF($R$5&gt;$Q$5,($R$5-$Q$5)*AH541,0)</f>
        <v>10205.442676078563</v>
      </c>
      <c r="AY176" s="780">
        <f t="shared" ref="AY176" si="1570">IF($R$5&gt;$Q$5,($R$5-$Q$5)*AI541,0)</f>
        <v>10787.111581608189</v>
      </c>
      <c r="AZ176" s="780">
        <f t="shared" ref="AZ176" si="1571">IF($R$5&gt;$Q$5,($R$5-$Q$5)*AJ541,0)</f>
        <v>11398.935575183927</v>
      </c>
      <c r="BA176" s="780">
        <f t="shared" ref="BA176" si="1572">IF($R$5&gt;$Q$5,($R$5-$Q$5)*AK541,0)</f>
        <v>12041.997014057681</v>
      </c>
      <c r="BB176" s="780">
        <f t="shared" ref="BB176" si="1573">IF($R$5&gt;$Q$5,($R$5-$Q$5)*AL541,0)</f>
        <v>11309.223860591001</v>
      </c>
      <c r="BC176" s="780">
        <f t="shared" ref="BC176" si="1574">IF($R$5&gt;$Q$5,($R$5-$Q$5)*AM541,0)</f>
        <v>11938.59815317693</v>
      </c>
      <c r="BD176" s="780">
        <f t="shared" ref="BD176" si="1575">IF($R$5&gt;$Q$5,($R$5-$Q$5)*AN541,0)</f>
        <v>12598.640561226617</v>
      </c>
      <c r="BE176" s="780">
        <f t="shared" ref="BE176" si="1576">IF($R$5&gt;$Q$5,($R$5-$Q$5)*AO541,0)</f>
        <v>13290.384784867672</v>
      </c>
      <c r="BF176" s="780">
        <f t="shared" ref="BF176" si="1577">IF($R$5&gt;$Q$5,($R$5-$Q$5)*AP541,0)</f>
        <v>14014.886742419074</v>
      </c>
      <c r="BG176" s="780">
        <f t="shared" ref="BG176" si="1578">IF($R$5&gt;$Q$5,($R$5-$Q$5)*AQ541,0)</f>
        <v>14773.225935151826</v>
      </c>
      <c r="BH176" s="780">
        <f t="shared" ref="BH176" si="1579">IF($R$5&gt;$Q$5,($R$5-$Q$5)*AR541,0)</f>
        <v>15566.50695843432</v>
      </c>
      <c r="BI176" s="781">
        <f t="shared" ref="BI176" si="1580">IF($R$5&gt;$Q$5,($R$5-$Q$5)*AS541,0)</f>
        <v>16395.861162308756</v>
      </c>
    </row>
    <row r="177" spans="1:61" s="780" customFormat="1" hidden="1" outlineLevel="1">
      <c r="M177" s="781"/>
      <c r="N177" s="782"/>
      <c r="Y177" s="781"/>
      <c r="Z177" s="782"/>
      <c r="AK177" s="781"/>
      <c r="AL177" s="782"/>
      <c r="AW177" s="781"/>
      <c r="AX177" s="782"/>
      <c r="BI177" s="781"/>
    </row>
    <row r="178" spans="1:61" s="780" customFormat="1" hidden="1" outlineLevel="1">
      <c r="A178" s="780" t="s">
        <v>359</v>
      </c>
      <c r="M178" s="781"/>
      <c r="N178" s="782"/>
      <c r="S178" s="780">
        <f>IF($S$5&gt;$R$5,($S$5-$R$5)*B535,0)</f>
        <v>0</v>
      </c>
      <c r="T178" s="780">
        <f t="shared" ref="T178" si="1581">IF($S$5&gt;$R$5,($S$5-$R$5)*C535,0)</f>
        <v>0</v>
      </c>
      <c r="U178" s="780">
        <f t="shared" ref="U178" si="1582">IF($S$5&gt;$R$5,($S$5-$R$5)*D535,0)</f>
        <v>0</v>
      </c>
      <c r="V178" s="780">
        <f t="shared" ref="V178" si="1583">IF($S$5&gt;$R$5,($S$5-$R$5)*E535,0)</f>
        <v>0</v>
      </c>
      <c r="W178" s="780">
        <f t="shared" ref="W178" si="1584">IF($S$5&gt;$R$5,($S$5-$R$5)*F535,0)</f>
        <v>0</v>
      </c>
      <c r="X178" s="780">
        <f t="shared" ref="X178" si="1585">IF($S$5&gt;$R$5,($S$5-$R$5)*G535,0)</f>
        <v>0</v>
      </c>
      <c r="Y178" s="781">
        <f t="shared" ref="Y178" si="1586">IF($S$5&gt;$R$5,($S$5-$R$5)*H535,0)</f>
        <v>0</v>
      </c>
      <c r="Z178" s="782">
        <f t="shared" ref="Z178" si="1587">IF($S$5&gt;$R$5,($S$5-$R$5)*I535,0)</f>
        <v>0</v>
      </c>
      <c r="AA178" s="780">
        <f t="shared" ref="AA178" si="1588">IF($S$5&gt;$R$5,($S$5-$R$5)*J535,0)</f>
        <v>0</v>
      </c>
      <c r="AB178" s="780">
        <f t="shared" ref="AB178" si="1589">IF($S$5&gt;$R$5,($S$5-$R$5)*K535,0)</f>
        <v>0</v>
      </c>
      <c r="AC178" s="780">
        <f t="shared" ref="AC178" si="1590">IF($S$5&gt;$R$5,($S$5-$R$5)*L535,0)</f>
        <v>0</v>
      </c>
      <c r="AD178" s="780">
        <f t="shared" ref="AD178" si="1591">IF($S$5&gt;$R$5,($S$5-$R$5)*M535,0)</f>
        <v>0</v>
      </c>
      <c r="AE178" s="780">
        <f t="shared" ref="AE178" si="1592">IF($S$5&gt;$R$5,($S$5-$R$5)*N535,0)</f>
        <v>0</v>
      </c>
      <c r="AF178" s="780">
        <f t="shared" ref="AF178" si="1593">IF($S$5&gt;$R$5,($S$5-$R$5)*O535,0)</f>
        <v>0</v>
      </c>
      <c r="AG178" s="780">
        <f t="shared" ref="AG178" si="1594">IF($S$5&gt;$R$5,($S$5-$R$5)*P535,0)</f>
        <v>0</v>
      </c>
      <c r="AH178" s="780">
        <f t="shared" ref="AH178" si="1595">IF($S$5&gt;$R$5,($S$5-$R$5)*Q535,0)</f>
        <v>0</v>
      </c>
      <c r="AI178" s="780">
        <f t="shared" ref="AI178" si="1596">IF($S$5&gt;$R$5,($S$5-$R$5)*R535,0)</f>
        <v>0</v>
      </c>
      <c r="AJ178" s="780">
        <f t="shared" ref="AJ178" si="1597">IF($S$5&gt;$R$5,($S$5-$R$5)*S535,0)</f>
        <v>0</v>
      </c>
      <c r="AK178" s="781">
        <f t="shared" ref="AK178" si="1598">IF($S$5&gt;$R$5,($S$5-$R$5)*T535,0)</f>
        <v>0</v>
      </c>
      <c r="AL178" s="782">
        <f t="shared" ref="AL178" si="1599">IF($S$5&gt;$R$5,($S$5-$R$5)*U535,0)</f>
        <v>0</v>
      </c>
      <c r="AM178" s="780">
        <f t="shared" ref="AM178" si="1600">IF($S$5&gt;$R$5,($S$5-$R$5)*V535,0)</f>
        <v>0</v>
      </c>
      <c r="AN178" s="780">
        <f t="shared" ref="AN178" si="1601">IF($S$5&gt;$R$5,($S$5-$R$5)*W535,0)</f>
        <v>0</v>
      </c>
      <c r="AO178" s="780">
        <f t="shared" ref="AO178" si="1602">IF($S$5&gt;$R$5,($S$5-$R$5)*X535,0)</f>
        <v>0</v>
      </c>
      <c r="AP178" s="780">
        <f t="shared" ref="AP178" si="1603">IF($S$5&gt;$R$5,($S$5-$R$5)*Y535,0)</f>
        <v>0</v>
      </c>
      <c r="AQ178" s="780">
        <f t="shared" ref="AQ178" si="1604">IF($S$5&gt;$R$5,($S$5-$R$5)*Z535,0)</f>
        <v>0</v>
      </c>
      <c r="AR178" s="780">
        <f t="shared" ref="AR178" si="1605">IF($S$5&gt;$R$5,($S$5-$R$5)*AA535,0)</f>
        <v>0</v>
      </c>
      <c r="AS178" s="780">
        <f t="shared" ref="AS178" si="1606">IF($S$5&gt;$R$5,($S$5-$R$5)*AB535,0)</f>
        <v>0</v>
      </c>
      <c r="AT178" s="780">
        <f t="shared" ref="AT178" si="1607">IF($S$5&gt;$R$5,($S$5-$R$5)*AC535,0)</f>
        <v>0</v>
      </c>
      <c r="AU178" s="780">
        <f t="shared" ref="AU178" si="1608">IF($S$5&gt;$R$5,($S$5-$R$5)*AD535,0)</f>
        <v>0</v>
      </c>
      <c r="AV178" s="780">
        <f t="shared" ref="AV178" si="1609">IF($S$5&gt;$R$5,($S$5-$R$5)*AE535,0)</f>
        <v>0</v>
      </c>
      <c r="AW178" s="781">
        <f t="shared" ref="AW178" si="1610">IF($S$5&gt;$R$5,($S$5-$R$5)*AF535,0)</f>
        <v>0</v>
      </c>
      <c r="AX178" s="782">
        <f t="shared" ref="AX178" si="1611">IF($S$5&gt;$R$5,($S$5-$R$5)*AG535,0)</f>
        <v>0</v>
      </c>
      <c r="AY178" s="780">
        <f t="shared" ref="AY178" si="1612">IF($S$5&gt;$R$5,($S$5-$R$5)*AH535,0)</f>
        <v>0</v>
      </c>
      <c r="AZ178" s="780">
        <f t="shared" ref="AZ178" si="1613">IF($S$5&gt;$R$5,($S$5-$R$5)*AI535,0)</f>
        <v>0</v>
      </c>
      <c r="BA178" s="780">
        <f t="shared" ref="BA178" si="1614">IF($S$5&gt;$R$5,($S$5-$R$5)*AJ535,0)</f>
        <v>0</v>
      </c>
      <c r="BB178" s="780">
        <f t="shared" ref="BB178" si="1615">IF($S$5&gt;$R$5,($S$5-$R$5)*AK535,0)</f>
        <v>0</v>
      </c>
      <c r="BC178" s="780">
        <f t="shared" ref="BC178" si="1616">IF($S$5&gt;$R$5,($S$5-$R$5)*AL535,0)</f>
        <v>0</v>
      </c>
      <c r="BD178" s="780">
        <f t="shared" ref="BD178" si="1617">IF($S$5&gt;$R$5,($S$5-$R$5)*AM535,0)</f>
        <v>0</v>
      </c>
      <c r="BE178" s="780">
        <f t="shared" ref="BE178" si="1618">IF($S$5&gt;$R$5,($S$5-$R$5)*AN535,0)</f>
        <v>0</v>
      </c>
      <c r="BF178" s="780">
        <f t="shared" ref="BF178" si="1619">IF($S$5&gt;$R$5,($S$5-$R$5)*AO535,0)</f>
        <v>0</v>
      </c>
      <c r="BG178" s="780">
        <f t="shared" ref="BG178" si="1620">IF($S$5&gt;$R$5,($S$5-$R$5)*AP535,0)</f>
        <v>0</v>
      </c>
      <c r="BH178" s="780">
        <f t="shared" ref="BH178" si="1621">IF($S$5&gt;$R$5,($S$5-$R$5)*AQ535,0)</f>
        <v>0</v>
      </c>
      <c r="BI178" s="781">
        <f t="shared" ref="BI178" si="1622">IF($S$5&gt;$R$5,($S$5-$R$5)*AR535,0)</f>
        <v>0</v>
      </c>
    </row>
    <row r="179" spans="1:61" s="780" customFormat="1" hidden="1" outlineLevel="1">
      <c r="A179" s="780" t="str">
        <f>$A$536</f>
        <v>Leads</v>
      </c>
      <c r="M179" s="781"/>
      <c r="N179" s="782"/>
      <c r="S179" s="780">
        <f>IF($S$5&gt;$R$5,($S$5-$R$5)*B536,0)</f>
        <v>0</v>
      </c>
      <c r="T179" s="780">
        <f t="shared" ref="T179:BI179" si="1623">IF($S$5&gt;$R$5,($S$5-$R$5)*C536,0)</f>
        <v>0</v>
      </c>
      <c r="U179" s="780">
        <f t="shared" si="1623"/>
        <v>0</v>
      </c>
      <c r="V179" s="780">
        <f t="shared" si="1623"/>
        <v>0</v>
      </c>
      <c r="W179" s="780">
        <f t="shared" si="1623"/>
        <v>0</v>
      </c>
      <c r="X179" s="780">
        <f t="shared" si="1623"/>
        <v>0</v>
      </c>
      <c r="Y179" s="781">
        <f t="shared" si="1623"/>
        <v>0</v>
      </c>
      <c r="Z179" s="782">
        <f t="shared" si="1623"/>
        <v>0</v>
      </c>
      <c r="AA179" s="780">
        <f t="shared" si="1623"/>
        <v>0</v>
      </c>
      <c r="AB179" s="780">
        <f t="shared" si="1623"/>
        <v>0</v>
      </c>
      <c r="AC179" s="780">
        <f t="shared" si="1623"/>
        <v>0</v>
      </c>
      <c r="AD179" s="780">
        <f t="shared" si="1623"/>
        <v>0</v>
      </c>
      <c r="AE179" s="780">
        <f t="shared" si="1623"/>
        <v>0</v>
      </c>
      <c r="AF179" s="780">
        <f t="shared" si="1623"/>
        <v>0</v>
      </c>
      <c r="AG179" s="780">
        <f t="shared" si="1623"/>
        <v>0</v>
      </c>
      <c r="AH179" s="780">
        <f t="shared" si="1623"/>
        <v>0</v>
      </c>
      <c r="AI179" s="780">
        <f t="shared" si="1623"/>
        <v>0</v>
      </c>
      <c r="AJ179" s="780">
        <f t="shared" si="1623"/>
        <v>0</v>
      </c>
      <c r="AK179" s="781">
        <f t="shared" si="1623"/>
        <v>0</v>
      </c>
      <c r="AL179" s="782">
        <f t="shared" si="1623"/>
        <v>0</v>
      </c>
      <c r="AM179" s="780">
        <f t="shared" si="1623"/>
        <v>0</v>
      </c>
      <c r="AN179" s="780">
        <f t="shared" si="1623"/>
        <v>0</v>
      </c>
      <c r="AO179" s="780">
        <f t="shared" si="1623"/>
        <v>0</v>
      </c>
      <c r="AP179" s="780">
        <f t="shared" si="1623"/>
        <v>0</v>
      </c>
      <c r="AQ179" s="780">
        <f t="shared" si="1623"/>
        <v>0</v>
      </c>
      <c r="AR179" s="780">
        <f t="shared" si="1623"/>
        <v>0</v>
      </c>
      <c r="AS179" s="780">
        <f t="shared" si="1623"/>
        <v>0</v>
      </c>
      <c r="AT179" s="780">
        <f t="shared" si="1623"/>
        <v>0</v>
      </c>
      <c r="AU179" s="780">
        <f t="shared" si="1623"/>
        <v>0</v>
      </c>
      <c r="AV179" s="780">
        <f t="shared" si="1623"/>
        <v>0</v>
      </c>
      <c r="AW179" s="781">
        <f t="shared" si="1623"/>
        <v>0</v>
      </c>
      <c r="AX179" s="782">
        <f t="shared" si="1623"/>
        <v>0</v>
      </c>
      <c r="AY179" s="780">
        <f t="shared" si="1623"/>
        <v>0</v>
      </c>
      <c r="AZ179" s="780">
        <f t="shared" si="1623"/>
        <v>0</v>
      </c>
      <c r="BA179" s="780">
        <f t="shared" si="1623"/>
        <v>0</v>
      </c>
      <c r="BB179" s="780">
        <f t="shared" si="1623"/>
        <v>0</v>
      </c>
      <c r="BC179" s="780">
        <f t="shared" si="1623"/>
        <v>0</v>
      </c>
      <c r="BD179" s="780">
        <f t="shared" si="1623"/>
        <v>0</v>
      </c>
      <c r="BE179" s="780">
        <f t="shared" si="1623"/>
        <v>0</v>
      </c>
      <c r="BF179" s="780">
        <f t="shared" si="1623"/>
        <v>0</v>
      </c>
      <c r="BG179" s="780">
        <f t="shared" si="1623"/>
        <v>0</v>
      </c>
      <c r="BH179" s="780">
        <f t="shared" si="1623"/>
        <v>0</v>
      </c>
      <c r="BI179" s="781">
        <f t="shared" si="1623"/>
        <v>0</v>
      </c>
    </row>
    <row r="180" spans="1:61" s="780" customFormat="1" hidden="1" outlineLevel="1">
      <c r="A180" s="780" t="str">
        <f>$A$537</f>
        <v>Audits</v>
      </c>
      <c r="M180" s="781"/>
      <c r="N180" s="782"/>
      <c r="S180" s="780">
        <f t="shared" ref="S180:BI180" si="1624">IF($S$5&gt;$R$5,($S$5-$R$5)*B537,0)</f>
        <v>0</v>
      </c>
      <c r="T180" s="780">
        <f t="shared" si="1624"/>
        <v>0</v>
      </c>
      <c r="U180" s="780">
        <f t="shared" si="1624"/>
        <v>0</v>
      </c>
      <c r="V180" s="780">
        <f t="shared" si="1624"/>
        <v>0</v>
      </c>
      <c r="W180" s="780">
        <f t="shared" si="1624"/>
        <v>0</v>
      </c>
      <c r="X180" s="780">
        <f t="shared" si="1624"/>
        <v>0</v>
      </c>
      <c r="Y180" s="781">
        <f t="shared" si="1624"/>
        <v>0</v>
      </c>
      <c r="Z180" s="782">
        <f t="shared" si="1624"/>
        <v>0</v>
      </c>
      <c r="AA180" s="780">
        <f t="shared" si="1624"/>
        <v>0</v>
      </c>
      <c r="AB180" s="780">
        <f t="shared" si="1624"/>
        <v>0</v>
      </c>
      <c r="AC180" s="780">
        <f t="shared" si="1624"/>
        <v>0</v>
      </c>
      <c r="AD180" s="780">
        <f t="shared" si="1624"/>
        <v>0</v>
      </c>
      <c r="AE180" s="780">
        <f t="shared" si="1624"/>
        <v>0</v>
      </c>
      <c r="AF180" s="780">
        <f t="shared" si="1624"/>
        <v>0</v>
      </c>
      <c r="AG180" s="780">
        <f t="shared" si="1624"/>
        <v>0</v>
      </c>
      <c r="AH180" s="780">
        <f t="shared" si="1624"/>
        <v>0</v>
      </c>
      <c r="AI180" s="780">
        <f t="shared" si="1624"/>
        <v>0</v>
      </c>
      <c r="AJ180" s="780">
        <f t="shared" si="1624"/>
        <v>0</v>
      </c>
      <c r="AK180" s="781">
        <f t="shared" si="1624"/>
        <v>0</v>
      </c>
      <c r="AL180" s="782">
        <f t="shared" si="1624"/>
        <v>0</v>
      </c>
      <c r="AM180" s="780">
        <f t="shared" si="1624"/>
        <v>0</v>
      </c>
      <c r="AN180" s="780">
        <f t="shared" si="1624"/>
        <v>0</v>
      </c>
      <c r="AO180" s="780">
        <f t="shared" si="1624"/>
        <v>0</v>
      </c>
      <c r="AP180" s="780">
        <f t="shared" si="1624"/>
        <v>0</v>
      </c>
      <c r="AQ180" s="780">
        <f t="shared" si="1624"/>
        <v>0</v>
      </c>
      <c r="AR180" s="780">
        <f t="shared" si="1624"/>
        <v>0</v>
      </c>
      <c r="AS180" s="780">
        <f t="shared" si="1624"/>
        <v>0</v>
      </c>
      <c r="AT180" s="780">
        <f t="shared" si="1624"/>
        <v>0</v>
      </c>
      <c r="AU180" s="780">
        <f t="shared" si="1624"/>
        <v>0</v>
      </c>
      <c r="AV180" s="780">
        <f t="shared" si="1624"/>
        <v>0</v>
      </c>
      <c r="AW180" s="781">
        <f t="shared" si="1624"/>
        <v>0</v>
      </c>
      <c r="AX180" s="782">
        <f t="shared" si="1624"/>
        <v>0</v>
      </c>
      <c r="AY180" s="780">
        <f t="shared" si="1624"/>
        <v>0</v>
      </c>
      <c r="AZ180" s="780">
        <f t="shared" si="1624"/>
        <v>0</v>
      </c>
      <c r="BA180" s="780">
        <f t="shared" si="1624"/>
        <v>0</v>
      </c>
      <c r="BB180" s="780">
        <f t="shared" si="1624"/>
        <v>0</v>
      </c>
      <c r="BC180" s="780">
        <f t="shared" si="1624"/>
        <v>0</v>
      </c>
      <c r="BD180" s="780">
        <f t="shared" si="1624"/>
        <v>0</v>
      </c>
      <c r="BE180" s="780">
        <f t="shared" si="1624"/>
        <v>0</v>
      </c>
      <c r="BF180" s="780">
        <f t="shared" si="1624"/>
        <v>0</v>
      </c>
      <c r="BG180" s="780">
        <f t="shared" si="1624"/>
        <v>0</v>
      </c>
      <c r="BH180" s="780">
        <f t="shared" si="1624"/>
        <v>0</v>
      </c>
      <c r="BI180" s="781">
        <f t="shared" si="1624"/>
        <v>0</v>
      </c>
    </row>
    <row r="181" spans="1:61" s="780" customFormat="1" hidden="1" outlineLevel="1">
      <c r="A181" s="780" t="str">
        <f>$A$538</f>
        <v>Retrofit</v>
      </c>
      <c r="M181" s="781"/>
      <c r="N181" s="782"/>
      <c r="S181" s="780">
        <f t="shared" ref="S181:BI181" si="1625">IF($S$5&gt;$R$5,($S$5-$R$5)*B538,0)</f>
        <v>0</v>
      </c>
      <c r="T181" s="780">
        <f t="shared" si="1625"/>
        <v>0</v>
      </c>
      <c r="U181" s="780">
        <f t="shared" si="1625"/>
        <v>0</v>
      </c>
      <c r="V181" s="780">
        <f t="shared" si="1625"/>
        <v>0</v>
      </c>
      <c r="W181" s="780">
        <f t="shared" si="1625"/>
        <v>0</v>
      </c>
      <c r="X181" s="780">
        <f t="shared" si="1625"/>
        <v>0</v>
      </c>
      <c r="Y181" s="781">
        <f t="shared" si="1625"/>
        <v>0</v>
      </c>
      <c r="Z181" s="782">
        <f t="shared" si="1625"/>
        <v>0</v>
      </c>
      <c r="AA181" s="780">
        <f t="shared" si="1625"/>
        <v>0</v>
      </c>
      <c r="AB181" s="780">
        <f t="shared" si="1625"/>
        <v>0</v>
      </c>
      <c r="AC181" s="780">
        <f t="shared" si="1625"/>
        <v>0</v>
      </c>
      <c r="AD181" s="780">
        <f t="shared" si="1625"/>
        <v>0</v>
      </c>
      <c r="AE181" s="780">
        <f t="shared" si="1625"/>
        <v>0</v>
      </c>
      <c r="AF181" s="780">
        <f t="shared" si="1625"/>
        <v>0</v>
      </c>
      <c r="AG181" s="780">
        <f t="shared" si="1625"/>
        <v>0</v>
      </c>
      <c r="AH181" s="780">
        <f t="shared" si="1625"/>
        <v>0</v>
      </c>
      <c r="AI181" s="780">
        <f t="shared" si="1625"/>
        <v>0</v>
      </c>
      <c r="AJ181" s="780">
        <f t="shared" si="1625"/>
        <v>0</v>
      </c>
      <c r="AK181" s="781">
        <f t="shared" si="1625"/>
        <v>0</v>
      </c>
      <c r="AL181" s="782">
        <f t="shared" si="1625"/>
        <v>0</v>
      </c>
      <c r="AM181" s="780">
        <f t="shared" si="1625"/>
        <v>0</v>
      </c>
      <c r="AN181" s="780">
        <f t="shared" si="1625"/>
        <v>0</v>
      </c>
      <c r="AO181" s="780">
        <f t="shared" si="1625"/>
        <v>0</v>
      </c>
      <c r="AP181" s="780">
        <f t="shared" si="1625"/>
        <v>0</v>
      </c>
      <c r="AQ181" s="780">
        <f t="shared" si="1625"/>
        <v>0</v>
      </c>
      <c r="AR181" s="780">
        <f t="shared" si="1625"/>
        <v>0</v>
      </c>
      <c r="AS181" s="780">
        <f t="shared" si="1625"/>
        <v>0</v>
      </c>
      <c r="AT181" s="780">
        <f t="shared" si="1625"/>
        <v>0</v>
      </c>
      <c r="AU181" s="780">
        <f t="shared" si="1625"/>
        <v>0</v>
      </c>
      <c r="AV181" s="780">
        <f t="shared" si="1625"/>
        <v>0</v>
      </c>
      <c r="AW181" s="781">
        <f t="shared" si="1625"/>
        <v>0</v>
      </c>
      <c r="AX181" s="782">
        <f t="shared" si="1625"/>
        <v>0</v>
      </c>
      <c r="AY181" s="780">
        <f t="shared" si="1625"/>
        <v>0</v>
      </c>
      <c r="AZ181" s="780">
        <f t="shared" si="1625"/>
        <v>0</v>
      </c>
      <c r="BA181" s="780">
        <f t="shared" si="1625"/>
        <v>0</v>
      </c>
      <c r="BB181" s="780">
        <f t="shared" si="1625"/>
        <v>0</v>
      </c>
      <c r="BC181" s="780">
        <f t="shared" si="1625"/>
        <v>0</v>
      </c>
      <c r="BD181" s="780">
        <f t="shared" si="1625"/>
        <v>0</v>
      </c>
      <c r="BE181" s="780">
        <f t="shared" si="1625"/>
        <v>0</v>
      </c>
      <c r="BF181" s="780">
        <f t="shared" si="1625"/>
        <v>0</v>
      </c>
      <c r="BG181" s="780">
        <f t="shared" si="1625"/>
        <v>0</v>
      </c>
      <c r="BH181" s="780">
        <f t="shared" si="1625"/>
        <v>0</v>
      </c>
      <c r="BI181" s="781">
        <f t="shared" si="1625"/>
        <v>0</v>
      </c>
    </row>
    <row r="182" spans="1:61" s="780" customFormat="1" hidden="1" outlineLevel="1">
      <c r="A182" s="780" t="str">
        <f>$A$539</f>
        <v>Revenue</v>
      </c>
      <c r="M182" s="781"/>
      <c r="N182" s="782"/>
      <c r="S182" s="780">
        <f t="shared" ref="S182:BI182" si="1626">IF($S$5&gt;$R$5,($S$5-$R$5)*B539,0)</f>
        <v>0</v>
      </c>
      <c r="T182" s="780">
        <f t="shared" si="1626"/>
        <v>0</v>
      </c>
      <c r="U182" s="780">
        <f t="shared" si="1626"/>
        <v>0</v>
      </c>
      <c r="V182" s="780">
        <f t="shared" si="1626"/>
        <v>0</v>
      </c>
      <c r="W182" s="780">
        <f t="shared" si="1626"/>
        <v>0</v>
      </c>
      <c r="X182" s="780">
        <f t="shared" si="1626"/>
        <v>0</v>
      </c>
      <c r="Y182" s="781">
        <f t="shared" si="1626"/>
        <v>0</v>
      </c>
      <c r="Z182" s="782">
        <f t="shared" si="1626"/>
        <v>0</v>
      </c>
      <c r="AA182" s="780">
        <f t="shared" si="1626"/>
        <v>0</v>
      </c>
      <c r="AB182" s="780">
        <f t="shared" si="1626"/>
        <v>0</v>
      </c>
      <c r="AC182" s="780">
        <f t="shared" si="1626"/>
        <v>0</v>
      </c>
      <c r="AD182" s="780">
        <f t="shared" si="1626"/>
        <v>0</v>
      </c>
      <c r="AE182" s="780">
        <f t="shared" si="1626"/>
        <v>0</v>
      </c>
      <c r="AF182" s="780">
        <f t="shared" si="1626"/>
        <v>0</v>
      </c>
      <c r="AG182" s="780">
        <f t="shared" si="1626"/>
        <v>0</v>
      </c>
      <c r="AH182" s="780">
        <f t="shared" si="1626"/>
        <v>0</v>
      </c>
      <c r="AI182" s="780">
        <f t="shared" si="1626"/>
        <v>0</v>
      </c>
      <c r="AJ182" s="780">
        <f t="shared" si="1626"/>
        <v>0</v>
      </c>
      <c r="AK182" s="781">
        <f t="shared" si="1626"/>
        <v>0</v>
      </c>
      <c r="AL182" s="782">
        <f t="shared" si="1626"/>
        <v>0</v>
      </c>
      <c r="AM182" s="780">
        <f t="shared" si="1626"/>
        <v>0</v>
      </c>
      <c r="AN182" s="780">
        <f t="shared" si="1626"/>
        <v>0</v>
      </c>
      <c r="AO182" s="780">
        <f t="shared" si="1626"/>
        <v>0</v>
      </c>
      <c r="AP182" s="780">
        <f t="shared" si="1626"/>
        <v>0</v>
      </c>
      <c r="AQ182" s="780">
        <f t="shared" si="1626"/>
        <v>0</v>
      </c>
      <c r="AR182" s="780">
        <f t="shared" si="1626"/>
        <v>0</v>
      </c>
      <c r="AS182" s="780">
        <f t="shared" si="1626"/>
        <v>0</v>
      </c>
      <c r="AT182" s="780">
        <f t="shared" si="1626"/>
        <v>0</v>
      </c>
      <c r="AU182" s="780">
        <f t="shared" si="1626"/>
        <v>0</v>
      </c>
      <c r="AV182" s="780">
        <f t="shared" si="1626"/>
        <v>0</v>
      </c>
      <c r="AW182" s="781">
        <f t="shared" si="1626"/>
        <v>0</v>
      </c>
      <c r="AX182" s="782">
        <f t="shared" si="1626"/>
        <v>0</v>
      </c>
      <c r="AY182" s="780">
        <f t="shared" si="1626"/>
        <v>0</v>
      </c>
      <c r="AZ182" s="780">
        <f t="shared" si="1626"/>
        <v>0</v>
      </c>
      <c r="BA182" s="780">
        <f t="shared" si="1626"/>
        <v>0</v>
      </c>
      <c r="BB182" s="780">
        <f t="shared" si="1626"/>
        <v>0</v>
      </c>
      <c r="BC182" s="780">
        <f t="shared" si="1626"/>
        <v>0</v>
      </c>
      <c r="BD182" s="780">
        <f t="shared" si="1626"/>
        <v>0</v>
      </c>
      <c r="BE182" s="780">
        <f t="shared" si="1626"/>
        <v>0</v>
      </c>
      <c r="BF182" s="780">
        <f t="shared" si="1626"/>
        <v>0</v>
      </c>
      <c r="BG182" s="780">
        <f t="shared" si="1626"/>
        <v>0</v>
      </c>
      <c r="BH182" s="780">
        <f t="shared" si="1626"/>
        <v>0</v>
      </c>
      <c r="BI182" s="781">
        <f t="shared" si="1626"/>
        <v>0</v>
      </c>
    </row>
    <row r="183" spans="1:61" s="780" customFormat="1" hidden="1" outlineLevel="1">
      <c r="A183" s="780" t="str">
        <f>$A$540</f>
        <v>Net Income</v>
      </c>
      <c r="M183" s="781"/>
      <c r="N183" s="782"/>
      <c r="S183" s="780">
        <f t="shared" ref="S183:BI183" si="1627">IF($S$5&gt;$R$5,($S$5-$R$5)*B540,0)</f>
        <v>0</v>
      </c>
      <c r="T183" s="780">
        <f t="shared" si="1627"/>
        <v>0</v>
      </c>
      <c r="U183" s="780">
        <f t="shared" si="1627"/>
        <v>0</v>
      </c>
      <c r="V183" s="780">
        <f t="shared" si="1627"/>
        <v>0</v>
      </c>
      <c r="W183" s="780">
        <f t="shared" si="1627"/>
        <v>0</v>
      </c>
      <c r="X183" s="780">
        <f t="shared" si="1627"/>
        <v>0</v>
      </c>
      <c r="Y183" s="781">
        <f t="shared" si="1627"/>
        <v>0</v>
      </c>
      <c r="Z183" s="782">
        <f t="shared" si="1627"/>
        <v>0</v>
      </c>
      <c r="AA183" s="780">
        <f t="shared" si="1627"/>
        <v>0</v>
      </c>
      <c r="AB183" s="780">
        <f t="shared" si="1627"/>
        <v>0</v>
      </c>
      <c r="AC183" s="780">
        <f t="shared" si="1627"/>
        <v>0</v>
      </c>
      <c r="AD183" s="780">
        <f t="shared" si="1627"/>
        <v>0</v>
      </c>
      <c r="AE183" s="780">
        <f t="shared" si="1627"/>
        <v>0</v>
      </c>
      <c r="AF183" s="780">
        <f t="shared" si="1627"/>
        <v>0</v>
      </c>
      <c r="AG183" s="780">
        <f t="shared" si="1627"/>
        <v>0</v>
      </c>
      <c r="AH183" s="780">
        <f t="shared" si="1627"/>
        <v>0</v>
      </c>
      <c r="AI183" s="780">
        <f t="shared" si="1627"/>
        <v>0</v>
      </c>
      <c r="AJ183" s="780">
        <f t="shared" si="1627"/>
        <v>0</v>
      </c>
      <c r="AK183" s="781">
        <f t="shared" si="1627"/>
        <v>0</v>
      </c>
      <c r="AL183" s="782">
        <f t="shared" si="1627"/>
        <v>0</v>
      </c>
      <c r="AM183" s="780">
        <f t="shared" si="1627"/>
        <v>0</v>
      </c>
      <c r="AN183" s="780">
        <f t="shared" si="1627"/>
        <v>0</v>
      </c>
      <c r="AO183" s="780">
        <f t="shared" si="1627"/>
        <v>0</v>
      </c>
      <c r="AP183" s="780">
        <f t="shared" si="1627"/>
        <v>0</v>
      </c>
      <c r="AQ183" s="780">
        <f t="shared" si="1627"/>
        <v>0</v>
      </c>
      <c r="AR183" s="780">
        <f t="shared" si="1627"/>
        <v>0</v>
      </c>
      <c r="AS183" s="780">
        <f t="shared" si="1627"/>
        <v>0</v>
      </c>
      <c r="AT183" s="780">
        <f t="shared" si="1627"/>
        <v>0</v>
      </c>
      <c r="AU183" s="780">
        <f t="shared" si="1627"/>
        <v>0</v>
      </c>
      <c r="AV183" s="780">
        <f t="shared" si="1627"/>
        <v>0</v>
      </c>
      <c r="AW183" s="781">
        <f t="shared" si="1627"/>
        <v>0</v>
      </c>
      <c r="AX183" s="782">
        <f t="shared" si="1627"/>
        <v>0</v>
      </c>
      <c r="AY183" s="780">
        <f t="shared" si="1627"/>
        <v>0</v>
      </c>
      <c r="AZ183" s="780">
        <f t="shared" si="1627"/>
        <v>0</v>
      </c>
      <c r="BA183" s="780">
        <f t="shared" si="1627"/>
        <v>0</v>
      </c>
      <c r="BB183" s="780">
        <f t="shared" si="1627"/>
        <v>0</v>
      </c>
      <c r="BC183" s="780">
        <f t="shared" si="1627"/>
        <v>0</v>
      </c>
      <c r="BD183" s="780">
        <f t="shared" si="1627"/>
        <v>0</v>
      </c>
      <c r="BE183" s="780">
        <f t="shared" si="1627"/>
        <v>0</v>
      </c>
      <c r="BF183" s="780">
        <f t="shared" si="1627"/>
        <v>0</v>
      </c>
      <c r="BG183" s="780">
        <f t="shared" si="1627"/>
        <v>0</v>
      </c>
      <c r="BH183" s="780">
        <f t="shared" si="1627"/>
        <v>0</v>
      </c>
      <c r="BI183" s="781">
        <f t="shared" si="1627"/>
        <v>0</v>
      </c>
    </row>
    <row r="184" spans="1:61" s="780" customFormat="1" hidden="1" outlineLevel="1">
      <c r="A184" s="780" t="str">
        <f>$A$541</f>
        <v>Program Revenue</v>
      </c>
      <c r="M184" s="781"/>
      <c r="N184" s="782"/>
      <c r="S184" s="780">
        <f t="shared" ref="S184" si="1628">IF($S$5&gt;$R$5,($S$5-$R$5)*B541,0)</f>
        <v>0</v>
      </c>
      <c r="T184" s="780">
        <f t="shared" ref="T184" si="1629">IF($S$5&gt;$R$5,($S$5-$R$5)*C541,0)</f>
        <v>0</v>
      </c>
      <c r="U184" s="780">
        <f t="shared" ref="U184" si="1630">IF($S$5&gt;$R$5,($S$5-$R$5)*D541,0)</f>
        <v>0</v>
      </c>
      <c r="V184" s="780">
        <f t="shared" ref="V184" si="1631">IF($S$5&gt;$R$5,($S$5-$R$5)*E541,0)</f>
        <v>0</v>
      </c>
      <c r="W184" s="780">
        <f t="shared" ref="W184" si="1632">IF($S$5&gt;$R$5,($S$5-$R$5)*F541,0)</f>
        <v>0</v>
      </c>
      <c r="X184" s="780">
        <f t="shared" ref="X184" si="1633">IF($S$5&gt;$R$5,($S$5-$R$5)*G541,0)</f>
        <v>0</v>
      </c>
      <c r="Y184" s="781">
        <f t="shared" ref="Y184" si="1634">IF($S$5&gt;$R$5,($S$5-$R$5)*H541,0)</f>
        <v>0</v>
      </c>
      <c r="Z184" s="782">
        <f t="shared" ref="Z184" si="1635">IF($S$5&gt;$R$5,($S$5-$R$5)*I541,0)</f>
        <v>0</v>
      </c>
      <c r="AA184" s="780">
        <f t="shared" ref="AA184" si="1636">IF($S$5&gt;$R$5,($S$5-$R$5)*J541,0)</f>
        <v>0</v>
      </c>
      <c r="AB184" s="780">
        <f t="shared" ref="AB184" si="1637">IF($S$5&gt;$R$5,($S$5-$R$5)*K541,0)</f>
        <v>0</v>
      </c>
      <c r="AC184" s="780">
        <f t="shared" ref="AC184" si="1638">IF($S$5&gt;$R$5,($S$5-$R$5)*L541,0)</f>
        <v>0</v>
      </c>
      <c r="AD184" s="780">
        <f t="shared" ref="AD184" si="1639">IF($S$5&gt;$R$5,($S$5-$R$5)*M541,0)</f>
        <v>0</v>
      </c>
      <c r="AE184" s="780">
        <f t="shared" ref="AE184" si="1640">IF($S$5&gt;$R$5,($S$5-$R$5)*N541,0)</f>
        <v>0</v>
      </c>
      <c r="AF184" s="780">
        <f t="shared" ref="AF184" si="1641">IF($S$5&gt;$R$5,($S$5-$R$5)*O541,0)</f>
        <v>0</v>
      </c>
      <c r="AG184" s="780">
        <f t="shared" ref="AG184" si="1642">IF($S$5&gt;$R$5,($S$5-$R$5)*P541,0)</f>
        <v>0</v>
      </c>
      <c r="AH184" s="780">
        <f t="shared" ref="AH184" si="1643">IF($S$5&gt;$R$5,($S$5-$R$5)*Q541,0)</f>
        <v>0</v>
      </c>
      <c r="AI184" s="780">
        <f t="shared" ref="AI184" si="1644">IF($S$5&gt;$R$5,($S$5-$R$5)*R541,0)</f>
        <v>0</v>
      </c>
      <c r="AJ184" s="780">
        <f t="shared" ref="AJ184" si="1645">IF($S$5&gt;$R$5,($S$5-$R$5)*S541,0)</f>
        <v>0</v>
      </c>
      <c r="AK184" s="781">
        <f t="shared" ref="AK184" si="1646">IF($S$5&gt;$R$5,($S$5-$R$5)*T541,0)</f>
        <v>0</v>
      </c>
      <c r="AL184" s="782">
        <f t="shared" ref="AL184" si="1647">IF($S$5&gt;$R$5,($S$5-$R$5)*U541,0)</f>
        <v>0</v>
      </c>
      <c r="AM184" s="780">
        <f t="shared" ref="AM184" si="1648">IF($S$5&gt;$R$5,($S$5-$R$5)*V541,0)</f>
        <v>0</v>
      </c>
      <c r="AN184" s="780">
        <f t="shared" ref="AN184" si="1649">IF($S$5&gt;$R$5,($S$5-$R$5)*W541,0)</f>
        <v>0</v>
      </c>
      <c r="AO184" s="780">
        <f t="shared" ref="AO184" si="1650">IF($S$5&gt;$R$5,($S$5-$R$5)*X541,0)</f>
        <v>0</v>
      </c>
      <c r="AP184" s="780">
        <f t="shared" ref="AP184" si="1651">IF($S$5&gt;$R$5,($S$5-$R$5)*Y541,0)</f>
        <v>0</v>
      </c>
      <c r="AQ184" s="780">
        <f t="shared" ref="AQ184" si="1652">IF($S$5&gt;$R$5,($S$5-$R$5)*Z541,0)</f>
        <v>0</v>
      </c>
      <c r="AR184" s="780">
        <f t="shared" ref="AR184" si="1653">IF($S$5&gt;$R$5,($S$5-$R$5)*AA541,0)</f>
        <v>0</v>
      </c>
      <c r="AS184" s="780">
        <f t="shared" ref="AS184" si="1654">IF($S$5&gt;$R$5,($S$5-$R$5)*AB541,0)</f>
        <v>0</v>
      </c>
      <c r="AT184" s="780">
        <f t="shared" ref="AT184" si="1655">IF($S$5&gt;$R$5,($S$5-$R$5)*AC541,0)</f>
        <v>0</v>
      </c>
      <c r="AU184" s="780">
        <f t="shared" ref="AU184" si="1656">IF($S$5&gt;$R$5,($S$5-$R$5)*AD541,0)</f>
        <v>0</v>
      </c>
      <c r="AV184" s="780">
        <f t="shared" ref="AV184" si="1657">IF($S$5&gt;$R$5,($S$5-$R$5)*AE541,0)</f>
        <v>0</v>
      </c>
      <c r="AW184" s="781">
        <f t="shared" ref="AW184" si="1658">IF($S$5&gt;$R$5,($S$5-$R$5)*AF541,0)</f>
        <v>0</v>
      </c>
      <c r="AX184" s="782">
        <f t="shared" ref="AX184" si="1659">IF($S$5&gt;$R$5,($S$5-$R$5)*AG541,0)</f>
        <v>0</v>
      </c>
      <c r="AY184" s="780">
        <f t="shared" ref="AY184" si="1660">IF($S$5&gt;$R$5,($S$5-$R$5)*AH541,0)</f>
        <v>0</v>
      </c>
      <c r="AZ184" s="780">
        <f t="shared" ref="AZ184" si="1661">IF($S$5&gt;$R$5,($S$5-$R$5)*AI541,0)</f>
        <v>0</v>
      </c>
      <c r="BA184" s="780">
        <f t="shared" ref="BA184" si="1662">IF($S$5&gt;$R$5,($S$5-$R$5)*AJ541,0)</f>
        <v>0</v>
      </c>
      <c r="BB184" s="780">
        <f t="shared" ref="BB184" si="1663">IF($S$5&gt;$R$5,($S$5-$R$5)*AK541,0)</f>
        <v>0</v>
      </c>
      <c r="BC184" s="780">
        <f t="shared" ref="BC184" si="1664">IF($S$5&gt;$R$5,($S$5-$R$5)*AL541,0)</f>
        <v>0</v>
      </c>
      <c r="BD184" s="780">
        <f t="shared" ref="BD184" si="1665">IF($S$5&gt;$R$5,($S$5-$R$5)*AM541,0)</f>
        <v>0</v>
      </c>
      <c r="BE184" s="780">
        <f t="shared" ref="BE184" si="1666">IF($S$5&gt;$R$5,($S$5-$R$5)*AN541,0)</f>
        <v>0</v>
      </c>
      <c r="BF184" s="780">
        <f t="shared" ref="BF184" si="1667">IF($S$5&gt;$R$5,($S$5-$R$5)*AO541,0)</f>
        <v>0</v>
      </c>
      <c r="BG184" s="780">
        <f t="shared" ref="BG184" si="1668">IF($S$5&gt;$R$5,($S$5-$R$5)*AP541,0)</f>
        <v>0</v>
      </c>
      <c r="BH184" s="780">
        <f t="shared" ref="BH184" si="1669">IF($S$5&gt;$R$5,($S$5-$R$5)*AQ541,0)</f>
        <v>0</v>
      </c>
      <c r="BI184" s="781">
        <f t="shared" ref="BI184" si="1670">IF($S$5&gt;$R$5,($S$5-$R$5)*AR541,0)</f>
        <v>0</v>
      </c>
    </row>
    <row r="185" spans="1:61" s="780" customFormat="1" hidden="1" outlineLevel="1">
      <c r="M185" s="781"/>
      <c r="N185" s="782"/>
      <c r="Y185" s="781"/>
      <c r="Z185" s="782"/>
      <c r="AK185" s="781"/>
      <c r="AL185" s="782"/>
      <c r="AW185" s="781"/>
      <c r="AX185" s="782"/>
      <c r="BI185" s="781"/>
    </row>
    <row r="186" spans="1:61" s="780" customFormat="1" hidden="1" outlineLevel="1">
      <c r="A186" s="780" t="s">
        <v>359</v>
      </c>
      <c r="M186" s="781"/>
      <c r="N186" s="782"/>
      <c r="T186" s="780">
        <f>IF($T$5&gt;$S$5,($T$5-$S$5)*B535,0)</f>
        <v>0</v>
      </c>
      <c r="U186" s="780">
        <f t="shared" ref="U186" si="1671">IF($T$5&gt;$S$5,($T$5-$S$5)*C535,0)</f>
        <v>0</v>
      </c>
      <c r="V186" s="780">
        <f t="shared" ref="V186" si="1672">IF($T$5&gt;$S$5,($T$5-$S$5)*D535,0)</f>
        <v>0</v>
      </c>
      <c r="W186" s="780">
        <f t="shared" ref="W186" si="1673">IF($T$5&gt;$S$5,($T$5-$S$5)*E535,0)</f>
        <v>0</v>
      </c>
      <c r="X186" s="780">
        <f t="shared" ref="X186" si="1674">IF($T$5&gt;$S$5,($T$5-$S$5)*F535,0)</f>
        <v>0</v>
      </c>
      <c r="Y186" s="781">
        <f t="shared" ref="Y186" si="1675">IF($T$5&gt;$S$5,($T$5-$S$5)*G535,0)</f>
        <v>0</v>
      </c>
      <c r="Z186" s="782">
        <f t="shared" ref="Z186" si="1676">IF($T$5&gt;$S$5,($T$5-$S$5)*H535,0)</f>
        <v>0</v>
      </c>
      <c r="AA186" s="780">
        <f t="shared" ref="AA186" si="1677">IF($T$5&gt;$S$5,($T$5-$S$5)*I535,0)</f>
        <v>0</v>
      </c>
      <c r="AB186" s="780">
        <f t="shared" ref="AB186" si="1678">IF($T$5&gt;$S$5,($T$5-$S$5)*J535,0)</f>
        <v>0</v>
      </c>
      <c r="AC186" s="780">
        <f t="shared" ref="AC186" si="1679">IF($T$5&gt;$S$5,($T$5-$S$5)*K535,0)</f>
        <v>0</v>
      </c>
      <c r="AD186" s="780">
        <f t="shared" ref="AD186" si="1680">IF($T$5&gt;$S$5,($T$5-$S$5)*L535,0)</f>
        <v>0</v>
      </c>
      <c r="AE186" s="780">
        <f t="shared" ref="AE186" si="1681">IF($T$5&gt;$S$5,($T$5-$S$5)*M535,0)</f>
        <v>0</v>
      </c>
      <c r="AF186" s="780">
        <f t="shared" ref="AF186" si="1682">IF($T$5&gt;$S$5,($T$5-$S$5)*N535,0)</f>
        <v>0</v>
      </c>
      <c r="AG186" s="780">
        <f t="shared" ref="AG186" si="1683">IF($T$5&gt;$S$5,($T$5-$S$5)*O535,0)</f>
        <v>0</v>
      </c>
      <c r="AH186" s="780">
        <f t="shared" ref="AH186" si="1684">IF($T$5&gt;$S$5,($T$5-$S$5)*P535,0)</f>
        <v>0</v>
      </c>
      <c r="AI186" s="780">
        <f t="shared" ref="AI186" si="1685">IF($T$5&gt;$S$5,($T$5-$S$5)*Q535,0)</f>
        <v>0</v>
      </c>
      <c r="AJ186" s="780">
        <f t="shared" ref="AJ186" si="1686">IF($T$5&gt;$S$5,($T$5-$S$5)*R535,0)</f>
        <v>0</v>
      </c>
      <c r="AK186" s="781">
        <f t="shared" ref="AK186" si="1687">IF($T$5&gt;$S$5,($T$5-$S$5)*S535,0)</f>
        <v>0</v>
      </c>
      <c r="AL186" s="782">
        <f t="shared" ref="AL186" si="1688">IF($T$5&gt;$S$5,($T$5-$S$5)*T535,0)</f>
        <v>0</v>
      </c>
      <c r="AM186" s="780">
        <f t="shared" ref="AM186" si="1689">IF($T$5&gt;$S$5,($T$5-$S$5)*U535,0)</f>
        <v>0</v>
      </c>
      <c r="AN186" s="780">
        <f t="shared" ref="AN186" si="1690">IF($T$5&gt;$S$5,($T$5-$S$5)*V535,0)</f>
        <v>0</v>
      </c>
      <c r="AO186" s="780">
        <f t="shared" ref="AO186" si="1691">IF($T$5&gt;$S$5,($T$5-$S$5)*W535,0)</f>
        <v>0</v>
      </c>
      <c r="AP186" s="780">
        <f t="shared" ref="AP186" si="1692">IF($T$5&gt;$S$5,($T$5-$S$5)*X535,0)</f>
        <v>0</v>
      </c>
      <c r="AQ186" s="780">
        <f t="shared" ref="AQ186" si="1693">IF($T$5&gt;$S$5,($T$5-$S$5)*Y535,0)</f>
        <v>0</v>
      </c>
      <c r="AR186" s="780">
        <f t="shared" ref="AR186" si="1694">IF($T$5&gt;$S$5,($T$5-$S$5)*Z535,0)</f>
        <v>0</v>
      </c>
      <c r="AS186" s="780">
        <f t="shared" ref="AS186" si="1695">IF($T$5&gt;$S$5,($T$5-$S$5)*AA535,0)</f>
        <v>0</v>
      </c>
      <c r="AT186" s="780">
        <f t="shared" ref="AT186" si="1696">IF($T$5&gt;$S$5,($T$5-$S$5)*AB535,0)</f>
        <v>0</v>
      </c>
      <c r="AU186" s="780">
        <f t="shared" ref="AU186" si="1697">IF($T$5&gt;$S$5,($T$5-$S$5)*AC535,0)</f>
        <v>0</v>
      </c>
      <c r="AV186" s="780">
        <f t="shared" ref="AV186" si="1698">IF($T$5&gt;$S$5,($T$5-$S$5)*AD535,0)</f>
        <v>0</v>
      </c>
      <c r="AW186" s="781">
        <f t="shared" ref="AW186" si="1699">IF($T$5&gt;$S$5,($T$5-$S$5)*AE535,0)</f>
        <v>0</v>
      </c>
      <c r="AX186" s="782">
        <f t="shared" ref="AX186" si="1700">IF($T$5&gt;$S$5,($T$5-$S$5)*AF535,0)</f>
        <v>0</v>
      </c>
      <c r="AY186" s="780">
        <f t="shared" ref="AY186" si="1701">IF($T$5&gt;$S$5,($T$5-$S$5)*AG535,0)</f>
        <v>0</v>
      </c>
      <c r="AZ186" s="780">
        <f t="shared" ref="AZ186" si="1702">IF($T$5&gt;$S$5,($T$5-$S$5)*AH535,0)</f>
        <v>0</v>
      </c>
      <c r="BA186" s="780">
        <f t="shared" ref="BA186" si="1703">IF($T$5&gt;$S$5,($T$5-$S$5)*AI535,0)</f>
        <v>0</v>
      </c>
      <c r="BB186" s="780">
        <f t="shared" ref="BB186" si="1704">IF($T$5&gt;$S$5,($T$5-$S$5)*AJ535,0)</f>
        <v>0</v>
      </c>
      <c r="BC186" s="780">
        <f t="shared" ref="BC186" si="1705">IF($T$5&gt;$S$5,($T$5-$S$5)*AK535,0)</f>
        <v>0</v>
      </c>
      <c r="BD186" s="780">
        <f t="shared" ref="BD186" si="1706">IF($T$5&gt;$S$5,($T$5-$S$5)*AL535,0)</f>
        <v>0</v>
      </c>
      <c r="BE186" s="780">
        <f t="shared" ref="BE186" si="1707">IF($T$5&gt;$S$5,($T$5-$S$5)*AM535,0)</f>
        <v>0</v>
      </c>
      <c r="BF186" s="780">
        <f t="shared" ref="BF186" si="1708">IF($T$5&gt;$S$5,($T$5-$S$5)*AN535,0)</f>
        <v>0</v>
      </c>
      <c r="BG186" s="780">
        <f t="shared" ref="BG186" si="1709">IF($T$5&gt;$S$5,($T$5-$S$5)*AO535,0)</f>
        <v>0</v>
      </c>
      <c r="BH186" s="780">
        <f t="shared" ref="BH186" si="1710">IF($T$5&gt;$S$5,($T$5-$S$5)*AP535,0)</f>
        <v>0</v>
      </c>
      <c r="BI186" s="781">
        <f t="shared" ref="BI186" si="1711">IF($T$5&gt;$S$5,($T$5-$S$5)*AQ535,0)</f>
        <v>0</v>
      </c>
    </row>
    <row r="187" spans="1:61" s="780" customFormat="1" hidden="1" outlineLevel="1">
      <c r="A187" s="780" t="str">
        <f>$A$536</f>
        <v>Leads</v>
      </c>
      <c r="M187" s="781"/>
      <c r="N187" s="782"/>
      <c r="T187" s="780">
        <f>IF($T$5&gt;$S$5,($T$5-$S$5)*B536,0)</f>
        <v>0</v>
      </c>
      <c r="U187" s="780">
        <f t="shared" ref="U187:BI187" si="1712">IF($T$5&gt;$S$5,($T$5-$S$5)*C536,0)</f>
        <v>0</v>
      </c>
      <c r="V187" s="780">
        <f t="shared" si="1712"/>
        <v>0</v>
      </c>
      <c r="W187" s="780">
        <f t="shared" si="1712"/>
        <v>0</v>
      </c>
      <c r="X187" s="780">
        <f t="shared" si="1712"/>
        <v>0</v>
      </c>
      <c r="Y187" s="781">
        <f t="shared" si="1712"/>
        <v>0</v>
      </c>
      <c r="Z187" s="782">
        <f t="shared" si="1712"/>
        <v>0</v>
      </c>
      <c r="AA187" s="780">
        <f t="shared" si="1712"/>
        <v>0</v>
      </c>
      <c r="AB187" s="780">
        <f t="shared" si="1712"/>
        <v>0</v>
      </c>
      <c r="AC187" s="780">
        <f t="shared" si="1712"/>
        <v>0</v>
      </c>
      <c r="AD187" s="780">
        <f t="shared" si="1712"/>
        <v>0</v>
      </c>
      <c r="AE187" s="780">
        <f t="shared" si="1712"/>
        <v>0</v>
      </c>
      <c r="AF187" s="780">
        <f t="shared" si="1712"/>
        <v>0</v>
      </c>
      <c r="AG187" s="780">
        <f t="shared" si="1712"/>
        <v>0</v>
      </c>
      <c r="AH187" s="780">
        <f t="shared" si="1712"/>
        <v>0</v>
      </c>
      <c r="AI187" s="780">
        <f t="shared" si="1712"/>
        <v>0</v>
      </c>
      <c r="AJ187" s="780">
        <f t="shared" si="1712"/>
        <v>0</v>
      </c>
      <c r="AK187" s="781">
        <f t="shared" si="1712"/>
        <v>0</v>
      </c>
      <c r="AL187" s="782">
        <f t="shared" si="1712"/>
        <v>0</v>
      </c>
      <c r="AM187" s="780">
        <f t="shared" si="1712"/>
        <v>0</v>
      </c>
      <c r="AN187" s="780">
        <f t="shared" si="1712"/>
        <v>0</v>
      </c>
      <c r="AO187" s="780">
        <f t="shared" si="1712"/>
        <v>0</v>
      </c>
      <c r="AP187" s="780">
        <f t="shared" si="1712"/>
        <v>0</v>
      </c>
      <c r="AQ187" s="780">
        <f t="shared" si="1712"/>
        <v>0</v>
      </c>
      <c r="AR187" s="780">
        <f t="shared" si="1712"/>
        <v>0</v>
      </c>
      <c r="AS187" s="780">
        <f t="shared" si="1712"/>
        <v>0</v>
      </c>
      <c r="AT187" s="780">
        <f t="shared" si="1712"/>
        <v>0</v>
      </c>
      <c r="AU187" s="780">
        <f t="shared" si="1712"/>
        <v>0</v>
      </c>
      <c r="AV187" s="780">
        <f t="shared" si="1712"/>
        <v>0</v>
      </c>
      <c r="AW187" s="781">
        <f t="shared" si="1712"/>
        <v>0</v>
      </c>
      <c r="AX187" s="782">
        <f t="shared" si="1712"/>
        <v>0</v>
      </c>
      <c r="AY187" s="780">
        <f t="shared" si="1712"/>
        <v>0</v>
      </c>
      <c r="AZ187" s="780">
        <f t="shared" si="1712"/>
        <v>0</v>
      </c>
      <c r="BA187" s="780">
        <f t="shared" si="1712"/>
        <v>0</v>
      </c>
      <c r="BB187" s="780">
        <f t="shared" si="1712"/>
        <v>0</v>
      </c>
      <c r="BC187" s="780">
        <f t="shared" si="1712"/>
        <v>0</v>
      </c>
      <c r="BD187" s="780">
        <f t="shared" si="1712"/>
        <v>0</v>
      </c>
      <c r="BE187" s="780">
        <f t="shared" si="1712"/>
        <v>0</v>
      </c>
      <c r="BF187" s="780">
        <f t="shared" si="1712"/>
        <v>0</v>
      </c>
      <c r="BG187" s="780">
        <f t="shared" si="1712"/>
        <v>0</v>
      </c>
      <c r="BH187" s="780">
        <f t="shared" si="1712"/>
        <v>0</v>
      </c>
      <c r="BI187" s="781">
        <f t="shared" si="1712"/>
        <v>0</v>
      </c>
    </row>
    <row r="188" spans="1:61" s="780" customFormat="1" hidden="1" outlineLevel="1">
      <c r="A188" s="780" t="str">
        <f>$A$537</f>
        <v>Audits</v>
      </c>
      <c r="M188" s="781"/>
      <c r="N188" s="782"/>
      <c r="T188" s="780">
        <f t="shared" ref="T188:BI188" si="1713">IF($T$5&gt;$S$5,($T$5-$S$5)*B537,0)</f>
        <v>0</v>
      </c>
      <c r="U188" s="780">
        <f t="shared" si="1713"/>
        <v>0</v>
      </c>
      <c r="V188" s="780">
        <f t="shared" si="1713"/>
        <v>0</v>
      </c>
      <c r="W188" s="780">
        <f t="shared" si="1713"/>
        <v>0</v>
      </c>
      <c r="X188" s="780">
        <f t="shared" si="1713"/>
        <v>0</v>
      </c>
      <c r="Y188" s="781">
        <f t="shared" si="1713"/>
        <v>0</v>
      </c>
      <c r="Z188" s="782">
        <f t="shared" si="1713"/>
        <v>0</v>
      </c>
      <c r="AA188" s="780">
        <f t="shared" si="1713"/>
        <v>0</v>
      </c>
      <c r="AB188" s="780">
        <f t="shared" si="1713"/>
        <v>0</v>
      </c>
      <c r="AC188" s="780">
        <f t="shared" si="1713"/>
        <v>0</v>
      </c>
      <c r="AD188" s="780">
        <f t="shared" si="1713"/>
        <v>0</v>
      </c>
      <c r="AE188" s="780">
        <f t="shared" si="1713"/>
        <v>0</v>
      </c>
      <c r="AF188" s="780">
        <f t="shared" si="1713"/>
        <v>0</v>
      </c>
      <c r="AG188" s="780">
        <f t="shared" si="1713"/>
        <v>0</v>
      </c>
      <c r="AH188" s="780">
        <f t="shared" si="1713"/>
        <v>0</v>
      </c>
      <c r="AI188" s="780">
        <f t="shared" si="1713"/>
        <v>0</v>
      </c>
      <c r="AJ188" s="780">
        <f t="shared" si="1713"/>
        <v>0</v>
      </c>
      <c r="AK188" s="781">
        <f t="shared" si="1713"/>
        <v>0</v>
      </c>
      <c r="AL188" s="782">
        <f t="shared" si="1713"/>
        <v>0</v>
      </c>
      <c r="AM188" s="780">
        <f t="shared" si="1713"/>
        <v>0</v>
      </c>
      <c r="AN188" s="780">
        <f t="shared" si="1713"/>
        <v>0</v>
      </c>
      <c r="AO188" s="780">
        <f t="shared" si="1713"/>
        <v>0</v>
      </c>
      <c r="AP188" s="780">
        <f t="shared" si="1713"/>
        <v>0</v>
      </c>
      <c r="AQ188" s="780">
        <f t="shared" si="1713"/>
        <v>0</v>
      </c>
      <c r="AR188" s="780">
        <f t="shared" si="1713"/>
        <v>0</v>
      </c>
      <c r="AS188" s="780">
        <f t="shared" si="1713"/>
        <v>0</v>
      </c>
      <c r="AT188" s="780">
        <f t="shared" si="1713"/>
        <v>0</v>
      </c>
      <c r="AU188" s="780">
        <f t="shared" si="1713"/>
        <v>0</v>
      </c>
      <c r="AV188" s="780">
        <f t="shared" si="1713"/>
        <v>0</v>
      </c>
      <c r="AW188" s="781">
        <f t="shared" si="1713"/>
        <v>0</v>
      </c>
      <c r="AX188" s="782">
        <f t="shared" si="1713"/>
        <v>0</v>
      </c>
      <c r="AY188" s="780">
        <f t="shared" si="1713"/>
        <v>0</v>
      </c>
      <c r="AZ188" s="780">
        <f t="shared" si="1713"/>
        <v>0</v>
      </c>
      <c r="BA188" s="780">
        <f t="shared" si="1713"/>
        <v>0</v>
      </c>
      <c r="BB188" s="780">
        <f t="shared" si="1713"/>
        <v>0</v>
      </c>
      <c r="BC188" s="780">
        <f t="shared" si="1713"/>
        <v>0</v>
      </c>
      <c r="BD188" s="780">
        <f t="shared" si="1713"/>
        <v>0</v>
      </c>
      <c r="BE188" s="780">
        <f t="shared" si="1713"/>
        <v>0</v>
      </c>
      <c r="BF188" s="780">
        <f t="shared" si="1713"/>
        <v>0</v>
      </c>
      <c r="BG188" s="780">
        <f t="shared" si="1713"/>
        <v>0</v>
      </c>
      <c r="BH188" s="780">
        <f t="shared" si="1713"/>
        <v>0</v>
      </c>
      <c r="BI188" s="781">
        <f t="shared" si="1713"/>
        <v>0</v>
      </c>
    </row>
    <row r="189" spans="1:61" s="780" customFormat="1" hidden="1" outlineLevel="1">
      <c r="A189" s="780" t="str">
        <f>$A$538</f>
        <v>Retrofit</v>
      </c>
      <c r="M189" s="781"/>
      <c r="N189" s="782"/>
      <c r="T189" s="780">
        <f t="shared" ref="T189:BI189" si="1714">IF($T$5&gt;$S$5,($T$5-$S$5)*B538,0)</f>
        <v>0</v>
      </c>
      <c r="U189" s="780">
        <f t="shared" si="1714"/>
        <v>0</v>
      </c>
      <c r="V189" s="780">
        <f t="shared" si="1714"/>
        <v>0</v>
      </c>
      <c r="W189" s="780">
        <f t="shared" si="1714"/>
        <v>0</v>
      </c>
      <c r="X189" s="780">
        <f t="shared" si="1714"/>
        <v>0</v>
      </c>
      <c r="Y189" s="781">
        <f t="shared" si="1714"/>
        <v>0</v>
      </c>
      <c r="Z189" s="782">
        <f t="shared" si="1714"/>
        <v>0</v>
      </c>
      <c r="AA189" s="780">
        <f t="shared" si="1714"/>
        <v>0</v>
      </c>
      <c r="AB189" s="780">
        <f t="shared" si="1714"/>
        <v>0</v>
      </c>
      <c r="AC189" s="780">
        <f t="shared" si="1714"/>
        <v>0</v>
      </c>
      <c r="AD189" s="780">
        <f t="shared" si="1714"/>
        <v>0</v>
      </c>
      <c r="AE189" s="780">
        <f t="shared" si="1714"/>
        <v>0</v>
      </c>
      <c r="AF189" s="780">
        <f t="shared" si="1714"/>
        <v>0</v>
      </c>
      <c r="AG189" s="780">
        <f t="shared" si="1714"/>
        <v>0</v>
      </c>
      <c r="AH189" s="780">
        <f t="shared" si="1714"/>
        <v>0</v>
      </c>
      <c r="AI189" s="780">
        <f t="shared" si="1714"/>
        <v>0</v>
      </c>
      <c r="AJ189" s="780">
        <f t="shared" si="1714"/>
        <v>0</v>
      </c>
      <c r="AK189" s="781">
        <f t="shared" si="1714"/>
        <v>0</v>
      </c>
      <c r="AL189" s="782">
        <f t="shared" si="1714"/>
        <v>0</v>
      </c>
      <c r="AM189" s="780">
        <f t="shared" si="1714"/>
        <v>0</v>
      </c>
      <c r="AN189" s="780">
        <f t="shared" si="1714"/>
        <v>0</v>
      </c>
      <c r="AO189" s="780">
        <f t="shared" si="1714"/>
        <v>0</v>
      </c>
      <c r="AP189" s="780">
        <f t="shared" si="1714"/>
        <v>0</v>
      </c>
      <c r="AQ189" s="780">
        <f t="shared" si="1714"/>
        <v>0</v>
      </c>
      <c r="AR189" s="780">
        <f t="shared" si="1714"/>
        <v>0</v>
      </c>
      <c r="AS189" s="780">
        <f t="shared" si="1714"/>
        <v>0</v>
      </c>
      <c r="AT189" s="780">
        <f t="shared" si="1714"/>
        <v>0</v>
      </c>
      <c r="AU189" s="780">
        <f t="shared" si="1714"/>
        <v>0</v>
      </c>
      <c r="AV189" s="780">
        <f t="shared" si="1714"/>
        <v>0</v>
      </c>
      <c r="AW189" s="781">
        <f t="shared" si="1714"/>
        <v>0</v>
      </c>
      <c r="AX189" s="782">
        <f t="shared" si="1714"/>
        <v>0</v>
      </c>
      <c r="AY189" s="780">
        <f t="shared" si="1714"/>
        <v>0</v>
      </c>
      <c r="AZ189" s="780">
        <f t="shared" si="1714"/>
        <v>0</v>
      </c>
      <c r="BA189" s="780">
        <f t="shared" si="1714"/>
        <v>0</v>
      </c>
      <c r="BB189" s="780">
        <f t="shared" si="1714"/>
        <v>0</v>
      </c>
      <c r="BC189" s="780">
        <f t="shared" si="1714"/>
        <v>0</v>
      </c>
      <c r="BD189" s="780">
        <f t="shared" si="1714"/>
        <v>0</v>
      </c>
      <c r="BE189" s="780">
        <f t="shared" si="1714"/>
        <v>0</v>
      </c>
      <c r="BF189" s="780">
        <f t="shared" si="1714"/>
        <v>0</v>
      </c>
      <c r="BG189" s="780">
        <f t="shared" si="1714"/>
        <v>0</v>
      </c>
      <c r="BH189" s="780">
        <f t="shared" si="1714"/>
        <v>0</v>
      </c>
      <c r="BI189" s="781">
        <f t="shared" si="1714"/>
        <v>0</v>
      </c>
    </row>
    <row r="190" spans="1:61" s="780" customFormat="1" hidden="1" outlineLevel="1">
      <c r="A190" s="780" t="str">
        <f>$A$539</f>
        <v>Revenue</v>
      </c>
      <c r="M190" s="781"/>
      <c r="N190" s="782"/>
      <c r="T190" s="780">
        <f t="shared" ref="T190:BI190" si="1715">IF($T$5&gt;$S$5,($T$5-$S$5)*B539,0)</f>
        <v>0</v>
      </c>
      <c r="U190" s="780">
        <f t="shared" si="1715"/>
        <v>0</v>
      </c>
      <c r="V190" s="780">
        <f t="shared" si="1715"/>
        <v>0</v>
      </c>
      <c r="W190" s="780">
        <f t="shared" si="1715"/>
        <v>0</v>
      </c>
      <c r="X190" s="780">
        <f t="shared" si="1715"/>
        <v>0</v>
      </c>
      <c r="Y190" s="781">
        <f t="shared" si="1715"/>
        <v>0</v>
      </c>
      <c r="Z190" s="782">
        <f t="shared" si="1715"/>
        <v>0</v>
      </c>
      <c r="AA190" s="780">
        <f t="shared" si="1715"/>
        <v>0</v>
      </c>
      <c r="AB190" s="780">
        <f t="shared" si="1715"/>
        <v>0</v>
      </c>
      <c r="AC190" s="780">
        <f t="shared" si="1715"/>
        <v>0</v>
      </c>
      <c r="AD190" s="780">
        <f t="shared" si="1715"/>
        <v>0</v>
      </c>
      <c r="AE190" s="780">
        <f t="shared" si="1715"/>
        <v>0</v>
      </c>
      <c r="AF190" s="780">
        <f t="shared" si="1715"/>
        <v>0</v>
      </c>
      <c r="AG190" s="780">
        <f t="shared" si="1715"/>
        <v>0</v>
      </c>
      <c r="AH190" s="780">
        <f t="shared" si="1715"/>
        <v>0</v>
      </c>
      <c r="AI190" s="780">
        <f t="shared" si="1715"/>
        <v>0</v>
      </c>
      <c r="AJ190" s="780">
        <f t="shared" si="1715"/>
        <v>0</v>
      </c>
      <c r="AK190" s="781">
        <f t="shared" si="1715"/>
        <v>0</v>
      </c>
      <c r="AL190" s="782">
        <f t="shared" si="1715"/>
        <v>0</v>
      </c>
      <c r="AM190" s="780">
        <f t="shared" si="1715"/>
        <v>0</v>
      </c>
      <c r="AN190" s="780">
        <f t="shared" si="1715"/>
        <v>0</v>
      </c>
      <c r="AO190" s="780">
        <f t="shared" si="1715"/>
        <v>0</v>
      </c>
      <c r="AP190" s="780">
        <f t="shared" si="1715"/>
        <v>0</v>
      </c>
      <c r="AQ190" s="780">
        <f t="shared" si="1715"/>
        <v>0</v>
      </c>
      <c r="AR190" s="780">
        <f t="shared" si="1715"/>
        <v>0</v>
      </c>
      <c r="AS190" s="780">
        <f t="shared" si="1715"/>
        <v>0</v>
      </c>
      <c r="AT190" s="780">
        <f t="shared" si="1715"/>
        <v>0</v>
      </c>
      <c r="AU190" s="780">
        <f t="shared" si="1715"/>
        <v>0</v>
      </c>
      <c r="AV190" s="780">
        <f t="shared" si="1715"/>
        <v>0</v>
      </c>
      <c r="AW190" s="781">
        <f t="shared" si="1715"/>
        <v>0</v>
      </c>
      <c r="AX190" s="782">
        <f t="shared" si="1715"/>
        <v>0</v>
      </c>
      <c r="AY190" s="780">
        <f t="shared" si="1715"/>
        <v>0</v>
      </c>
      <c r="AZ190" s="780">
        <f t="shared" si="1715"/>
        <v>0</v>
      </c>
      <c r="BA190" s="780">
        <f t="shared" si="1715"/>
        <v>0</v>
      </c>
      <c r="BB190" s="780">
        <f t="shared" si="1715"/>
        <v>0</v>
      </c>
      <c r="BC190" s="780">
        <f t="shared" si="1715"/>
        <v>0</v>
      </c>
      <c r="BD190" s="780">
        <f t="shared" si="1715"/>
        <v>0</v>
      </c>
      <c r="BE190" s="780">
        <f t="shared" si="1715"/>
        <v>0</v>
      </c>
      <c r="BF190" s="780">
        <f t="shared" si="1715"/>
        <v>0</v>
      </c>
      <c r="BG190" s="780">
        <f t="shared" si="1715"/>
        <v>0</v>
      </c>
      <c r="BH190" s="780">
        <f t="shared" si="1715"/>
        <v>0</v>
      </c>
      <c r="BI190" s="781">
        <f t="shared" si="1715"/>
        <v>0</v>
      </c>
    </row>
    <row r="191" spans="1:61" s="780" customFormat="1" hidden="1" outlineLevel="1">
      <c r="A191" s="780" t="str">
        <f>$A$540</f>
        <v>Net Income</v>
      </c>
      <c r="M191" s="781"/>
      <c r="N191" s="782"/>
      <c r="T191" s="780">
        <f t="shared" ref="T191:BI191" si="1716">IF($T$5&gt;$S$5,($T$5-$S$5)*B540,0)</f>
        <v>0</v>
      </c>
      <c r="U191" s="780">
        <f t="shared" si="1716"/>
        <v>0</v>
      </c>
      <c r="V191" s="780">
        <f t="shared" si="1716"/>
        <v>0</v>
      </c>
      <c r="W191" s="780">
        <f t="shared" si="1716"/>
        <v>0</v>
      </c>
      <c r="X191" s="780">
        <f t="shared" si="1716"/>
        <v>0</v>
      </c>
      <c r="Y191" s="781">
        <f t="shared" si="1716"/>
        <v>0</v>
      </c>
      <c r="Z191" s="782">
        <f t="shared" si="1716"/>
        <v>0</v>
      </c>
      <c r="AA191" s="780">
        <f t="shared" si="1716"/>
        <v>0</v>
      </c>
      <c r="AB191" s="780">
        <f t="shared" si="1716"/>
        <v>0</v>
      </c>
      <c r="AC191" s="780">
        <f t="shared" si="1716"/>
        <v>0</v>
      </c>
      <c r="AD191" s="780">
        <f t="shared" si="1716"/>
        <v>0</v>
      </c>
      <c r="AE191" s="780">
        <f t="shared" si="1716"/>
        <v>0</v>
      </c>
      <c r="AF191" s="780">
        <f t="shared" si="1716"/>
        <v>0</v>
      </c>
      <c r="AG191" s="780">
        <f t="shared" si="1716"/>
        <v>0</v>
      </c>
      <c r="AH191" s="780">
        <f t="shared" si="1716"/>
        <v>0</v>
      </c>
      <c r="AI191" s="780">
        <f t="shared" si="1716"/>
        <v>0</v>
      </c>
      <c r="AJ191" s="780">
        <f t="shared" si="1716"/>
        <v>0</v>
      </c>
      <c r="AK191" s="781">
        <f t="shared" si="1716"/>
        <v>0</v>
      </c>
      <c r="AL191" s="782">
        <f t="shared" si="1716"/>
        <v>0</v>
      </c>
      <c r="AM191" s="780">
        <f t="shared" si="1716"/>
        <v>0</v>
      </c>
      <c r="AN191" s="780">
        <f t="shared" si="1716"/>
        <v>0</v>
      </c>
      <c r="AO191" s="780">
        <f t="shared" si="1716"/>
        <v>0</v>
      </c>
      <c r="AP191" s="780">
        <f t="shared" si="1716"/>
        <v>0</v>
      </c>
      <c r="AQ191" s="780">
        <f t="shared" si="1716"/>
        <v>0</v>
      </c>
      <c r="AR191" s="780">
        <f t="shared" si="1716"/>
        <v>0</v>
      </c>
      <c r="AS191" s="780">
        <f t="shared" si="1716"/>
        <v>0</v>
      </c>
      <c r="AT191" s="780">
        <f t="shared" si="1716"/>
        <v>0</v>
      </c>
      <c r="AU191" s="780">
        <f t="shared" si="1716"/>
        <v>0</v>
      </c>
      <c r="AV191" s="780">
        <f t="shared" si="1716"/>
        <v>0</v>
      </c>
      <c r="AW191" s="781">
        <f t="shared" si="1716"/>
        <v>0</v>
      </c>
      <c r="AX191" s="782">
        <f t="shared" si="1716"/>
        <v>0</v>
      </c>
      <c r="AY191" s="780">
        <f t="shared" si="1716"/>
        <v>0</v>
      </c>
      <c r="AZ191" s="780">
        <f t="shared" si="1716"/>
        <v>0</v>
      </c>
      <c r="BA191" s="780">
        <f t="shared" si="1716"/>
        <v>0</v>
      </c>
      <c r="BB191" s="780">
        <f t="shared" si="1716"/>
        <v>0</v>
      </c>
      <c r="BC191" s="780">
        <f t="shared" si="1716"/>
        <v>0</v>
      </c>
      <c r="BD191" s="780">
        <f t="shared" si="1716"/>
        <v>0</v>
      </c>
      <c r="BE191" s="780">
        <f t="shared" si="1716"/>
        <v>0</v>
      </c>
      <c r="BF191" s="780">
        <f t="shared" si="1716"/>
        <v>0</v>
      </c>
      <c r="BG191" s="780">
        <f t="shared" si="1716"/>
        <v>0</v>
      </c>
      <c r="BH191" s="780">
        <f t="shared" si="1716"/>
        <v>0</v>
      </c>
      <c r="BI191" s="781">
        <f t="shared" si="1716"/>
        <v>0</v>
      </c>
    </row>
    <row r="192" spans="1:61" s="780" customFormat="1" hidden="1" outlineLevel="1">
      <c r="A192" s="780" t="str">
        <f>$A$541</f>
        <v>Program Revenue</v>
      </c>
      <c r="M192" s="781"/>
      <c r="N192" s="782"/>
      <c r="T192" s="780">
        <f t="shared" ref="T192" si="1717">IF($T$5&gt;$S$5,($T$5-$S$5)*B541,0)</f>
        <v>0</v>
      </c>
      <c r="U192" s="780">
        <f t="shared" ref="U192" si="1718">IF($T$5&gt;$S$5,($T$5-$S$5)*C541,0)</f>
        <v>0</v>
      </c>
      <c r="V192" s="780">
        <f t="shared" ref="V192" si="1719">IF($T$5&gt;$S$5,($T$5-$S$5)*D541,0)</f>
        <v>0</v>
      </c>
      <c r="W192" s="780">
        <f t="shared" ref="W192" si="1720">IF($T$5&gt;$S$5,($T$5-$S$5)*E541,0)</f>
        <v>0</v>
      </c>
      <c r="X192" s="780">
        <f t="shared" ref="X192" si="1721">IF($T$5&gt;$S$5,($T$5-$S$5)*F541,0)</f>
        <v>0</v>
      </c>
      <c r="Y192" s="781">
        <f t="shared" ref="Y192" si="1722">IF($T$5&gt;$S$5,($T$5-$S$5)*G541,0)</f>
        <v>0</v>
      </c>
      <c r="Z192" s="782">
        <f t="shared" ref="Z192" si="1723">IF($T$5&gt;$S$5,($T$5-$S$5)*H541,0)</f>
        <v>0</v>
      </c>
      <c r="AA192" s="780">
        <f t="shared" ref="AA192" si="1724">IF($T$5&gt;$S$5,($T$5-$S$5)*I541,0)</f>
        <v>0</v>
      </c>
      <c r="AB192" s="780">
        <f t="shared" ref="AB192" si="1725">IF($T$5&gt;$S$5,($T$5-$S$5)*J541,0)</f>
        <v>0</v>
      </c>
      <c r="AC192" s="780">
        <f t="shared" ref="AC192" si="1726">IF($T$5&gt;$S$5,($T$5-$S$5)*K541,0)</f>
        <v>0</v>
      </c>
      <c r="AD192" s="780">
        <f t="shared" ref="AD192" si="1727">IF($T$5&gt;$S$5,($T$5-$S$5)*L541,0)</f>
        <v>0</v>
      </c>
      <c r="AE192" s="780">
        <f t="shared" ref="AE192" si="1728">IF($T$5&gt;$S$5,($T$5-$S$5)*M541,0)</f>
        <v>0</v>
      </c>
      <c r="AF192" s="780">
        <f t="shared" ref="AF192" si="1729">IF($T$5&gt;$S$5,($T$5-$S$5)*N541,0)</f>
        <v>0</v>
      </c>
      <c r="AG192" s="780">
        <f t="shared" ref="AG192" si="1730">IF($T$5&gt;$S$5,($T$5-$S$5)*O541,0)</f>
        <v>0</v>
      </c>
      <c r="AH192" s="780">
        <f t="shared" ref="AH192" si="1731">IF($T$5&gt;$S$5,($T$5-$S$5)*P541,0)</f>
        <v>0</v>
      </c>
      <c r="AI192" s="780">
        <f t="shared" ref="AI192" si="1732">IF($T$5&gt;$S$5,($T$5-$S$5)*Q541,0)</f>
        <v>0</v>
      </c>
      <c r="AJ192" s="780">
        <f t="shared" ref="AJ192" si="1733">IF($T$5&gt;$S$5,($T$5-$S$5)*R541,0)</f>
        <v>0</v>
      </c>
      <c r="AK192" s="781">
        <f t="shared" ref="AK192" si="1734">IF($T$5&gt;$S$5,($T$5-$S$5)*S541,0)</f>
        <v>0</v>
      </c>
      <c r="AL192" s="782">
        <f t="shared" ref="AL192" si="1735">IF($T$5&gt;$S$5,($T$5-$S$5)*T541,0)</f>
        <v>0</v>
      </c>
      <c r="AM192" s="780">
        <f t="shared" ref="AM192" si="1736">IF($T$5&gt;$S$5,($T$5-$S$5)*U541,0)</f>
        <v>0</v>
      </c>
      <c r="AN192" s="780">
        <f t="shared" ref="AN192" si="1737">IF($T$5&gt;$S$5,($T$5-$S$5)*V541,0)</f>
        <v>0</v>
      </c>
      <c r="AO192" s="780">
        <f t="shared" ref="AO192" si="1738">IF($T$5&gt;$S$5,($T$5-$S$5)*W541,0)</f>
        <v>0</v>
      </c>
      <c r="AP192" s="780">
        <f t="shared" ref="AP192" si="1739">IF($T$5&gt;$S$5,($T$5-$S$5)*X541,0)</f>
        <v>0</v>
      </c>
      <c r="AQ192" s="780">
        <f t="shared" ref="AQ192" si="1740">IF($T$5&gt;$S$5,($T$5-$S$5)*Y541,0)</f>
        <v>0</v>
      </c>
      <c r="AR192" s="780">
        <f t="shared" ref="AR192" si="1741">IF($T$5&gt;$S$5,($T$5-$S$5)*Z541,0)</f>
        <v>0</v>
      </c>
      <c r="AS192" s="780">
        <f t="shared" ref="AS192" si="1742">IF($T$5&gt;$S$5,($T$5-$S$5)*AA541,0)</f>
        <v>0</v>
      </c>
      <c r="AT192" s="780">
        <f t="shared" ref="AT192" si="1743">IF($T$5&gt;$S$5,($T$5-$S$5)*AB541,0)</f>
        <v>0</v>
      </c>
      <c r="AU192" s="780">
        <f t="shared" ref="AU192" si="1744">IF($T$5&gt;$S$5,($T$5-$S$5)*AC541,0)</f>
        <v>0</v>
      </c>
      <c r="AV192" s="780">
        <f t="shared" ref="AV192" si="1745">IF($T$5&gt;$S$5,($T$5-$S$5)*AD541,0)</f>
        <v>0</v>
      </c>
      <c r="AW192" s="781">
        <f t="shared" ref="AW192" si="1746">IF($T$5&gt;$S$5,($T$5-$S$5)*AE541,0)</f>
        <v>0</v>
      </c>
      <c r="AX192" s="782">
        <f t="shared" ref="AX192" si="1747">IF($T$5&gt;$S$5,($T$5-$S$5)*AF541,0)</f>
        <v>0</v>
      </c>
      <c r="AY192" s="780">
        <f t="shared" ref="AY192" si="1748">IF($T$5&gt;$S$5,($T$5-$S$5)*AG541,0)</f>
        <v>0</v>
      </c>
      <c r="AZ192" s="780">
        <f t="shared" ref="AZ192" si="1749">IF($T$5&gt;$S$5,($T$5-$S$5)*AH541,0)</f>
        <v>0</v>
      </c>
      <c r="BA192" s="780">
        <f t="shared" ref="BA192" si="1750">IF($T$5&gt;$S$5,($T$5-$S$5)*AI541,0)</f>
        <v>0</v>
      </c>
      <c r="BB192" s="780">
        <f t="shared" ref="BB192" si="1751">IF($T$5&gt;$S$5,($T$5-$S$5)*AJ541,0)</f>
        <v>0</v>
      </c>
      <c r="BC192" s="780">
        <f t="shared" ref="BC192" si="1752">IF($T$5&gt;$S$5,($T$5-$S$5)*AK541,0)</f>
        <v>0</v>
      </c>
      <c r="BD192" s="780">
        <f t="shared" ref="BD192" si="1753">IF($T$5&gt;$S$5,($T$5-$S$5)*AL541,0)</f>
        <v>0</v>
      </c>
      <c r="BE192" s="780">
        <f t="shared" ref="BE192" si="1754">IF($T$5&gt;$S$5,($T$5-$S$5)*AM541,0)</f>
        <v>0</v>
      </c>
      <c r="BF192" s="780">
        <f t="shared" ref="BF192" si="1755">IF($T$5&gt;$S$5,($T$5-$S$5)*AN541,0)</f>
        <v>0</v>
      </c>
      <c r="BG192" s="780">
        <f t="shared" ref="BG192" si="1756">IF($T$5&gt;$S$5,($T$5-$S$5)*AO541,0)</f>
        <v>0</v>
      </c>
      <c r="BH192" s="780">
        <f t="shared" ref="BH192" si="1757">IF($T$5&gt;$S$5,($T$5-$S$5)*AP541,0)</f>
        <v>0</v>
      </c>
      <c r="BI192" s="781">
        <f t="shared" ref="BI192" si="1758">IF($T$5&gt;$S$5,($T$5-$S$5)*AQ541,0)</f>
        <v>0</v>
      </c>
    </row>
    <row r="193" spans="1:61" s="780" customFormat="1" hidden="1" outlineLevel="1">
      <c r="M193" s="781"/>
      <c r="N193" s="782"/>
      <c r="Y193" s="781"/>
      <c r="Z193" s="782"/>
      <c r="AK193" s="781"/>
      <c r="AL193" s="782"/>
      <c r="AW193" s="781"/>
      <c r="AX193" s="782"/>
      <c r="BI193" s="781"/>
    </row>
    <row r="194" spans="1:61" s="780" customFormat="1" hidden="1" outlineLevel="1">
      <c r="A194" s="780" t="s">
        <v>359</v>
      </c>
      <c r="M194" s="781"/>
      <c r="N194" s="782"/>
      <c r="U194" s="780">
        <f>IF($U$5&gt;$T$5,($U$5-$T$5)*B535,0)</f>
        <v>8</v>
      </c>
      <c r="V194" s="780">
        <f t="shared" ref="V194" si="1759">IF($U$5&gt;$T$5,($U$5-$T$5)*C535,0)</f>
        <v>8.3824000000000005</v>
      </c>
      <c r="W194" s="780">
        <f t="shared" ref="W194" si="1760">IF($U$5&gt;$T$5,($U$5-$T$5)*D535,0)</f>
        <v>8.790016102400001</v>
      </c>
      <c r="X194" s="780">
        <f t="shared" ref="X194" si="1761">IF($U$5&gt;$T$5,($U$5-$T$5)*E535,0)</f>
        <v>9.2244218586677267</v>
      </c>
      <c r="Y194" s="781">
        <f t="shared" ref="Y194" si="1762">IF($U$5&gt;$T$5,($U$5-$T$5)*F535,0)</f>
        <v>9.6872643857899394</v>
      </c>
      <c r="Z194" s="782">
        <f t="shared" ref="Z194" si="1763">IF($U$5&gt;$T$5,($U$5-$T$5)*G535,0)</f>
        <v>10.180266404063699</v>
      </c>
      <c r="AA194" s="780">
        <f t="shared" ref="AA194" si="1764">IF($U$5&gt;$T$5,($U$5-$T$5)*H535,0)</f>
        <v>10.705228286703797</v>
      </c>
      <c r="AB194" s="780">
        <f t="shared" ref="AB194" si="1765">IF($U$5&gt;$T$5,($U$5-$T$5)*I535,0)</f>
        <v>11.264030122404236</v>
      </c>
      <c r="AC194" s="780">
        <f t="shared" ref="AC194" si="1766">IF($U$5&gt;$T$5,($U$5-$T$5)*J535,0)</f>
        <v>11.858633792363815</v>
      </c>
      <c r="AD194" s="780">
        <f t="shared" ref="AD194" si="1767">IF($U$5&gt;$T$5,($U$5-$T$5)*K535,0)</f>
        <v>12.491085063681208</v>
      </c>
      <c r="AE194" s="780">
        <f t="shared" ref="AE194" si="1768">IF($U$5&gt;$T$5,($U$5-$T$5)*L535,0)</f>
        <v>13.163515701442698</v>
      </c>
      <c r="AF194" s="780">
        <f t="shared" ref="AF194" si="1769">IF($U$5&gt;$T$5,($U$5-$T$5)*M535,0)</f>
        <v>13.878145602265221</v>
      </c>
      <c r="AG194" s="780">
        <f t="shared" ref="AG194" si="1770">IF($U$5&gt;$T$5,($U$5-$T$5)*N535,0)</f>
        <v>14.640802427106802</v>
      </c>
      <c r="AH194" s="780">
        <f t="shared" ref="AH194" si="1771">IF($U$5&gt;$T$5,($U$5-$T$5)*O535,0)</f>
        <v>15.454179973028484</v>
      </c>
      <c r="AI194" s="780">
        <f t="shared" ref="AI194" si="1772">IF($U$5&gt;$T$5,($U$5-$T$5)*P535,0)</f>
        <v>16.321067007803048</v>
      </c>
      <c r="AJ194" s="780">
        <f t="shared" ref="AJ194" si="1773">IF($U$5&gt;$T$5,($U$5-$T$5)*Q535,0)</f>
        <v>17.244348126107901</v>
      </c>
      <c r="AK194" s="781">
        <f t="shared" ref="AK194" si="1774">IF($U$5&gt;$T$5,($U$5-$T$5)*R535,0)</f>
        <v>18.227004594103096</v>
      </c>
      <c r="AL194" s="782">
        <f t="shared" ref="AL194" si="1775">IF($U$5&gt;$T$5,($U$5-$T$5)*S535,0)</f>
        <v>19.272115194972702</v>
      </c>
      <c r="AM194" s="780">
        <f t="shared" ref="AM194" si="1776">IF($U$5&gt;$T$5,($U$5-$T$5)*T535,0)</f>
        <v>20.382857089151276</v>
      </c>
      <c r="AN194" s="780">
        <f t="shared" ref="AN194" si="1777">IF($U$5&gt;$T$5,($U$5-$T$5)*U535,0)</f>
        <v>21.56250670407784</v>
      </c>
      <c r="AO194" s="780">
        <f t="shared" ref="AO194" si="1778">IF($U$5&gt;$T$5,($U$5-$T$5)*V535,0)</f>
        <v>22.814440669410335</v>
      </c>
      <c r="AP194" s="780">
        <f t="shared" ref="AP194" si="1779">IF($U$5&gt;$T$5,($U$5-$T$5)*W535,0)</f>
        <v>24.142136814686012</v>
      </c>
      <c r="AQ194" s="780">
        <f t="shared" ref="AQ194" si="1780">IF($U$5&gt;$T$5,($U$5-$T$5)*X535,0)</f>
        <v>25.549175247421399</v>
      </c>
      <c r="AR194" s="780">
        <f t="shared" ref="AR194" si="1781">IF($U$5&gt;$T$5,($U$5-$T$5)*Y535,0)</f>
        <v>27.039239530601542</v>
      </c>
      <c r="AS194" s="780">
        <f t="shared" ref="AS194" si="1782">IF($U$5&gt;$T$5,($U$5-$T$5)*Z535,0)</f>
        <v>28.620747034243404</v>
      </c>
      <c r="AT194" s="780">
        <f t="shared" ref="AT194" si="1783">IF($U$5&gt;$T$5,($U$5-$T$5)*AA535,0)</f>
        <v>30.297832899152603</v>
      </c>
      <c r="AU194" s="780">
        <f t="shared" ref="AU194" si="1784">IF($U$5&gt;$T$5,($U$5-$T$5)*AB535,0)</f>
        <v>32.074721942842451</v>
      </c>
      <c r="AV194" s="780">
        <f t="shared" ref="AV194" si="1785">IF($U$5&gt;$T$5,($U$5-$T$5)*AC535,0)</f>
        <v>33.955728473829772</v>
      </c>
      <c r="AW194" s="781">
        <f t="shared" ref="AW194" si="1786">IF($U$5&gt;$T$5,($U$5-$T$5)*AD535,0)</f>
        <v>35.945256397317038</v>
      </c>
      <c r="AX194" s="782">
        <f t="shared" ref="AX194" si="1787">IF($U$5&gt;$T$5,($U$5-$T$5)*AE535,0)</f>
        <v>38.047799652671507</v>
      </c>
      <c r="AY194" s="780">
        <f t="shared" ref="AY194" si="1788">IF($U$5&gt;$T$5,($U$5-$T$5)*AF535,0)</f>
        <v>40.267943023083284</v>
      </c>
      <c r="AZ194" s="780">
        <f t="shared" ref="AZ194" si="1789">IF($U$5&gt;$T$5,($U$5-$T$5)*AG535,0)</f>
        <v>42.61036335749322</v>
      </c>
      <c r="BA194" s="780">
        <f t="shared" ref="BA194" si="1790">IF($U$5&gt;$T$5,($U$5-$T$5)*AH535,0)</f>
        <v>45.079831244328588</v>
      </c>
      <c r="BB194" s="780">
        <f t="shared" ref="BB194" si="1791">IF($U$5&gt;$T$5,($U$5-$T$5)*AI535,0)</f>
        <v>47.68121317577463</v>
      </c>
      <c r="BC194" s="780">
        <f t="shared" ref="BC194" si="1792">IF($U$5&gt;$T$5,($U$5-$T$5)*AJ535,0)</f>
        <v>50.419474240248832</v>
      </c>
      <c r="BD194" s="780">
        <f t="shared" ref="BD194" si="1793">IF($U$5&gt;$T$5,($U$5-$T$5)*AK535,0)</f>
        <v>53.299681379443584</v>
      </c>
      <c r="BE194" s="780">
        <f t="shared" ref="BE194" si="1794">IF($U$5&gt;$T$5,($U$5-$T$5)*AL535,0)</f>
        <v>56.327007244772894</v>
      </c>
      <c r="BF194" s="780">
        <f t="shared" ref="BF194" si="1795">IF($U$5&gt;$T$5,($U$5-$T$5)*AM535,0)</f>
        <v>59.506734686316534</v>
      </c>
      <c r="BG194" s="780">
        <f t="shared" ref="BG194" si="1796">IF($U$5&gt;$T$5,($U$5-$T$5)*AN535,0)</f>
        <v>62.844261905417305</v>
      </c>
      <c r="BH194" s="780">
        <f t="shared" ref="BH194" si="1797">IF($U$5&gt;$T$5,($U$5-$T$5)*AO535,0)</f>
        <v>66.345108299975465</v>
      </c>
      <c r="BI194" s="781">
        <f t="shared" ref="BI194" si="1798">IF($U$5&gt;$T$5,($U$5-$T$5)*AP535,0)</f>
        <v>70.014921029220602</v>
      </c>
    </row>
    <row r="195" spans="1:61" s="780" customFormat="1" hidden="1" outlineLevel="1">
      <c r="A195" s="780" t="str">
        <f>$A$536</f>
        <v>Leads</v>
      </c>
      <c r="M195" s="781"/>
      <c r="N195" s="782"/>
      <c r="U195" s="780">
        <f>IF($U$5&gt;$T$5,($U$5-$T$5)*B536,0)</f>
        <v>20</v>
      </c>
      <c r="V195" s="780">
        <f t="shared" ref="V195:BI195" si="1799">IF($U$5&gt;$T$5,($U$5-$T$5)*C536,0)</f>
        <v>20.8</v>
      </c>
      <c r="W195" s="780">
        <f t="shared" si="1799"/>
        <v>21.632000000000001</v>
      </c>
      <c r="X195" s="780">
        <f t="shared" si="1799"/>
        <v>22.497280000000003</v>
      </c>
      <c r="Y195" s="781">
        <f t="shared" si="1799"/>
        <v>23.397171200000006</v>
      </c>
      <c r="Z195" s="782">
        <f t="shared" si="1799"/>
        <v>24.333058048000009</v>
      </c>
      <c r="AA195" s="780">
        <f t="shared" si="1799"/>
        <v>25.30638036992001</v>
      </c>
      <c r="AB195" s="780">
        <f t="shared" si="1799"/>
        <v>26.318635584716812</v>
      </c>
      <c r="AC195" s="780">
        <f t="shared" si="1799"/>
        <v>27.371381008105487</v>
      </c>
      <c r="AD195" s="780">
        <f t="shared" si="1799"/>
        <v>28.466236248429709</v>
      </c>
      <c r="AE195" s="780">
        <f t="shared" si="1799"/>
        <v>29.6048856983669</v>
      </c>
      <c r="AF195" s="780">
        <f t="shared" si="1799"/>
        <v>30.789081126301578</v>
      </c>
      <c r="AG195" s="780">
        <f t="shared" si="1799"/>
        <v>32.02064437135364</v>
      </c>
      <c r="AH195" s="780">
        <f t="shared" si="1799"/>
        <v>33.301470146207784</v>
      </c>
      <c r="AI195" s="780">
        <f t="shared" si="1799"/>
        <v>34.633528952056096</v>
      </c>
      <c r="AJ195" s="780">
        <f t="shared" si="1799"/>
        <v>36.018870110138344</v>
      </c>
      <c r="AK195" s="781">
        <f t="shared" si="1799"/>
        <v>37.45962491454388</v>
      </c>
      <c r="AL195" s="782">
        <f t="shared" si="1799"/>
        <v>38.958009911125636</v>
      </c>
      <c r="AM195" s="780">
        <f t="shared" si="1799"/>
        <v>40.516330307570662</v>
      </c>
      <c r="AN195" s="780">
        <f t="shared" si="1799"/>
        <v>42.136983519873489</v>
      </c>
      <c r="AO195" s="780">
        <f t="shared" si="1799"/>
        <v>43.822462860668423</v>
      </c>
      <c r="AP195" s="780">
        <f t="shared" si="1799"/>
        <v>45.57536137509517</v>
      </c>
      <c r="AQ195" s="780">
        <f t="shared" si="1799"/>
        <v>47.398375830098978</v>
      </c>
      <c r="AR195" s="780">
        <f t="shared" si="1799"/>
        <v>49.29431086330294</v>
      </c>
      <c r="AS195" s="780">
        <f t="shared" si="1799"/>
        <v>51.26608329783506</v>
      </c>
      <c r="AT195" s="780">
        <f t="shared" si="1799"/>
        <v>53.316726629748466</v>
      </c>
      <c r="AU195" s="780">
        <f t="shared" si="1799"/>
        <v>55.44939569493841</v>
      </c>
      <c r="AV195" s="780">
        <f t="shared" si="1799"/>
        <v>57.667371522735948</v>
      </c>
      <c r="AW195" s="781">
        <f t="shared" si="1799"/>
        <v>59.974066383645386</v>
      </c>
      <c r="AX195" s="782">
        <f t="shared" si="1799"/>
        <v>62.373029038991206</v>
      </c>
      <c r="AY195" s="780">
        <f t="shared" si="1799"/>
        <v>64.867950200550851</v>
      </c>
      <c r="AZ195" s="780">
        <f t="shared" si="1799"/>
        <v>67.462668208572893</v>
      </c>
      <c r="BA195" s="780">
        <f t="shared" si="1799"/>
        <v>70.161174936915813</v>
      </c>
      <c r="BB195" s="780">
        <f t="shared" si="1799"/>
        <v>72.967621934392454</v>
      </c>
      <c r="BC195" s="780">
        <f t="shared" si="1799"/>
        <v>75.886326811768157</v>
      </c>
      <c r="BD195" s="780">
        <f t="shared" si="1799"/>
        <v>78.921779884238887</v>
      </c>
      <c r="BE195" s="780">
        <f t="shared" si="1799"/>
        <v>82.078651079608449</v>
      </c>
      <c r="BF195" s="780">
        <f t="shared" si="1799"/>
        <v>85.361797122792794</v>
      </c>
      <c r="BG195" s="780">
        <f t="shared" si="1799"/>
        <v>88.776269007704514</v>
      </c>
      <c r="BH195" s="780">
        <f t="shared" si="1799"/>
        <v>92.3273197680127</v>
      </c>
      <c r="BI195" s="781">
        <f t="shared" si="1799"/>
        <v>96.020412558733199</v>
      </c>
    </row>
    <row r="196" spans="1:61" s="780" customFormat="1" hidden="1" outlineLevel="1">
      <c r="A196" s="780" t="str">
        <f>$A$537</f>
        <v>Audits</v>
      </c>
      <c r="M196" s="781"/>
      <c r="N196" s="782"/>
      <c r="U196" s="780">
        <f t="shared" ref="U196:BI196" si="1800">IF($U$5&gt;$T$5,($U$5-$T$5)*B537,0)</f>
        <v>7.8466960352422905</v>
      </c>
      <c r="V196" s="780">
        <f t="shared" si="1800"/>
        <v>8.1805560257268723</v>
      </c>
      <c r="W196" s="780">
        <f t="shared" si="1800"/>
        <v>8.556158139083367</v>
      </c>
      <c r="X196" s="780">
        <f t="shared" si="1800"/>
        <v>8.9523024684242678</v>
      </c>
      <c r="Y196" s="781">
        <f t="shared" si="1800"/>
        <v>9.3702787716763911</v>
      </c>
      <c r="Z196" s="782">
        <f t="shared" si="1800"/>
        <v>9.811453812672589</v>
      </c>
      <c r="AA196" s="780">
        <f t="shared" si="1800"/>
        <v>10.277273093546537</v>
      </c>
      <c r="AB196" s="780">
        <f t="shared" si="1800"/>
        <v>10.769262132442826</v>
      </c>
      <c r="AC196" s="780">
        <f t="shared" si="1800"/>
        <v>11.289027268145146</v>
      </c>
      <c r="AD196" s="780">
        <f t="shared" si="1800"/>
        <v>11.838255995812663</v>
      </c>
      <c r="AE196" s="780">
        <f t="shared" si="1800"/>
        <v>12.418716863200714</v>
      </c>
      <c r="AF196" s="780">
        <f t="shared" si="1800"/>
        <v>13.032258982971491</v>
      </c>
      <c r="AG196" s="780">
        <f t="shared" si="1800"/>
        <v>13.681748513642187</v>
      </c>
      <c r="AH196" s="780">
        <f t="shared" si="1800"/>
        <v>14.367753613373562</v>
      </c>
      <c r="AI196" s="780">
        <f t="shared" si="1800"/>
        <v>15.094450719778326</v>
      </c>
      <c r="AJ196" s="780">
        <f t="shared" si="1800"/>
        <v>15.864274704794562</v>
      </c>
      <c r="AK196" s="781">
        <f t="shared" si="1800"/>
        <v>16.679756380011042</v>
      </c>
      <c r="AL196" s="782">
        <f t="shared" si="1800"/>
        <v>17.543519083999907</v>
      </c>
      <c r="AM196" s="780">
        <f t="shared" si="1800"/>
        <v>18.458274953232511</v>
      </c>
      <c r="AN196" s="780">
        <f t="shared" si="1800"/>
        <v>19.426821075192013</v>
      </c>
      <c r="AO196" s="780">
        <f t="shared" si="1800"/>
        <v>20.452035738521069</v>
      </c>
      <c r="AP196" s="780">
        <f t="shared" si="1800"/>
        <v>21.536874999893016</v>
      </c>
      <c r="AQ196" s="780">
        <f t="shared" si="1800"/>
        <v>22.68436978011453</v>
      </c>
      <c r="AR196" s="780">
        <f t="shared" si="1800"/>
        <v>23.897623683136111</v>
      </c>
      <c r="AS196" s="780">
        <f t="shared" si="1800"/>
        <v>25.181305860088621</v>
      </c>
      <c r="AT196" s="780">
        <f t="shared" si="1800"/>
        <v>26.509539923847804</v>
      </c>
      <c r="AU196" s="780">
        <f t="shared" si="1800"/>
        <v>27.911267150389076</v>
      </c>
      <c r="AV196" s="780">
        <f t="shared" si="1800"/>
        <v>29.389855755030599</v>
      </c>
      <c r="AW196" s="781">
        <f t="shared" si="1800"/>
        <v>30.948754132327405</v>
      </c>
      <c r="AX196" s="782">
        <f t="shared" si="1800"/>
        <v>32.591491812026852</v>
      </c>
      <c r="AY196" s="780">
        <f t="shared" si="1800"/>
        <v>34.321681088998503</v>
      </c>
      <c r="AZ196" s="780">
        <f t="shared" si="1800"/>
        <v>36.143019351142293</v>
      </c>
      <c r="BA196" s="780">
        <f t="shared" si="1800"/>
        <v>38.059292115999952</v>
      </c>
      <c r="BB196" s="780">
        <f t="shared" si="1800"/>
        <v>40.074376775040108</v>
      </c>
      <c r="BC196" s="780">
        <f t="shared" si="1800"/>
        <v>42.192247034738458</v>
      </c>
      <c r="BD196" s="780">
        <f t="shared" si="1800"/>
        <v>44.416978035864261</v>
      </c>
      <c r="BE196" s="780">
        <f t="shared" si="1800"/>
        <v>46.752752126886328</v>
      </c>
      <c r="BF196" s="780">
        <f t="shared" si="1800"/>
        <v>49.082921316266599</v>
      </c>
      <c r="BG196" s="780">
        <f t="shared" si="1800"/>
        <v>51.522543979321924</v>
      </c>
      <c r="BH196" s="780">
        <f t="shared" si="1800"/>
        <v>54.075800070640085</v>
      </c>
      <c r="BI196" s="781">
        <f t="shared" si="1800"/>
        <v>56.746994933802739</v>
      </c>
    </row>
    <row r="197" spans="1:61" s="780" customFormat="1" hidden="1" outlineLevel="1">
      <c r="A197" s="780" t="str">
        <f>$A$538</f>
        <v>Retrofit</v>
      </c>
      <c r="M197" s="781"/>
      <c r="N197" s="782"/>
      <c r="U197" s="780">
        <f t="shared" ref="U197:BI197" si="1801">IF($U$5&gt;$T$5,($U$5-$T$5)*B538,0)</f>
        <v>3.2741145374449339</v>
      </c>
      <c r="V197" s="780">
        <f t="shared" si="1801"/>
        <v>3.4211429613668018</v>
      </c>
      <c r="W197" s="780">
        <f t="shared" si="1801"/>
        <v>3.6089747928733105</v>
      </c>
      <c r="X197" s="780">
        <f t="shared" si="1801"/>
        <v>3.80943356172375</v>
      </c>
      <c r="Y197" s="781">
        <f t="shared" si="1801"/>
        <v>4.023495407635</v>
      </c>
      <c r="Z197" s="782">
        <f t="shared" si="1801"/>
        <v>4.2522035025469851</v>
      </c>
      <c r="AA197" s="780">
        <f t="shared" si="1801"/>
        <v>4.4966691121698661</v>
      </c>
      <c r="AB197" s="780">
        <f t="shared" si="1801"/>
        <v>4.7580720961942786</v>
      </c>
      <c r="AC197" s="780">
        <f t="shared" si="1801"/>
        <v>5.0376608331454982</v>
      </c>
      <c r="AD197" s="780">
        <f t="shared" si="1801"/>
        <v>5.3367515834608863</v>
      </c>
      <c r="AE197" s="780">
        <f t="shared" si="1801"/>
        <v>5.6567273345837759</v>
      </c>
      <c r="AF197" s="780">
        <f t="shared" si="1801"/>
        <v>5.9990362027609887</v>
      </c>
      <c r="AG197" s="780">
        <f t="shared" si="1801"/>
        <v>6.3656710756275423</v>
      </c>
      <c r="AH197" s="780">
        <f t="shared" si="1801"/>
        <v>6.7527905497767229</v>
      </c>
      <c r="AI197" s="780">
        <f t="shared" si="1801"/>
        <v>7.1679946156961591</v>
      </c>
      <c r="AJ197" s="780">
        <f t="shared" si="1801"/>
        <v>7.6132687220703144</v>
      </c>
      <c r="AK197" s="781">
        <f t="shared" si="1801"/>
        <v>8.0906802436821312</v>
      </c>
      <c r="AL197" s="782">
        <f t="shared" si="1801"/>
        <v>8.6023733713231554</v>
      </c>
      <c r="AM197" s="780">
        <f t="shared" si="1801"/>
        <v>9.1505635635964193</v>
      </c>
      <c r="AN197" s="780">
        <f t="shared" si="1801"/>
        <v>9.7375318038296879</v>
      </c>
      <c r="AO197" s="780">
        <f t="shared" si="1801"/>
        <v>10.365618926205418</v>
      </c>
      <c r="AP197" s="780">
        <f t="shared" si="1801"/>
        <v>11.037220281947453</v>
      </c>
      <c r="AQ197" s="780">
        <f t="shared" si="1801"/>
        <v>11.754781008099396</v>
      </c>
      <c r="AR197" s="780">
        <f t="shared" si="1801"/>
        <v>12.520792138493604</v>
      </c>
      <c r="AS197" s="780">
        <f t="shared" si="1801"/>
        <v>13.338724403473293</v>
      </c>
      <c r="AT197" s="780">
        <f t="shared" si="1801"/>
        <v>14.173899457244383</v>
      </c>
      <c r="AU197" s="780">
        <f t="shared" si="1801"/>
        <v>15.06160093928195</v>
      </c>
      <c r="AV197" s="780">
        <f t="shared" si="1801"/>
        <v>16.004396182835173</v>
      </c>
      <c r="AW197" s="781">
        <f t="shared" si="1801"/>
        <v>17.004903510314108</v>
      </c>
      <c r="AX197" s="782">
        <f t="shared" si="1801"/>
        <v>18.065792108500531</v>
      </c>
      <c r="AY197" s="780">
        <f t="shared" si="1801"/>
        <v>19.189782637475492</v>
      </c>
      <c r="AZ197" s="780">
        <f t="shared" si="1801"/>
        <v>20.379648596658086</v>
      </c>
      <c r="BA197" s="780">
        <f t="shared" si="1801"/>
        <v>21.638218454438508</v>
      </c>
      <c r="BB197" s="780">
        <f t="shared" si="1801"/>
        <v>22.968378532837651</v>
      </c>
      <c r="BC197" s="780">
        <f t="shared" si="1801"/>
        <v>24.373076625940293</v>
      </c>
      <c r="BD197" s="780">
        <f t="shared" si="1801"/>
        <v>25.855326320842856</v>
      </c>
      <c r="BE197" s="780">
        <f t="shared" si="1801"/>
        <v>27.418211982649215</v>
      </c>
      <c r="BF197" s="780">
        <f t="shared" si="1801"/>
        <v>28.912823637439345</v>
      </c>
      <c r="BG197" s="780">
        <f t="shared" si="1801"/>
        <v>30.481264211401022</v>
      </c>
      <c r="BH197" s="780">
        <f t="shared" si="1801"/>
        <v>32.126375520474461</v>
      </c>
      <c r="BI197" s="781">
        <f t="shared" si="1801"/>
        <v>33.851080131654975</v>
      </c>
    </row>
    <row r="198" spans="1:61" s="780" customFormat="1" hidden="1" outlineLevel="1">
      <c r="A198" s="780" t="str">
        <f>$A$539</f>
        <v>Revenue</v>
      </c>
      <c r="M198" s="781"/>
      <c r="N198" s="782"/>
      <c r="U198" s="780">
        <f t="shared" ref="U198:BI198" si="1802">IF($U$5&gt;$T$5,($U$5-$T$5)*B539,0)</f>
        <v>20728.933920704847</v>
      </c>
      <c r="V198" s="780">
        <f t="shared" si="1802"/>
        <v>22334.796424579898</v>
      </c>
      <c r="W198" s="780">
        <f t="shared" si="1802"/>
        <v>24261.379157843236</v>
      </c>
      <c r="X198" s="780">
        <f t="shared" si="1802"/>
        <v>27109.041527058151</v>
      </c>
      <c r="Y198" s="781">
        <f t="shared" si="1802"/>
        <v>29411.012063918617</v>
      </c>
      <c r="Z198" s="782">
        <f t="shared" si="1802"/>
        <v>31904.731979940196</v>
      </c>
      <c r="AA198" s="780">
        <f t="shared" si="1802"/>
        <v>34157.516935543477</v>
      </c>
      <c r="AB198" s="780">
        <f t="shared" si="1802"/>
        <v>36585.144030160183</v>
      </c>
      <c r="AC198" s="780">
        <f t="shared" si="1802"/>
        <v>39202.024549786183</v>
      </c>
      <c r="AD198" s="780">
        <f t="shared" si="1802"/>
        <v>41489.907780370268</v>
      </c>
      <c r="AE198" s="780">
        <f t="shared" si="1802"/>
        <v>43934.936399734994</v>
      </c>
      <c r="AF198" s="780">
        <f t="shared" si="1802"/>
        <v>46547.932291314006</v>
      </c>
      <c r="AG198" s="780">
        <f t="shared" si="1802"/>
        <v>48812.622611071754</v>
      </c>
      <c r="AH198" s="780">
        <f t="shared" si="1802"/>
        <v>51746.745047763237</v>
      </c>
      <c r="AI198" s="780">
        <f t="shared" si="1802"/>
        <v>54891.491572423707</v>
      </c>
      <c r="AJ198" s="780">
        <f t="shared" si="1802"/>
        <v>58261.704056497998</v>
      </c>
      <c r="AK198" s="781">
        <f t="shared" si="1802"/>
        <v>61872.837706819933</v>
      </c>
      <c r="AL198" s="782">
        <f t="shared" si="1802"/>
        <v>65740.922877654608</v>
      </c>
      <c r="AM198" s="780">
        <f t="shared" si="1802"/>
        <v>69882.52360507095</v>
      </c>
      <c r="AN198" s="780">
        <f t="shared" si="1802"/>
        <v>74314.694687467563</v>
      </c>
      <c r="AO198" s="780">
        <f t="shared" si="1802"/>
        <v>79054.939292696072</v>
      </c>
      <c r="AP198" s="780">
        <f t="shared" si="1802"/>
        <v>84121.169122674793</v>
      </c>
      <c r="AQ198" s="780">
        <f t="shared" si="1802"/>
        <v>89531.669104034416</v>
      </c>
      <c r="AR198" s="780">
        <f t="shared" si="1802"/>
        <v>95305.068401244935</v>
      </c>
      <c r="AS198" s="780">
        <f t="shared" si="1802"/>
        <v>101467.05911812153</v>
      </c>
      <c r="AT198" s="780">
        <f t="shared" si="1802"/>
        <v>107757.45533319093</v>
      </c>
      <c r="AU198" s="780">
        <f t="shared" si="1802"/>
        <v>114440.84237520174</v>
      </c>
      <c r="AV198" s="780">
        <f t="shared" si="1802"/>
        <v>121536.40957263115</v>
      </c>
      <c r="AW198" s="781">
        <f t="shared" si="1802"/>
        <v>129063.73094559579</v>
      </c>
      <c r="AX198" s="782">
        <f t="shared" si="1802"/>
        <v>137042.76458890198</v>
      </c>
      <c r="AY198" s="780">
        <f t="shared" si="1802"/>
        <v>145493.85755130055</v>
      </c>
      <c r="AZ198" s="780">
        <f t="shared" si="1802"/>
        <v>154437.75638435522</v>
      </c>
      <c r="BA198" s="780">
        <f t="shared" si="1802"/>
        <v>163895.6234075159</v>
      </c>
      <c r="BB198" s="780">
        <f t="shared" si="1802"/>
        <v>173889.05862314338</v>
      </c>
      <c r="BC198" s="780">
        <f t="shared" si="1802"/>
        <v>184440.12712015139</v>
      </c>
      <c r="BD198" s="780">
        <f t="shared" si="1802"/>
        <v>195571.39172995961</v>
      </c>
      <c r="BE198" s="780">
        <f t="shared" si="1802"/>
        <v>207305.95064449144</v>
      </c>
      <c r="BF198" s="780">
        <f t="shared" si="1802"/>
        <v>218526.82830504962</v>
      </c>
      <c r="BG198" s="780">
        <f t="shared" si="1802"/>
        <v>230299.88241457404</v>
      </c>
      <c r="BH198" s="780">
        <f t="shared" si="1802"/>
        <v>242646.40643380623</v>
      </c>
      <c r="BI198" s="781">
        <f t="shared" si="1802"/>
        <v>255588.30467884589</v>
      </c>
    </row>
    <row r="199" spans="1:61" s="780" customFormat="1" hidden="1" outlineLevel="1">
      <c r="A199" s="780" t="str">
        <f>$A$540</f>
        <v>Net Income</v>
      </c>
      <c r="M199" s="781"/>
      <c r="N199" s="782"/>
      <c r="U199" s="780">
        <f t="shared" ref="U199:BI199" si="1803">IF($U$5&gt;$T$5,($U$5-$T$5)*B540,0)</f>
        <v>-33184.964170807638</v>
      </c>
      <c r="V199" s="780">
        <f t="shared" si="1803"/>
        <v>-14837.14568100147</v>
      </c>
      <c r="W199" s="780">
        <f t="shared" si="1803"/>
        <v>-14268.717003781454</v>
      </c>
      <c r="X199" s="780">
        <f t="shared" si="1803"/>
        <v>-13405.013342705901</v>
      </c>
      <c r="Y199" s="781">
        <f t="shared" si="1803"/>
        <v>-12685.072540306182</v>
      </c>
      <c r="Z199" s="782">
        <f t="shared" si="1803"/>
        <v>-17604.404805924125</v>
      </c>
      <c r="AA199" s="780">
        <f t="shared" si="1803"/>
        <v>-15156.124616524507</v>
      </c>
      <c r="AB199" s="780">
        <f t="shared" si="1803"/>
        <v>-13971.31609512752</v>
      </c>
      <c r="AC199" s="780">
        <f t="shared" si="1803"/>
        <v>-13027.555718246989</v>
      </c>
      <c r="AD199" s="780">
        <f t="shared" si="1803"/>
        <v>-12167.444211420123</v>
      </c>
      <c r="AE199" s="780">
        <f t="shared" si="1803"/>
        <v>-11228.257793696379</v>
      </c>
      <c r="AF199" s="780">
        <f t="shared" si="1803"/>
        <v>-10203.756141625032</v>
      </c>
      <c r="AG199" s="780">
        <f t="shared" si="1803"/>
        <v>-8928.9645055486872</v>
      </c>
      <c r="AH199" s="780">
        <f t="shared" si="1803"/>
        <v>-6565.2951604608934</v>
      </c>
      <c r="AI199" s="780">
        <f t="shared" si="1803"/>
        <v>-7951.6323699894165</v>
      </c>
      <c r="AJ199" s="780">
        <f t="shared" si="1803"/>
        <v>-6483.5792380389103</v>
      </c>
      <c r="AK199" s="781">
        <f t="shared" si="1803"/>
        <v>-5307.1722049655655</v>
      </c>
      <c r="AL199" s="782">
        <f t="shared" si="1803"/>
        <v>-3966.3475887754175</v>
      </c>
      <c r="AM199" s="780">
        <f t="shared" si="1803"/>
        <v>-2466.8649492429358</v>
      </c>
      <c r="AN199" s="780">
        <f t="shared" si="1803"/>
        <v>-826.64406907309967</v>
      </c>
      <c r="AO199" s="780">
        <f t="shared" si="1803"/>
        <v>-10770.241509529737</v>
      </c>
      <c r="AP199" s="780">
        <f t="shared" si="1803"/>
        <v>-19174.962642260827</v>
      </c>
      <c r="AQ199" s="780">
        <f t="shared" si="1803"/>
        <v>-16925.443971653156</v>
      </c>
      <c r="AR199" s="780">
        <f t="shared" si="1803"/>
        <v>-25696.207513260568</v>
      </c>
      <c r="AS199" s="780">
        <f t="shared" si="1803"/>
        <v>-30466.524333613874</v>
      </c>
      <c r="AT199" s="780">
        <f t="shared" si="1803"/>
        <v>-30644.209260269774</v>
      </c>
      <c r="AU199" s="780">
        <f t="shared" si="1803"/>
        <v>-25743.81021126837</v>
      </c>
      <c r="AV199" s="780">
        <f t="shared" si="1803"/>
        <v>-25374.965354328699</v>
      </c>
      <c r="AW199" s="781">
        <f t="shared" si="1803"/>
        <v>-21685.632709168298</v>
      </c>
      <c r="AX199" s="782">
        <f t="shared" si="1803"/>
        <v>-17735.699053003482</v>
      </c>
      <c r="AY199" s="780">
        <f t="shared" si="1803"/>
        <v>-25824.517795504849</v>
      </c>
      <c r="AZ199" s="780">
        <f t="shared" si="1803"/>
        <v>-13812.381476188923</v>
      </c>
      <c r="BA199" s="780">
        <f t="shared" si="1803"/>
        <v>-15733.807969274916</v>
      </c>
      <c r="BB199" s="780">
        <f t="shared" si="1803"/>
        <v>-12981.108202038886</v>
      </c>
      <c r="BC199" s="780">
        <f t="shared" si="1803"/>
        <v>-27659.485752690453</v>
      </c>
      <c r="BD199" s="780">
        <f t="shared" si="1803"/>
        <v>-14368.892474155029</v>
      </c>
      <c r="BE199" s="780">
        <f t="shared" si="1803"/>
        <v>-16222.784178653252</v>
      </c>
      <c r="BF199" s="780">
        <f t="shared" si="1803"/>
        <v>-10757.412118790759</v>
      </c>
      <c r="BG199" s="780">
        <f t="shared" si="1803"/>
        <v>-7276.3573668028694</v>
      </c>
      <c r="BH199" s="780">
        <f t="shared" si="1803"/>
        <v>-728.33143403028953</v>
      </c>
      <c r="BI199" s="781">
        <f t="shared" si="1803"/>
        <v>-6343.9301669844717</v>
      </c>
    </row>
    <row r="200" spans="1:61" s="780" customFormat="1" hidden="1" outlineLevel="1">
      <c r="A200" s="780" t="str">
        <f>$A$541</f>
        <v>Program Revenue</v>
      </c>
      <c r="M200" s="781"/>
      <c r="N200" s="782"/>
      <c r="U200" s="780">
        <f t="shared" ref="U200" si="1804">IF($U$5&gt;$T$5,($U$5-$T$5)*B541,0)</f>
        <v>1850</v>
      </c>
      <c r="V200" s="780">
        <f t="shared" ref="V200" si="1805">IF($U$5&gt;$T$5,($U$5-$T$5)*C541,0)</f>
        <v>1937.1558751999999</v>
      </c>
      <c r="W200" s="780">
        <f t="shared" ref="W200" si="1806">IF($U$5&gt;$T$5,($U$5-$T$5)*D541,0)</f>
        <v>2030.0190587848704</v>
      </c>
      <c r="X200" s="780">
        <f t="shared" ref="X200" si="1807">IF($U$5&gt;$T$5,($U$5-$T$5)*E541,0)</f>
        <v>2128.941218449359</v>
      </c>
      <c r="Y200" s="781">
        <f t="shared" ref="Y200" si="1808">IF($U$5&gt;$T$5,($U$5-$T$5)*F541,0)</f>
        <v>2234.2900324673633</v>
      </c>
      <c r="Z200" s="782">
        <f t="shared" ref="Z200" si="1809">IF($U$5&gt;$T$5,($U$5-$T$5)*G541,0)</f>
        <v>2346.4496034726417</v>
      </c>
      <c r="AA200" s="780">
        <f t="shared" ref="AA200" si="1810">IF($U$5&gt;$T$5,($U$5-$T$5)*H541,0)</f>
        <v>2465.8208731027789</v>
      </c>
      <c r="AB200" s="780">
        <f t="shared" ref="AB200" si="1811">IF($U$5&gt;$T$5,($U$5-$T$5)*I541,0)</f>
        <v>2592.8220377557409</v>
      </c>
      <c r="AC200" s="780">
        <f t="shared" ref="AC200" si="1812">IF($U$5&gt;$T$5,($U$5-$T$5)*J541,0)</f>
        <v>2727.8889657926175</v>
      </c>
      <c r="AD200" s="780">
        <f t="shared" ref="AD200" si="1813">IF($U$5&gt;$T$5,($U$5-$T$5)*K541,0)</f>
        <v>2871.4756166091629</v>
      </c>
      <c r="AE200" s="780">
        <f t="shared" ref="AE200" si="1814">IF($U$5&gt;$T$5,($U$5-$T$5)*L541,0)</f>
        <v>3024.0544620924302</v>
      </c>
      <c r="AF200" s="780">
        <f t="shared" ref="AF200" si="1815">IF($U$5&gt;$T$5,($U$5-$T$5)*M541,0)</f>
        <v>3186.1169110768442</v>
      </c>
      <c r="AG200" s="780">
        <f t="shared" ref="AG200" si="1816">IF($U$5&gt;$T$5,($U$5-$T$5)*N541,0)</f>
        <v>3358.9807376414046</v>
      </c>
      <c r="AH200" s="780">
        <f t="shared" ref="AH200" si="1817">IF($U$5&gt;$T$5,($U$5-$T$5)*O541,0)</f>
        <v>3543.2416591361321</v>
      </c>
      <c r="AI200" s="780">
        <f t="shared" ref="AI200" si="1818">IF($U$5&gt;$T$5,($U$5-$T$5)*P541,0)</f>
        <v>3739.515514961849</v>
      </c>
      <c r="AJ200" s="780">
        <f t="shared" ref="AJ200" si="1819">IF($U$5&gt;$T$5,($U$5-$T$5)*Q541,0)</f>
        <v>3948.4383904349252</v>
      </c>
      <c r="AK200" s="781">
        <f t="shared" ref="AK200" si="1820">IF($U$5&gt;$T$5,($U$5-$T$5)*R541,0)</f>
        <v>4170.6667372134807</v>
      </c>
      <c r="AL200" s="782">
        <f t="shared" ref="AL200" si="1821">IF($U$5&gt;$T$5,($U$5-$T$5)*S541,0)</f>
        <v>4406.877493173627</v>
      </c>
      <c r="AM200" s="780">
        <f t="shared" ref="AM200" si="1822">IF($U$5&gt;$T$5,($U$5-$T$5)*T541,0)</f>
        <v>4657.7682048703127</v>
      </c>
      <c r="AN200" s="780">
        <f t="shared" ref="AN200" si="1823">IF($U$5&gt;$T$5,($U$5-$T$5)*U541,0)</f>
        <v>4924.0571559566215</v>
      </c>
      <c r="AO200" s="780">
        <f t="shared" ref="AO200" si="1824">IF($U$5&gt;$T$5,($U$5-$T$5)*V541,0)</f>
        <v>5206.4835051661303</v>
      </c>
      <c r="AP200" s="780">
        <f t="shared" ref="AP200" si="1825">IF($U$5&gt;$T$5,($U$5-$T$5)*W541,0)</f>
        <v>5505.8074376836603</v>
      </c>
      <c r="AQ200" s="780">
        <f t="shared" ref="AQ200" si="1826">IF($U$5&gt;$T$5,($U$5-$T$5)*X541,0)</f>
        <v>5822.8103339388172</v>
      </c>
      <c r="AR200" s="780">
        <f t="shared" ref="AR200" si="1827">IF($U$5&gt;$T$5,($U$5-$T$5)*Y541,0)</f>
        <v>6158.2949600526208</v>
      </c>
      <c r="AS200" s="780">
        <f t="shared" ref="AS200" si="1828">IF($U$5&gt;$T$5,($U$5-$T$5)*Z541,0)</f>
        <v>6514.1392664878649</v>
      </c>
      <c r="AT200" s="780">
        <f t="shared" ref="AT200" si="1829">IF($U$5&gt;$T$5,($U$5-$T$5)*AA541,0)</f>
        <v>6891.2420929122554</v>
      </c>
      <c r="AU200" s="780">
        <f t="shared" ref="AU200" si="1830">IF($U$5&gt;$T$5,($U$5-$T$5)*AB541,0)</f>
        <v>7290.5201481641989</v>
      </c>
      <c r="AV200" s="780">
        <f t="shared" ref="AV200" si="1831">IF($U$5&gt;$T$5,($U$5-$T$5)*AC541,0)</f>
        <v>7712.9078999165331</v>
      </c>
      <c r="AW200" s="781">
        <f t="shared" ref="AW200" si="1832">IF($U$5&gt;$T$5,($U$5-$T$5)*AD541,0)</f>
        <v>8159.357530652579</v>
      </c>
      <c r="AX200" s="782">
        <f t="shared" ref="AX200" si="1833">IF($U$5&gt;$T$5,($U$5-$T$5)*AE541,0)</f>
        <v>8630.8389688113039</v>
      </c>
      <c r="AY200" s="780">
        <f t="shared" ref="AY200" si="1834">IF($U$5&gt;$T$5,($U$5-$T$5)*AF541,0)</f>
        <v>9128.3400039027438</v>
      </c>
      <c r="AZ200" s="780">
        <f t="shared" ref="AZ200" si="1835">IF($U$5&gt;$T$5,($U$5-$T$5)*AG541,0)</f>
        <v>9652.8664942797932</v>
      </c>
      <c r="BA200" s="780">
        <f t="shared" ref="BA200" si="1836">IF($U$5&gt;$T$5,($U$5-$T$5)*AH541,0)</f>
        <v>10205.442676078563</v>
      </c>
      <c r="BB200" s="780">
        <f t="shared" ref="BB200" si="1837">IF($U$5&gt;$T$5,($U$5-$T$5)*AI541,0)</f>
        <v>10787.111581608189</v>
      </c>
      <c r="BC200" s="780">
        <f t="shared" ref="BC200" si="1838">IF($U$5&gt;$T$5,($U$5-$T$5)*AJ541,0)</f>
        <v>11398.935575183927</v>
      </c>
      <c r="BD200" s="780">
        <f t="shared" ref="BD200" si="1839">IF($U$5&gt;$T$5,($U$5-$T$5)*AK541,0)</f>
        <v>12041.997014057681</v>
      </c>
      <c r="BE200" s="780">
        <f t="shared" ref="BE200" si="1840">IF($U$5&gt;$T$5,($U$5-$T$5)*AL541,0)</f>
        <v>11309.223860591001</v>
      </c>
      <c r="BF200" s="780">
        <f t="shared" ref="BF200" si="1841">IF($U$5&gt;$T$5,($U$5-$T$5)*AM541,0)</f>
        <v>11938.59815317693</v>
      </c>
      <c r="BG200" s="780">
        <f t="shared" ref="BG200" si="1842">IF($U$5&gt;$T$5,($U$5-$T$5)*AN541,0)</f>
        <v>12598.640561226617</v>
      </c>
      <c r="BH200" s="780">
        <f t="shared" ref="BH200" si="1843">IF($U$5&gt;$T$5,($U$5-$T$5)*AO541,0)</f>
        <v>13290.384784867672</v>
      </c>
      <c r="BI200" s="781">
        <f t="shared" ref="BI200" si="1844">IF($U$5&gt;$T$5,($U$5-$T$5)*AP541,0)</f>
        <v>14014.886742419074</v>
      </c>
    </row>
    <row r="201" spans="1:61" s="780" customFormat="1" hidden="1" outlineLevel="1">
      <c r="M201" s="781"/>
      <c r="N201" s="782"/>
      <c r="Y201" s="781"/>
      <c r="Z201" s="782"/>
      <c r="AK201" s="781"/>
      <c r="AL201" s="782"/>
      <c r="AW201" s="781"/>
      <c r="AX201" s="782"/>
      <c r="BI201" s="781"/>
    </row>
    <row r="202" spans="1:61" s="780" customFormat="1" hidden="1" outlineLevel="1">
      <c r="A202" s="780" t="s">
        <v>359</v>
      </c>
      <c r="M202" s="781"/>
      <c r="N202" s="782"/>
      <c r="V202" s="780">
        <f>IF($V$5&gt;$U$5,($V$5-$U$5)*B535,0)</f>
        <v>0</v>
      </c>
      <c r="W202" s="780">
        <f t="shared" ref="W202" si="1845">IF($V$5&gt;$U$5,($V$5-$U$5)*C535,0)</f>
        <v>0</v>
      </c>
      <c r="X202" s="780">
        <f t="shared" ref="X202" si="1846">IF($V$5&gt;$U$5,($V$5-$U$5)*D535,0)</f>
        <v>0</v>
      </c>
      <c r="Y202" s="781">
        <f t="shared" ref="Y202" si="1847">IF($V$5&gt;$U$5,($V$5-$U$5)*E535,0)</f>
        <v>0</v>
      </c>
      <c r="Z202" s="782">
        <f t="shared" ref="Z202" si="1848">IF($V$5&gt;$U$5,($V$5-$U$5)*F535,0)</f>
        <v>0</v>
      </c>
      <c r="AA202" s="780">
        <f t="shared" ref="AA202" si="1849">IF($V$5&gt;$U$5,($V$5-$U$5)*G535,0)</f>
        <v>0</v>
      </c>
      <c r="AB202" s="780">
        <f t="shared" ref="AB202" si="1850">IF($V$5&gt;$U$5,($V$5-$U$5)*H535,0)</f>
        <v>0</v>
      </c>
      <c r="AC202" s="780">
        <f t="shared" ref="AC202" si="1851">IF($V$5&gt;$U$5,($V$5-$U$5)*I535,0)</f>
        <v>0</v>
      </c>
      <c r="AD202" s="780">
        <f t="shared" ref="AD202" si="1852">IF($V$5&gt;$U$5,($V$5-$U$5)*J535,0)</f>
        <v>0</v>
      </c>
      <c r="AE202" s="780">
        <f t="shared" ref="AE202" si="1853">IF($V$5&gt;$U$5,($V$5-$U$5)*K535,0)</f>
        <v>0</v>
      </c>
      <c r="AF202" s="780">
        <f t="shared" ref="AF202" si="1854">IF($V$5&gt;$U$5,($V$5-$U$5)*L535,0)</f>
        <v>0</v>
      </c>
      <c r="AG202" s="780">
        <f t="shared" ref="AG202" si="1855">IF($V$5&gt;$U$5,($V$5-$U$5)*M535,0)</f>
        <v>0</v>
      </c>
      <c r="AH202" s="780">
        <f t="shared" ref="AH202" si="1856">IF($V$5&gt;$U$5,($V$5-$U$5)*N535,0)</f>
        <v>0</v>
      </c>
      <c r="AI202" s="780">
        <f t="shared" ref="AI202" si="1857">IF($V$5&gt;$U$5,($V$5-$U$5)*O535,0)</f>
        <v>0</v>
      </c>
      <c r="AJ202" s="780">
        <f t="shared" ref="AJ202" si="1858">IF($V$5&gt;$U$5,($V$5-$U$5)*P535,0)</f>
        <v>0</v>
      </c>
      <c r="AK202" s="781">
        <f t="shared" ref="AK202" si="1859">IF($V$5&gt;$U$5,($V$5-$U$5)*Q535,0)</f>
        <v>0</v>
      </c>
      <c r="AL202" s="782">
        <f t="shared" ref="AL202" si="1860">IF($V$5&gt;$U$5,($V$5-$U$5)*R535,0)</f>
        <v>0</v>
      </c>
      <c r="AM202" s="780">
        <f t="shared" ref="AM202" si="1861">IF($V$5&gt;$U$5,($V$5-$U$5)*S535,0)</f>
        <v>0</v>
      </c>
      <c r="AN202" s="780">
        <f t="shared" ref="AN202" si="1862">IF($V$5&gt;$U$5,($V$5-$U$5)*T535,0)</f>
        <v>0</v>
      </c>
      <c r="AO202" s="780">
        <f t="shared" ref="AO202" si="1863">IF($V$5&gt;$U$5,($V$5-$U$5)*U535,0)</f>
        <v>0</v>
      </c>
      <c r="AP202" s="780">
        <f t="shared" ref="AP202" si="1864">IF($V$5&gt;$U$5,($V$5-$U$5)*V535,0)</f>
        <v>0</v>
      </c>
      <c r="AQ202" s="780">
        <f t="shared" ref="AQ202" si="1865">IF($V$5&gt;$U$5,($V$5-$U$5)*W535,0)</f>
        <v>0</v>
      </c>
      <c r="AR202" s="780">
        <f t="shared" ref="AR202" si="1866">IF($V$5&gt;$U$5,($V$5-$U$5)*X535,0)</f>
        <v>0</v>
      </c>
      <c r="AS202" s="780">
        <f t="shared" ref="AS202" si="1867">IF($V$5&gt;$U$5,($V$5-$U$5)*Y535,0)</f>
        <v>0</v>
      </c>
      <c r="AT202" s="780">
        <f t="shared" ref="AT202" si="1868">IF($V$5&gt;$U$5,($V$5-$U$5)*Z535,0)</f>
        <v>0</v>
      </c>
      <c r="AU202" s="780">
        <f t="shared" ref="AU202" si="1869">IF($V$5&gt;$U$5,($V$5-$U$5)*AA535,0)</f>
        <v>0</v>
      </c>
      <c r="AV202" s="780">
        <f t="shared" ref="AV202" si="1870">IF($V$5&gt;$U$5,($V$5-$U$5)*AB535,0)</f>
        <v>0</v>
      </c>
      <c r="AW202" s="781">
        <f t="shared" ref="AW202" si="1871">IF($V$5&gt;$U$5,($V$5-$U$5)*AC535,0)</f>
        <v>0</v>
      </c>
      <c r="AX202" s="782">
        <f t="shared" ref="AX202" si="1872">IF($V$5&gt;$U$5,($V$5-$U$5)*AD535,0)</f>
        <v>0</v>
      </c>
      <c r="AY202" s="780">
        <f t="shared" ref="AY202" si="1873">IF($V$5&gt;$U$5,($V$5-$U$5)*AE535,0)</f>
        <v>0</v>
      </c>
      <c r="AZ202" s="780">
        <f t="shared" ref="AZ202" si="1874">IF($V$5&gt;$U$5,($V$5-$U$5)*AF535,0)</f>
        <v>0</v>
      </c>
      <c r="BA202" s="780">
        <f t="shared" ref="BA202" si="1875">IF($V$5&gt;$U$5,($V$5-$U$5)*AG535,0)</f>
        <v>0</v>
      </c>
      <c r="BB202" s="780">
        <f t="shared" ref="BB202" si="1876">IF($V$5&gt;$U$5,($V$5-$U$5)*AH535,0)</f>
        <v>0</v>
      </c>
      <c r="BC202" s="780">
        <f t="shared" ref="BC202" si="1877">IF($V$5&gt;$U$5,($V$5-$U$5)*AI535,0)</f>
        <v>0</v>
      </c>
      <c r="BD202" s="780">
        <f t="shared" ref="BD202" si="1878">IF($V$5&gt;$U$5,($V$5-$U$5)*AJ535,0)</f>
        <v>0</v>
      </c>
      <c r="BE202" s="780">
        <f t="shared" ref="BE202" si="1879">IF($V$5&gt;$U$5,($V$5-$U$5)*AK535,0)</f>
        <v>0</v>
      </c>
      <c r="BF202" s="780">
        <f t="shared" ref="BF202" si="1880">IF($V$5&gt;$U$5,($V$5-$U$5)*AL535,0)</f>
        <v>0</v>
      </c>
      <c r="BG202" s="780">
        <f t="shared" ref="BG202" si="1881">IF($V$5&gt;$U$5,($V$5-$U$5)*AM535,0)</f>
        <v>0</v>
      </c>
      <c r="BH202" s="780">
        <f t="shared" ref="BH202" si="1882">IF($V$5&gt;$U$5,($V$5-$U$5)*AN535,0)</f>
        <v>0</v>
      </c>
      <c r="BI202" s="781">
        <f t="shared" ref="BI202" si="1883">IF($V$5&gt;$U$5,($V$5-$U$5)*AO535,0)</f>
        <v>0</v>
      </c>
    </row>
    <row r="203" spans="1:61" s="780" customFormat="1" hidden="1" outlineLevel="1">
      <c r="A203" s="780" t="str">
        <f>$A$536</f>
        <v>Leads</v>
      </c>
      <c r="M203" s="781"/>
      <c r="N203" s="782"/>
      <c r="V203" s="780">
        <f>IF($V$5&gt;$U$5,($V$5-$U$5)*B536,0)</f>
        <v>0</v>
      </c>
      <c r="W203" s="780">
        <f t="shared" ref="W203:BI203" si="1884">IF($V$5&gt;$U$5,($V$5-$U$5)*C536,0)</f>
        <v>0</v>
      </c>
      <c r="X203" s="780">
        <f t="shared" si="1884"/>
        <v>0</v>
      </c>
      <c r="Y203" s="781">
        <f t="shared" si="1884"/>
        <v>0</v>
      </c>
      <c r="Z203" s="782">
        <f t="shared" si="1884"/>
        <v>0</v>
      </c>
      <c r="AA203" s="780">
        <f t="shared" si="1884"/>
        <v>0</v>
      </c>
      <c r="AB203" s="780">
        <f t="shared" si="1884"/>
        <v>0</v>
      </c>
      <c r="AC203" s="780">
        <f t="shared" si="1884"/>
        <v>0</v>
      </c>
      <c r="AD203" s="780">
        <f t="shared" si="1884"/>
        <v>0</v>
      </c>
      <c r="AE203" s="780">
        <f t="shared" si="1884"/>
        <v>0</v>
      </c>
      <c r="AF203" s="780">
        <f t="shared" si="1884"/>
        <v>0</v>
      </c>
      <c r="AG203" s="780">
        <f t="shared" si="1884"/>
        <v>0</v>
      </c>
      <c r="AH203" s="780">
        <f t="shared" si="1884"/>
        <v>0</v>
      </c>
      <c r="AI203" s="780">
        <f t="shared" si="1884"/>
        <v>0</v>
      </c>
      <c r="AJ203" s="780">
        <f t="shared" si="1884"/>
        <v>0</v>
      </c>
      <c r="AK203" s="781">
        <f t="shared" si="1884"/>
        <v>0</v>
      </c>
      <c r="AL203" s="782">
        <f t="shared" si="1884"/>
        <v>0</v>
      </c>
      <c r="AM203" s="780">
        <f t="shared" si="1884"/>
        <v>0</v>
      </c>
      <c r="AN203" s="780">
        <f t="shared" si="1884"/>
        <v>0</v>
      </c>
      <c r="AO203" s="780">
        <f t="shared" si="1884"/>
        <v>0</v>
      </c>
      <c r="AP203" s="780">
        <f t="shared" si="1884"/>
        <v>0</v>
      </c>
      <c r="AQ203" s="780">
        <f t="shared" si="1884"/>
        <v>0</v>
      </c>
      <c r="AR203" s="780">
        <f t="shared" si="1884"/>
        <v>0</v>
      </c>
      <c r="AS203" s="780">
        <f t="shared" si="1884"/>
        <v>0</v>
      </c>
      <c r="AT203" s="780">
        <f t="shared" si="1884"/>
        <v>0</v>
      </c>
      <c r="AU203" s="780">
        <f t="shared" si="1884"/>
        <v>0</v>
      </c>
      <c r="AV203" s="780">
        <f t="shared" si="1884"/>
        <v>0</v>
      </c>
      <c r="AW203" s="781">
        <f t="shared" si="1884"/>
        <v>0</v>
      </c>
      <c r="AX203" s="782">
        <f t="shared" si="1884"/>
        <v>0</v>
      </c>
      <c r="AY203" s="780">
        <f t="shared" si="1884"/>
        <v>0</v>
      </c>
      <c r="AZ203" s="780">
        <f t="shared" si="1884"/>
        <v>0</v>
      </c>
      <c r="BA203" s="780">
        <f t="shared" si="1884"/>
        <v>0</v>
      </c>
      <c r="BB203" s="780">
        <f t="shared" si="1884"/>
        <v>0</v>
      </c>
      <c r="BC203" s="780">
        <f t="shared" si="1884"/>
        <v>0</v>
      </c>
      <c r="BD203" s="780">
        <f t="shared" si="1884"/>
        <v>0</v>
      </c>
      <c r="BE203" s="780">
        <f t="shared" si="1884"/>
        <v>0</v>
      </c>
      <c r="BF203" s="780">
        <f t="shared" si="1884"/>
        <v>0</v>
      </c>
      <c r="BG203" s="780">
        <f t="shared" si="1884"/>
        <v>0</v>
      </c>
      <c r="BH203" s="780">
        <f t="shared" si="1884"/>
        <v>0</v>
      </c>
      <c r="BI203" s="781">
        <f t="shared" si="1884"/>
        <v>0</v>
      </c>
    </row>
    <row r="204" spans="1:61" s="780" customFormat="1" hidden="1" outlineLevel="1">
      <c r="A204" s="780" t="str">
        <f>$A$537</f>
        <v>Audits</v>
      </c>
      <c r="M204" s="781"/>
      <c r="N204" s="782"/>
      <c r="V204" s="780">
        <f t="shared" ref="V204:BI204" si="1885">IF($V$5&gt;$U$5,($V$5-$U$5)*B537,0)</f>
        <v>0</v>
      </c>
      <c r="W204" s="780">
        <f t="shared" si="1885"/>
        <v>0</v>
      </c>
      <c r="X204" s="780">
        <f t="shared" si="1885"/>
        <v>0</v>
      </c>
      <c r="Y204" s="781">
        <f t="shared" si="1885"/>
        <v>0</v>
      </c>
      <c r="Z204" s="782">
        <f t="shared" si="1885"/>
        <v>0</v>
      </c>
      <c r="AA204" s="780">
        <f t="shared" si="1885"/>
        <v>0</v>
      </c>
      <c r="AB204" s="780">
        <f t="shared" si="1885"/>
        <v>0</v>
      </c>
      <c r="AC204" s="780">
        <f t="shared" si="1885"/>
        <v>0</v>
      </c>
      <c r="AD204" s="780">
        <f t="shared" si="1885"/>
        <v>0</v>
      </c>
      <c r="AE204" s="780">
        <f t="shared" si="1885"/>
        <v>0</v>
      </c>
      <c r="AF204" s="780">
        <f t="shared" si="1885"/>
        <v>0</v>
      </c>
      <c r="AG204" s="780">
        <f t="shared" si="1885"/>
        <v>0</v>
      </c>
      <c r="AH204" s="780">
        <f t="shared" si="1885"/>
        <v>0</v>
      </c>
      <c r="AI204" s="780">
        <f t="shared" si="1885"/>
        <v>0</v>
      </c>
      <c r="AJ204" s="780">
        <f t="shared" si="1885"/>
        <v>0</v>
      </c>
      <c r="AK204" s="781">
        <f t="shared" si="1885"/>
        <v>0</v>
      </c>
      <c r="AL204" s="782">
        <f t="shared" si="1885"/>
        <v>0</v>
      </c>
      <c r="AM204" s="780">
        <f t="shared" si="1885"/>
        <v>0</v>
      </c>
      <c r="AN204" s="780">
        <f t="shared" si="1885"/>
        <v>0</v>
      </c>
      <c r="AO204" s="780">
        <f t="shared" si="1885"/>
        <v>0</v>
      </c>
      <c r="AP204" s="780">
        <f t="shared" si="1885"/>
        <v>0</v>
      </c>
      <c r="AQ204" s="780">
        <f t="shared" si="1885"/>
        <v>0</v>
      </c>
      <c r="AR204" s="780">
        <f t="shared" si="1885"/>
        <v>0</v>
      </c>
      <c r="AS204" s="780">
        <f t="shared" si="1885"/>
        <v>0</v>
      </c>
      <c r="AT204" s="780">
        <f t="shared" si="1885"/>
        <v>0</v>
      </c>
      <c r="AU204" s="780">
        <f t="shared" si="1885"/>
        <v>0</v>
      </c>
      <c r="AV204" s="780">
        <f t="shared" si="1885"/>
        <v>0</v>
      </c>
      <c r="AW204" s="781">
        <f t="shared" si="1885"/>
        <v>0</v>
      </c>
      <c r="AX204" s="782">
        <f t="shared" si="1885"/>
        <v>0</v>
      </c>
      <c r="AY204" s="780">
        <f t="shared" si="1885"/>
        <v>0</v>
      </c>
      <c r="AZ204" s="780">
        <f t="shared" si="1885"/>
        <v>0</v>
      </c>
      <c r="BA204" s="780">
        <f t="shared" si="1885"/>
        <v>0</v>
      </c>
      <c r="BB204" s="780">
        <f t="shared" si="1885"/>
        <v>0</v>
      </c>
      <c r="BC204" s="780">
        <f t="shared" si="1885"/>
        <v>0</v>
      </c>
      <c r="BD204" s="780">
        <f t="shared" si="1885"/>
        <v>0</v>
      </c>
      <c r="BE204" s="780">
        <f t="shared" si="1885"/>
        <v>0</v>
      </c>
      <c r="BF204" s="780">
        <f t="shared" si="1885"/>
        <v>0</v>
      </c>
      <c r="BG204" s="780">
        <f t="shared" si="1885"/>
        <v>0</v>
      </c>
      <c r="BH204" s="780">
        <f t="shared" si="1885"/>
        <v>0</v>
      </c>
      <c r="BI204" s="781">
        <f t="shared" si="1885"/>
        <v>0</v>
      </c>
    </row>
    <row r="205" spans="1:61" s="780" customFormat="1" hidden="1" outlineLevel="1">
      <c r="A205" s="780" t="str">
        <f>$A$538</f>
        <v>Retrofit</v>
      </c>
      <c r="M205" s="781"/>
      <c r="N205" s="782"/>
      <c r="V205" s="780">
        <f t="shared" ref="V205:BI205" si="1886">IF($V$5&gt;$U$5,($V$5-$U$5)*B538,0)</f>
        <v>0</v>
      </c>
      <c r="W205" s="780">
        <f t="shared" si="1886"/>
        <v>0</v>
      </c>
      <c r="X205" s="780">
        <f t="shared" si="1886"/>
        <v>0</v>
      </c>
      <c r="Y205" s="781">
        <f t="shared" si="1886"/>
        <v>0</v>
      </c>
      <c r="Z205" s="782">
        <f t="shared" si="1886"/>
        <v>0</v>
      </c>
      <c r="AA205" s="780">
        <f t="shared" si="1886"/>
        <v>0</v>
      </c>
      <c r="AB205" s="780">
        <f t="shared" si="1886"/>
        <v>0</v>
      </c>
      <c r="AC205" s="780">
        <f t="shared" si="1886"/>
        <v>0</v>
      </c>
      <c r="AD205" s="780">
        <f t="shared" si="1886"/>
        <v>0</v>
      </c>
      <c r="AE205" s="780">
        <f t="shared" si="1886"/>
        <v>0</v>
      </c>
      <c r="AF205" s="780">
        <f t="shared" si="1886"/>
        <v>0</v>
      </c>
      <c r="AG205" s="780">
        <f t="shared" si="1886"/>
        <v>0</v>
      </c>
      <c r="AH205" s="780">
        <f t="shared" si="1886"/>
        <v>0</v>
      </c>
      <c r="AI205" s="780">
        <f t="shared" si="1886"/>
        <v>0</v>
      </c>
      <c r="AJ205" s="780">
        <f t="shared" si="1886"/>
        <v>0</v>
      </c>
      <c r="AK205" s="781">
        <f t="shared" si="1886"/>
        <v>0</v>
      </c>
      <c r="AL205" s="782">
        <f t="shared" si="1886"/>
        <v>0</v>
      </c>
      <c r="AM205" s="780">
        <f t="shared" si="1886"/>
        <v>0</v>
      </c>
      <c r="AN205" s="780">
        <f t="shared" si="1886"/>
        <v>0</v>
      </c>
      <c r="AO205" s="780">
        <f t="shared" si="1886"/>
        <v>0</v>
      </c>
      <c r="AP205" s="780">
        <f t="shared" si="1886"/>
        <v>0</v>
      </c>
      <c r="AQ205" s="780">
        <f t="shared" si="1886"/>
        <v>0</v>
      </c>
      <c r="AR205" s="780">
        <f t="shared" si="1886"/>
        <v>0</v>
      </c>
      <c r="AS205" s="780">
        <f t="shared" si="1886"/>
        <v>0</v>
      </c>
      <c r="AT205" s="780">
        <f t="shared" si="1886"/>
        <v>0</v>
      </c>
      <c r="AU205" s="780">
        <f t="shared" si="1886"/>
        <v>0</v>
      </c>
      <c r="AV205" s="780">
        <f t="shared" si="1886"/>
        <v>0</v>
      </c>
      <c r="AW205" s="781">
        <f t="shared" si="1886"/>
        <v>0</v>
      </c>
      <c r="AX205" s="782">
        <f t="shared" si="1886"/>
        <v>0</v>
      </c>
      <c r="AY205" s="780">
        <f t="shared" si="1886"/>
        <v>0</v>
      </c>
      <c r="AZ205" s="780">
        <f t="shared" si="1886"/>
        <v>0</v>
      </c>
      <c r="BA205" s="780">
        <f t="shared" si="1886"/>
        <v>0</v>
      </c>
      <c r="BB205" s="780">
        <f t="shared" si="1886"/>
        <v>0</v>
      </c>
      <c r="BC205" s="780">
        <f t="shared" si="1886"/>
        <v>0</v>
      </c>
      <c r="BD205" s="780">
        <f t="shared" si="1886"/>
        <v>0</v>
      </c>
      <c r="BE205" s="780">
        <f t="shared" si="1886"/>
        <v>0</v>
      </c>
      <c r="BF205" s="780">
        <f t="shared" si="1886"/>
        <v>0</v>
      </c>
      <c r="BG205" s="780">
        <f t="shared" si="1886"/>
        <v>0</v>
      </c>
      <c r="BH205" s="780">
        <f t="shared" si="1886"/>
        <v>0</v>
      </c>
      <c r="BI205" s="781">
        <f t="shared" si="1886"/>
        <v>0</v>
      </c>
    </row>
    <row r="206" spans="1:61" s="780" customFormat="1" hidden="1" outlineLevel="1">
      <c r="A206" s="780" t="str">
        <f>$A$539</f>
        <v>Revenue</v>
      </c>
      <c r="M206" s="781"/>
      <c r="N206" s="782"/>
      <c r="V206" s="780">
        <f t="shared" ref="V206:BI206" si="1887">IF($V$5&gt;$U$5,($V$5-$U$5)*B539,0)</f>
        <v>0</v>
      </c>
      <c r="W206" s="780">
        <f t="shared" si="1887"/>
        <v>0</v>
      </c>
      <c r="X206" s="780">
        <f t="shared" si="1887"/>
        <v>0</v>
      </c>
      <c r="Y206" s="781">
        <f t="shared" si="1887"/>
        <v>0</v>
      </c>
      <c r="Z206" s="782">
        <f t="shared" si="1887"/>
        <v>0</v>
      </c>
      <c r="AA206" s="780">
        <f t="shared" si="1887"/>
        <v>0</v>
      </c>
      <c r="AB206" s="780">
        <f t="shared" si="1887"/>
        <v>0</v>
      </c>
      <c r="AC206" s="780">
        <f t="shared" si="1887"/>
        <v>0</v>
      </c>
      <c r="AD206" s="780">
        <f t="shared" si="1887"/>
        <v>0</v>
      </c>
      <c r="AE206" s="780">
        <f t="shared" si="1887"/>
        <v>0</v>
      </c>
      <c r="AF206" s="780">
        <f t="shared" si="1887"/>
        <v>0</v>
      </c>
      <c r="AG206" s="780">
        <f t="shared" si="1887"/>
        <v>0</v>
      </c>
      <c r="AH206" s="780">
        <f t="shared" si="1887"/>
        <v>0</v>
      </c>
      <c r="AI206" s="780">
        <f t="shared" si="1887"/>
        <v>0</v>
      </c>
      <c r="AJ206" s="780">
        <f t="shared" si="1887"/>
        <v>0</v>
      </c>
      <c r="AK206" s="781">
        <f t="shared" si="1887"/>
        <v>0</v>
      </c>
      <c r="AL206" s="782">
        <f t="shared" si="1887"/>
        <v>0</v>
      </c>
      <c r="AM206" s="780">
        <f t="shared" si="1887"/>
        <v>0</v>
      </c>
      <c r="AN206" s="780">
        <f t="shared" si="1887"/>
        <v>0</v>
      </c>
      <c r="AO206" s="780">
        <f t="shared" si="1887"/>
        <v>0</v>
      </c>
      <c r="AP206" s="780">
        <f t="shared" si="1887"/>
        <v>0</v>
      </c>
      <c r="AQ206" s="780">
        <f t="shared" si="1887"/>
        <v>0</v>
      </c>
      <c r="AR206" s="780">
        <f t="shared" si="1887"/>
        <v>0</v>
      </c>
      <c r="AS206" s="780">
        <f t="shared" si="1887"/>
        <v>0</v>
      </c>
      <c r="AT206" s="780">
        <f t="shared" si="1887"/>
        <v>0</v>
      </c>
      <c r="AU206" s="780">
        <f t="shared" si="1887"/>
        <v>0</v>
      </c>
      <c r="AV206" s="780">
        <f t="shared" si="1887"/>
        <v>0</v>
      </c>
      <c r="AW206" s="781">
        <f t="shared" si="1887"/>
        <v>0</v>
      </c>
      <c r="AX206" s="782">
        <f t="shared" si="1887"/>
        <v>0</v>
      </c>
      <c r="AY206" s="780">
        <f t="shared" si="1887"/>
        <v>0</v>
      </c>
      <c r="AZ206" s="780">
        <f t="shared" si="1887"/>
        <v>0</v>
      </c>
      <c r="BA206" s="780">
        <f t="shared" si="1887"/>
        <v>0</v>
      </c>
      <c r="BB206" s="780">
        <f t="shared" si="1887"/>
        <v>0</v>
      </c>
      <c r="BC206" s="780">
        <f t="shared" si="1887"/>
        <v>0</v>
      </c>
      <c r="BD206" s="780">
        <f t="shared" si="1887"/>
        <v>0</v>
      </c>
      <c r="BE206" s="780">
        <f t="shared" si="1887"/>
        <v>0</v>
      </c>
      <c r="BF206" s="780">
        <f t="shared" si="1887"/>
        <v>0</v>
      </c>
      <c r="BG206" s="780">
        <f t="shared" si="1887"/>
        <v>0</v>
      </c>
      <c r="BH206" s="780">
        <f t="shared" si="1887"/>
        <v>0</v>
      </c>
      <c r="BI206" s="781">
        <f t="shared" si="1887"/>
        <v>0</v>
      </c>
    </row>
    <row r="207" spans="1:61" s="780" customFormat="1" hidden="1" outlineLevel="1">
      <c r="A207" s="780" t="str">
        <f>$A$540</f>
        <v>Net Income</v>
      </c>
      <c r="M207" s="781"/>
      <c r="N207" s="782"/>
      <c r="V207" s="780">
        <f t="shared" ref="V207:BI207" si="1888">IF($V$5&gt;$U$5,($V$5-$U$5)*B540,0)</f>
        <v>0</v>
      </c>
      <c r="W207" s="780">
        <f t="shared" si="1888"/>
        <v>0</v>
      </c>
      <c r="X207" s="780">
        <f t="shared" si="1888"/>
        <v>0</v>
      </c>
      <c r="Y207" s="781">
        <f t="shared" si="1888"/>
        <v>0</v>
      </c>
      <c r="Z207" s="782">
        <f t="shared" si="1888"/>
        <v>0</v>
      </c>
      <c r="AA207" s="780">
        <f t="shared" si="1888"/>
        <v>0</v>
      </c>
      <c r="AB207" s="780">
        <f t="shared" si="1888"/>
        <v>0</v>
      </c>
      <c r="AC207" s="780">
        <f t="shared" si="1888"/>
        <v>0</v>
      </c>
      <c r="AD207" s="780">
        <f t="shared" si="1888"/>
        <v>0</v>
      </c>
      <c r="AE207" s="780">
        <f t="shared" si="1888"/>
        <v>0</v>
      </c>
      <c r="AF207" s="780">
        <f t="shared" si="1888"/>
        <v>0</v>
      </c>
      <c r="AG207" s="780">
        <f t="shared" si="1888"/>
        <v>0</v>
      </c>
      <c r="AH207" s="780">
        <f t="shared" si="1888"/>
        <v>0</v>
      </c>
      <c r="AI207" s="780">
        <f t="shared" si="1888"/>
        <v>0</v>
      </c>
      <c r="AJ207" s="780">
        <f t="shared" si="1888"/>
        <v>0</v>
      </c>
      <c r="AK207" s="781">
        <f t="shared" si="1888"/>
        <v>0</v>
      </c>
      <c r="AL207" s="782">
        <f t="shared" si="1888"/>
        <v>0</v>
      </c>
      <c r="AM207" s="780">
        <f t="shared" si="1888"/>
        <v>0</v>
      </c>
      <c r="AN207" s="780">
        <f t="shared" si="1888"/>
        <v>0</v>
      </c>
      <c r="AO207" s="780">
        <f t="shared" si="1888"/>
        <v>0</v>
      </c>
      <c r="AP207" s="780">
        <f t="shared" si="1888"/>
        <v>0</v>
      </c>
      <c r="AQ207" s="780">
        <f t="shared" si="1888"/>
        <v>0</v>
      </c>
      <c r="AR207" s="780">
        <f t="shared" si="1888"/>
        <v>0</v>
      </c>
      <c r="AS207" s="780">
        <f t="shared" si="1888"/>
        <v>0</v>
      </c>
      <c r="AT207" s="780">
        <f t="shared" si="1888"/>
        <v>0</v>
      </c>
      <c r="AU207" s="780">
        <f t="shared" si="1888"/>
        <v>0</v>
      </c>
      <c r="AV207" s="780">
        <f t="shared" si="1888"/>
        <v>0</v>
      </c>
      <c r="AW207" s="781">
        <f t="shared" si="1888"/>
        <v>0</v>
      </c>
      <c r="AX207" s="782">
        <f t="shared" si="1888"/>
        <v>0</v>
      </c>
      <c r="AY207" s="780">
        <f t="shared" si="1888"/>
        <v>0</v>
      </c>
      <c r="AZ207" s="780">
        <f t="shared" si="1888"/>
        <v>0</v>
      </c>
      <c r="BA207" s="780">
        <f t="shared" si="1888"/>
        <v>0</v>
      </c>
      <c r="BB207" s="780">
        <f t="shared" si="1888"/>
        <v>0</v>
      </c>
      <c r="BC207" s="780">
        <f t="shared" si="1888"/>
        <v>0</v>
      </c>
      <c r="BD207" s="780">
        <f t="shared" si="1888"/>
        <v>0</v>
      </c>
      <c r="BE207" s="780">
        <f t="shared" si="1888"/>
        <v>0</v>
      </c>
      <c r="BF207" s="780">
        <f t="shared" si="1888"/>
        <v>0</v>
      </c>
      <c r="BG207" s="780">
        <f t="shared" si="1888"/>
        <v>0</v>
      </c>
      <c r="BH207" s="780">
        <f t="shared" si="1888"/>
        <v>0</v>
      </c>
      <c r="BI207" s="781">
        <f t="shared" si="1888"/>
        <v>0</v>
      </c>
    </row>
    <row r="208" spans="1:61" s="780" customFormat="1" hidden="1" outlineLevel="1">
      <c r="A208" s="780" t="str">
        <f>$A$541</f>
        <v>Program Revenue</v>
      </c>
      <c r="M208" s="781"/>
      <c r="N208" s="782"/>
      <c r="V208" s="780">
        <f t="shared" ref="V208" si="1889">IF($V$5&gt;$U$5,($V$5-$U$5)*B541,0)</f>
        <v>0</v>
      </c>
      <c r="W208" s="780">
        <f t="shared" ref="W208" si="1890">IF($V$5&gt;$U$5,($V$5-$U$5)*C541,0)</f>
        <v>0</v>
      </c>
      <c r="X208" s="780">
        <f t="shared" ref="X208" si="1891">IF($V$5&gt;$U$5,($V$5-$U$5)*D541,0)</f>
        <v>0</v>
      </c>
      <c r="Y208" s="781">
        <f t="shared" ref="Y208" si="1892">IF($V$5&gt;$U$5,($V$5-$U$5)*E541,0)</f>
        <v>0</v>
      </c>
      <c r="Z208" s="782">
        <f t="shared" ref="Z208" si="1893">IF($V$5&gt;$U$5,($V$5-$U$5)*F541,0)</f>
        <v>0</v>
      </c>
      <c r="AA208" s="780">
        <f t="shared" ref="AA208" si="1894">IF($V$5&gt;$U$5,($V$5-$U$5)*G541,0)</f>
        <v>0</v>
      </c>
      <c r="AB208" s="780">
        <f t="shared" ref="AB208" si="1895">IF($V$5&gt;$U$5,($V$5-$U$5)*H541,0)</f>
        <v>0</v>
      </c>
      <c r="AC208" s="780">
        <f t="shared" ref="AC208" si="1896">IF($V$5&gt;$U$5,($V$5-$U$5)*I541,0)</f>
        <v>0</v>
      </c>
      <c r="AD208" s="780">
        <f t="shared" ref="AD208" si="1897">IF($V$5&gt;$U$5,($V$5-$U$5)*J541,0)</f>
        <v>0</v>
      </c>
      <c r="AE208" s="780">
        <f t="shared" ref="AE208" si="1898">IF($V$5&gt;$U$5,($V$5-$U$5)*K541,0)</f>
        <v>0</v>
      </c>
      <c r="AF208" s="780">
        <f t="shared" ref="AF208" si="1899">IF($V$5&gt;$U$5,($V$5-$U$5)*L541,0)</f>
        <v>0</v>
      </c>
      <c r="AG208" s="780">
        <f t="shared" ref="AG208" si="1900">IF($V$5&gt;$U$5,($V$5-$U$5)*M541,0)</f>
        <v>0</v>
      </c>
      <c r="AH208" s="780">
        <f t="shared" ref="AH208" si="1901">IF($V$5&gt;$U$5,($V$5-$U$5)*N541,0)</f>
        <v>0</v>
      </c>
      <c r="AI208" s="780">
        <f t="shared" ref="AI208" si="1902">IF($V$5&gt;$U$5,($V$5-$U$5)*O541,0)</f>
        <v>0</v>
      </c>
      <c r="AJ208" s="780">
        <f t="shared" ref="AJ208" si="1903">IF($V$5&gt;$U$5,($V$5-$U$5)*P541,0)</f>
        <v>0</v>
      </c>
      <c r="AK208" s="781">
        <f t="shared" ref="AK208" si="1904">IF($V$5&gt;$U$5,($V$5-$U$5)*Q541,0)</f>
        <v>0</v>
      </c>
      <c r="AL208" s="782">
        <f t="shared" ref="AL208" si="1905">IF($V$5&gt;$U$5,($V$5-$U$5)*R541,0)</f>
        <v>0</v>
      </c>
      <c r="AM208" s="780">
        <f t="shared" ref="AM208" si="1906">IF($V$5&gt;$U$5,($V$5-$U$5)*S541,0)</f>
        <v>0</v>
      </c>
      <c r="AN208" s="780">
        <f t="shared" ref="AN208" si="1907">IF($V$5&gt;$U$5,($V$5-$U$5)*T541,0)</f>
        <v>0</v>
      </c>
      <c r="AO208" s="780">
        <f t="shared" ref="AO208" si="1908">IF($V$5&gt;$U$5,($V$5-$U$5)*U541,0)</f>
        <v>0</v>
      </c>
      <c r="AP208" s="780">
        <f t="shared" ref="AP208" si="1909">IF($V$5&gt;$U$5,($V$5-$U$5)*V541,0)</f>
        <v>0</v>
      </c>
      <c r="AQ208" s="780">
        <f t="shared" ref="AQ208" si="1910">IF($V$5&gt;$U$5,($V$5-$U$5)*W541,0)</f>
        <v>0</v>
      </c>
      <c r="AR208" s="780">
        <f t="shared" ref="AR208" si="1911">IF($V$5&gt;$U$5,($V$5-$U$5)*X541,0)</f>
        <v>0</v>
      </c>
      <c r="AS208" s="780">
        <f t="shared" ref="AS208" si="1912">IF($V$5&gt;$U$5,($V$5-$U$5)*Y541,0)</f>
        <v>0</v>
      </c>
      <c r="AT208" s="780">
        <f t="shared" ref="AT208" si="1913">IF($V$5&gt;$U$5,($V$5-$U$5)*Z541,0)</f>
        <v>0</v>
      </c>
      <c r="AU208" s="780">
        <f t="shared" ref="AU208" si="1914">IF($V$5&gt;$U$5,($V$5-$U$5)*AA541,0)</f>
        <v>0</v>
      </c>
      <c r="AV208" s="780">
        <f t="shared" ref="AV208" si="1915">IF($V$5&gt;$U$5,($V$5-$U$5)*AB541,0)</f>
        <v>0</v>
      </c>
      <c r="AW208" s="781">
        <f t="shared" ref="AW208" si="1916">IF($V$5&gt;$U$5,($V$5-$U$5)*AC541,0)</f>
        <v>0</v>
      </c>
      <c r="AX208" s="782">
        <f t="shared" ref="AX208" si="1917">IF($V$5&gt;$U$5,($V$5-$U$5)*AD541,0)</f>
        <v>0</v>
      </c>
      <c r="AY208" s="780">
        <f t="shared" ref="AY208" si="1918">IF($V$5&gt;$U$5,($V$5-$U$5)*AE541,0)</f>
        <v>0</v>
      </c>
      <c r="AZ208" s="780">
        <f t="shared" ref="AZ208" si="1919">IF($V$5&gt;$U$5,($V$5-$U$5)*AF541,0)</f>
        <v>0</v>
      </c>
      <c r="BA208" s="780">
        <f t="shared" ref="BA208" si="1920">IF($V$5&gt;$U$5,($V$5-$U$5)*AG541,0)</f>
        <v>0</v>
      </c>
      <c r="BB208" s="780">
        <f t="shared" ref="BB208" si="1921">IF($V$5&gt;$U$5,($V$5-$U$5)*AH541,0)</f>
        <v>0</v>
      </c>
      <c r="BC208" s="780">
        <f t="shared" ref="BC208" si="1922">IF($V$5&gt;$U$5,($V$5-$U$5)*AI541,0)</f>
        <v>0</v>
      </c>
      <c r="BD208" s="780">
        <f t="shared" ref="BD208" si="1923">IF($V$5&gt;$U$5,($V$5-$U$5)*AJ541,0)</f>
        <v>0</v>
      </c>
      <c r="BE208" s="780">
        <f t="shared" ref="BE208" si="1924">IF($V$5&gt;$U$5,($V$5-$U$5)*AK541,0)</f>
        <v>0</v>
      </c>
      <c r="BF208" s="780">
        <f t="shared" ref="BF208" si="1925">IF($V$5&gt;$U$5,($V$5-$U$5)*AL541,0)</f>
        <v>0</v>
      </c>
      <c r="BG208" s="780">
        <f t="shared" ref="BG208" si="1926">IF($V$5&gt;$U$5,($V$5-$U$5)*AM541,0)</f>
        <v>0</v>
      </c>
      <c r="BH208" s="780">
        <f t="shared" ref="BH208" si="1927">IF($V$5&gt;$U$5,($V$5-$U$5)*AN541,0)</f>
        <v>0</v>
      </c>
      <c r="BI208" s="781">
        <f t="shared" ref="BI208" si="1928">IF($V$5&gt;$U$5,($V$5-$U$5)*AO541,0)</f>
        <v>0</v>
      </c>
    </row>
    <row r="209" spans="1:61" s="780" customFormat="1" hidden="1" outlineLevel="1">
      <c r="M209" s="781"/>
      <c r="N209" s="782"/>
      <c r="Y209" s="781"/>
      <c r="Z209" s="782"/>
      <c r="AK209" s="781"/>
      <c r="AL209" s="782"/>
      <c r="AW209" s="781"/>
      <c r="AX209" s="782"/>
      <c r="BI209" s="781"/>
    </row>
    <row r="210" spans="1:61" s="780" customFormat="1" hidden="1" outlineLevel="1">
      <c r="A210" s="780" t="s">
        <v>359</v>
      </c>
      <c r="M210" s="781"/>
      <c r="N210" s="782"/>
      <c r="W210" s="780">
        <f>IF($W$5&gt;$V$5,($W$5-$V$5)*B535,0)</f>
        <v>8</v>
      </c>
      <c r="X210" s="780">
        <f t="shared" ref="X210" si="1929">IF($W$5&gt;$V$5,($W$5-$V$5)*C535,0)</f>
        <v>8.3824000000000005</v>
      </c>
      <c r="Y210" s="781">
        <f t="shared" ref="Y210" si="1930">IF($W$5&gt;$V$5,($W$5-$V$5)*D535,0)</f>
        <v>8.790016102400001</v>
      </c>
      <c r="Z210" s="782">
        <f t="shared" ref="Z210" si="1931">IF($W$5&gt;$V$5,($W$5-$V$5)*E535,0)</f>
        <v>9.2244218586677267</v>
      </c>
      <c r="AA210" s="780">
        <f t="shared" ref="AA210" si="1932">IF($W$5&gt;$V$5,($W$5-$V$5)*F535,0)</f>
        <v>9.6872643857899394</v>
      </c>
      <c r="AB210" s="780">
        <f t="shared" ref="AB210" si="1933">IF($W$5&gt;$V$5,($W$5-$V$5)*G535,0)</f>
        <v>10.180266404063699</v>
      </c>
      <c r="AC210" s="780">
        <f t="shared" ref="AC210" si="1934">IF($W$5&gt;$V$5,($W$5-$V$5)*H535,0)</f>
        <v>10.705228286703797</v>
      </c>
      <c r="AD210" s="780">
        <f t="shared" ref="AD210" si="1935">IF($W$5&gt;$V$5,($W$5-$V$5)*I535,0)</f>
        <v>11.264030122404236</v>
      </c>
      <c r="AE210" s="780">
        <f t="shared" ref="AE210" si="1936">IF($W$5&gt;$V$5,($W$5-$V$5)*J535,0)</f>
        <v>11.858633792363815</v>
      </c>
      <c r="AF210" s="780">
        <f t="shared" ref="AF210" si="1937">IF($W$5&gt;$V$5,($W$5-$V$5)*K535,0)</f>
        <v>12.491085063681208</v>
      </c>
      <c r="AG210" s="780">
        <f t="shared" ref="AG210" si="1938">IF($W$5&gt;$V$5,($W$5-$V$5)*L535,0)</f>
        <v>13.163515701442698</v>
      </c>
      <c r="AH210" s="780">
        <f t="shared" ref="AH210" si="1939">IF($W$5&gt;$V$5,($W$5-$V$5)*M535,0)</f>
        <v>13.878145602265221</v>
      </c>
      <c r="AI210" s="780">
        <f t="shared" ref="AI210" si="1940">IF($W$5&gt;$V$5,($W$5-$V$5)*N535,0)</f>
        <v>14.640802427106802</v>
      </c>
      <c r="AJ210" s="780">
        <f t="shared" ref="AJ210" si="1941">IF($W$5&gt;$V$5,($W$5-$V$5)*O535,0)</f>
        <v>15.454179973028484</v>
      </c>
      <c r="AK210" s="781">
        <f t="shared" ref="AK210" si="1942">IF($W$5&gt;$V$5,($W$5-$V$5)*P535,0)</f>
        <v>16.321067007803048</v>
      </c>
      <c r="AL210" s="782">
        <f t="shared" ref="AL210" si="1943">IF($W$5&gt;$V$5,($W$5-$V$5)*Q535,0)</f>
        <v>17.244348126107901</v>
      </c>
      <c r="AM210" s="780">
        <f t="shared" ref="AM210" si="1944">IF($W$5&gt;$V$5,($W$5-$V$5)*R535,0)</f>
        <v>18.227004594103096</v>
      </c>
      <c r="AN210" s="780">
        <f t="shared" ref="AN210" si="1945">IF($W$5&gt;$V$5,($W$5-$V$5)*S535,0)</f>
        <v>19.272115194972702</v>
      </c>
      <c r="AO210" s="780">
        <f t="shared" ref="AO210" si="1946">IF($W$5&gt;$V$5,($W$5-$V$5)*T535,0)</f>
        <v>20.382857089151276</v>
      </c>
      <c r="AP210" s="780">
        <f t="shared" ref="AP210" si="1947">IF($W$5&gt;$V$5,($W$5-$V$5)*U535,0)</f>
        <v>21.56250670407784</v>
      </c>
      <c r="AQ210" s="780">
        <f t="shared" ref="AQ210" si="1948">IF($W$5&gt;$V$5,($W$5-$V$5)*V535,0)</f>
        <v>22.814440669410335</v>
      </c>
      <c r="AR210" s="780">
        <f t="shared" ref="AR210" si="1949">IF($W$5&gt;$V$5,($W$5-$V$5)*W535,0)</f>
        <v>24.142136814686012</v>
      </c>
      <c r="AS210" s="780">
        <f t="shared" ref="AS210" si="1950">IF($W$5&gt;$V$5,($W$5-$V$5)*X535,0)</f>
        <v>25.549175247421399</v>
      </c>
      <c r="AT210" s="780">
        <f t="shared" ref="AT210" si="1951">IF($W$5&gt;$V$5,($W$5-$V$5)*Y535,0)</f>
        <v>27.039239530601542</v>
      </c>
      <c r="AU210" s="780">
        <f t="shared" ref="AU210" si="1952">IF($W$5&gt;$V$5,($W$5-$V$5)*Z535,0)</f>
        <v>28.620747034243404</v>
      </c>
      <c r="AV210" s="780">
        <f t="shared" ref="AV210" si="1953">IF($W$5&gt;$V$5,($W$5-$V$5)*AA535,0)</f>
        <v>30.297832899152603</v>
      </c>
      <c r="AW210" s="781">
        <f t="shared" ref="AW210" si="1954">IF($W$5&gt;$V$5,($W$5-$V$5)*AB535,0)</f>
        <v>32.074721942842451</v>
      </c>
      <c r="AX210" s="782">
        <f t="shared" ref="AX210" si="1955">IF($W$5&gt;$V$5,($W$5-$V$5)*AC535,0)</f>
        <v>33.955728473829772</v>
      </c>
      <c r="AY210" s="780">
        <f t="shared" ref="AY210" si="1956">IF($W$5&gt;$V$5,($W$5-$V$5)*AD535,0)</f>
        <v>35.945256397317038</v>
      </c>
      <c r="AZ210" s="780">
        <f t="shared" ref="AZ210" si="1957">IF($W$5&gt;$V$5,($W$5-$V$5)*AE535,0)</f>
        <v>38.047799652671507</v>
      </c>
      <c r="BA210" s="780">
        <f t="shared" ref="BA210" si="1958">IF($W$5&gt;$V$5,($W$5-$V$5)*AF535,0)</f>
        <v>40.267943023083284</v>
      </c>
      <c r="BB210" s="780">
        <f t="shared" ref="BB210" si="1959">IF($W$5&gt;$V$5,($W$5-$V$5)*AG535,0)</f>
        <v>42.61036335749322</v>
      </c>
      <c r="BC210" s="780">
        <f t="shared" ref="BC210" si="1960">IF($W$5&gt;$V$5,($W$5-$V$5)*AH535,0)</f>
        <v>45.079831244328588</v>
      </c>
      <c r="BD210" s="780">
        <f t="shared" ref="BD210" si="1961">IF($W$5&gt;$V$5,($W$5-$V$5)*AI535,0)</f>
        <v>47.68121317577463</v>
      </c>
      <c r="BE210" s="780">
        <f t="shared" ref="BE210" si="1962">IF($W$5&gt;$V$5,($W$5-$V$5)*AJ535,0)</f>
        <v>50.419474240248832</v>
      </c>
      <c r="BF210" s="780">
        <f t="shared" ref="BF210" si="1963">IF($W$5&gt;$V$5,($W$5-$V$5)*AK535,0)</f>
        <v>53.299681379443584</v>
      </c>
      <c r="BG210" s="780">
        <f t="shared" ref="BG210" si="1964">IF($W$5&gt;$V$5,($W$5-$V$5)*AL535,0)</f>
        <v>56.327007244772894</v>
      </c>
      <c r="BH210" s="780">
        <f t="shared" ref="BH210" si="1965">IF($W$5&gt;$V$5,($W$5-$V$5)*AM535,0)</f>
        <v>59.506734686316534</v>
      </c>
      <c r="BI210" s="781">
        <f t="shared" ref="BI210" si="1966">IF($W$5&gt;$V$5,($W$5-$V$5)*AN535,0)</f>
        <v>62.844261905417305</v>
      </c>
    </row>
    <row r="211" spans="1:61" s="780" customFormat="1" hidden="1" outlineLevel="1">
      <c r="A211" s="780" t="str">
        <f>$A$536</f>
        <v>Leads</v>
      </c>
      <c r="M211" s="781"/>
      <c r="N211" s="782"/>
      <c r="W211" s="780">
        <f>IF($W$5&gt;$V$5,($W$5-$V$5)*B536,0)</f>
        <v>20</v>
      </c>
      <c r="X211" s="780">
        <f t="shared" ref="X211:BI211" si="1967">IF($W$5&gt;$V$5,($W$5-$V$5)*C536,0)</f>
        <v>20.8</v>
      </c>
      <c r="Y211" s="781">
        <f t="shared" si="1967"/>
        <v>21.632000000000001</v>
      </c>
      <c r="Z211" s="782">
        <f t="shared" si="1967"/>
        <v>22.497280000000003</v>
      </c>
      <c r="AA211" s="780">
        <f t="shared" si="1967"/>
        <v>23.397171200000006</v>
      </c>
      <c r="AB211" s="780">
        <f t="shared" si="1967"/>
        <v>24.333058048000009</v>
      </c>
      <c r="AC211" s="780">
        <f t="shared" si="1967"/>
        <v>25.30638036992001</v>
      </c>
      <c r="AD211" s="780">
        <f t="shared" si="1967"/>
        <v>26.318635584716812</v>
      </c>
      <c r="AE211" s="780">
        <f t="shared" si="1967"/>
        <v>27.371381008105487</v>
      </c>
      <c r="AF211" s="780">
        <f t="shared" si="1967"/>
        <v>28.466236248429709</v>
      </c>
      <c r="AG211" s="780">
        <f t="shared" si="1967"/>
        <v>29.6048856983669</v>
      </c>
      <c r="AH211" s="780">
        <f t="shared" si="1967"/>
        <v>30.789081126301578</v>
      </c>
      <c r="AI211" s="780">
        <f t="shared" si="1967"/>
        <v>32.02064437135364</v>
      </c>
      <c r="AJ211" s="780">
        <f t="shared" si="1967"/>
        <v>33.301470146207784</v>
      </c>
      <c r="AK211" s="781">
        <f t="shared" si="1967"/>
        <v>34.633528952056096</v>
      </c>
      <c r="AL211" s="782">
        <f t="shared" si="1967"/>
        <v>36.018870110138344</v>
      </c>
      <c r="AM211" s="780">
        <f t="shared" si="1967"/>
        <v>37.45962491454388</v>
      </c>
      <c r="AN211" s="780">
        <f t="shared" si="1967"/>
        <v>38.958009911125636</v>
      </c>
      <c r="AO211" s="780">
        <f t="shared" si="1967"/>
        <v>40.516330307570662</v>
      </c>
      <c r="AP211" s="780">
        <f t="shared" si="1967"/>
        <v>42.136983519873489</v>
      </c>
      <c r="AQ211" s="780">
        <f t="shared" si="1967"/>
        <v>43.822462860668423</v>
      </c>
      <c r="AR211" s="780">
        <f t="shared" si="1967"/>
        <v>45.57536137509517</v>
      </c>
      <c r="AS211" s="780">
        <f t="shared" si="1967"/>
        <v>47.398375830098978</v>
      </c>
      <c r="AT211" s="780">
        <f t="shared" si="1967"/>
        <v>49.29431086330294</v>
      </c>
      <c r="AU211" s="780">
        <f t="shared" si="1967"/>
        <v>51.26608329783506</v>
      </c>
      <c r="AV211" s="780">
        <f t="shared" si="1967"/>
        <v>53.316726629748466</v>
      </c>
      <c r="AW211" s="781">
        <f t="shared" si="1967"/>
        <v>55.44939569493841</v>
      </c>
      <c r="AX211" s="782">
        <f t="shared" si="1967"/>
        <v>57.667371522735948</v>
      </c>
      <c r="AY211" s="780">
        <f t="shared" si="1967"/>
        <v>59.974066383645386</v>
      </c>
      <c r="AZ211" s="780">
        <f t="shared" si="1967"/>
        <v>62.373029038991206</v>
      </c>
      <c r="BA211" s="780">
        <f t="shared" si="1967"/>
        <v>64.867950200550851</v>
      </c>
      <c r="BB211" s="780">
        <f t="shared" si="1967"/>
        <v>67.462668208572893</v>
      </c>
      <c r="BC211" s="780">
        <f t="shared" si="1967"/>
        <v>70.161174936915813</v>
      </c>
      <c r="BD211" s="780">
        <f t="shared" si="1967"/>
        <v>72.967621934392454</v>
      </c>
      <c r="BE211" s="780">
        <f t="shared" si="1967"/>
        <v>75.886326811768157</v>
      </c>
      <c r="BF211" s="780">
        <f t="shared" si="1967"/>
        <v>78.921779884238887</v>
      </c>
      <c r="BG211" s="780">
        <f t="shared" si="1967"/>
        <v>82.078651079608449</v>
      </c>
      <c r="BH211" s="780">
        <f t="shared" si="1967"/>
        <v>85.361797122792794</v>
      </c>
      <c r="BI211" s="781">
        <f t="shared" si="1967"/>
        <v>88.776269007704514</v>
      </c>
    </row>
    <row r="212" spans="1:61" s="780" customFormat="1" hidden="1" outlineLevel="1">
      <c r="A212" s="780" t="str">
        <f>$A$537</f>
        <v>Audits</v>
      </c>
      <c r="M212" s="781"/>
      <c r="N212" s="782"/>
      <c r="W212" s="780">
        <f t="shared" ref="W212:BI212" si="1968">IF($W$5&gt;$V$5,($W$5-$V$5)*B537,0)</f>
        <v>7.8466960352422905</v>
      </c>
      <c r="X212" s="780">
        <f t="shared" si="1968"/>
        <v>8.1805560257268723</v>
      </c>
      <c r="Y212" s="781">
        <f t="shared" si="1968"/>
        <v>8.556158139083367</v>
      </c>
      <c r="Z212" s="782">
        <f t="shared" si="1968"/>
        <v>8.9523024684242678</v>
      </c>
      <c r="AA212" s="780">
        <f t="shared" si="1968"/>
        <v>9.3702787716763911</v>
      </c>
      <c r="AB212" s="780">
        <f t="shared" si="1968"/>
        <v>9.811453812672589</v>
      </c>
      <c r="AC212" s="780">
        <f t="shared" si="1968"/>
        <v>10.277273093546537</v>
      </c>
      <c r="AD212" s="780">
        <f t="shared" si="1968"/>
        <v>10.769262132442826</v>
      </c>
      <c r="AE212" s="780">
        <f t="shared" si="1968"/>
        <v>11.289027268145146</v>
      </c>
      <c r="AF212" s="780">
        <f t="shared" si="1968"/>
        <v>11.838255995812663</v>
      </c>
      <c r="AG212" s="780">
        <f t="shared" si="1968"/>
        <v>12.418716863200714</v>
      </c>
      <c r="AH212" s="780">
        <f t="shared" si="1968"/>
        <v>13.032258982971491</v>
      </c>
      <c r="AI212" s="780">
        <f t="shared" si="1968"/>
        <v>13.681748513642187</v>
      </c>
      <c r="AJ212" s="780">
        <f t="shared" si="1968"/>
        <v>14.367753613373562</v>
      </c>
      <c r="AK212" s="781">
        <f t="shared" si="1968"/>
        <v>15.094450719778326</v>
      </c>
      <c r="AL212" s="782">
        <f t="shared" si="1968"/>
        <v>15.864274704794562</v>
      </c>
      <c r="AM212" s="780">
        <f t="shared" si="1968"/>
        <v>16.679756380011042</v>
      </c>
      <c r="AN212" s="780">
        <f t="shared" si="1968"/>
        <v>17.543519083999907</v>
      </c>
      <c r="AO212" s="780">
        <f t="shared" si="1968"/>
        <v>18.458274953232511</v>
      </c>
      <c r="AP212" s="780">
        <f t="shared" si="1968"/>
        <v>19.426821075192013</v>
      </c>
      <c r="AQ212" s="780">
        <f t="shared" si="1968"/>
        <v>20.452035738521069</v>
      </c>
      <c r="AR212" s="780">
        <f t="shared" si="1968"/>
        <v>21.536874999893016</v>
      </c>
      <c r="AS212" s="780">
        <f t="shared" si="1968"/>
        <v>22.68436978011453</v>
      </c>
      <c r="AT212" s="780">
        <f t="shared" si="1968"/>
        <v>23.897623683136111</v>
      </c>
      <c r="AU212" s="780">
        <f t="shared" si="1968"/>
        <v>25.181305860088621</v>
      </c>
      <c r="AV212" s="780">
        <f t="shared" si="1968"/>
        <v>26.509539923847804</v>
      </c>
      <c r="AW212" s="781">
        <f t="shared" si="1968"/>
        <v>27.911267150389076</v>
      </c>
      <c r="AX212" s="782">
        <f t="shared" si="1968"/>
        <v>29.389855755030599</v>
      </c>
      <c r="AY212" s="780">
        <f t="shared" si="1968"/>
        <v>30.948754132327405</v>
      </c>
      <c r="AZ212" s="780">
        <f t="shared" si="1968"/>
        <v>32.591491812026852</v>
      </c>
      <c r="BA212" s="780">
        <f t="shared" si="1968"/>
        <v>34.321681088998503</v>
      </c>
      <c r="BB212" s="780">
        <f t="shared" si="1968"/>
        <v>36.143019351142293</v>
      </c>
      <c r="BC212" s="780">
        <f t="shared" si="1968"/>
        <v>38.059292115999952</v>
      </c>
      <c r="BD212" s="780">
        <f t="shared" si="1968"/>
        <v>40.074376775040108</v>
      </c>
      <c r="BE212" s="780">
        <f t="shared" si="1968"/>
        <v>42.192247034738458</v>
      </c>
      <c r="BF212" s="780">
        <f t="shared" si="1968"/>
        <v>44.416978035864261</v>
      </c>
      <c r="BG212" s="780">
        <f t="shared" si="1968"/>
        <v>46.752752126886328</v>
      </c>
      <c r="BH212" s="780">
        <f t="shared" si="1968"/>
        <v>49.082921316266599</v>
      </c>
      <c r="BI212" s="781">
        <f t="shared" si="1968"/>
        <v>51.522543979321924</v>
      </c>
    </row>
    <row r="213" spans="1:61" s="780" customFormat="1" hidden="1" outlineLevel="1">
      <c r="A213" s="780" t="str">
        <f>$A$538</f>
        <v>Retrofit</v>
      </c>
      <c r="M213" s="781"/>
      <c r="N213" s="782"/>
      <c r="W213" s="780">
        <f t="shared" ref="W213:BI213" si="1969">IF($W$5&gt;$V$5,($W$5-$V$5)*B538,0)</f>
        <v>3.2741145374449339</v>
      </c>
      <c r="X213" s="780">
        <f t="shared" si="1969"/>
        <v>3.4211429613668018</v>
      </c>
      <c r="Y213" s="781">
        <f t="shared" si="1969"/>
        <v>3.6089747928733105</v>
      </c>
      <c r="Z213" s="782">
        <f t="shared" si="1969"/>
        <v>3.80943356172375</v>
      </c>
      <c r="AA213" s="780">
        <f t="shared" si="1969"/>
        <v>4.023495407635</v>
      </c>
      <c r="AB213" s="780">
        <f t="shared" si="1969"/>
        <v>4.2522035025469851</v>
      </c>
      <c r="AC213" s="780">
        <f t="shared" si="1969"/>
        <v>4.4966691121698661</v>
      </c>
      <c r="AD213" s="780">
        <f t="shared" si="1969"/>
        <v>4.7580720961942786</v>
      </c>
      <c r="AE213" s="780">
        <f t="shared" si="1969"/>
        <v>5.0376608331454982</v>
      </c>
      <c r="AF213" s="780">
        <f t="shared" si="1969"/>
        <v>5.3367515834608863</v>
      </c>
      <c r="AG213" s="780">
        <f t="shared" si="1969"/>
        <v>5.6567273345837759</v>
      </c>
      <c r="AH213" s="780">
        <f t="shared" si="1969"/>
        <v>5.9990362027609887</v>
      </c>
      <c r="AI213" s="780">
        <f t="shared" si="1969"/>
        <v>6.3656710756275423</v>
      </c>
      <c r="AJ213" s="780">
        <f t="shared" si="1969"/>
        <v>6.7527905497767229</v>
      </c>
      <c r="AK213" s="781">
        <f t="shared" si="1969"/>
        <v>7.1679946156961591</v>
      </c>
      <c r="AL213" s="782">
        <f t="shared" si="1969"/>
        <v>7.6132687220703144</v>
      </c>
      <c r="AM213" s="780">
        <f t="shared" si="1969"/>
        <v>8.0906802436821312</v>
      </c>
      <c r="AN213" s="780">
        <f t="shared" si="1969"/>
        <v>8.6023733713231554</v>
      </c>
      <c r="AO213" s="780">
        <f t="shared" si="1969"/>
        <v>9.1505635635964193</v>
      </c>
      <c r="AP213" s="780">
        <f t="shared" si="1969"/>
        <v>9.7375318038296879</v>
      </c>
      <c r="AQ213" s="780">
        <f t="shared" si="1969"/>
        <v>10.365618926205418</v>
      </c>
      <c r="AR213" s="780">
        <f t="shared" si="1969"/>
        <v>11.037220281947453</v>
      </c>
      <c r="AS213" s="780">
        <f t="shared" si="1969"/>
        <v>11.754781008099396</v>
      </c>
      <c r="AT213" s="780">
        <f t="shared" si="1969"/>
        <v>12.520792138493604</v>
      </c>
      <c r="AU213" s="780">
        <f t="shared" si="1969"/>
        <v>13.338724403473293</v>
      </c>
      <c r="AV213" s="780">
        <f t="shared" si="1969"/>
        <v>14.173899457244383</v>
      </c>
      <c r="AW213" s="781">
        <f t="shared" si="1969"/>
        <v>15.06160093928195</v>
      </c>
      <c r="AX213" s="782">
        <f t="shared" si="1969"/>
        <v>16.004396182835173</v>
      </c>
      <c r="AY213" s="780">
        <f t="shared" si="1969"/>
        <v>17.004903510314108</v>
      </c>
      <c r="AZ213" s="780">
        <f t="shared" si="1969"/>
        <v>18.065792108500531</v>
      </c>
      <c r="BA213" s="780">
        <f t="shared" si="1969"/>
        <v>19.189782637475492</v>
      </c>
      <c r="BB213" s="780">
        <f t="shared" si="1969"/>
        <v>20.379648596658086</v>
      </c>
      <c r="BC213" s="780">
        <f t="shared" si="1969"/>
        <v>21.638218454438508</v>
      </c>
      <c r="BD213" s="780">
        <f t="shared" si="1969"/>
        <v>22.968378532837651</v>
      </c>
      <c r="BE213" s="780">
        <f t="shared" si="1969"/>
        <v>24.373076625940293</v>
      </c>
      <c r="BF213" s="780">
        <f t="shared" si="1969"/>
        <v>25.855326320842856</v>
      </c>
      <c r="BG213" s="780">
        <f t="shared" si="1969"/>
        <v>27.418211982649215</v>
      </c>
      <c r="BH213" s="780">
        <f t="shared" si="1969"/>
        <v>28.912823637439345</v>
      </c>
      <c r="BI213" s="781">
        <f t="shared" si="1969"/>
        <v>30.481264211401022</v>
      </c>
    </row>
    <row r="214" spans="1:61" s="780" customFormat="1" hidden="1" outlineLevel="1">
      <c r="A214" s="780" t="str">
        <f>$A$539</f>
        <v>Revenue</v>
      </c>
      <c r="M214" s="781"/>
      <c r="N214" s="782"/>
      <c r="W214" s="780">
        <f t="shared" ref="W214:BI214" si="1970">IF($W$5&gt;$V$5,($W$5-$V$5)*B539,0)</f>
        <v>20728.933920704847</v>
      </c>
      <c r="X214" s="780">
        <f t="shared" si="1970"/>
        <v>22334.796424579898</v>
      </c>
      <c r="Y214" s="781">
        <f t="shared" si="1970"/>
        <v>24261.379157843236</v>
      </c>
      <c r="Z214" s="782">
        <f t="shared" si="1970"/>
        <v>27109.041527058151</v>
      </c>
      <c r="AA214" s="780">
        <f t="shared" si="1970"/>
        <v>29411.012063918617</v>
      </c>
      <c r="AB214" s="780">
        <f t="shared" si="1970"/>
        <v>31904.731979940196</v>
      </c>
      <c r="AC214" s="780">
        <f t="shared" si="1970"/>
        <v>34157.516935543477</v>
      </c>
      <c r="AD214" s="780">
        <f t="shared" si="1970"/>
        <v>36585.144030160183</v>
      </c>
      <c r="AE214" s="780">
        <f t="shared" si="1970"/>
        <v>39202.024549786183</v>
      </c>
      <c r="AF214" s="780">
        <f t="shared" si="1970"/>
        <v>41489.907780370268</v>
      </c>
      <c r="AG214" s="780">
        <f t="shared" si="1970"/>
        <v>43934.936399734994</v>
      </c>
      <c r="AH214" s="780">
        <f t="shared" si="1970"/>
        <v>46547.932291314006</v>
      </c>
      <c r="AI214" s="780">
        <f t="shared" si="1970"/>
        <v>48812.622611071754</v>
      </c>
      <c r="AJ214" s="780">
        <f t="shared" si="1970"/>
        <v>51746.745047763237</v>
      </c>
      <c r="AK214" s="781">
        <f t="shared" si="1970"/>
        <v>54891.491572423707</v>
      </c>
      <c r="AL214" s="782">
        <f t="shared" si="1970"/>
        <v>58261.704056497998</v>
      </c>
      <c r="AM214" s="780">
        <f t="shared" si="1970"/>
        <v>61872.837706819933</v>
      </c>
      <c r="AN214" s="780">
        <f t="shared" si="1970"/>
        <v>65740.922877654608</v>
      </c>
      <c r="AO214" s="780">
        <f t="shared" si="1970"/>
        <v>69882.52360507095</v>
      </c>
      <c r="AP214" s="780">
        <f t="shared" si="1970"/>
        <v>74314.694687467563</v>
      </c>
      <c r="AQ214" s="780">
        <f t="shared" si="1970"/>
        <v>79054.939292696072</v>
      </c>
      <c r="AR214" s="780">
        <f t="shared" si="1970"/>
        <v>84121.169122674793</v>
      </c>
      <c r="AS214" s="780">
        <f t="shared" si="1970"/>
        <v>89531.669104034416</v>
      </c>
      <c r="AT214" s="780">
        <f t="shared" si="1970"/>
        <v>95305.068401244935</v>
      </c>
      <c r="AU214" s="780">
        <f t="shared" si="1970"/>
        <v>101467.05911812153</v>
      </c>
      <c r="AV214" s="780">
        <f t="shared" si="1970"/>
        <v>107757.45533319093</v>
      </c>
      <c r="AW214" s="781">
        <f t="shared" si="1970"/>
        <v>114440.84237520174</v>
      </c>
      <c r="AX214" s="782">
        <f t="shared" si="1970"/>
        <v>121536.40957263115</v>
      </c>
      <c r="AY214" s="780">
        <f t="shared" si="1970"/>
        <v>129063.73094559579</v>
      </c>
      <c r="AZ214" s="780">
        <f t="shared" si="1970"/>
        <v>137042.76458890198</v>
      </c>
      <c r="BA214" s="780">
        <f t="shared" si="1970"/>
        <v>145493.85755130055</v>
      </c>
      <c r="BB214" s="780">
        <f t="shared" si="1970"/>
        <v>154437.75638435522</v>
      </c>
      <c r="BC214" s="780">
        <f t="shared" si="1970"/>
        <v>163895.6234075159</v>
      </c>
      <c r="BD214" s="780">
        <f t="shared" si="1970"/>
        <v>173889.05862314338</v>
      </c>
      <c r="BE214" s="780">
        <f t="shared" si="1970"/>
        <v>184440.12712015139</v>
      </c>
      <c r="BF214" s="780">
        <f t="shared" si="1970"/>
        <v>195571.39172995961</v>
      </c>
      <c r="BG214" s="780">
        <f t="shared" si="1970"/>
        <v>207305.95064449144</v>
      </c>
      <c r="BH214" s="780">
        <f t="shared" si="1970"/>
        <v>218526.82830504962</v>
      </c>
      <c r="BI214" s="781">
        <f t="shared" si="1970"/>
        <v>230299.88241457404</v>
      </c>
    </row>
    <row r="215" spans="1:61" s="780" customFormat="1" hidden="1" outlineLevel="1">
      <c r="A215" s="780" t="str">
        <f>$A$540</f>
        <v>Net Income</v>
      </c>
      <c r="M215" s="781"/>
      <c r="N215" s="782"/>
      <c r="W215" s="780">
        <f t="shared" ref="W215:BI215" si="1971">IF($W$5&gt;$V$5,($W$5-$V$5)*B540,0)</f>
        <v>-33184.964170807638</v>
      </c>
      <c r="X215" s="780">
        <f t="shared" si="1971"/>
        <v>-14837.14568100147</v>
      </c>
      <c r="Y215" s="781">
        <f t="shared" si="1971"/>
        <v>-14268.717003781454</v>
      </c>
      <c r="Z215" s="782">
        <f t="shared" si="1971"/>
        <v>-13405.013342705901</v>
      </c>
      <c r="AA215" s="780">
        <f t="shared" si="1971"/>
        <v>-12685.072540306182</v>
      </c>
      <c r="AB215" s="780">
        <f t="shared" si="1971"/>
        <v>-17604.404805924125</v>
      </c>
      <c r="AC215" s="780">
        <f t="shared" si="1971"/>
        <v>-15156.124616524507</v>
      </c>
      <c r="AD215" s="780">
        <f t="shared" si="1971"/>
        <v>-13971.31609512752</v>
      </c>
      <c r="AE215" s="780">
        <f t="shared" si="1971"/>
        <v>-13027.555718246989</v>
      </c>
      <c r="AF215" s="780">
        <f t="shared" si="1971"/>
        <v>-12167.444211420123</v>
      </c>
      <c r="AG215" s="780">
        <f t="shared" si="1971"/>
        <v>-11228.257793696379</v>
      </c>
      <c r="AH215" s="780">
        <f t="shared" si="1971"/>
        <v>-10203.756141625032</v>
      </c>
      <c r="AI215" s="780">
        <f t="shared" si="1971"/>
        <v>-8928.9645055486872</v>
      </c>
      <c r="AJ215" s="780">
        <f t="shared" si="1971"/>
        <v>-6565.2951604608934</v>
      </c>
      <c r="AK215" s="781">
        <f t="shared" si="1971"/>
        <v>-7951.6323699894165</v>
      </c>
      <c r="AL215" s="782">
        <f t="shared" si="1971"/>
        <v>-6483.5792380389103</v>
      </c>
      <c r="AM215" s="780">
        <f t="shared" si="1971"/>
        <v>-5307.1722049655655</v>
      </c>
      <c r="AN215" s="780">
        <f t="shared" si="1971"/>
        <v>-3966.3475887754175</v>
      </c>
      <c r="AO215" s="780">
        <f t="shared" si="1971"/>
        <v>-2466.8649492429358</v>
      </c>
      <c r="AP215" s="780">
        <f t="shared" si="1971"/>
        <v>-826.64406907309967</v>
      </c>
      <c r="AQ215" s="780">
        <f t="shared" si="1971"/>
        <v>-10770.241509529737</v>
      </c>
      <c r="AR215" s="780">
        <f t="shared" si="1971"/>
        <v>-19174.962642260827</v>
      </c>
      <c r="AS215" s="780">
        <f t="shared" si="1971"/>
        <v>-16925.443971653156</v>
      </c>
      <c r="AT215" s="780">
        <f t="shared" si="1971"/>
        <v>-25696.207513260568</v>
      </c>
      <c r="AU215" s="780">
        <f t="shared" si="1971"/>
        <v>-30466.524333613874</v>
      </c>
      <c r="AV215" s="780">
        <f t="shared" si="1971"/>
        <v>-30644.209260269774</v>
      </c>
      <c r="AW215" s="781">
        <f t="shared" si="1971"/>
        <v>-25743.81021126837</v>
      </c>
      <c r="AX215" s="782">
        <f t="shared" si="1971"/>
        <v>-25374.965354328699</v>
      </c>
      <c r="AY215" s="780">
        <f t="shared" si="1971"/>
        <v>-21685.632709168298</v>
      </c>
      <c r="AZ215" s="780">
        <f t="shared" si="1971"/>
        <v>-17735.699053003482</v>
      </c>
      <c r="BA215" s="780">
        <f t="shared" si="1971"/>
        <v>-25824.517795504849</v>
      </c>
      <c r="BB215" s="780">
        <f t="shared" si="1971"/>
        <v>-13812.381476188923</v>
      </c>
      <c r="BC215" s="780">
        <f t="shared" si="1971"/>
        <v>-15733.807969274916</v>
      </c>
      <c r="BD215" s="780">
        <f t="shared" si="1971"/>
        <v>-12981.108202038886</v>
      </c>
      <c r="BE215" s="780">
        <f t="shared" si="1971"/>
        <v>-27659.485752690453</v>
      </c>
      <c r="BF215" s="780">
        <f t="shared" si="1971"/>
        <v>-14368.892474155029</v>
      </c>
      <c r="BG215" s="780">
        <f t="shared" si="1971"/>
        <v>-16222.784178653252</v>
      </c>
      <c r="BH215" s="780">
        <f t="shared" si="1971"/>
        <v>-10757.412118790759</v>
      </c>
      <c r="BI215" s="781">
        <f t="shared" si="1971"/>
        <v>-7276.3573668028694</v>
      </c>
    </row>
    <row r="216" spans="1:61" s="780" customFormat="1" hidden="1" outlineLevel="1">
      <c r="A216" s="780" t="str">
        <f>$A$541</f>
        <v>Program Revenue</v>
      </c>
      <c r="M216" s="781"/>
      <c r="N216" s="782"/>
      <c r="W216" s="780">
        <f t="shared" ref="W216" si="1972">IF($W$5&gt;$V$5,($W$5-$V$5)*B541,0)</f>
        <v>1850</v>
      </c>
      <c r="X216" s="780">
        <f t="shared" ref="X216" si="1973">IF($W$5&gt;$V$5,($W$5-$V$5)*C541,0)</f>
        <v>1937.1558751999999</v>
      </c>
      <c r="Y216" s="781">
        <f t="shared" ref="Y216" si="1974">IF($W$5&gt;$V$5,($W$5-$V$5)*D541,0)</f>
        <v>2030.0190587848704</v>
      </c>
      <c r="Z216" s="782">
        <f t="shared" ref="Z216" si="1975">IF($W$5&gt;$V$5,($W$5-$V$5)*E541,0)</f>
        <v>2128.941218449359</v>
      </c>
      <c r="AA216" s="780">
        <f t="shared" ref="AA216" si="1976">IF($W$5&gt;$V$5,($W$5-$V$5)*F541,0)</f>
        <v>2234.2900324673633</v>
      </c>
      <c r="AB216" s="780">
        <f t="shared" ref="AB216" si="1977">IF($W$5&gt;$V$5,($W$5-$V$5)*G541,0)</f>
        <v>2346.4496034726417</v>
      </c>
      <c r="AC216" s="780">
        <f t="shared" ref="AC216" si="1978">IF($W$5&gt;$V$5,($W$5-$V$5)*H541,0)</f>
        <v>2465.8208731027789</v>
      </c>
      <c r="AD216" s="780">
        <f t="shared" ref="AD216" si="1979">IF($W$5&gt;$V$5,($W$5-$V$5)*I541,0)</f>
        <v>2592.8220377557409</v>
      </c>
      <c r="AE216" s="780">
        <f t="shared" ref="AE216" si="1980">IF($W$5&gt;$V$5,($W$5-$V$5)*J541,0)</f>
        <v>2727.8889657926175</v>
      </c>
      <c r="AF216" s="780">
        <f t="shared" ref="AF216" si="1981">IF($W$5&gt;$V$5,($W$5-$V$5)*K541,0)</f>
        <v>2871.4756166091629</v>
      </c>
      <c r="AG216" s="780">
        <f t="shared" ref="AG216" si="1982">IF($W$5&gt;$V$5,($W$5-$V$5)*L541,0)</f>
        <v>3024.0544620924302</v>
      </c>
      <c r="AH216" s="780">
        <f t="shared" ref="AH216" si="1983">IF($W$5&gt;$V$5,($W$5-$V$5)*M541,0)</f>
        <v>3186.1169110768442</v>
      </c>
      <c r="AI216" s="780">
        <f t="shared" ref="AI216" si="1984">IF($W$5&gt;$V$5,($W$5-$V$5)*N541,0)</f>
        <v>3358.9807376414046</v>
      </c>
      <c r="AJ216" s="780">
        <f t="shared" ref="AJ216" si="1985">IF($W$5&gt;$V$5,($W$5-$V$5)*O541,0)</f>
        <v>3543.2416591361321</v>
      </c>
      <c r="AK216" s="781">
        <f t="shared" ref="AK216" si="1986">IF($W$5&gt;$V$5,($W$5-$V$5)*P541,0)</f>
        <v>3739.515514961849</v>
      </c>
      <c r="AL216" s="782">
        <f t="shared" ref="AL216" si="1987">IF($W$5&gt;$V$5,($W$5-$V$5)*Q541,0)</f>
        <v>3948.4383904349252</v>
      </c>
      <c r="AM216" s="780">
        <f t="shared" ref="AM216" si="1988">IF($W$5&gt;$V$5,($W$5-$V$5)*R541,0)</f>
        <v>4170.6667372134807</v>
      </c>
      <c r="AN216" s="780">
        <f t="shared" ref="AN216" si="1989">IF($W$5&gt;$V$5,($W$5-$V$5)*S541,0)</f>
        <v>4406.877493173627</v>
      </c>
      <c r="AO216" s="780">
        <f t="shared" ref="AO216" si="1990">IF($W$5&gt;$V$5,($W$5-$V$5)*T541,0)</f>
        <v>4657.7682048703127</v>
      </c>
      <c r="AP216" s="780">
        <f t="shared" ref="AP216" si="1991">IF($W$5&gt;$V$5,($W$5-$V$5)*U541,0)</f>
        <v>4924.0571559566215</v>
      </c>
      <c r="AQ216" s="780">
        <f t="shared" ref="AQ216" si="1992">IF($W$5&gt;$V$5,($W$5-$V$5)*V541,0)</f>
        <v>5206.4835051661303</v>
      </c>
      <c r="AR216" s="780">
        <f t="shared" ref="AR216" si="1993">IF($W$5&gt;$V$5,($W$5-$V$5)*W541,0)</f>
        <v>5505.8074376836603</v>
      </c>
      <c r="AS216" s="780">
        <f t="shared" ref="AS216" si="1994">IF($W$5&gt;$V$5,($W$5-$V$5)*X541,0)</f>
        <v>5822.8103339388172</v>
      </c>
      <c r="AT216" s="780">
        <f t="shared" ref="AT216" si="1995">IF($W$5&gt;$V$5,($W$5-$V$5)*Y541,0)</f>
        <v>6158.2949600526208</v>
      </c>
      <c r="AU216" s="780">
        <f t="shared" ref="AU216" si="1996">IF($W$5&gt;$V$5,($W$5-$V$5)*Z541,0)</f>
        <v>6514.1392664878649</v>
      </c>
      <c r="AV216" s="780">
        <f t="shared" ref="AV216" si="1997">IF($W$5&gt;$V$5,($W$5-$V$5)*AA541,0)</f>
        <v>6891.2420929122554</v>
      </c>
      <c r="AW216" s="781">
        <f t="shared" ref="AW216" si="1998">IF($W$5&gt;$V$5,($W$5-$V$5)*AB541,0)</f>
        <v>7290.5201481641989</v>
      </c>
      <c r="AX216" s="782">
        <f t="shared" ref="AX216" si="1999">IF($W$5&gt;$V$5,($W$5-$V$5)*AC541,0)</f>
        <v>7712.9078999165331</v>
      </c>
      <c r="AY216" s="780">
        <f t="shared" ref="AY216" si="2000">IF($W$5&gt;$V$5,($W$5-$V$5)*AD541,0)</f>
        <v>8159.357530652579</v>
      </c>
      <c r="AZ216" s="780">
        <f t="shared" ref="AZ216" si="2001">IF($W$5&gt;$V$5,($W$5-$V$5)*AE541,0)</f>
        <v>8630.8389688113039</v>
      </c>
      <c r="BA216" s="780">
        <f t="shared" ref="BA216" si="2002">IF($W$5&gt;$V$5,($W$5-$V$5)*AF541,0)</f>
        <v>9128.3400039027438</v>
      </c>
      <c r="BB216" s="780">
        <f t="shared" ref="BB216" si="2003">IF($W$5&gt;$V$5,($W$5-$V$5)*AG541,0)</f>
        <v>9652.8664942797932</v>
      </c>
      <c r="BC216" s="780">
        <f t="shared" ref="BC216" si="2004">IF($W$5&gt;$V$5,($W$5-$V$5)*AH541,0)</f>
        <v>10205.442676078563</v>
      </c>
      <c r="BD216" s="780">
        <f t="shared" ref="BD216" si="2005">IF($W$5&gt;$V$5,($W$5-$V$5)*AI541,0)</f>
        <v>10787.111581608189</v>
      </c>
      <c r="BE216" s="780">
        <f t="shared" ref="BE216" si="2006">IF($W$5&gt;$V$5,($W$5-$V$5)*AJ541,0)</f>
        <v>11398.935575183927</v>
      </c>
      <c r="BF216" s="780">
        <f t="shared" ref="BF216" si="2007">IF($W$5&gt;$V$5,($W$5-$V$5)*AK541,0)</f>
        <v>12041.997014057681</v>
      </c>
      <c r="BG216" s="780">
        <f t="shared" ref="BG216" si="2008">IF($W$5&gt;$V$5,($W$5-$V$5)*AL541,0)</f>
        <v>11309.223860591001</v>
      </c>
      <c r="BH216" s="780">
        <f t="shared" ref="BH216" si="2009">IF($W$5&gt;$V$5,($W$5-$V$5)*AM541,0)</f>
        <v>11938.59815317693</v>
      </c>
      <c r="BI216" s="781">
        <f t="shared" ref="BI216" si="2010">IF($W$5&gt;$V$5,($W$5-$V$5)*AN541,0)</f>
        <v>12598.640561226617</v>
      </c>
    </row>
    <row r="217" spans="1:61" s="780" customFormat="1" hidden="1" outlineLevel="1">
      <c r="M217" s="781"/>
      <c r="N217" s="782"/>
      <c r="Y217" s="781"/>
      <c r="Z217" s="782"/>
      <c r="AK217" s="781"/>
      <c r="AL217" s="782"/>
      <c r="AW217" s="781"/>
      <c r="AX217" s="782"/>
      <c r="BI217" s="781"/>
    </row>
    <row r="218" spans="1:61" s="780" customFormat="1" hidden="1" outlineLevel="1">
      <c r="A218" s="780" t="s">
        <v>359</v>
      </c>
      <c r="M218" s="781"/>
      <c r="N218" s="782"/>
      <c r="X218" s="780">
        <f>IF($X$5&gt;$W$5,($X$5-$W$5)*B535,0)</f>
        <v>0</v>
      </c>
      <c r="Y218" s="781">
        <f t="shared" ref="Y218" si="2011">IF($X$5&gt;$W$5,($X$5-$W$5)*C535,0)</f>
        <v>0</v>
      </c>
      <c r="Z218" s="782">
        <f t="shared" ref="Z218" si="2012">IF($X$5&gt;$W$5,($X$5-$W$5)*D535,0)</f>
        <v>0</v>
      </c>
      <c r="AA218" s="780">
        <f t="shared" ref="AA218" si="2013">IF($X$5&gt;$W$5,($X$5-$W$5)*E535,0)</f>
        <v>0</v>
      </c>
      <c r="AB218" s="780">
        <f t="shared" ref="AB218" si="2014">IF($X$5&gt;$W$5,($X$5-$W$5)*F535,0)</f>
        <v>0</v>
      </c>
      <c r="AC218" s="780">
        <f t="shared" ref="AC218" si="2015">IF($X$5&gt;$W$5,($X$5-$W$5)*G535,0)</f>
        <v>0</v>
      </c>
      <c r="AD218" s="780">
        <f t="shared" ref="AD218" si="2016">IF($X$5&gt;$W$5,($X$5-$W$5)*H535,0)</f>
        <v>0</v>
      </c>
      <c r="AE218" s="780">
        <f t="shared" ref="AE218" si="2017">IF($X$5&gt;$W$5,($X$5-$W$5)*I535,0)</f>
        <v>0</v>
      </c>
      <c r="AF218" s="780">
        <f t="shared" ref="AF218" si="2018">IF($X$5&gt;$W$5,($X$5-$W$5)*J535,0)</f>
        <v>0</v>
      </c>
      <c r="AG218" s="780">
        <f t="shared" ref="AG218" si="2019">IF($X$5&gt;$W$5,($X$5-$W$5)*K535,0)</f>
        <v>0</v>
      </c>
      <c r="AH218" s="780">
        <f t="shared" ref="AH218" si="2020">IF($X$5&gt;$W$5,($X$5-$W$5)*L535,0)</f>
        <v>0</v>
      </c>
      <c r="AI218" s="780">
        <f t="shared" ref="AI218" si="2021">IF($X$5&gt;$W$5,($X$5-$W$5)*M535,0)</f>
        <v>0</v>
      </c>
      <c r="AJ218" s="780">
        <f t="shared" ref="AJ218" si="2022">IF($X$5&gt;$W$5,($X$5-$W$5)*N535,0)</f>
        <v>0</v>
      </c>
      <c r="AK218" s="781">
        <f t="shared" ref="AK218" si="2023">IF($X$5&gt;$W$5,($X$5-$W$5)*O535,0)</f>
        <v>0</v>
      </c>
      <c r="AL218" s="782">
        <f t="shared" ref="AL218" si="2024">IF($X$5&gt;$W$5,($X$5-$W$5)*P535,0)</f>
        <v>0</v>
      </c>
      <c r="AM218" s="780">
        <f t="shared" ref="AM218" si="2025">IF($X$5&gt;$W$5,($X$5-$W$5)*Q535,0)</f>
        <v>0</v>
      </c>
      <c r="AN218" s="780">
        <f t="shared" ref="AN218" si="2026">IF($X$5&gt;$W$5,($X$5-$W$5)*R535,0)</f>
        <v>0</v>
      </c>
      <c r="AO218" s="780">
        <f t="shared" ref="AO218" si="2027">IF($X$5&gt;$W$5,($X$5-$W$5)*S535,0)</f>
        <v>0</v>
      </c>
      <c r="AP218" s="780">
        <f t="shared" ref="AP218" si="2028">IF($X$5&gt;$W$5,($X$5-$W$5)*T535,0)</f>
        <v>0</v>
      </c>
      <c r="AQ218" s="780">
        <f t="shared" ref="AQ218" si="2029">IF($X$5&gt;$W$5,($X$5-$W$5)*U535,0)</f>
        <v>0</v>
      </c>
      <c r="AR218" s="780">
        <f t="shared" ref="AR218" si="2030">IF($X$5&gt;$W$5,($X$5-$W$5)*V535,0)</f>
        <v>0</v>
      </c>
      <c r="AS218" s="780">
        <f t="shared" ref="AS218" si="2031">IF($X$5&gt;$W$5,($X$5-$W$5)*W535,0)</f>
        <v>0</v>
      </c>
      <c r="AT218" s="780">
        <f t="shared" ref="AT218" si="2032">IF($X$5&gt;$W$5,($X$5-$W$5)*X535,0)</f>
        <v>0</v>
      </c>
      <c r="AU218" s="780">
        <f t="shared" ref="AU218" si="2033">IF($X$5&gt;$W$5,($X$5-$W$5)*Y535,0)</f>
        <v>0</v>
      </c>
      <c r="AV218" s="780">
        <f t="shared" ref="AV218" si="2034">IF($X$5&gt;$W$5,($X$5-$W$5)*Z535,0)</f>
        <v>0</v>
      </c>
      <c r="AW218" s="781">
        <f t="shared" ref="AW218" si="2035">IF($X$5&gt;$W$5,($X$5-$W$5)*AA535,0)</f>
        <v>0</v>
      </c>
      <c r="AX218" s="782">
        <f t="shared" ref="AX218" si="2036">IF($X$5&gt;$W$5,($X$5-$W$5)*AB535,0)</f>
        <v>0</v>
      </c>
      <c r="AY218" s="780">
        <f t="shared" ref="AY218" si="2037">IF($X$5&gt;$W$5,($X$5-$W$5)*AC535,0)</f>
        <v>0</v>
      </c>
      <c r="AZ218" s="780">
        <f t="shared" ref="AZ218" si="2038">IF($X$5&gt;$W$5,($X$5-$W$5)*AD535,0)</f>
        <v>0</v>
      </c>
      <c r="BA218" s="780">
        <f t="shared" ref="BA218" si="2039">IF($X$5&gt;$W$5,($X$5-$W$5)*AE535,0)</f>
        <v>0</v>
      </c>
      <c r="BB218" s="780">
        <f t="shared" ref="BB218" si="2040">IF($X$5&gt;$W$5,($X$5-$W$5)*AF535,0)</f>
        <v>0</v>
      </c>
      <c r="BC218" s="780">
        <f t="shared" ref="BC218" si="2041">IF($X$5&gt;$W$5,($X$5-$W$5)*AG535,0)</f>
        <v>0</v>
      </c>
      <c r="BD218" s="780">
        <f t="shared" ref="BD218" si="2042">IF($X$5&gt;$W$5,($X$5-$W$5)*AH535,0)</f>
        <v>0</v>
      </c>
      <c r="BE218" s="780">
        <f t="shared" ref="BE218" si="2043">IF($X$5&gt;$W$5,($X$5-$W$5)*AI535,0)</f>
        <v>0</v>
      </c>
      <c r="BF218" s="780">
        <f t="shared" ref="BF218" si="2044">IF($X$5&gt;$W$5,($X$5-$W$5)*AJ535,0)</f>
        <v>0</v>
      </c>
      <c r="BG218" s="780">
        <f t="shared" ref="BG218" si="2045">IF($X$5&gt;$W$5,($X$5-$W$5)*AK535,0)</f>
        <v>0</v>
      </c>
      <c r="BH218" s="780">
        <f t="shared" ref="BH218" si="2046">IF($X$5&gt;$W$5,($X$5-$W$5)*AL535,0)</f>
        <v>0</v>
      </c>
      <c r="BI218" s="781">
        <f t="shared" ref="BI218" si="2047">IF($X$5&gt;$W$5,($X$5-$W$5)*AM535,0)</f>
        <v>0</v>
      </c>
    </row>
    <row r="219" spans="1:61" s="780" customFormat="1" hidden="1" outlineLevel="1">
      <c r="A219" s="780" t="str">
        <f>$A$536</f>
        <v>Leads</v>
      </c>
      <c r="M219" s="781"/>
      <c r="N219" s="782"/>
      <c r="X219" s="780">
        <f>IF($X$5&gt;$W$5,($X$5-$W$5)*B536,0)</f>
        <v>0</v>
      </c>
      <c r="Y219" s="781">
        <f t="shared" ref="Y219:BI219" si="2048">IF($X$5&gt;$W$5,($X$5-$W$5)*C536,0)</f>
        <v>0</v>
      </c>
      <c r="Z219" s="782">
        <f t="shared" si="2048"/>
        <v>0</v>
      </c>
      <c r="AA219" s="780">
        <f t="shared" si="2048"/>
        <v>0</v>
      </c>
      <c r="AB219" s="780">
        <f t="shared" si="2048"/>
        <v>0</v>
      </c>
      <c r="AC219" s="780">
        <f t="shared" si="2048"/>
        <v>0</v>
      </c>
      <c r="AD219" s="780">
        <f t="shared" si="2048"/>
        <v>0</v>
      </c>
      <c r="AE219" s="780">
        <f t="shared" si="2048"/>
        <v>0</v>
      </c>
      <c r="AF219" s="780">
        <f t="shared" si="2048"/>
        <v>0</v>
      </c>
      <c r="AG219" s="780">
        <f t="shared" si="2048"/>
        <v>0</v>
      </c>
      <c r="AH219" s="780">
        <f t="shared" si="2048"/>
        <v>0</v>
      </c>
      <c r="AI219" s="780">
        <f t="shared" si="2048"/>
        <v>0</v>
      </c>
      <c r="AJ219" s="780">
        <f t="shared" si="2048"/>
        <v>0</v>
      </c>
      <c r="AK219" s="781">
        <f t="shared" si="2048"/>
        <v>0</v>
      </c>
      <c r="AL219" s="782">
        <f t="shared" si="2048"/>
        <v>0</v>
      </c>
      <c r="AM219" s="780">
        <f t="shared" si="2048"/>
        <v>0</v>
      </c>
      <c r="AN219" s="780">
        <f t="shared" si="2048"/>
        <v>0</v>
      </c>
      <c r="AO219" s="780">
        <f t="shared" si="2048"/>
        <v>0</v>
      </c>
      <c r="AP219" s="780">
        <f t="shared" si="2048"/>
        <v>0</v>
      </c>
      <c r="AQ219" s="780">
        <f t="shared" si="2048"/>
        <v>0</v>
      </c>
      <c r="AR219" s="780">
        <f t="shared" si="2048"/>
        <v>0</v>
      </c>
      <c r="AS219" s="780">
        <f t="shared" si="2048"/>
        <v>0</v>
      </c>
      <c r="AT219" s="780">
        <f t="shared" si="2048"/>
        <v>0</v>
      </c>
      <c r="AU219" s="780">
        <f t="shared" si="2048"/>
        <v>0</v>
      </c>
      <c r="AV219" s="780">
        <f t="shared" si="2048"/>
        <v>0</v>
      </c>
      <c r="AW219" s="781">
        <f t="shared" si="2048"/>
        <v>0</v>
      </c>
      <c r="AX219" s="782">
        <f t="shared" si="2048"/>
        <v>0</v>
      </c>
      <c r="AY219" s="780">
        <f t="shared" si="2048"/>
        <v>0</v>
      </c>
      <c r="AZ219" s="780">
        <f t="shared" si="2048"/>
        <v>0</v>
      </c>
      <c r="BA219" s="780">
        <f t="shared" si="2048"/>
        <v>0</v>
      </c>
      <c r="BB219" s="780">
        <f t="shared" si="2048"/>
        <v>0</v>
      </c>
      <c r="BC219" s="780">
        <f t="shared" si="2048"/>
        <v>0</v>
      </c>
      <c r="BD219" s="780">
        <f t="shared" si="2048"/>
        <v>0</v>
      </c>
      <c r="BE219" s="780">
        <f t="shared" si="2048"/>
        <v>0</v>
      </c>
      <c r="BF219" s="780">
        <f t="shared" si="2048"/>
        <v>0</v>
      </c>
      <c r="BG219" s="780">
        <f t="shared" si="2048"/>
        <v>0</v>
      </c>
      <c r="BH219" s="780">
        <f t="shared" si="2048"/>
        <v>0</v>
      </c>
      <c r="BI219" s="781">
        <f t="shared" si="2048"/>
        <v>0</v>
      </c>
    </row>
    <row r="220" spans="1:61" s="780" customFormat="1" hidden="1" outlineLevel="1">
      <c r="A220" s="780" t="str">
        <f>$A$537</f>
        <v>Audits</v>
      </c>
      <c r="M220" s="781"/>
      <c r="N220" s="782"/>
      <c r="X220" s="780">
        <f t="shared" ref="X220:BI220" si="2049">IF($X$5&gt;$W$5,($X$5-$W$5)*B537,0)</f>
        <v>0</v>
      </c>
      <c r="Y220" s="781">
        <f t="shared" si="2049"/>
        <v>0</v>
      </c>
      <c r="Z220" s="782">
        <f t="shared" si="2049"/>
        <v>0</v>
      </c>
      <c r="AA220" s="780">
        <f t="shared" si="2049"/>
        <v>0</v>
      </c>
      <c r="AB220" s="780">
        <f t="shared" si="2049"/>
        <v>0</v>
      </c>
      <c r="AC220" s="780">
        <f t="shared" si="2049"/>
        <v>0</v>
      </c>
      <c r="AD220" s="780">
        <f t="shared" si="2049"/>
        <v>0</v>
      </c>
      <c r="AE220" s="780">
        <f t="shared" si="2049"/>
        <v>0</v>
      </c>
      <c r="AF220" s="780">
        <f t="shared" si="2049"/>
        <v>0</v>
      </c>
      <c r="AG220" s="780">
        <f t="shared" si="2049"/>
        <v>0</v>
      </c>
      <c r="AH220" s="780">
        <f t="shared" si="2049"/>
        <v>0</v>
      </c>
      <c r="AI220" s="780">
        <f t="shared" si="2049"/>
        <v>0</v>
      </c>
      <c r="AJ220" s="780">
        <f t="shared" si="2049"/>
        <v>0</v>
      </c>
      <c r="AK220" s="781">
        <f t="shared" si="2049"/>
        <v>0</v>
      </c>
      <c r="AL220" s="782">
        <f t="shared" si="2049"/>
        <v>0</v>
      </c>
      <c r="AM220" s="780">
        <f t="shared" si="2049"/>
        <v>0</v>
      </c>
      <c r="AN220" s="780">
        <f t="shared" si="2049"/>
        <v>0</v>
      </c>
      <c r="AO220" s="780">
        <f t="shared" si="2049"/>
        <v>0</v>
      </c>
      <c r="AP220" s="780">
        <f t="shared" si="2049"/>
        <v>0</v>
      </c>
      <c r="AQ220" s="780">
        <f t="shared" si="2049"/>
        <v>0</v>
      </c>
      <c r="AR220" s="780">
        <f t="shared" si="2049"/>
        <v>0</v>
      </c>
      <c r="AS220" s="780">
        <f t="shared" si="2049"/>
        <v>0</v>
      </c>
      <c r="AT220" s="780">
        <f t="shared" si="2049"/>
        <v>0</v>
      </c>
      <c r="AU220" s="780">
        <f t="shared" si="2049"/>
        <v>0</v>
      </c>
      <c r="AV220" s="780">
        <f t="shared" si="2049"/>
        <v>0</v>
      </c>
      <c r="AW220" s="781">
        <f t="shared" si="2049"/>
        <v>0</v>
      </c>
      <c r="AX220" s="782">
        <f t="shared" si="2049"/>
        <v>0</v>
      </c>
      <c r="AY220" s="780">
        <f t="shared" si="2049"/>
        <v>0</v>
      </c>
      <c r="AZ220" s="780">
        <f t="shared" si="2049"/>
        <v>0</v>
      </c>
      <c r="BA220" s="780">
        <f t="shared" si="2049"/>
        <v>0</v>
      </c>
      <c r="BB220" s="780">
        <f t="shared" si="2049"/>
        <v>0</v>
      </c>
      <c r="BC220" s="780">
        <f t="shared" si="2049"/>
        <v>0</v>
      </c>
      <c r="BD220" s="780">
        <f t="shared" si="2049"/>
        <v>0</v>
      </c>
      <c r="BE220" s="780">
        <f t="shared" si="2049"/>
        <v>0</v>
      </c>
      <c r="BF220" s="780">
        <f t="shared" si="2049"/>
        <v>0</v>
      </c>
      <c r="BG220" s="780">
        <f t="shared" si="2049"/>
        <v>0</v>
      </c>
      <c r="BH220" s="780">
        <f t="shared" si="2049"/>
        <v>0</v>
      </c>
      <c r="BI220" s="781">
        <f t="shared" si="2049"/>
        <v>0</v>
      </c>
    </row>
    <row r="221" spans="1:61" s="780" customFormat="1" hidden="1" outlineLevel="1">
      <c r="A221" s="780" t="str">
        <f>$A$538</f>
        <v>Retrofit</v>
      </c>
      <c r="M221" s="781"/>
      <c r="N221" s="782"/>
      <c r="X221" s="780">
        <f t="shared" ref="X221:BI221" si="2050">IF($X$5&gt;$W$5,($X$5-$W$5)*B538,0)</f>
        <v>0</v>
      </c>
      <c r="Y221" s="781">
        <f t="shared" si="2050"/>
        <v>0</v>
      </c>
      <c r="Z221" s="782">
        <f t="shared" si="2050"/>
        <v>0</v>
      </c>
      <c r="AA221" s="780">
        <f t="shared" si="2050"/>
        <v>0</v>
      </c>
      <c r="AB221" s="780">
        <f t="shared" si="2050"/>
        <v>0</v>
      </c>
      <c r="AC221" s="780">
        <f t="shared" si="2050"/>
        <v>0</v>
      </c>
      <c r="AD221" s="780">
        <f t="shared" si="2050"/>
        <v>0</v>
      </c>
      <c r="AE221" s="780">
        <f t="shared" si="2050"/>
        <v>0</v>
      </c>
      <c r="AF221" s="780">
        <f t="shared" si="2050"/>
        <v>0</v>
      </c>
      <c r="AG221" s="780">
        <f t="shared" si="2050"/>
        <v>0</v>
      </c>
      <c r="AH221" s="780">
        <f t="shared" si="2050"/>
        <v>0</v>
      </c>
      <c r="AI221" s="780">
        <f t="shared" si="2050"/>
        <v>0</v>
      </c>
      <c r="AJ221" s="780">
        <f t="shared" si="2050"/>
        <v>0</v>
      </c>
      <c r="AK221" s="781">
        <f t="shared" si="2050"/>
        <v>0</v>
      </c>
      <c r="AL221" s="782">
        <f t="shared" si="2050"/>
        <v>0</v>
      </c>
      <c r="AM221" s="780">
        <f t="shared" si="2050"/>
        <v>0</v>
      </c>
      <c r="AN221" s="780">
        <f t="shared" si="2050"/>
        <v>0</v>
      </c>
      <c r="AO221" s="780">
        <f t="shared" si="2050"/>
        <v>0</v>
      </c>
      <c r="AP221" s="780">
        <f t="shared" si="2050"/>
        <v>0</v>
      </c>
      <c r="AQ221" s="780">
        <f t="shared" si="2050"/>
        <v>0</v>
      </c>
      <c r="AR221" s="780">
        <f t="shared" si="2050"/>
        <v>0</v>
      </c>
      <c r="AS221" s="780">
        <f t="shared" si="2050"/>
        <v>0</v>
      </c>
      <c r="AT221" s="780">
        <f t="shared" si="2050"/>
        <v>0</v>
      </c>
      <c r="AU221" s="780">
        <f t="shared" si="2050"/>
        <v>0</v>
      </c>
      <c r="AV221" s="780">
        <f t="shared" si="2050"/>
        <v>0</v>
      </c>
      <c r="AW221" s="781">
        <f t="shared" si="2050"/>
        <v>0</v>
      </c>
      <c r="AX221" s="782">
        <f t="shared" si="2050"/>
        <v>0</v>
      </c>
      <c r="AY221" s="780">
        <f t="shared" si="2050"/>
        <v>0</v>
      </c>
      <c r="AZ221" s="780">
        <f t="shared" si="2050"/>
        <v>0</v>
      </c>
      <c r="BA221" s="780">
        <f t="shared" si="2050"/>
        <v>0</v>
      </c>
      <c r="BB221" s="780">
        <f t="shared" si="2050"/>
        <v>0</v>
      </c>
      <c r="BC221" s="780">
        <f t="shared" si="2050"/>
        <v>0</v>
      </c>
      <c r="BD221" s="780">
        <f t="shared" si="2050"/>
        <v>0</v>
      </c>
      <c r="BE221" s="780">
        <f t="shared" si="2050"/>
        <v>0</v>
      </c>
      <c r="BF221" s="780">
        <f t="shared" si="2050"/>
        <v>0</v>
      </c>
      <c r="BG221" s="780">
        <f t="shared" si="2050"/>
        <v>0</v>
      </c>
      <c r="BH221" s="780">
        <f t="shared" si="2050"/>
        <v>0</v>
      </c>
      <c r="BI221" s="781">
        <f t="shared" si="2050"/>
        <v>0</v>
      </c>
    </row>
    <row r="222" spans="1:61" s="780" customFormat="1" hidden="1" outlineLevel="1">
      <c r="A222" s="780" t="str">
        <f>$A$539</f>
        <v>Revenue</v>
      </c>
      <c r="M222" s="781"/>
      <c r="N222" s="782"/>
      <c r="X222" s="780">
        <f t="shared" ref="X222:BI222" si="2051">IF($X$5&gt;$W$5,($X$5-$W$5)*B539,0)</f>
        <v>0</v>
      </c>
      <c r="Y222" s="781">
        <f t="shared" si="2051"/>
        <v>0</v>
      </c>
      <c r="Z222" s="782">
        <f t="shared" si="2051"/>
        <v>0</v>
      </c>
      <c r="AA222" s="780">
        <f t="shared" si="2051"/>
        <v>0</v>
      </c>
      <c r="AB222" s="780">
        <f t="shared" si="2051"/>
        <v>0</v>
      </c>
      <c r="AC222" s="780">
        <f t="shared" si="2051"/>
        <v>0</v>
      </c>
      <c r="AD222" s="780">
        <f t="shared" si="2051"/>
        <v>0</v>
      </c>
      <c r="AE222" s="780">
        <f t="shared" si="2051"/>
        <v>0</v>
      </c>
      <c r="AF222" s="780">
        <f t="shared" si="2051"/>
        <v>0</v>
      </c>
      <c r="AG222" s="780">
        <f t="shared" si="2051"/>
        <v>0</v>
      </c>
      <c r="AH222" s="780">
        <f t="shared" si="2051"/>
        <v>0</v>
      </c>
      <c r="AI222" s="780">
        <f t="shared" si="2051"/>
        <v>0</v>
      </c>
      <c r="AJ222" s="780">
        <f t="shared" si="2051"/>
        <v>0</v>
      </c>
      <c r="AK222" s="781">
        <f t="shared" si="2051"/>
        <v>0</v>
      </c>
      <c r="AL222" s="782">
        <f t="shared" si="2051"/>
        <v>0</v>
      </c>
      <c r="AM222" s="780">
        <f t="shared" si="2051"/>
        <v>0</v>
      </c>
      <c r="AN222" s="780">
        <f t="shared" si="2051"/>
        <v>0</v>
      </c>
      <c r="AO222" s="780">
        <f t="shared" si="2051"/>
        <v>0</v>
      </c>
      <c r="AP222" s="780">
        <f t="shared" si="2051"/>
        <v>0</v>
      </c>
      <c r="AQ222" s="780">
        <f t="shared" si="2051"/>
        <v>0</v>
      </c>
      <c r="AR222" s="780">
        <f t="shared" si="2051"/>
        <v>0</v>
      </c>
      <c r="AS222" s="780">
        <f t="shared" si="2051"/>
        <v>0</v>
      </c>
      <c r="AT222" s="780">
        <f t="shared" si="2051"/>
        <v>0</v>
      </c>
      <c r="AU222" s="780">
        <f t="shared" si="2051"/>
        <v>0</v>
      </c>
      <c r="AV222" s="780">
        <f t="shared" si="2051"/>
        <v>0</v>
      </c>
      <c r="AW222" s="781">
        <f t="shared" si="2051"/>
        <v>0</v>
      </c>
      <c r="AX222" s="782">
        <f t="shared" si="2051"/>
        <v>0</v>
      </c>
      <c r="AY222" s="780">
        <f t="shared" si="2051"/>
        <v>0</v>
      </c>
      <c r="AZ222" s="780">
        <f t="shared" si="2051"/>
        <v>0</v>
      </c>
      <c r="BA222" s="780">
        <f t="shared" si="2051"/>
        <v>0</v>
      </c>
      <c r="BB222" s="780">
        <f t="shared" si="2051"/>
        <v>0</v>
      </c>
      <c r="BC222" s="780">
        <f t="shared" si="2051"/>
        <v>0</v>
      </c>
      <c r="BD222" s="780">
        <f t="shared" si="2051"/>
        <v>0</v>
      </c>
      <c r="BE222" s="780">
        <f t="shared" si="2051"/>
        <v>0</v>
      </c>
      <c r="BF222" s="780">
        <f t="shared" si="2051"/>
        <v>0</v>
      </c>
      <c r="BG222" s="780">
        <f t="shared" si="2051"/>
        <v>0</v>
      </c>
      <c r="BH222" s="780">
        <f t="shared" si="2051"/>
        <v>0</v>
      </c>
      <c r="BI222" s="781">
        <f t="shared" si="2051"/>
        <v>0</v>
      </c>
    </row>
    <row r="223" spans="1:61" s="780" customFormat="1" hidden="1" outlineLevel="1">
      <c r="A223" s="780" t="str">
        <f>$A$540</f>
        <v>Net Income</v>
      </c>
      <c r="M223" s="781"/>
      <c r="N223" s="782"/>
      <c r="X223" s="780">
        <f t="shared" ref="X223:BI223" si="2052">IF($X$5&gt;$W$5,($X$5-$W$5)*B540,0)</f>
        <v>0</v>
      </c>
      <c r="Y223" s="781">
        <f t="shared" si="2052"/>
        <v>0</v>
      </c>
      <c r="Z223" s="782">
        <f t="shared" si="2052"/>
        <v>0</v>
      </c>
      <c r="AA223" s="780">
        <f t="shared" si="2052"/>
        <v>0</v>
      </c>
      <c r="AB223" s="780">
        <f t="shared" si="2052"/>
        <v>0</v>
      </c>
      <c r="AC223" s="780">
        <f t="shared" si="2052"/>
        <v>0</v>
      </c>
      <c r="AD223" s="780">
        <f t="shared" si="2052"/>
        <v>0</v>
      </c>
      <c r="AE223" s="780">
        <f t="shared" si="2052"/>
        <v>0</v>
      </c>
      <c r="AF223" s="780">
        <f t="shared" si="2052"/>
        <v>0</v>
      </c>
      <c r="AG223" s="780">
        <f t="shared" si="2052"/>
        <v>0</v>
      </c>
      <c r="AH223" s="780">
        <f t="shared" si="2052"/>
        <v>0</v>
      </c>
      <c r="AI223" s="780">
        <f t="shared" si="2052"/>
        <v>0</v>
      </c>
      <c r="AJ223" s="780">
        <f t="shared" si="2052"/>
        <v>0</v>
      </c>
      <c r="AK223" s="781">
        <f t="shared" si="2052"/>
        <v>0</v>
      </c>
      <c r="AL223" s="782">
        <f t="shared" si="2052"/>
        <v>0</v>
      </c>
      <c r="AM223" s="780">
        <f t="shared" si="2052"/>
        <v>0</v>
      </c>
      <c r="AN223" s="780">
        <f t="shared" si="2052"/>
        <v>0</v>
      </c>
      <c r="AO223" s="780">
        <f t="shared" si="2052"/>
        <v>0</v>
      </c>
      <c r="AP223" s="780">
        <f t="shared" si="2052"/>
        <v>0</v>
      </c>
      <c r="AQ223" s="780">
        <f t="shared" si="2052"/>
        <v>0</v>
      </c>
      <c r="AR223" s="780">
        <f t="shared" si="2052"/>
        <v>0</v>
      </c>
      <c r="AS223" s="780">
        <f t="shared" si="2052"/>
        <v>0</v>
      </c>
      <c r="AT223" s="780">
        <f t="shared" si="2052"/>
        <v>0</v>
      </c>
      <c r="AU223" s="780">
        <f t="shared" si="2052"/>
        <v>0</v>
      </c>
      <c r="AV223" s="780">
        <f t="shared" si="2052"/>
        <v>0</v>
      </c>
      <c r="AW223" s="781">
        <f t="shared" si="2052"/>
        <v>0</v>
      </c>
      <c r="AX223" s="782">
        <f t="shared" si="2052"/>
        <v>0</v>
      </c>
      <c r="AY223" s="780">
        <f t="shared" si="2052"/>
        <v>0</v>
      </c>
      <c r="AZ223" s="780">
        <f t="shared" si="2052"/>
        <v>0</v>
      </c>
      <c r="BA223" s="780">
        <f t="shared" si="2052"/>
        <v>0</v>
      </c>
      <c r="BB223" s="780">
        <f t="shared" si="2052"/>
        <v>0</v>
      </c>
      <c r="BC223" s="780">
        <f t="shared" si="2052"/>
        <v>0</v>
      </c>
      <c r="BD223" s="780">
        <f t="shared" si="2052"/>
        <v>0</v>
      </c>
      <c r="BE223" s="780">
        <f t="shared" si="2052"/>
        <v>0</v>
      </c>
      <c r="BF223" s="780">
        <f t="shared" si="2052"/>
        <v>0</v>
      </c>
      <c r="BG223" s="780">
        <f t="shared" si="2052"/>
        <v>0</v>
      </c>
      <c r="BH223" s="780">
        <f t="shared" si="2052"/>
        <v>0</v>
      </c>
      <c r="BI223" s="781">
        <f t="shared" si="2052"/>
        <v>0</v>
      </c>
    </row>
    <row r="224" spans="1:61" s="780" customFormat="1" hidden="1" outlineLevel="1">
      <c r="A224" s="780" t="str">
        <f>$A$541</f>
        <v>Program Revenue</v>
      </c>
      <c r="M224" s="781"/>
      <c r="N224" s="782"/>
      <c r="X224" s="780">
        <f t="shared" ref="X224" si="2053">IF($X$5&gt;$W$5,($X$5-$W$5)*B541,0)</f>
        <v>0</v>
      </c>
      <c r="Y224" s="781">
        <f t="shared" ref="Y224" si="2054">IF($X$5&gt;$W$5,($X$5-$W$5)*C541,0)</f>
        <v>0</v>
      </c>
      <c r="Z224" s="782">
        <f t="shared" ref="Z224" si="2055">IF($X$5&gt;$W$5,($X$5-$W$5)*D541,0)</f>
        <v>0</v>
      </c>
      <c r="AA224" s="780">
        <f t="shared" ref="AA224" si="2056">IF($X$5&gt;$W$5,($X$5-$W$5)*E541,0)</f>
        <v>0</v>
      </c>
      <c r="AB224" s="780">
        <f t="shared" ref="AB224" si="2057">IF($X$5&gt;$W$5,($X$5-$W$5)*F541,0)</f>
        <v>0</v>
      </c>
      <c r="AC224" s="780">
        <f t="shared" ref="AC224" si="2058">IF($X$5&gt;$W$5,($X$5-$W$5)*G541,0)</f>
        <v>0</v>
      </c>
      <c r="AD224" s="780">
        <f t="shared" ref="AD224" si="2059">IF($X$5&gt;$W$5,($X$5-$W$5)*H541,0)</f>
        <v>0</v>
      </c>
      <c r="AE224" s="780">
        <f t="shared" ref="AE224" si="2060">IF($X$5&gt;$W$5,($X$5-$W$5)*I541,0)</f>
        <v>0</v>
      </c>
      <c r="AF224" s="780">
        <f t="shared" ref="AF224" si="2061">IF($X$5&gt;$W$5,($X$5-$W$5)*J541,0)</f>
        <v>0</v>
      </c>
      <c r="AG224" s="780">
        <f t="shared" ref="AG224" si="2062">IF($X$5&gt;$W$5,($X$5-$W$5)*K541,0)</f>
        <v>0</v>
      </c>
      <c r="AH224" s="780">
        <f t="shared" ref="AH224" si="2063">IF($X$5&gt;$W$5,($X$5-$W$5)*L541,0)</f>
        <v>0</v>
      </c>
      <c r="AI224" s="780">
        <f t="shared" ref="AI224" si="2064">IF($X$5&gt;$W$5,($X$5-$W$5)*M541,0)</f>
        <v>0</v>
      </c>
      <c r="AJ224" s="780">
        <f t="shared" ref="AJ224" si="2065">IF($X$5&gt;$W$5,($X$5-$W$5)*N541,0)</f>
        <v>0</v>
      </c>
      <c r="AK224" s="781">
        <f t="shared" ref="AK224" si="2066">IF($X$5&gt;$W$5,($X$5-$W$5)*O541,0)</f>
        <v>0</v>
      </c>
      <c r="AL224" s="782">
        <f t="shared" ref="AL224" si="2067">IF($X$5&gt;$W$5,($X$5-$W$5)*P541,0)</f>
        <v>0</v>
      </c>
      <c r="AM224" s="780">
        <f t="shared" ref="AM224" si="2068">IF($X$5&gt;$W$5,($X$5-$W$5)*Q541,0)</f>
        <v>0</v>
      </c>
      <c r="AN224" s="780">
        <f t="shared" ref="AN224" si="2069">IF($X$5&gt;$W$5,($X$5-$W$5)*R541,0)</f>
        <v>0</v>
      </c>
      <c r="AO224" s="780">
        <f t="shared" ref="AO224" si="2070">IF($X$5&gt;$W$5,($X$5-$W$5)*S541,0)</f>
        <v>0</v>
      </c>
      <c r="AP224" s="780">
        <f t="shared" ref="AP224" si="2071">IF($X$5&gt;$W$5,($X$5-$W$5)*T541,0)</f>
        <v>0</v>
      </c>
      <c r="AQ224" s="780">
        <f t="shared" ref="AQ224" si="2072">IF($X$5&gt;$W$5,($X$5-$W$5)*U541,0)</f>
        <v>0</v>
      </c>
      <c r="AR224" s="780">
        <f t="shared" ref="AR224" si="2073">IF($X$5&gt;$W$5,($X$5-$W$5)*V541,0)</f>
        <v>0</v>
      </c>
      <c r="AS224" s="780">
        <f t="shared" ref="AS224" si="2074">IF($X$5&gt;$W$5,($X$5-$W$5)*W541,0)</f>
        <v>0</v>
      </c>
      <c r="AT224" s="780">
        <f t="shared" ref="AT224" si="2075">IF($X$5&gt;$W$5,($X$5-$W$5)*X541,0)</f>
        <v>0</v>
      </c>
      <c r="AU224" s="780">
        <f t="shared" ref="AU224" si="2076">IF($X$5&gt;$W$5,($X$5-$W$5)*Y541,0)</f>
        <v>0</v>
      </c>
      <c r="AV224" s="780">
        <f t="shared" ref="AV224" si="2077">IF($X$5&gt;$W$5,($X$5-$W$5)*Z541,0)</f>
        <v>0</v>
      </c>
      <c r="AW224" s="781">
        <f t="shared" ref="AW224" si="2078">IF($X$5&gt;$W$5,($X$5-$W$5)*AA541,0)</f>
        <v>0</v>
      </c>
      <c r="AX224" s="782">
        <f t="shared" ref="AX224" si="2079">IF($X$5&gt;$W$5,($X$5-$W$5)*AB541,0)</f>
        <v>0</v>
      </c>
      <c r="AY224" s="780">
        <f t="shared" ref="AY224" si="2080">IF($X$5&gt;$W$5,($X$5-$W$5)*AC541,0)</f>
        <v>0</v>
      </c>
      <c r="AZ224" s="780">
        <f t="shared" ref="AZ224" si="2081">IF($X$5&gt;$W$5,($X$5-$W$5)*AD541,0)</f>
        <v>0</v>
      </c>
      <c r="BA224" s="780">
        <f t="shared" ref="BA224" si="2082">IF($X$5&gt;$W$5,($X$5-$W$5)*AE541,0)</f>
        <v>0</v>
      </c>
      <c r="BB224" s="780">
        <f t="shared" ref="BB224" si="2083">IF($X$5&gt;$W$5,($X$5-$W$5)*AF541,0)</f>
        <v>0</v>
      </c>
      <c r="BC224" s="780">
        <f t="shared" ref="BC224" si="2084">IF($X$5&gt;$W$5,($X$5-$W$5)*AG541,0)</f>
        <v>0</v>
      </c>
      <c r="BD224" s="780">
        <f t="shared" ref="BD224" si="2085">IF($X$5&gt;$W$5,($X$5-$W$5)*AH541,0)</f>
        <v>0</v>
      </c>
      <c r="BE224" s="780">
        <f t="shared" ref="BE224" si="2086">IF($X$5&gt;$W$5,($X$5-$W$5)*AI541,0)</f>
        <v>0</v>
      </c>
      <c r="BF224" s="780">
        <f t="shared" ref="BF224" si="2087">IF($X$5&gt;$W$5,($X$5-$W$5)*AJ541,0)</f>
        <v>0</v>
      </c>
      <c r="BG224" s="780">
        <f t="shared" ref="BG224" si="2088">IF($X$5&gt;$W$5,($X$5-$W$5)*AK541,0)</f>
        <v>0</v>
      </c>
      <c r="BH224" s="780">
        <f t="shared" ref="BH224" si="2089">IF($X$5&gt;$W$5,($X$5-$W$5)*AL541,0)</f>
        <v>0</v>
      </c>
      <c r="BI224" s="781">
        <f t="shared" ref="BI224" si="2090">IF($X$5&gt;$W$5,($X$5-$W$5)*AM541,0)</f>
        <v>0</v>
      </c>
    </row>
    <row r="225" spans="1:61" s="780" customFormat="1" hidden="1" outlineLevel="1">
      <c r="M225" s="781"/>
      <c r="N225" s="782"/>
      <c r="Y225" s="781"/>
      <c r="Z225" s="782"/>
      <c r="AK225" s="781"/>
      <c r="AL225" s="782"/>
      <c r="AW225" s="781"/>
      <c r="AX225" s="782"/>
      <c r="BI225" s="781"/>
    </row>
    <row r="226" spans="1:61" s="780" customFormat="1" hidden="1" outlineLevel="1">
      <c r="A226" s="780" t="s">
        <v>359</v>
      </c>
      <c r="M226" s="781"/>
      <c r="N226" s="782"/>
      <c r="Y226" s="781">
        <f>IF($Y$5&gt;$X$5,($Y$5-$X$5)*B535,0)</f>
        <v>8</v>
      </c>
      <c r="Z226" s="782">
        <f t="shared" ref="Z226" si="2091">IF($Y$5&gt;$X$5,($Y$5-$X$5)*C535,0)</f>
        <v>8.3824000000000005</v>
      </c>
      <c r="AA226" s="780">
        <f t="shared" ref="AA226" si="2092">IF($Y$5&gt;$X$5,($Y$5-$X$5)*D535,0)</f>
        <v>8.790016102400001</v>
      </c>
      <c r="AB226" s="780">
        <f t="shared" ref="AB226" si="2093">IF($Y$5&gt;$X$5,($Y$5-$X$5)*E535,0)</f>
        <v>9.2244218586677267</v>
      </c>
      <c r="AC226" s="780">
        <f t="shared" ref="AC226" si="2094">IF($Y$5&gt;$X$5,($Y$5-$X$5)*F535,0)</f>
        <v>9.6872643857899394</v>
      </c>
      <c r="AD226" s="780">
        <f t="shared" ref="AD226" si="2095">IF($Y$5&gt;$X$5,($Y$5-$X$5)*G535,0)</f>
        <v>10.180266404063699</v>
      </c>
      <c r="AE226" s="780">
        <f t="shared" ref="AE226" si="2096">IF($Y$5&gt;$X$5,($Y$5-$X$5)*H535,0)</f>
        <v>10.705228286703797</v>
      </c>
      <c r="AF226" s="780">
        <f t="shared" ref="AF226" si="2097">IF($Y$5&gt;$X$5,($Y$5-$X$5)*I535,0)</f>
        <v>11.264030122404236</v>
      </c>
      <c r="AG226" s="780">
        <f t="shared" ref="AG226" si="2098">IF($Y$5&gt;$X$5,($Y$5-$X$5)*J535,0)</f>
        <v>11.858633792363815</v>
      </c>
      <c r="AH226" s="780">
        <f t="shared" ref="AH226" si="2099">IF($Y$5&gt;$X$5,($Y$5-$X$5)*K535,0)</f>
        <v>12.491085063681208</v>
      </c>
      <c r="AI226" s="780">
        <f t="shared" ref="AI226" si="2100">IF($Y$5&gt;$X$5,($Y$5-$X$5)*L535,0)</f>
        <v>13.163515701442698</v>
      </c>
      <c r="AJ226" s="780">
        <f t="shared" ref="AJ226" si="2101">IF($Y$5&gt;$X$5,($Y$5-$X$5)*M535,0)</f>
        <v>13.878145602265221</v>
      </c>
      <c r="AK226" s="781">
        <f t="shared" ref="AK226" si="2102">IF($Y$5&gt;$X$5,($Y$5-$X$5)*N535,0)</f>
        <v>14.640802427106802</v>
      </c>
      <c r="AL226" s="782">
        <f t="shared" ref="AL226" si="2103">IF($Y$5&gt;$X$5,($Y$5-$X$5)*O535,0)</f>
        <v>15.454179973028484</v>
      </c>
      <c r="AM226" s="780">
        <f t="shared" ref="AM226" si="2104">IF($Y$5&gt;$X$5,($Y$5-$X$5)*P535,0)</f>
        <v>16.321067007803048</v>
      </c>
      <c r="AN226" s="780">
        <f t="shared" ref="AN226" si="2105">IF($Y$5&gt;$X$5,($Y$5-$X$5)*Q535,0)</f>
        <v>17.244348126107901</v>
      </c>
      <c r="AO226" s="780">
        <f t="shared" ref="AO226" si="2106">IF($Y$5&gt;$X$5,($Y$5-$X$5)*R535,0)</f>
        <v>18.227004594103096</v>
      </c>
      <c r="AP226" s="780">
        <f t="shared" ref="AP226" si="2107">IF($Y$5&gt;$X$5,($Y$5-$X$5)*S535,0)</f>
        <v>19.272115194972702</v>
      </c>
      <c r="AQ226" s="780">
        <f t="shared" ref="AQ226" si="2108">IF($Y$5&gt;$X$5,($Y$5-$X$5)*T535,0)</f>
        <v>20.382857089151276</v>
      </c>
      <c r="AR226" s="780">
        <f t="shared" ref="AR226" si="2109">IF($Y$5&gt;$X$5,($Y$5-$X$5)*U535,0)</f>
        <v>21.56250670407784</v>
      </c>
      <c r="AS226" s="780">
        <f t="shared" ref="AS226" si="2110">IF($Y$5&gt;$X$5,($Y$5-$X$5)*V535,0)</f>
        <v>22.814440669410335</v>
      </c>
      <c r="AT226" s="780">
        <f t="shared" ref="AT226" si="2111">IF($Y$5&gt;$X$5,($Y$5-$X$5)*W535,0)</f>
        <v>24.142136814686012</v>
      </c>
      <c r="AU226" s="780">
        <f t="shared" ref="AU226" si="2112">IF($Y$5&gt;$X$5,($Y$5-$X$5)*X535,0)</f>
        <v>25.549175247421399</v>
      </c>
      <c r="AV226" s="780">
        <f t="shared" ref="AV226" si="2113">IF($Y$5&gt;$X$5,($Y$5-$X$5)*Y535,0)</f>
        <v>27.039239530601542</v>
      </c>
      <c r="AW226" s="781">
        <f t="shared" ref="AW226" si="2114">IF($Y$5&gt;$X$5,($Y$5-$X$5)*Z535,0)</f>
        <v>28.620747034243404</v>
      </c>
      <c r="AX226" s="782">
        <f t="shared" ref="AX226" si="2115">IF($Y$5&gt;$X$5,($Y$5-$X$5)*AA535,0)</f>
        <v>30.297832899152603</v>
      </c>
      <c r="AY226" s="780">
        <f t="shared" ref="AY226" si="2116">IF($Y$5&gt;$X$5,($Y$5-$X$5)*AB535,0)</f>
        <v>32.074721942842451</v>
      </c>
      <c r="AZ226" s="780">
        <f t="shared" ref="AZ226" si="2117">IF($Y$5&gt;$X$5,($Y$5-$X$5)*AC535,0)</f>
        <v>33.955728473829772</v>
      </c>
      <c r="BA226" s="780">
        <f t="shared" ref="BA226" si="2118">IF($Y$5&gt;$X$5,($Y$5-$X$5)*AD535,0)</f>
        <v>35.945256397317038</v>
      </c>
      <c r="BB226" s="780">
        <f t="shared" ref="BB226" si="2119">IF($Y$5&gt;$X$5,($Y$5-$X$5)*AE535,0)</f>
        <v>38.047799652671507</v>
      </c>
      <c r="BC226" s="780">
        <f t="shared" ref="BC226" si="2120">IF($Y$5&gt;$X$5,($Y$5-$X$5)*AF535,0)</f>
        <v>40.267943023083284</v>
      </c>
      <c r="BD226" s="780">
        <f t="shared" ref="BD226" si="2121">IF($Y$5&gt;$X$5,($Y$5-$X$5)*AG535,0)</f>
        <v>42.61036335749322</v>
      </c>
      <c r="BE226" s="780">
        <f t="shared" ref="BE226" si="2122">IF($Y$5&gt;$X$5,($Y$5-$X$5)*AH535,0)</f>
        <v>45.079831244328588</v>
      </c>
      <c r="BF226" s="780">
        <f t="shared" ref="BF226" si="2123">IF($Y$5&gt;$X$5,($Y$5-$X$5)*AI535,0)</f>
        <v>47.68121317577463</v>
      </c>
      <c r="BG226" s="780">
        <f t="shared" ref="BG226" si="2124">IF($Y$5&gt;$X$5,($Y$5-$X$5)*AJ535,0)</f>
        <v>50.419474240248832</v>
      </c>
      <c r="BH226" s="780">
        <f t="shared" ref="BH226" si="2125">IF($Y$5&gt;$X$5,($Y$5-$X$5)*AK535,0)</f>
        <v>53.299681379443584</v>
      </c>
      <c r="BI226" s="781">
        <f t="shared" ref="BI226" si="2126">IF($Y$5&gt;$X$5,($Y$5-$X$5)*AL535,0)</f>
        <v>56.327007244772894</v>
      </c>
    </row>
    <row r="227" spans="1:61" s="780" customFormat="1" hidden="1" outlineLevel="1">
      <c r="A227" s="780" t="str">
        <f>$A$536</f>
        <v>Leads</v>
      </c>
      <c r="M227" s="781"/>
      <c r="N227" s="782"/>
      <c r="Y227" s="781">
        <f>IF($Y$5&gt;$X$5,($Y$5-$X$5)*B536,0)</f>
        <v>20</v>
      </c>
      <c r="Z227" s="782">
        <f t="shared" ref="Z227:BI227" si="2127">IF($Y$5&gt;$X$5,($Y$5-$X$5)*C536,0)</f>
        <v>20.8</v>
      </c>
      <c r="AA227" s="780">
        <f t="shared" si="2127"/>
        <v>21.632000000000001</v>
      </c>
      <c r="AB227" s="780">
        <f t="shared" si="2127"/>
        <v>22.497280000000003</v>
      </c>
      <c r="AC227" s="780">
        <f t="shared" si="2127"/>
        <v>23.397171200000006</v>
      </c>
      <c r="AD227" s="780">
        <f t="shared" si="2127"/>
        <v>24.333058048000009</v>
      </c>
      <c r="AE227" s="780">
        <f t="shared" si="2127"/>
        <v>25.30638036992001</v>
      </c>
      <c r="AF227" s="780">
        <f t="shared" si="2127"/>
        <v>26.318635584716812</v>
      </c>
      <c r="AG227" s="780">
        <f t="shared" si="2127"/>
        <v>27.371381008105487</v>
      </c>
      <c r="AH227" s="780">
        <f t="shared" si="2127"/>
        <v>28.466236248429709</v>
      </c>
      <c r="AI227" s="780">
        <f t="shared" si="2127"/>
        <v>29.6048856983669</v>
      </c>
      <c r="AJ227" s="780">
        <f t="shared" si="2127"/>
        <v>30.789081126301578</v>
      </c>
      <c r="AK227" s="781">
        <f t="shared" si="2127"/>
        <v>32.02064437135364</v>
      </c>
      <c r="AL227" s="782">
        <f t="shared" si="2127"/>
        <v>33.301470146207784</v>
      </c>
      <c r="AM227" s="780">
        <f t="shared" si="2127"/>
        <v>34.633528952056096</v>
      </c>
      <c r="AN227" s="780">
        <f t="shared" si="2127"/>
        <v>36.018870110138344</v>
      </c>
      <c r="AO227" s="780">
        <f t="shared" si="2127"/>
        <v>37.45962491454388</v>
      </c>
      <c r="AP227" s="780">
        <f t="shared" si="2127"/>
        <v>38.958009911125636</v>
      </c>
      <c r="AQ227" s="780">
        <f t="shared" si="2127"/>
        <v>40.516330307570662</v>
      </c>
      <c r="AR227" s="780">
        <f t="shared" si="2127"/>
        <v>42.136983519873489</v>
      </c>
      <c r="AS227" s="780">
        <f t="shared" si="2127"/>
        <v>43.822462860668423</v>
      </c>
      <c r="AT227" s="780">
        <f t="shared" si="2127"/>
        <v>45.57536137509517</v>
      </c>
      <c r="AU227" s="780">
        <f t="shared" si="2127"/>
        <v>47.398375830098978</v>
      </c>
      <c r="AV227" s="780">
        <f t="shared" si="2127"/>
        <v>49.29431086330294</v>
      </c>
      <c r="AW227" s="781">
        <f t="shared" si="2127"/>
        <v>51.26608329783506</v>
      </c>
      <c r="AX227" s="782">
        <f t="shared" si="2127"/>
        <v>53.316726629748466</v>
      </c>
      <c r="AY227" s="780">
        <f t="shared" si="2127"/>
        <v>55.44939569493841</v>
      </c>
      <c r="AZ227" s="780">
        <f t="shared" si="2127"/>
        <v>57.667371522735948</v>
      </c>
      <c r="BA227" s="780">
        <f t="shared" si="2127"/>
        <v>59.974066383645386</v>
      </c>
      <c r="BB227" s="780">
        <f t="shared" si="2127"/>
        <v>62.373029038991206</v>
      </c>
      <c r="BC227" s="780">
        <f t="shared" si="2127"/>
        <v>64.867950200550851</v>
      </c>
      <c r="BD227" s="780">
        <f t="shared" si="2127"/>
        <v>67.462668208572893</v>
      </c>
      <c r="BE227" s="780">
        <f t="shared" si="2127"/>
        <v>70.161174936915813</v>
      </c>
      <c r="BF227" s="780">
        <f t="shared" si="2127"/>
        <v>72.967621934392454</v>
      </c>
      <c r="BG227" s="780">
        <f t="shared" si="2127"/>
        <v>75.886326811768157</v>
      </c>
      <c r="BH227" s="780">
        <f t="shared" si="2127"/>
        <v>78.921779884238887</v>
      </c>
      <c r="BI227" s="781">
        <f t="shared" si="2127"/>
        <v>82.078651079608449</v>
      </c>
    </row>
    <row r="228" spans="1:61" s="780" customFormat="1" hidden="1" outlineLevel="1">
      <c r="A228" s="780" t="str">
        <f>$A$537</f>
        <v>Audits</v>
      </c>
      <c r="M228" s="781"/>
      <c r="N228" s="782"/>
      <c r="Y228" s="781">
        <f t="shared" ref="Y228:BI228" si="2128">IF($Y$5&gt;$X$5,($Y$5-$X$5)*B537,0)</f>
        <v>7.8466960352422905</v>
      </c>
      <c r="Z228" s="782">
        <f t="shared" si="2128"/>
        <v>8.1805560257268723</v>
      </c>
      <c r="AA228" s="780">
        <f t="shared" si="2128"/>
        <v>8.556158139083367</v>
      </c>
      <c r="AB228" s="780">
        <f t="shared" si="2128"/>
        <v>8.9523024684242678</v>
      </c>
      <c r="AC228" s="780">
        <f t="shared" si="2128"/>
        <v>9.3702787716763911</v>
      </c>
      <c r="AD228" s="780">
        <f t="shared" si="2128"/>
        <v>9.811453812672589</v>
      </c>
      <c r="AE228" s="780">
        <f t="shared" si="2128"/>
        <v>10.277273093546537</v>
      </c>
      <c r="AF228" s="780">
        <f t="shared" si="2128"/>
        <v>10.769262132442826</v>
      </c>
      <c r="AG228" s="780">
        <f t="shared" si="2128"/>
        <v>11.289027268145146</v>
      </c>
      <c r="AH228" s="780">
        <f t="shared" si="2128"/>
        <v>11.838255995812663</v>
      </c>
      <c r="AI228" s="780">
        <f t="shared" si="2128"/>
        <v>12.418716863200714</v>
      </c>
      <c r="AJ228" s="780">
        <f t="shared" si="2128"/>
        <v>13.032258982971491</v>
      </c>
      <c r="AK228" s="781">
        <f t="shared" si="2128"/>
        <v>13.681748513642187</v>
      </c>
      <c r="AL228" s="782">
        <f t="shared" si="2128"/>
        <v>14.367753613373562</v>
      </c>
      <c r="AM228" s="780">
        <f t="shared" si="2128"/>
        <v>15.094450719778326</v>
      </c>
      <c r="AN228" s="780">
        <f t="shared" si="2128"/>
        <v>15.864274704794562</v>
      </c>
      <c r="AO228" s="780">
        <f t="shared" si="2128"/>
        <v>16.679756380011042</v>
      </c>
      <c r="AP228" s="780">
        <f t="shared" si="2128"/>
        <v>17.543519083999907</v>
      </c>
      <c r="AQ228" s="780">
        <f t="shared" si="2128"/>
        <v>18.458274953232511</v>
      </c>
      <c r="AR228" s="780">
        <f t="shared" si="2128"/>
        <v>19.426821075192013</v>
      </c>
      <c r="AS228" s="780">
        <f t="shared" si="2128"/>
        <v>20.452035738521069</v>
      </c>
      <c r="AT228" s="780">
        <f t="shared" si="2128"/>
        <v>21.536874999893016</v>
      </c>
      <c r="AU228" s="780">
        <f t="shared" si="2128"/>
        <v>22.68436978011453</v>
      </c>
      <c r="AV228" s="780">
        <f t="shared" si="2128"/>
        <v>23.897623683136111</v>
      </c>
      <c r="AW228" s="781">
        <f t="shared" si="2128"/>
        <v>25.181305860088621</v>
      </c>
      <c r="AX228" s="782">
        <f t="shared" si="2128"/>
        <v>26.509539923847804</v>
      </c>
      <c r="AY228" s="780">
        <f t="shared" si="2128"/>
        <v>27.911267150389076</v>
      </c>
      <c r="AZ228" s="780">
        <f t="shared" si="2128"/>
        <v>29.389855755030599</v>
      </c>
      <c r="BA228" s="780">
        <f t="shared" si="2128"/>
        <v>30.948754132327405</v>
      </c>
      <c r="BB228" s="780">
        <f t="shared" si="2128"/>
        <v>32.591491812026852</v>
      </c>
      <c r="BC228" s="780">
        <f t="shared" si="2128"/>
        <v>34.321681088998503</v>
      </c>
      <c r="BD228" s="780">
        <f t="shared" si="2128"/>
        <v>36.143019351142293</v>
      </c>
      <c r="BE228" s="780">
        <f t="shared" si="2128"/>
        <v>38.059292115999952</v>
      </c>
      <c r="BF228" s="780">
        <f t="shared" si="2128"/>
        <v>40.074376775040108</v>
      </c>
      <c r="BG228" s="780">
        <f t="shared" si="2128"/>
        <v>42.192247034738458</v>
      </c>
      <c r="BH228" s="780">
        <f t="shared" si="2128"/>
        <v>44.416978035864261</v>
      </c>
      <c r="BI228" s="781">
        <f t="shared" si="2128"/>
        <v>46.752752126886328</v>
      </c>
    </row>
    <row r="229" spans="1:61" s="780" customFormat="1" hidden="1" outlineLevel="1">
      <c r="A229" s="780" t="str">
        <f>$A$538</f>
        <v>Retrofit</v>
      </c>
      <c r="M229" s="781"/>
      <c r="N229" s="782"/>
      <c r="Y229" s="781">
        <f t="shared" ref="Y229:BI229" si="2129">IF($Y$5&gt;$X$5,($Y$5-$X$5)*B538,0)</f>
        <v>3.2741145374449339</v>
      </c>
      <c r="Z229" s="782">
        <f t="shared" si="2129"/>
        <v>3.4211429613668018</v>
      </c>
      <c r="AA229" s="780">
        <f t="shared" si="2129"/>
        <v>3.6089747928733105</v>
      </c>
      <c r="AB229" s="780">
        <f t="shared" si="2129"/>
        <v>3.80943356172375</v>
      </c>
      <c r="AC229" s="780">
        <f t="shared" si="2129"/>
        <v>4.023495407635</v>
      </c>
      <c r="AD229" s="780">
        <f t="shared" si="2129"/>
        <v>4.2522035025469851</v>
      </c>
      <c r="AE229" s="780">
        <f t="shared" si="2129"/>
        <v>4.4966691121698661</v>
      </c>
      <c r="AF229" s="780">
        <f t="shared" si="2129"/>
        <v>4.7580720961942786</v>
      </c>
      <c r="AG229" s="780">
        <f t="shared" si="2129"/>
        <v>5.0376608331454982</v>
      </c>
      <c r="AH229" s="780">
        <f t="shared" si="2129"/>
        <v>5.3367515834608863</v>
      </c>
      <c r="AI229" s="780">
        <f t="shared" si="2129"/>
        <v>5.6567273345837759</v>
      </c>
      <c r="AJ229" s="780">
        <f t="shared" si="2129"/>
        <v>5.9990362027609887</v>
      </c>
      <c r="AK229" s="781">
        <f t="shared" si="2129"/>
        <v>6.3656710756275423</v>
      </c>
      <c r="AL229" s="782">
        <f t="shared" si="2129"/>
        <v>6.7527905497767229</v>
      </c>
      <c r="AM229" s="780">
        <f t="shared" si="2129"/>
        <v>7.1679946156961591</v>
      </c>
      <c r="AN229" s="780">
        <f t="shared" si="2129"/>
        <v>7.6132687220703144</v>
      </c>
      <c r="AO229" s="780">
        <f t="shared" si="2129"/>
        <v>8.0906802436821312</v>
      </c>
      <c r="AP229" s="780">
        <f t="shared" si="2129"/>
        <v>8.6023733713231554</v>
      </c>
      <c r="AQ229" s="780">
        <f t="shared" si="2129"/>
        <v>9.1505635635964193</v>
      </c>
      <c r="AR229" s="780">
        <f t="shared" si="2129"/>
        <v>9.7375318038296879</v>
      </c>
      <c r="AS229" s="780">
        <f t="shared" si="2129"/>
        <v>10.365618926205418</v>
      </c>
      <c r="AT229" s="780">
        <f t="shared" si="2129"/>
        <v>11.037220281947453</v>
      </c>
      <c r="AU229" s="780">
        <f t="shared" si="2129"/>
        <v>11.754781008099396</v>
      </c>
      <c r="AV229" s="780">
        <f t="shared" si="2129"/>
        <v>12.520792138493604</v>
      </c>
      <c r="AW229" s="781">
        <f t="shared" si="2129"/>
        <v>13.338724403473293</v>
      </c>
      <c r="AX229" s="782">
        <f t="shared" si="2129"/>
        <v>14.173899457244383</v>
      </c>
      <c r="AY229" s="780">
        <f t="shared" si="2129"/>
        <v>15.06160093928195</v>
      </c>
      <c r="AZ229" s="780">
        <f t="shared" si="2129"/>
        <v>16.004396182835173</v>
      </c>
      <c r="BA229" s="780">
        <f t="shared" si="2129"/>
        <v>17.004903510314108</v>
      </c>
      <c r="BB229" s="780">
        <f t="shared" si="2129"/>
        <v>18.065792108500531</v>
      </c>
      <c r="BC229" s="780">
        <f t="shared" si="2129"/>
        <v>19.189782637475492</v>
      </c>
      <c r="BD229" s="780">
        <f t="shared" si="2129"/>
        <v>20.379648596658086</v>
      </c>
      <c r="BE229" s="780">
        <f t="shared" si="2129"/>
        <v>21.638218454438508</v>
      </c>
      <c r="BF229" s="780">
        <f t="shared" si="2129"/>
        <v>22.968378532837651</v>
      </c>
      <c r="BG229" s="780">
        <f t="shared" si="2129"/>
        <v>24.373076625940293</v>
      </c>
      <c r="BH229" s="780">
        <f t="shared" si="2129"/>
        <v>25.855326320842856</v>
      </c>
      <c r="BI229" s="781">
        <f t="shared" si="2129"/>
        <v>27.418211982649215</v>
      </c>
    </row>
    <row r="230" spans="1:61" s="780" customFormat="1" hidden="1" outlineLevel="1">
      <c r="A230" s="780" t="str">
        <f>$A$539</f>
        <v>Revenue</v>
      </c>
      <c r="M230" s="781"/>
      <c r="N230" s="782"/>
      <c r="Y230" s="781">
        <f t="shared" ref="Y230:BI230" si="2130">IF($Y$5&gt;$X$5,($Y$5-$X$5)*B539,0)</f>
        <v>20728.933920704847</v>
      </c>
      <c r="Z230" s="782">
        <f t="shared" si="2130"/>
        <v>22334.796424579898</v>
      </c>
      <c r="AA230" s="780">
        <f t="shared" si="2130"/>
        <v>24261.379157843236</v>
      </c>
      <c r="AB230" s="780">
        <f t="shared" si="2130"/>
        <v>27109.041527058151</v>
      </c>
      <c r="AC230" s="780">
        <f t="shared" si="2130"/>
        <v>29411.012063918617</v>
      </c>
      <c r="AD230" s="780">
        <f t="shared" si="2130"/>
        <v>31904.731979940196</v>
      </c>
      <c r="AE230" s="780">
        <f t="shared" si="2130"/>
        <v>34157.516935543477</v>
      </c>
      <c r="AF230" s="780">
        <f t="shared" si="2130"/>
        <v>36585.144030160183</v>
      </c>
      <c r="AG230" s="780">
        <f t="shared" si="2130"/>
        <v>39202.024549786183</v>
      </c>
      <c r="AH230" s="780">
        <f t="shared" si="2130"/>
        <v>41489.907780370268</v>
      </c>
      <c r="AI230" s="780">
        <f t="shared" si="2130"/>
        <v>43934.936399734994</v>
      </c>
      <c r="AJ230" s="780">
        <f t="shared" si="2130"/>
        <v>46547.932291314006</v>
      </c>
      <c r="AK230" s="781">
        <f t="shared" si="2130"/>
        <v>48812.622611071754</v>
      </c>
      <c r="AL230" s="782">
        <f t="shared" si="2130"/>
        <v>51746.745047763237</v>
      </c>
      <c r="AM230" s="780">
        <f t="shared" si="2130"/>
        <v>54891.491572423707</v>
      </c>
      <c r="AN230" s="780">
        <f t="shared" si="2130"/>
        <v>58261.704056497998</v>
      </c>
      <c r="AO230" s="780">
        <f t="shared" si="2130"/>
        <v>61872.837706819933</v>
      </c>
      <c r="AP230" s="780">
        <f t="shared" si="2130"/>
        <v>65740.922877654608</v>
      </c>
      <c r="AQ230" s="780">
        <f t="shared" si="2130"/>
        <v>69882.52360507095</v>
      </c>
      <c r="AR230" s="780">
        <f t="shared" si="2130"/>
        <v>74314.694687467563</v>
      </c>
      <c r="AS230" s="780">
        <f t="shared" si="2130"/>
        <v>79054.939292696072</v>
      </c>
      <c r="AT230" s="780">
        <f t="shared" si="2130"/>
        <v>84121.169122674793</v>
      </c>
      <c r="AU230" s="780">
        <f t="shared" si="2130"/>
        <v>89531.669104034416</v>
      </c>
      <c r="AV230" s="780">
        <f t="shared" si="2130"/>
        <v>95305.068401244935</v>
      </c>
      <c r="AW230" s="781">
        <f t="shared" si="2130"/>
        <v>101467.05911812153</v>
      </c>
      <c r="AX230" s="782">
        <f t="shared" si="2130"/>
        <v>107757.45533319093</v>
      </c>
      <c r="AY230" s="780">
        <f t="shared" si="2130"/>
        <v>114440.84237520174</v>
      </c>
      <c r="AZ230" s="780">
        <f t="shared" si="2130"/>
        <v>121536.40957263115</v>
      </c>
      <c r="BA230" s="780">
        <f t="shared" si="2130"/>
        <v>129063.73094559579</v>
      </c>
      <c r="BB230" s="780">
        <f t="shared" si="2130"/>
        <v>137042.76458890198</v>
      </c>
      <c r="BC230" s="780">
        <f t="shared" si="2130"/>
        <v>145493.85755130055</v>
      </c>
      <c r="BD230" s="780">
        <f t="shared" si="2130"/>
        <v>154437.75638435522</v>
      </c>
      <c r="BE230" s="780">
        <f t="shared" si="2130"/>
        <v>163895.6234075159</v>
      </c>
      <c r="BF230" s="780">
        <f t="shared" si="2130"/>
        <v>173889.05862314338</v>
      </c>
      <c r="BG230" s="780">
        <f t="shared" si="2130"/>
        <v>184440.12712015139</v>
      </c>
      <c r="BH230" s="780">
        <f t="shared" si="2130"/>
        <v>195571.39172995961</v>
      </c>
      <c r="BI230" s="781">
        <f t="shared" si="2130"/>
        <v>207305.95064449144</v>
      </c>
    </row>
    <row r="231" spans="1:61" s="780" customFormat="1" hidden="1" outlineLevel="1">
      <c r="A231" s="780" t="str">
        <f>$A$540</f>
        <v>Net Income</v>
      </c>
      <c r="M231" s="781"/>
      <c r="N231" s="782"/>
      <c r="Y231" s="781">
        <f t="shared" ref="Y231:BI231" si="2131">IF($Y$5&gt;$X$5,($Y$5-$X$5)*B540,0)</f>
        <v>-33184.964170807638</v>
      </c>
      <c r="Z231" s="782">
        <f t="shared" si="2131"/>
        <v>-14837.14568100147</v>
      </c>
      <c r="AA231" s="780">
        <f t="shared" si="2131"/>
        <v>-14268.717003781454</v>
      </c>
      <c r="AB231" s="780">
        <f t="shared" si="2131"/>
        <v>-13405.013342705901</v>
      </c>
      <c r="AC231" s="780">
        <f t="shared" si="2131"/>
        <v>-12685.072540306182</v>
      </c>
      <c r="AD231" s="780">
        <f t="shared" si="2131"/>
        <v>-17604.404805924125</v>
      </c>
      <c r="AE231" s="780">
        <f t="shared" si="2131"/>
        <v>-15156.124616524507</v>
      </c>
      <c r="AF231" s="780">
        <f t="shared" si="2131"/>
        <v>-13971.31609512752</v>
      </c>
      <c r="AG231" s="780">
        <f t="shared" si="2131"/>
        <v>-13027.555718246989</v>
      </c>
      <c r="AH231" s="780">
        <f t="shared" si="2131"/>
        <v>-12167.444211420123</v>
      </c>
      <c r="AI231" s="780">
        <f t="shared" si="2131"/>
        <v>-11228.257793696379</v>
      </c>
      <c r="AJ231" s="780">
        <f t="shared" si="2131"/>
        <v>-10203.756141625032</v>
      </c>
      <c r="AK231" s="781">
        <f t="shared" si="2131"/>
        <v>-8928.9645055486872</v>
      </c>
      <c r="AL231" s="782">
        <f t="shared" si="2131"/>
        <v>-6565.2951604608934</v>
      </c>
      <c r="AM231" s="780">
        <f t="shared" si="2131"/>
        <v>-7951.6323699894165</v>
      </c>
      <c r="AN231" s="780">
        <f t="shared" si="2131"/>
        <v>-6483.5792380389103</v>
      </c>
      <c r="AO231" s="780">
        <f t="shared" si="2131"/>
        <v>-5307.1722049655655</v>
      </c>
      <c r="AP231" s="780">
        <f t="shared" si="2131"/>
        <v>-3966.3475887754175</v>
      </c>
      <c r="AQ231" s="780">
        <f t="shared" si="2131"/>
        <v>-2466.8649492429358</v>
      </c>
      <c r="AR231" s="780">
        <f t="shared" si="2131"/>
        <v>-826.64406907309967</v>
      </c>
      <c r="AS231" s="780">
        <f t="shared" si="2131"/>
        <v>-10770.241509529737</v>
      </c>
      <c r="AT231" s="780">
        <f t="shared" si="2131"/>
        <v>-19174.962642260827</v>
      </c>
      <c r="AU231" s="780">
        <f t="shared" si="2131"/>
        <v>-16925.443971653156</v>
      </c>
      <c r="AV231" s="780">
        <f t="shared" si="2131"/>
        <v>-25696.207513260568</v>
      </c>
      <c r="AW231" s="781">
        <f t="shared" si="2131"/>
        <v>-30466.524333613874</v>
      </c>
      <c r="AX231" s="782">
        <f t="shared" si="2131"/>
        <v>-30644.209260269774</v>
      </c>
      <c r="AY231" s="780">
        <f t="shared" si="2131"/>
        <v>-25743.81021126837</v>
      </c>
      <c r="AZ231" s="780">
        <f t="shared" si="2131"/>
        <v>-25374.965354328699</v>
      </c>
      <c r="BA231" s="780">
        <f t="shared" si="2131"/>
        <v>-21685.632709168298</v>
      </c>
      <c r="BB231" s="780">
        <f t="shared" si="2131"/>
        <v>-17735.699053003482</v>
      </c>
      <c r="BC231" s="780">
        <f t="shared" si="2131"/>
        <v>-25824.517795504849</v>
      </c>
      <c r="BD231" s="780">
        <f t="shared" si="2131"/>
        <v>-13812.381476188923</v>
      </c>
      <c r="BE231" s="780">
        <f t="shared" si="2131"/>
        <v>-15733.807969274916</v>
      </c>
      <c r="BF231" s="780">
        <f t="shared" si="2131"/>
        <v>-12981.108202038886</v>
      </c>
      <c r="BG231" s="780">
        <f t="shared" si="2131"/>
        <v>-27659.485752690453</v>
      </c>
      <c r="BH231" s="780">
        <f t="shared" si="2131"/>
        <v>-14368.892474155029</v>
      </c>
      <c r="BI231" s="781">
        <f t="shared" si="2131"/>
        <v>-16222.784178653252</v>
      </c>
    </row>
    <row r="232" spans="1:61" s="780" customFormat="1" hidden="1" outlineLevel="1">
      <c r="A232" s="780" t="str">
        <f>$A$541</f>
        <v>Program Revenue</v>
      </c>
      <c r="M232" s="781"/>
      <c r="N232" s="782"/>
      <c r="Y232" s="781">
        <f t="shared" ref="Y232" si="2132">IF($Y$5&gt;$X$5,($Y$5-$X$5)*B541,0)</f>
        <v>1850</v>
      </c>
      <c r="Z232" s="782">
        <f t="shared" ref="Z232" si="2133">IF($Y$5&gt;$X$5,($Y$5-$X$5)*C541,0)</f>
        <v>1937.1558751999999</v>
      </c>
      <c r="AA232" s="780">
        <f t="shared" ref="AA232" si="2134">IF($Y$5&gt;$X$5,($Y$5-$X$5)*D541,0)</f>
        <v>2030.0190587848704</v>
      </c>
      <c r="AB232" s="780">
        <f t="shared" ref="AB232" si="2135">IF($Y$5&gt;$X$5,($Y$5-$X$5)*E541,0)</f>
        <v>2128.941218449359</v>
      </c>
      <c r="AC232" s="780">
        <f t="shared" ref="AC232" si="2136">IF($Y$5&gt;$X$5,($Y$5-$X$5)*F541,0)</f>
        <v>2234.2900324673633</v>
      </c>
      <c r="AD232" s="780">
        <f t="shared" ref="AD232" si="2137">IF($Y$5&gt;$X$5,($Y$5-$X$5)*G541,0)</f>
        <v>2346.4496034726417</v>
      </c>
      <c r="AE232" s="780">
        <f t="shared" ref="AE232" si="2138">IF($Y$5&gt;$X$5,($Y$5-$X$5)*H541,0)</f>
        <v>2465.8208731027789</v>
      </c>
      <c r="AF232" s="780">
        <f t="shared" ref="AF232" si="2139">IF($Y$5&gt;$X$5,($Y$5-$X$5)*I541,0)</f>
        <v>2592.8220377557409</v>
      </c>
      <c r="AG232" s="780">
        <f t="shared" ref="AG232" si="2140">IF($Y$5&gt;$X$5,($Y$5-$X$5)*J541,0)</f>
        <v>2727.8889657926175</v>
      </c>
      <c r="AH232" s="780">
        <f t="shared" ref="AH232" si="2141">IF($Y$5&gt;$X$5,($Y$5-$X$5)*K541,0)</f>
        <v>2871.4756166091629</v>
      </c>
      <c r="AI232" s="780">
        <f t="shared" ref="AI232" si="2142">IF($Y$5&gt;$X$5,($Y$5-$X$5)*L541,0)</f>
        <v>3024.0544620924302</v>
      </c>
      <c r="AJ232" s="780">
        <f t="shared" ref="AJ232" si="2143">IF($Y$5&gt;$X$5,($Y$5-$X$5)*M541,0)</f>
        <v>3186.1169110768442</v>
      </c>
      <c r="AK232" s="781">
        <f t="shared" ref="AK232" si="2144">IF($Y$5&gt;$X$5,($Y$5-$X$5)*N541,0)</f>
        <v>3358.9807376414046</v>
      </c>
      <c r="AL232" s="782">
        <f t="shared" ref="AL232" si="2145">IF($Y$5&gt;$X$5,($Y$5-$X$5)*O541,0)</f>
        <v>3543.2416591361321</v>
      </c>
      <c r="AM232" s="780">
        <f t="shared" ref="AM232" si="2146">IF($Y$5&gt;$X$5,($Y$5-$X$5)*P541,0)</f>
        <v>3739.515514961849</v>
      </c>
      <c r="AN232" s="780">
        <f t="shared" ref="AN232" si="2147">IF($Y$5&gt;$X$5,($Y$5-$X$5)*Q541,0)</f>
        <v>3948.4383904349252</v>
      </c>
      <c r="AO232" s="780">
        <f t="shared" ref="AO232" si="2148">IF($Y$5&gt;$X$5,($Y$5-$X$5)*R541,0)</f>
        <v>4170.6667372134807</v>
      </c>
      <c r="AP232" s="780">
        <f t="shared" ref="AP232" si="2149">IF($Y$5&gt;$X$5,($Y$5-$X$5)*S541,0)</f>
        <v>4406.877493173627</v>
      </c>
      <c r="AQ232" s="780">
        <f t="shared" ref="AQ232" si="2150">IF($Y$5&gt;$X$5,($Y$5-$X$5)*T541,0)</f>
        <v>4657.7682048703127</v>
      </c>
      <c r="AR232" s="780">
        <f t="shared" ref="AR232" si="2151">IF($Y$5&gt;$X$5,($Y$5-$X$5)*U541,0)</f>
        <v>4924.0571559566215</v>
      </c>
      <c r="AS232" s="780">
        <f t="shared" ref="AS232" si="2152">IF($Y$5&gt;$X$5,($Y$5-$X$5)*V541,0)</f>
        <v>5206.4835051661303</v>
      </c>
      <c r="AT232" s="780">
        <f t="shared" ref="AT232" si="2153">IF($Y$5&gt;$X$5,($Y$5-$X$5)*W541,0)</f>
        <v>5505.8074376836603</v>
      </c>
      <c r="AU232" s="780">
        <f t="shared" ref="AU232" si="2154">IF($Y$5&gt;$X$5,($Y$5-$X$5)*X541,0)</f>
        <v>5822.8103339388172</v>
      </c>
      <c r="AV232" s="780">
        <f t="shared" ref="AV232" si="2155">IF($Y$5&gt;$X$5,($Y$5-$X$5)*Y541,0)</f>
        <v>6158.2949600526208</v>
      </c>
      <c r="AW232" s="781">
        <f t="shared" ref="AW232" si="2156">IF($Y$5&gt;$X$5,($Y$5-$X$5)*Z541,0)</f>
        <v>6514.1392664878649</v>
      </c>
      <c r="AX232" s="782">
        <f t="shared" ref="AX232" si="2157">IF($Y$5&gt;$X$5,($Y$5-$X$5)*AA541,0)</f>
        <v>6891.2420929122554</v>
      </c>
      <c r="AY232" s="780">
        <f t="shared" ref="AY232" si="2158">IF($Y$5&gt;$X$5,($Y$5-$X$5)*AB541,0)</f>
        <v>7290.5201481641989</v>
      </c>
      <c r="AZ232" s="780">
        <f t="shared" ref="AZ232" si="2159">IF($Y$5&gt;$X$5,($Y$5-$X$5)*AC541,0)</f>
        <v>7712.9078999165331</v>
      </c>
      <c r="BA232" s="780">
        <f t="shared" ref="BA232" si="2160">IF($Y$5&gt;$X$5,($Y$5-$X$5)*AD541,0)</f>
        <v>8159.357530652579</v>
      </c>
      <c r="BB232" s="780">
        <f t="shared" ref="BB232" si="2161">IF($Y$5&gt;$X$5,($Y$5-$X$5)*AE541,0)</f>
        <v>8630.8389688113039</v>
      </c>
      <c r="BC232" s="780">
        <f t="shared" ref="BC232" si="2162">IF($Y$5&gt;$X$5,($Y$5-$X$5)*AF541,0)</f>
        <v>9128.3400039027438</v>
      </c>
      <c r="BD232" s="780">
        <f t="shared" ref="BD232" si="2163">IF($Y$5&gt;$X$5,($Y$5-$X$5)*AG541,0)</f>
        <v>9652.8664942797932</v>
      </c>
      <c r="BE232" s="780">
        <f t="shared" ref="BE232" si="2164">IF($Y$5&gt;$X$5,($Y$5-$X$5)*AH541,0)</f>
        <v>10205.442676078563</v>
      </c>
      <c r="BF232" s="780">
        <f t="shared" ref="BF232" si="2165">IF($Y$5&gt;$X$5,($Y$5-$X$5)*AI541,0)</f>
        <v>10787.111581608189</v>
      </c>
      <c r="BG232" s="780">
        <f t="shared" ref="BG232" si="2166">IF($Y$5&gt;$X$5,($Y$5-$X$5)*AJ541,0)</f>
        <v>11398.935575183927</v>
      </c>
      <c r="BH232" s="780">
        <f t="shared" ref="BH232" si="2167">IF($Y$5&gt;$X$5,($Y$5-$X$5)*AK541,0)</f>
        <v>12041.997014057681</v>
      </c>
      <c r="BI232" s="781">
        <f t="shared" ref="BI232" si="2168">IF($Y$5&gt;$X$5,($Y$5-$X$5)*AL541,0)</f>
        <v>11309.223860591001</v>
      </c>
    </row>
    <row r="233" spans="1:61" s="780" customFormat="1" hidden="1" outlineLevel="1">
      <c r="M233" s="781"/>
      <c r="N233" s="782"/>
      <c r="Y233" s="781"/>
      <c r="Z233" s="782"/>
      <c r="AK233" s="781"/>
      <c r="AL233" s="782"/>
      <c r="AW233" s="781"/>
      <c r="AX233" s="782"/>
      <c r="BI233" s="781"/>
    </row>
    <row r="234" spans="1:61" s="780" customFormat="1" hidden="1" outlineLevel="1">
      <c r="A234" s="780" t="s">
        <v>359</v>
      </c>
      <c r="M234" s="781"/>
      <c r="N234" s="782"/>
      <c r="Y234" s="781"/>
      <c r="Z234" s="782">
        <f>IF($Z$5&gt;$Y$5,($Z$5-$Y$5)*B535,0)</f>
        <v>0</v>
      </c>
      <c r="AA234" s="780">
        <f t="shared" ref="AA234" si="2169">IF($Z$5&gt;$Y$5,($Z$5-$Y$5)*C535,0)</f>
        <v>0</v>
      </c>
      <c r="AB234" s="780">
        <f t="shared" ref="AB234" si="2170">IF($Z$5&gt;$Y$5,($Z$5-$Y$5)*D535,0)</f>
        <v>0</v>
      </c>
      <c r="AC234" s="780">
        <f t="shared" ref="AC234" si="2171">IF($Z$5&gt;$Y$5,($Z$5-$Y$5)*E535,0)</f>
        <v>0</v>
      </c>
      <c r="AD234" s="780">
        <f t="shared" ref="AD234" si="2172">IF($Z$5&gt;$Y$5,($Z$5-$Y$5)*F535,0)</f>
        <v>0</v>
      </c>
      <c r="AE234" s="780">
        <f t="shared" ref="AE234" si="2173">IF($Z$5&gt;$Y$5,($Z$5-$Y$5)*G535,0)</f>
        <v>0</v>
      </c>
      <c r="AF234" s="780">
        <f t="shared" ref="AF234" si="2174">IF($Z$5&gt;$Y$5,($Z$5-$Y$5)*H535,0)</f>
        <v>0</v>
      </c>
      <c r="AG234" s="780">
        <f t="shared" ref="AG234" si="2175">IF($Z$5&gt;$Y$5,($Z$5-$Y$5)*I535,0)</f>
        <v>0</v>
      </c>
      <c r="AH234" s="780">
        <f t="shared" ref="AH234" si="2176">IF($Z$5&gt;$Y$5,($Z$5-$Y$5)*J535,0)</f>
        <v>0</v>
      </c>
      <c r="AI234" s="780">
        <f t="shared" ref="AI234" si="2177">IF($Z$5&gt;$Y$5,($Z$5-$Y$5)*K535,0)</f>
        <v>0</v>
      </c>
      <c r="AJ234" s="780">
        <f t="shared" ref="AJ234" si="2178">IF($Z$5&gt;$Y$5,($Z$5-$Y$5)*L535,0)</f>
        <v>0</v>
      </c>
      <c r="AK234" s="781">
        <f t="shared" ref="AK234" si="2179">IF($Z$5&gt;$Y$5,($Z$5-$Y$5)*M535,0)</f>
        <v>0</v>
      </c>
      <c r="AL234" s="782">
        <f t="shared" ref="AL234" si="2180">IF($Z$5&gt;$Y$5,($Z$5-$Y$5)*N535,0)</f>
        <v>0</v>
      </c>
      <c r="AM234" s="780">
        <f t="shared" ref="AM234" si="2181">IF($Z$5&gt;$Y$5,($Z$5-$Y$5)*O535,0)</f>
        <v>0</v>
      </c>
      <c r="AN234" s="780">
        <f t="shared" ref="AN234" si="2182">IF($Z$5&gt;$Y$5,($Z$5-$Y$5)*P535,0)</f>
        <v>0</v>
      </c>
      <c r="AO234" s="780">
        <f t="shared" ref="AO234" si="2183">IF($Z$5&gt;$Y$5,($Z$5-$Y$5)*Q535,0)</f>
        <v>0</v>
      </c>
      <c r="AP234" s="780">
        <f t="shared" ref="AP234" si="2184">IF($Z$5&gt;$Y$5,($Z$5-$Y$5)*R535,0)</f>
        <v>0</v>
      </c>
      <c r="AQ234" s="780">
        <f t="shared" ref="AQ234" si="2185">IF($Z$5&gt;$Y$5,($Z$5-$Y$5)*S535,0)</f>
        <v>0</v>
      </c>
      <c r="AR234" s="780">
        <f t="shared" ref="AR234" si="2186">IF($Z$5&gt;$Y$5,($Z$5-$Y$5)*T535,0)</f>
        <v>0</v>
      </c>
      <c r="AS234" s="780">
        <f t="shared" ref="AS234" si="2187">IF($Z$5&gt;$Y$5,($Z$5-$Y$5)*U535,0)</f>
        <v>0</v>
      </c>
      <c r="AT234" s="780">
        <f t="shared" ref="AT234" si="2188">IF($Z$5&gt;$Y$5,($Z$5-$Y$5)*V535,0)</f>
        <v>0</v>
      </c>
      <c r="AU234" s="780">
        <f t="shared" ref="AU234" si="2189">IF($Z$5&gt;$Y$5,($Z$5-$Y$5)*W535,0)</f>
        <v>0</v>
      </c>
      <c r="AV234" s="780">
        <f t="shared" ref="AV234" si="2190">IF($Z$5&gt;$Y$5,($Z$5-$Y$5)*X535,0)</f>
        <v>0</v>
      </c>
      <c r="AW234" s="781">
        <f t="shared" ref="AW234" si="2191">IF($Z$5&gt;$Y$5,($Z$5-$Y$5)*Y535,0)</f>
        <v>0</v>
      </c>
      <c r="AX234" s="782">
        <f t="shared" ref="AX234" si="2192">IF($Z$5&gt;$Y$5,($Z$5-$Y$5)*Z535,0)</f>
        <v>0</v>
      </c>
      <c r="AY234" s="780">
        <f t="shared" ref="AY234" si="2193">IF($Z$5&gt;$Y$5,($Z$5-$Y$5)*AA535,0)</f>
        <v>0</v>
      </c>
      <c r="AZ234" s="780">
        <f t="shared" ref="AZ234" si="2194">IF($Z$5&gt;$Y$5,($Z$5-$Y$5)*AB535,0)</f>
        <v>0</v>
      </c>
      <c r="BA234" s="780">
        <f t="shared" ref="BA234" si="2195">IF($Z$5&gt;$Y$5,($Z$5-$Y$5)*AC535,0)</f>
        <v>0</v>
      </c>
      <c r="BB234" s="780">
        <f t="shared" ref="BB234" si="2196">IF($Z$5&gt;$Y$5,($Z$5-$Y$5)*AD535,0)</f>
        <v>0</v>
      </c>
      <c r="BC234" s="780">
        <f t="shared" ref="BC234" si="2197">IF($Z$5&gt;$Y$5,($Z$5-$Y$5)*AE535,0)</f>
        <v>0</v>
      </c>
      <c r="BD234" s="780">
        <f t="shared" ref="BD234" si="2198">IF($Z$5&gt;$Y$5,($Z$5-$Y$5)*AF535,0)</f>
        <v>0</v>
      </c>
      <c r="BE234" s="780">
        <f t="shared" ref="BE234" si="2199">IF($Z$5&gt;$Y$5,($Z$5-$Y$5)*AG535,0)</f>
        <v>0</v>
      </c>
      <c r="BF234" s="780">
        <f t="shared" ref="BF234" si="2200">IF($Z$5&gt;$Y$5,($Z$5-$Y$5)*AH535,0)</f>
        <v>0</v>
      </c>
      <c r="BG234" s="780">
        <f t="shared" ref="BG234" si="2201">IF($Z$5&gt;$Y$5,($Z$5-$Y$5)*AI535,0)</f>
        <v>0</v>
      </c>
      <c r="BH234" s="780">
        <f t="shared" ref="BH234" si="2202">IF($Z$5&gt;$Y$5,($Z$5-$Y$5)*AJ535,0)</f>
        <v>0</v>
      </c>
      <c r="BI234" s="781">
        <f t="shared" ref="BI234" si="2203">IF($Z$5&gt;$Y$5,($Z$5-$Y$5)*AK535,0)</f>
        <v>0</v>
      </c>
    </row>
    <row r="235" spans="1:61" s="780" customFormat="1" hidden="1" outlineLevel="1">
      <c r="A235" s="780" t="str">
        <f>$A$536</f>
        <v>Leads</v>
      </c>
      <c r="M235" s="781"/>
      <c r="N235" s="782"/>
      <c r="Y235" s="781"/>
      <c r="Z235" s="782">
        <f>IF($Z$5&gt;$Y$5,($Z$5-$Y$5)*B536,0)</f>
        <v>0</v>
      </c>
      <c r="AA235" s="780">
        <f t="shared" ref="AA235:BI235" si="2204">IF($Z$5&gt;$Y$5,($Z$5-$Y$5)*C536,0)</f>
        <v>0</v>
      </c>
      <c r="AB235" s="780">
        <f t="shared" si="2204"/>
        <v>0</v>
      </c>
      <c r="AC235" s="780">
        <f t="shared" si="2204"/>
        <v>0</v>
      </c>
      <c r="AD235" s="780">
        <f t="shared" si="2204"/>
        <v>0</v>
      </c>
      <c r="AE235" s="780">
        <f t="shared" si="2204"/>
        <v>0</v>
      </c>
      <c r="AF235" s="780">
        <f t="shared" si="2204"/>
        <v>0</v>
      </c>
      <c r="AG235" s="780">
        <f t="shared" si="2204"/>
        <v>0</v>
      </c>
      <c r="AH235" s="780">
        <f t="shared" si="2204"/>
        <v>0</v>
      </c>
      <c r="AI235" s="780">
        <f t="shared" si="2204"/>
        <v>0</v>
      </c>
      <c r="AJ235" s="780">
        <f t="shared" si="2204"/>
        <v>0</v>
      </c>
      <c r="AK235" s="781">
        <f t="shared" si="2204"/>
        <v>0</v>
      </c>
      <c r="AL235" s="782">
        <f t="shared" si="2204"/>
        <v>0</v>
      </c>
      <c r="AM235" s="780">
        <f t="shared" si="2204"/>
        <v>0</v>
      </c>
      <c r="AN235" s="780">
        <f t="shared" si="2204"/>
        <v>0</v>
      </c>
      <c r="AO235" s="780">
        <f t="shared" si="2204"/>
        <v>0</v>
      </c>
      <c r="AP235" s="780">
        <f t="shared" si="2204"/>
        <v>0</v>
      </c>
      <c r="AQ235" s="780">
        <f t="shared" si="2204"/>
        <v>0</v>
      </c>
      <c r="AR235" s="780">
        <f t="shared" si="2204"/>
        <v>0</v>
      </c>
      <c r="AS235" s="780">
        <f t="shared" si="2204"/>
        <v>0</v>
      </c>
      <c r="AT235" s="780">
        <f t="shared" si="2204"/>
        <v>0</v>
      </c>
      <c r="AU235" s="780">
        <f t="shared" si="2204"/>
        <v>0</v>
      </c>
      <c r="AV235" s="780">
        <f t="shared" si="2204"/>
        <v>0</v>
      </c>
      <c r="AW235" s="781">
        <f t="shared" si="2204"/>
        <v>0</v>
      </c>
      <c r="AX235" s="782">
        <f t="shared" si="2204"/>
        <v>0</v>
      </c>
      <c r="AY235" s="780">
        <f t="shared" si="2204"/>
        <v>0</v>
      </c>
      <c r="AZ235" s="780">
        <f t="shared" si="2204"/>
        <v>0</v>
      </c>
      <c r="BA235" s="780">
        <f t="shared" si="2204"/>
        <v>0</v>
      </c>
      <c r="BB235" s="780">
        <f t="shared" si="2204"/>
        <v>0</v>
      </c>
      <c r="BC235" s="780">
        <f t="shared" si="2204"/>
        <v>0</v>
      </c>
      <c r="BD235" s="780">
        <f t="shared" si="2204"/>
        <v>0</v>
      </c>
      <c r="BE235" s="780">
        <f t="shared" si="2204"/>
        <v>0</v>
      </c>
      <c r="BF235" s="780">
        <f t="shared" si="2204"/>
        <v>0</v>
      </c>
      <c r="BG235" s="780">
        <f t="shared" si="2204"/>
        <v>0</v>
      </c>
      <c r="BH235" s="780">
        <f t="shared" si="2204"/>
        <v>0</v>
      </c>
      <c r="BI235" s="781">
        <f t="shared" si="2204"/>
        <v>0</v>
      </c>
    </row>
    <row r="236" spans="1:61" s="780" customFormat="1" hidden="1" outlineLevel="1">
      <c r="A236" s="780" t="str">
        <f>$A$537</f>
        <v>Audits</v>
      </c>
      <c r="M236" s="781"/>
      <c r="N236" s="782"/>
      <c r="Y236" s="781"/>
      <c r="Z236" s="782">
        <f t="shared" ref="Z236:BI236" si="2205">IF($Z$5&gt;$Y$5,($Z$5-$Y$5)*B537,0)</f>
        <v>0</v>
      </c>
      <c r="AA236" s="780">
        <f t="shared" si="2205"/>
        <v>0</v>
      </c>
      <c r="AB236" s="780">
        <f t="shared" si="2205"/>
        <v>0</v>
      </c>
      <c r="AC236" s="780">
        <f t="shared" si="2205"/>
        <v>0</v>
      </c>
      <c r="AD236" s="780">
        <f t="shared" si="2205"/>
        <v>0</v>
      </c>
      <c r="AE236" s="780">
        <f t="shared" si="2205"/>
        <v>0</v>
      </c>
      <c r="AF236" s="780">
        <f t="shared" si="2205"/>
        <v>0</v>
      </c>
      <c r="AG236" s="780">
        <f t="shared" si="2205"/>
        <v>0</v>
      </c>
      <c r="AH236" s="780">
        <f t="shared" si="2205"/>
        <v>0</v>
      </c>
      <c r="AI236" s="780">
        <f t="shared" si="2205"/>
        <v>0</v>
      </c>
      <c r="AJ236" s="780">
        <f t="shared" si="2205"/>
        <v>0</v>
      </c>
      <c r="AK236" s="781">
        <f t="shared" si="2205"/>
        <v>0</v>
      </c>
      <c r="AL236" s="782">
        <f t="shared" si="2205"/>
        <v>0</v>
      </c>
      <c r="AM236" s="780">
        <f t="shared" si="2205"/>
        <v>0</v>
      </c>
      <c r="AN236" s="780">
        <f t="shared" si="2205"/>
        <v>0</v>
      </c>
      <c r="AO236" s="780">
        <f t="shared" si="2205"/>
        <v>0</v>
      </c>
      <c r="AP236" s="780">
        <f t="shared" si="2205"/>
        <v>0</v>
      </c>
      <c r="AQ236" s="780">
        <f t="shared" si="2205"/>
        <v>0</v>
      </c>
      <c r="AR236" s="780">
        <f t="shared" si="2205"/>
        <v>0</v>
      </c>
      <c r="AS236" s="780">
        <f t="shared" si="2205"/>
        <v>0</v>
      </c>
      <c r="AT236" s="780">
        <f t="shared" si="2205"/>
        <v>0</v>
      </c>
      <c r="AU236" s="780">
        <f t="shared" si="2205"/>
        <v>0</v>
      </c>
      <c r="AV236" s="780">
        <f t="shared" si="2205"/>
        <v>0</v>
      </c>
      <c r="AW236" s="781">
        <f t="shared" si="2205"/>
        <v>0</v>
      </c>
      <c r="AX236" s="782">
        <f t="shared" si="2205"/>
        <v>0</v>
      </c>
      <c r="AY236" s="780">
        <f t="shared" si="2205"/>
        <v>0</v>
      </c>
      <c r="AZ236" s="780">
        <f t="shared" si="2205"/>
        <v>0</v>
      </c>
      <c r="BA236" s="780">
        <f t="shared" si="2205"/>
        <v>0</v>
      </c>
      <c r="BB236" s="780">
        <f t="shared" si="2205"/>
        <v>0</v>
      </c>
      <c r="BC236" s="780">
        <f t="shared" si="2205"/>
        <v>0</v>
      </c>
      <c r="BD236" s="780">
        <f t="shared" si="2205"/>
        <v>0</v>
      </c>
      <c r="BE236" s="780">
        <f t="shared" si="2205"/>
        <v>0</v>
      </c>
      <c r="BF236" s="780">
        <f t="shared" si="2205"/>
        <v>0</v>
      </c>
      <c r="BG236" s="780">
        <f t="shared" si="2205"/>
        <v>0</v>
      </c>
      <c r="BH236" s="780">
        <f t="shared" si="2205"/>
        <v>0</v>
      </c>
      <c r="BI236" s="781">
        <f t="shared" si="2205"/>
        <v>0</v>
      </c>
    </row>
    <row r="237" spans="1:61" s="780" customFormat="1" hidden="1" outlineLevel="1">
      <c r="A237" s="780" t="str">
        <f>$A$538</f>
        <v>Retrofit</v>
      </c>
      <c r="M237" s="781"/>
      <c r="N237" s="782"/>
      <c r="Y237" s="781"/>
      <c r="Z237" s="782">
        <f t="shared" ref="Z237:BI237" si="2206">IF($Z$5&gt;$Y$5,($Z$5-$Y$5)*B538,0)</f>
        <v>0</v>
      </c>
      <c r="AA237" s="780">
        <f t="shared" si="2206"/>
        <v>0</v>
      </c>
      <c r="AB237" s="780">
        <f t="shared" si="2206"/>
        <v>0</v>
      </c>
      <c r="AC237" s="780">
        <f t="shared" si="2206"/>
        <v>0</v>
      </c>
      <c r="AD237" s="780">
        <f t="shared" si="2206"/>
        <v>0</v>
      </c>
      <c r="AE237" s="780">
        <f t="shared" si="2206"/>
        <v>0</v>
      </c>
      <c r="AF237" s="780">
        <f t="shared" si="2206"/>
        <v>0</v>
      </c>
      <c r="AG237" s="780">
        <f t="shared" si="2206"/>
        <v>0</v>
      </c>
      <c r="AH237" s="780">
        <f t="shared" si="2206"/>
        <v>0</v>
      </c>
      <c r="AI237" s="780">
        <f t="shared" si="2206"/>
        <v>0</v>
      </c>
      <c r="AJ237" s="780">
        <f t="shared" si="2206"/>
        <v>0</v>
      </c>
      <c r="AK237" s="781">
        <f t="shared" si="2206"/>
        <v>0</v>
      </c>
      <c r="AL237" s="782">
        <f t="shared" si="2206"/>
        <v>0</v>
      </c>
      <c r="AM237" s="780">
        <f t="shared" si="2206"/>
        <v>0</v>
      </c>
      <c r="AN237" s="780">
        <f t="shared" si="2206"/>
        <v>0</v>
      </c>
      <c r="AO237" s="780">
        <f t="shared" si="2206"/>
        <v>0</v>
      </c>
      <c r="AP237" s="780">
        <f t="shared" si="2206"/>
        <v>0</v>
      </c>
      <c r="AQ237" s="780">
        <f t="shared" si="2206"/>
        <v>0</v>
      </c>
      <c r="AR237" s="780">
        <f t="shared" si="2206"/>
        <v>0</v>
      </c>
      <c r="AS237" s="780">
        <f t="shared" si="2206"/>
        <v>0</v>
      </c>
      <c r="AT237" s="780">
        <f t="shared" si="2206"/>
        <v>0</v>
      </c>
      <c r="AU237" s="780">
        <f t="shared" si="2206"/>
        <v>0</v>
      </c>
      <c r="AV237" s="780">
        <f t="shared" si="2206"/>
        <v>0</v>
      </c>
      <c r="AW237" s="781">
        <f t="shared" si="2206"/>
        <v>0</v>
      </c>
      <c r="AX237" s="782">
        <f t="shared" si="2206"/>
        <v>0</v>
      </c>
      <c r="AY237" s="780">
        <f t="shared" si="2206"/>
        <v>0</v>
      </c>
      <c r="AZ237" s="780">
        <f t="shared" si="2206"/>
        <v>0</v>
      </c>
      <c r="BA237" s="780">
        <f t="shared" si="2206"/>
        <v>0</v>
      </c>
      <c r="BB237" s="780">
        <f t="shared" si="2206"/>
        <v>0</v>
      </c>
      <c r="BC237" s="780">
        <f t="shared" si="2206"/>
        <v>0</v>
      </c>
      <c r="BD237" s="780">
        <f t="shared" si="2206"/>
        <v>0</v>
      </c>
      <c r="BE237" s="780">
        <f t="shared" si="2206"/>
        <v>0</v>
      </c>
      <c r="BF237" s="780">
        <f t="shared" si="2206"/>
        <v>0</v>
      </c>
      <c r="BG237" s="780">
        <f t="shared" si="2206"/>
        <v>0</v>
      </c>
      <c r="BH237" s="780">
        <f t="shared" si="2206"/>
        <v>0</v>
      </c>
      <c r="BI237" s="781">
        <f t="shared" si="2206"/>
        <v>0</v>
      </c>
    </row>
    <row r="238" spans="1:61" s="780" customFormat="1" hidden="1" outlineLevel="1">
      <c r="A238" s="780" t="str">
        <f>$A$539</f>
        <v>Revenue</v>
      </c>
      <c r="M238" s="781"/>
      <c r="N238" s="782"/>
      <c r="Y238" s="781"/>
      <c r="Z238" s="782">
        <f t="shared" ref="Z238:BI238" si="2207">IF($Z$5&gt;$Y$5,($Z$5-$Y$5)*B539,0)</f>
        <v>0</v>
      </c>
      <c r="AA238" s="780">
        <f t="shared" si="2207"/>
        <v>0</v>
      </c>
      <c r="AB238" s="780">
        <f t="shared" si="2207"/>
        <v>0</v>
      </c>
      <c r="AC238" s="780">
        <f t="shared" si="2207"/>
        <v>0</v>
      </c>
      <c r="AD238" s="780">
        <f t="shared" si="2207"/>
        <v>0</v>
      </c>
      <c r="AE238" s="780">
        <f t="shared" si="2207"/>
        <v>0</v>
      </c>
      <c r="AF238" s="780">
        <f t="shared" si="2207"/>
        <v>0</v>
      </c>
      <c r="AG238" s="780">
        <f t="shared" si="2207"/>
        <v>0</v>
      </c>
      <c r="AH238" s="780">
        <f t="shared" si="2207"/>
        <v>0</v>
      </c>
      <c r="AI238" s="780">
        <f t="shared" si="2207"/>
        <v>0</v>
      </c>
      <c r="AJ238" s="780">
        <f t="shared" si="2207"/>
        <v>0</v>
      </c>
      <c r="AK238" s="781">
        <f t="shared" si="2207"/>
        <v>0</v>
      </c>
      <c r="AL238" s="782">
        <f t="shared" si="2207"/>
        <v>0</v>
      </c>
      <c r="AM238" s="780">
        <f t="shared" si="2207"/>
        <v>0</v>
      </c>
      <c r="AN238" s="780">
        <f t="shared" si="2207"/>
        <v>0</v>
      </c>
      <c r="AO238" s="780">
        <f t="shared" si="2207"/>
        <v>0</v>
      </c>
      <c r="AP238" s="780">
        <f t="shared" si="2207"/>
        <v>0</v>
      </c>
      <c r="AQ238" s="780">
        <f t="shared" si="2207"/>
        <v>0</v>
      </c>
      <c r="AR238" s="780">
        <f t="shared" si="2207"/>
        <v>0</v>
      </c>
      <c r="AS238" s="780">
        <f t="shared" si="2207"/>
        <v>0</v>
      </c>
      <c r="AT238" s="780">
        <f t="shared" si="2207"/>
        <v>0</v>
      </c>
      <c r="AU238" s="780">
        <f t="shared" si="2207"/>
        <v>0</v>
      </c>
      <c r="AV238" s="780">
        <f t="shared" si="2207"/>
        <v>0</v>
      </c>
      <c r="AW238" s="781">
        <f t="shared" si="2207"/>
        <v>0</v>
      </c>
      <c r="AX238" s="782">
        <f t="shared" si="2207"/>
        <v>0</v>
      </c>
      <c r="AY238" s="780">
        <f t="shared" si="2207"/>
        <v>0</v>
      </c>
      <c r="AZ238" s="780">
        <f t="shared" si="2207"/>
        <v>0</v>
      </c>
      <c r="BA238" s="780">
        <f t="shared" si="2207"/>
        <v>0</v>
      </c>
      <c r="BB238" s="780">
        <f t="shared" si="2207"/>
        <v>0</v>
      </c>
      <c r="BC238" s="780">
        <f t="shared" si="2207"/>
        <v>0</v>
      </c>
      <c r="BD238" s="780">
        <f t="shared" si="2207"/>
        <v>0</v>
      </c>
      <c r="BE238" s="780">
        <f t="shared" si="2207"/>
        <v>0</v>
      </c>
      <c r="BF238" s="780">
        <f t="shared" si="2207"/>
        <v>0</v>
      </c>
      <c r="BG238" s="780">
        <f t="shared" si="2207"/>
        <v>0</v>
      </c>
      <c r="BH238" s="780">
        <f t="shared" si="2207"/>
        <v>0</v>
      </c>
      <c r="BI238" s="781">
        <f t="shared" si="2207"/>
        <v>0</v>
      </c>
    </row>
    <row r="239" spans="1:61" s="780" customFormat="1" hidden="1" outlineLevel="1">
      <c r="A239" s="780" t="str">
        <f>$A$540</f>
        <v>Net Income</v>
      </c>
      <c r="M239" s="781"/>
      <c r="N239" s="782"/>
      <c r="Y239" s="781"/>
      <c r="Z239" s="782">
        <f t="shared" ref="Z239:BI239" si="2208">IF($Z$5&gt;$Y$5,($Z$5-$Y$5)*B540,0)</f>
        <v>0</v>
      </c>
      <c r="AA239" s="780">
        <f t="shared" si="2208"/>
        <v>0</v>
      </c>
      <c r="AB239" s="780">
        <f t="shared" si="2208"/>
        <v>0</v>
      </c>
      <c r="AC239" s="780">
        <f t="shared" si="2208"/>
        <v>0</v>
      </c>
      <c r="AD239" s="780">
        <f t="shared" si="2208"/>
        <v>0</v>
      </c>
      <c r="AE239" s="780">
        <f t="shared" si="2208"/>
        <v>0</v>
      </c>
      <c r="AF239" s="780">
        <f t="shared" si="2208"/>
        <v>0</v>
      </c>
      <c r="AG239" s="780">
        <f t="shared" si="2208"/>
        <v>0</v>
      </c>
      <c r="AH239" s="780">
        <f t="shared" si="2208"/>
        <v>0</v>
      </c>
      <c r="AI239" s="780">
        <f t="shared" si="2208"/>
        <v>0</v>
      </c>
      <c r="AJ239" s="780">
        <f t="shared" si="2208"/>
        <v>0</v>
      </c>
      <c r="AK239" s="781">
        <f t="shared" si="2208"/>
        <v>0</v>
      </c>
      <c r="AL239" s="782">
        <f t="shared" si="2208"/>
        <v>0</v>
      </c>
      <c r="AM239" s="780">
        <f t="shared" si="2208"/>
        <v>0</v>
      </c>
      <c r="AN239" s="780">
        <f t="shared" si="2208"/>
        <v>0</v>
      </c>
      <c r="AO239" s="780">
        <f t="shared" si="2208"/>
        <v>0</v>
      </c>
      <c r="AP239" s="780">
        <f t="shared" si="2208"/>
        <v>0</v>
      </c>
      <c r="AQ239" s="780">
        <f t="shared" si="2208"/>
        <v>0</v>
      </c>
      <c r="AR239" s="780">
        <f t="shared" si="2208"/>
        <v>0</v>
      </c>
      <c r="AS239" s="780">
        <f t="shared" si="2208"/>
        <v>0</v>
      </c>
      <c r="AT239" s="780">
        <f t="shared" si="2208"/>
        <v>0</v>
      </c>
      <c r="AU239" s="780">
        <f t="shared" si="2208"/>
        <v>0</v>
      </c>
      <c r="AV239" s="780">
        <f t="shared" si="2208"/>
        <v>0</v>
      </c>
      <c r="AW239" s="781">
        <f t="shared" si="2208"/>
        <v>0</v>
      </c>
      <c r="AX239" s="782">
        <f t="shared" si="2208"/>
        <v>0</v>
      </c>
      <c r="AY239" s="780">
        <f t="shared" si="2208"/>
        <v>0</v>
      </c>
      <c r="AZ239" s="780">
        <f t="shared" si="2208"/>
        <v>0</v>
      </c>
      <c r="BA239" s="780">
        <f t="shared" si="2208"/>
        <v>0</v>
      </c>
      <c r="BB239" s="780">
        <f t="shared" si="2208"/>
        <v>0</v>
      </c>
      <c r="BC239" s="780">
        <f t="shared" si="2208"/>
        <v>0</v>
      </c>
      <c r="BD239" s="780">
        <f t="shared" si="2208"/>
        <v>0</v>
      </c>
      <c r="BE239" s="780">
        <f t="shared" si="2208"/>
        <v>0</v>
      </c>
      <c r="BF239" s="780">
        <f t="shared" si="2208"/>
        <v>0</v>
      </c>
      <c r="BG239" s="780">
        <f t="shared" si="2208"/>
        <v>0</v>
      </c>
      <c r="BH239" s="780">
        <f t="shared" si="2208"/>
        <v>0</v>
      </c>
      <c r="BI239" s="781">
        <f t="shared" si="2208"/>
        <v>0</v>
      </c>
    </row>
    <row r="240" spans="1:61" s="780" customFormat="1" hidden="1" outlineLevel="1">
      <c r="A240" s="780" t="str">
        <f>$A$541</f>
        <v>Program Revenue</v>
      </c>
      <c r="M240" s="781"/>
      <c r="N240" s="782"/>
      <c r="Y240" s="781"/>
      <c r="Z240" s="782">
        <f t="shared" ref="Z240" si="2209">IF($Z$5&gt;$Y$5,($Z$5-$Y$5)*B541,0)</f>
        <v>0</v>
      </c>
      <c r="AA240" s="780">
        <f t="shared" ref="AA240" si="2210">IF($Z$5&gt;$Y$5,($Z$5-$Y$5)*C541,0)</f>
        <v>0</v>
      </c>
      <c r="AB240" s="780">
        <f t="shared" ref="AB240" si="2211">IF($Z$5&gt;$Y$5,($Z$5-$Y$5)*D541,0)</f>
        <v>0</v>
      </c>
      <c r="AC240" s="780">
        <f t="shared" ref="AC240" si="2212">IF($Z$5&gt;$Y$5,($Z$5-$Y$5)*E541,0)</f>
        <v>0</v>
      </c>
      <c r="AD240" s="780">
        <f t="shared" ref="AD240" si="2213">IF($Z$5&gt;$Y$5,($Z$5-$Y$5)*F541,0)</f>
        <v>0</v>
      </c>
      <c r="AE240" s="780">
        <f t="shared" ref="AE240" si="2214">IF($Z$5&gt;$Y$5,($Z$5-$Y$5)*G541,0)</f>
        <v>0</v>
      </c>
      <c r="AF240" s="780">
        <f t="shared" ref="AF240" si="2215">IF($Z$5&gt;$Y$5,($Z$5-$Y$5)*H541,0)</f>
        <v>0</v>
      </c>
      <c r="AG240" s="780">
        <f t="shared" ref="AG240" si="2216">IF($Z$5&gt;$Y$5,($Z$5-$Y$5)*I541,0)</f>
        <v>0</v>
      </c>
      <c r="AH240" s="780">
        <f t="shared" ref="AH240" si="2217">IF($Z$5&gt;$Y$5,($Z$5-$Y$5)*J541,0)</f>
        <v>0</v>
      </c>
      <c r="AI240" s="780">
        <f t="shared" ref="AI240" si="2218">IF($Z$5&gt;$Y$5,($Z$5-$Y$5)*K541,0)</f>
        <v>0</v>
      </c>
      <c r="AJ240" s="780">
        <f t="shared" ref="AJ240" si="2219">IF($Z$5&gt;$Y$5,($Z$5-$Y$5)*L541,0)</f>
        <v>0</v>
      </c>
      <c r="AK240" s="781">
        <f t="shared" ref="AK240" si="2220">IF($Z$5&gt;$Y$5,($Z$5-$Y$5)*M541,0)</f>
        <v>0</v>
      </c>
      <c r="AL240" s="782">
        <f t="shared" ref="AL240" si="2221">IF($Z$5&gt;$Y$5,($Z$5-$Y$5)*N541,0)</f>
        <v>0</v>
      </c>
      <c r="AM240" s="780">
        <f t="shared" ref="AM240" si="2222">IF($Z$5&gt;$Y$5,($Z$5-$Y$5)*O541,0)</f>
        <v>0</v>
      </c>
      <c r="AN240" s="780">
        <f t="shared" ref="AN240" si="2223">IF($Z$5&gt;$Y$5,($Z$5-$Y$5)*P541,0)</f>
        <v>0</v>
      </c>
      <c r="AO240" s="780">
        <f t="shared" ref="AO240" si="2224">IF($Z$5&gt;$Y$5,($Z$5-$Y$5)*Q541,0)</f>
        <v>0</v>
      </c>
      <c r="AP240" s="780">
        <f t="shared" ref="AP240" si="2225">IF($Z$5&gt;$Y$5,($Z$5-$Y$5)*R541,0)</f>
        <v>0</v>
      </c>
      <c r="AQ240" s="780">
        <f t="shared" ref="AQ240" si="2226">IF($Z$5&gt;$Y$5,($Z$5-$Y$5)*S541,0)</f>
        <v>0</v>
      </c>
      <c r="AR240" s="780">
        <f t="shared" ref="AR240" si="2227">IF($Z$5&gt;$Y$5,($Z$5-$Y$5)*T541,0)</f>
        <v>0</v>
      </c>
      <c r="AS240" s="780">
        <f t="shared" ref="AS240" si="2228">IF($Z$5&gt;$Y$5,($Z$5-$Y$5)*U541,0)</f>
        <v>0</v>
      </c>
      <c r="AT240" s="780">
        <f t="shared" ref="AT240" si="2229">IF($Z$5&gt;$Y$5,($Z$5-$Y$5)*V541,0)</f>
        <v>0</v>
      </c>
      <c r="AU240" s="780">
        <f t="shared" ref="AU240" si="2230">IF($Z$5&gt;$Y$5,($Z$5-$Y$5)*W541,0)</f>
        <v>0</v>
      </c>
      <c r="AV240" s="780">
        <f t="shared" ref="AV240" si="2231">IF($Z$5&gt;$Y$5,($Z$5-$Y$5)*X541,0)</f>
        <v>0</v>
      </c>
      <c r="AW240" s="781">
        <f t="shared" ref="AW240" si="2232">IF($Z$5&gt;$Y$5,($Z$5-$Y$5)*Y541,0)</f>
        <v>0</v>
      </c>
      <c r="AX240" s="782">
        <f t="shared" ref="AX240" si="2233">IF($Z$5&gt;$Y$5,($Z$5-$Y$5)*Z541,0)</f>
        <v>0</v>
      </c>
      <c r="AY240" s="780">
        <f t="shared" ref="AY240" si="2234">IF($Z$5&gt;$Y$5,($Z$5-$Y$5)*AA541,0)</f>
        <v>0</v>
      </c>
      <c r="AZ240" s="780">
        <f t="shared" ref="AZ240" si="2235">IF($Z$5&gt;$Y$5,($Z$5-$Y$5)*AB541,0)</f>
        <v>0</v>
      </c>
      <c r="BA240" s="780">
        <f t="shared" ref="BA240" si="2236">IF($Z$5&gt;$Y$5,($Z$5-$Y$5)*AC541,0)</f>
        <v>0</v>
      </c>
      <c r="BB240" s="780">
        <f t="shared" ref="BB240" si="2237">IF($Z$5&gt;$Y$5,($Z$5-$Y$5)*AD541,0)</f>
        <v>0</v>
      </c>
      <c r="BC240" s="780">
        <f t="shared" ref="BC240" si="2238">IF($Z$5&gt;$Y$5,($Z$5-$Y$5)*AE541,0)</f>
        <v>0</v>
      </c>
      <c r="BD240" s="780">
        <f t="shared" ref="BD240" si="2239">IF($Z$5&gt;$Y$5,($Z$5-$Y$5)*AF541,0)</f>
        <v>0</v>
      </c>
      <c r="BE240" s="780">
        <f t="shared" ref="BE240" si="2240">IF($Z$5&gt;$Y$5,($Z$5-$Y$5)*AG541,0)</f>
        <v>0</v>
      </c>
      <c r="BF240" s="780">
        <f t="shared" ref="BF240" si="2241">IF($Z$5&gt;$Y$5,($Z$5-$Y$5)*AH541,0)</f>
        <v>0</v>
      </c>
      <c r="BG240" s="780">
        <f t="shared" ref="BG240" si="2242">IF($Z$5&gt;$Y$5,($Z$5-$Y$5)*AI541,0)</f>
        <v>0</v>
      </c>
      <c r="BH240" s="780">
        <f t="shared" ref="BH240" si="2243">IF($Z$5&gt;$Y$5,($Z$5-$Y$5)*AJ541,0)</f>
        <v>0</v>
      </c>
      <c r="BI240" s="781">
        <f t="shared" ref="BI240" si="2244">IF($Z$5&gt;$Y$5,($Z$5-$Y$5)*AK541,0)</f>
        <v>0</v>
      </c>
    </row>
    <row r="241" spans="1:61" s="780" customFormat="1" hidden="1" outlineLevel="1">
      <c r="M241" s="781"/>
      <c r="N241" s="782"/>
      <c r="Y241" s="781"/>
      <c r="Z241" s="782"/>
      <c r="AK241" s="781"/>
      <c r="AL241" s="782"/>
      <c r="AW241" s="781"/>
      <c r="AX241" s="782"/>
      <c r="BI241" s="781"/>
    </row>
    <row r="242" spans="1:61" s="780" customFormat="1" hidden="1" outlineLevel="1">
      <c r="A242" s="780" t="s">
        <v>359</v>
      </c>
      <c r="M242" s="781"/>
      <c r="N242" s="782"/>
      <c r="Y242" s="781"/>
      <c r="Z242" s="782"/>
      <c r="AA242" s="780">
        <f>IF($AA$5&gt;$Z$5,($AA$5-$Z$5)*B535,0)</f>
        <v>8</v>
      </c>
      <c r="AB242" s="780">
        <f t="shared" ref="AB242" si="2245">IF($AA$5&gt;$Z$5,($AA$5-$Z$5)*C535,0)</f>
        <v>8.3824000000000005</v>
      </c>
      <c r="AC242" s="780">
        <f t="shared" ref="AC242" si="2246">IF($AA$5&gt;$Z$5,($AA$5-$Z$5)*D535,0)</f>
        <v>8.790016102400001</v>
      </c>
      <c r="AD242" s="780">
        <f t="shared" ref="AD242" si="2247">IF($AA$5&gt;$Z$5,($AA$5-$Z$5)*E535,0)</f>
        <v>9.2244218586677267</v>
      </c>
      <c r="AE242" s="780">
        <f t="shared" ref="AE242" si="2248">IF($AA$5&gt;$Z$5,($AA$5-$Z$5)*F535,0)</f>
        <v>9.6872643857899394</v>
      </c>
      <c r="AF242" s="780">
        <f t="shared" ref="AF242" si="2249">IF($AA$5&gt;$Z$5,($AA$5-$Z$5)*G535,0)</f>
        <v>10.180266404063699</v>
      </c>
      <c r="AG242" s="780">
        <f t="shared" ref="AG242" si="2250">IF($AA$5&gt;$Z$5,($AA$5-$Z$5)*H535,0)</f>
        <v>10.705228286703797</v>
      </c>
      <c r="AH242" s="780">
        <f t="shared" ref="AH242" si="2251">IF($AA$5&gt;$Z$5,($AA$5-$Z$5)*I535,0)</f>
        <v>11.264030122404236</v>
      </c>
      <c r="AI242" s="780">
        <f t="shared" ref="AI242" si="2252">IF($AA$5&gt;$Z$5,($AA$5-$Z$5)*J535,0)</f>
        <v>11.858633792363815</v>
      </c>
      <c r="AJ242" s="780">
        <f t="shared" ref="AJ242" si="2253">IF($AA$5&gt;$Z$5,($AA$5-$Z$5)*K535,0)</f>
        <v>12.491085063681208</v>
      </c>
      <c r="AK242" s="781">
        <f t="shared" ref="AK242" si="2254">IF($AA$5&gt;$Z$5,($AA$5-$Z$5)*L535,0)</f>
        <v>13.163515701442698</v>
      </c>
      <c r="AL242" s="782">
        <f t="shared" ref="AL242" si="2255">IF($AA$5&gt;$Z$5,($AA$5-$Z$5)*M535,0)</f>
        <v>13.878145602265221</v>
      </c>
      <c r="AM242" s="780">
        <f t="shared" ref="AM242" si="2256">IF($AA$5&gt;$Z$5,($AA$5-$Z$5)*N535,0)</f>
        <v>14.640802427106802</v>
      </c>
      <c r="AN242" s="780">
        <f t="shared" ref="AN242" si="2257">IF($AA$5&gt;$Z$5,($AA$5-$Z$5)*O535,0)</f>
        <v>15.454179973028484</v>
      </c>
      <c r="AO242" s="780">
        <f t="shared" ref="AO242" si="2258">IF($AA$5&gt;$Z$5,($AA$5-$Z$5)*P535,0)</f>
        <v>16.321067007803048</v>
      </c>
      <c r="AP242" s="780">
        <f t="shared" ref="AP242" si="2259">IF($AA$5&gt;$Z$5,($AA$5-$Z$5)*Q535,0)</f>
        <v>17.244348126107901</v>
      </c>
      <c r="AQ242" s="780">
        <f t="shared" ref="AQ242" si="2260">IF($AA$5&gt;$Z$5,($AA$5-$Z$5)*R535,0)</f>
        <v>18.227004594103096</v>
      </c>
      <c r="AR242" s="780">
        <f t="shared" ref="AR242" si="2261">IF($AA$5&gt;$Z$5,($AA$5-$Z$5)*S535,0)</f>
        <v>19.272115194972702</v>
      </c>
      <c r="AS242" s="780">
        <f t="shared" ref="AS242" si="2262">IF($AA$5&gt;$Z$5,($AA$5-$Z$5)*T535,0)</f>
        <v>20.382857089151276</v>
      </c>
      <c r="AT242" s="780">
        <f t="shared" ref="AT242" si="2263">IF($AA$5&gt;$Z$5,($AA$5-$Z$5)*U535,0)</f>
        <v>21.56250670407784</v>
      </c>
      <c r="AU242" s="780">
        <f t="shared" ref="AU242" si="2264">IF($AA$5&gt;$Z$5,($AA$5-$Z$5)*V535,0)</f>
        <v>22.814440669410335</v>
      </c>
      <c r="AV242" s="780">
        <f t="shared" ref="AV242" si="2265">IF($AA$5&gt;$Z$5,($AA$5-$Z$5)*W535,0)</f>
        <v>24.142136814686012</v>
      </c>
      <c r="AW242" s="781">
        <f t="shared" ref="AW242" si="2266">IF($AA$5&gt;$Z$5,($AA$5-$Z$5)*X535,0)</f>
        <v>25.549175247421399</v>
      </c>
      <c r="AX242" s="782">
        <f t="shared" ref="AX242" si="2267">IF($AA$5&gt;$Z$5,($AA$5-$Z$5)*Y535,0)</f>
        <v>27.039239530601542</v>
      </c>
      <c r="AY242" s="780">
        <f t="shared" ref="AY242" si="2268">IF($AA$5&gt;$Z$5,($AA$5-$Z$5)*Z535,0)</f>
        <v>28.620747034243404</v>
      </c>
      <c r="AZ242" s="780">
        <f t="shared" ref="AZ242" si="2269">IF($AA$5&gt;$Z$5,($AA$5-$Z$5)*AA535,0)</f>
        <v>30.297832899152603</v>
      </c>
      <c r="BA242" s="780">
        <f t="shared" ref="BA242" si="2270">IF($AA$5&gt;$Z$5,($AA$5-$Z$5)*AB535,0)</f>
        <v>32.074721942842451</v>
      </c>
      <c r="BB242" s="780">
        <f t="shared" ref="BB242" si="2271">IF($AA$5&gt;$Z$5,($AA$5-$Z$5)*AC535,0)</f>
        <v>33.955728473829772</v>
      </c>
      <c r="BC242" s="780">
        <f t="shared" ref="BC242" si="2272">IF($AA$5&gt;$Z$5,($AA$5-$Z$5)*AD535,0)</f>
        <v>35.945256397317038</v>
      </c>
      <c r="BD242" s="780">
        <f t="shared" ref="BD242" si="2273">IF($AA$5&gt;$Z$5,($AA$5-$Z$5)*AE535,0)</f>
        <v>38.047799652671507</v>
      </c>
      <c r="BE242" s="780">
        <f t="shared" ref="BE242" si="2274">IF($AA$5&gt;$Z$5,($AA$5-$Z$5)*AF535,0)</f>
        <v>40.267943023083284</v>
      </c>
      <c r="BF242" s="780">
        <f t="shared" ref="BF242" si="2275">IF($AA$5&gt;$Z$5,($AA$5-$Z$5)*AG535,0)</f>
        <v>42.61036335749322</v>
      </c>
      <c r="BG242" s="780">
        <f t="shared" ref="BG242" si="2276">IF($AA$5&gt;$Z$5,($AA$5-$Z$5)*AH535,0)</f>
        <v>45.079831244328588</v>
      </c>
      <c r="BH242" s="780">
        <f t="shared" ref="BH242" si="2277">IF($AA$5&gt;$Z$5,($AA$5-$Z$5)*AI535,0)</f>
        <v>47.68121317577463</v>
      </c>
      <c r="BI242" s="781">
        <f t="shared" ref="BI242" si="2278">IF($AA$5&gt;$Z$5,($AA$5-$Z$5)*AJ535,0)</f>
        <v>50.419474240248832</v>
      </c>
    </row>
    <row r="243" spans="1:61" s="780" customFormat="1" hidden="1" outlineLevel="1">
      <c r="A243" s="780" t="str">
        <f>$A$536</f>
        <v>Leads</v>
      </c>
      <c r="M243" s="781"/>
      <c r="N243" s="782"/>
      <c r="Y243" s="781"/>
      <c r="Z243" s="782"/>
      <c r="AA243" s="780">
        <f>IF($AA$5&gt;$Z$5,($AA$5-$Z$5)*B536,0)</f>
        <v>20</v>
      </c>
      <c r="AB243" s="780">
        <f t="shared" ref="AB243:BI243" si="2279">IF($AA$5&gt;$Z$5,($AA$5-$Z$5)*C536,0)</f>
        <v>20.8</v>
      </c>
      <c r="AC243" s="780">
        <f t="shared" si="2279"/>
        <v>21.632000000000001</v>
      </c>
      <c r="AD243" s="780">
        <f t="shared" si="2279"/>
        <v>22.497280000000003</v>
      </c>
      <c r="AE243" s="780">
        <f t="shared" si="2279"/>
        <v>23.397171200000006</v>
      </c>
      <c r="AF243" s="780">
        <f t="shared" si="2279"/>
        <v>24.333058048000009</v>
      </c>
      <c r="AG243" s="780">
        <f t="shared" si="2279"/>
        <v>25.30638036992001</v>
      </c>
      <c r="AH243" s="780">
        <f t="shared" si="2279"/>
        <v>26.318635584716812</v>
      </c>
      <c r="AI243" s="780">
        <f t="shared" si="2279"/>
        <v>27.371381008105487</v>
      </c>
      <c r="AJ243" s="780">
        <f t="shared" si="2279"/>
        <v>28.466236248429709</v>
      </c>
      <c r="AK243" s="781">
        <f t="shared" si="2279"/>
        <v>29.6048856983669</v>
      </c>
      <c r="AL243" s="782">
        <f t="shared" si="2279"/>
        <v>30.789081126301578</v>
      </c>
      <c r="AM243" s="780">
        <f t="shared" si="2279"/>
        <v>32.02064437135364</v>
      </c>
      <c r="AN243" s="780">
        <f t="shared" si="2279"/>
        <v>33.301470146207784</v>
      </c>
      <c r="AO243" s="780">
        <f t="shared" si="2279"/>
        <v>34.633528952056096</v>
      </c>
      <c r="AP243" s="780">
        <f t="shared" si="2279"/>
        <v>36.018870110138344</v>
      </c>
      <c r="AQ243" s="780">
        <f t="shared" si="2279"/>
        <v>37.45962491454388</v>
      </c>
      <c r="AR243" s="780">
        <f t="shared" si="2279"/>
        <v>38.958009911125636</v>
      </c>
      <c r="AS243" s="780">
        <f t="shared" si="2279"/>
        <v>40.516330307570662</v>
      </c>
      <c r="AT243" s="780">
        <f t="shared" si="2279"/>
        <v>42.136983519873489</v>
      </c>
      <c r="AU243" s="780">
        <f t="shared" si="2279"/>
        <v>43.822462860668423</v>
      </c>
      <c r="AV243" s="780">
        <f t="shared" si="2279"/>
        <v>45.57536137509517</v>
      </c>
      <c r="AW243" s="781">
        <f t="shared" si="2279"/>
        <v>47.398375830098978</v>
      </c>
      <c r="AX243" s="782">
        <f t="shared" si="2279"/>
        <v>49.29431086330294</v>
      </c>
      <c r="AY243" s="780">
        <f t="shared" si="2279"/>
        <v>51.26608329783506</v>
      </c>
      <c r="AZ243" s="780">
        <f t="shared" si="2279"/>
        <v>53.316726629748466</v>
      </c>
      <c r="BA243" s="780">
        <f t="shared" si="2279"/>
        <v>55.44939569493841</v>
      </c>
      <c r="BB243" s="780">
        <f t="shared" si="2279"/>
        <v>57.667371522735948</v>
      </c>
      <c r="BC243" s="780">
        <f t="shared" si="2279"/>
        <v>59.974066383645386</v>
      </c>
      <c r="BD243" s="780">
        <f t="shared" si="2279"/>
        <v>62.373029038991206</v>
      </c>
      <c r="BE243" s="780">
        <f t="shared" si="2279"/>
        <v>64.867950200550851</v>
      </c>
      <c r="BF243" s="780">
        <f t="shared" si="2279"/>
        <v>67.462668208572893</v>
      </c>
      <c r="BG243" s="780">
        <f t="shared" si="2279"/>
        <v>70.161174936915813</v>
      </c>
      <c r="BH243" s="780">
        <f t="shared" si="2279"/>
        <v>72.967621934392454</v>
      </c>
      <c r="BI243" s="781">
        <f t="shared" si="2279"/>
        <v>75.886326811768157</v>
      </c>
    </row>
    <row r="244" spans="1:61" s="780" customFormat="1" hidden="1" outlineLevel="1">
      <c r="A244" s="780" t="str">
        <f>$A$537</f>
        <v>Audits</v>
      </c>
      <c r="M244" s="781"/>
      <c r="N244" s="782"/>
      <c r="Y244" s="781"/>
      <c r="Z244" s="782"/>
      <c r="AA244" s="780">
        <f t="shared" ref="AA244:BI244" si="2280">IF($AA$5&gt;$Z$5,($AA$5-$Z$5)*B537,0)</f>
        <v>7.8466960352422905</v>
      </c>
      <c r="AB244" s="780">
        <f t="shared" si="2280"/>
        <v>8.1805560257268723</v>
      </c>
      <c r="AC244" s="780">
        <f t="shared" si="2280"/>
        <v>8.556158139083367</v>
      </c>
      <c r="AD244" s="780">
        <f t="shared" si="2280"/>
        <v>8.9523024684242678</v>
      </c>
      <c r="AE244" s="780">
        <f t="shared" si="2280"/>
        <v>9.3702787716763911</v>
      </c>
      <c r="AF244" s="780">
        <f t="shared" si="2280"/>
        <v>9.811453812672589</v>
      </c>
      <c r="AG244" s="780">
        <f t="shared" si="2280"/>
        <v>10.277273093546537</v>
      </c>
      <c r="AH244" s="780">
        <f t="shared" si="2280"/>
        <v>10.769262132442826</v>
      </c>
      <c r="AI244" s="780">
        <f t="shared" si="2280"/>
        <v>11.289027268145146</v>
      </c>
      <c r="AJ244" s="780">
        <f t="shared" si="2280"/>
        <v>11.838255995812663</v>
      </c>
      <c r="AK244" s="781">
        <f t="shared" si="2280"/>
        <v>12.418716863200714</v>
      </c>
      <c r="AL244" s="782">
        <f t="shared" si="2280"/>
        <v>13.032258982971491</v>
      </c>
      <c r="AM244" s="780">
        <f t="shared" si="2280"/>
        <v>13.681748513642187</v>
      </c>
      <c r="AN244" s="780">
        <f t="shared" si="2280"/>
        <v>14.367753613373562</v>
      </c>
      <c r="AO244" s="780">
        <f t="shared" si="2280"/>
        <v>15.094450719778326</v>
      </c>
      <c r="AP244" s="780">
        <f t="shared" si="2280"/>
        <v>15.864274704794562</v>
      </c>
      <c r="AQ244" s="780">
        <f t="shared" si="2280"/>
        <v>16.679756380011042</v>
      </c>
      <c r="AR244" s="780">
        <f t="shared" si="2280"/>
        <v>17.543519083999907</v>
      </c>
      <c r="AS244" s="780">
        <f t="shared" si="2280"/>
        <v>18.458274953232511</v>
      </c>
      <c r="AT244" s="780">
        <f t="shared" si="2280"/>
        <v>19.426821075192013</v>
      </c>
      <c r="AU244" s="780">
        <f t="shared" si="2280"/>
        <v>20.452035738521069</v>
      </c>
      <c r="AV244" s="780">
        <f t="shared" si="2280"/>
        <v>21.536874999893016</v>
      </c>
      <c r="AW244" s="781">
        <f t="shared" si="2280"/>
        <v>22.68436978011453</v>
      </c>
      <c r="AX244" s="782">
        <f t="shared" si="2280"/>
        <v>23.897623683136111</v>
      </c>
      <c r="AY244" s="780">
        <f t="shared" si="2280"/>
        <v>25.181305860088621</v>
      </c>
      <c r="AZ244" s="780">
        <f t="shared" si="2280"/>
        <v>26.509539923847804</v>
      </c>
      <c r="BA244" s="780">
        <f t="shared" si="2280"/>
        <v>27.911267150389076</v>
      </c>
      <c r="BB244" s="780">
        <f t="shared" si="2280"/>
        <v>29.389855755030599</v>
      </c>
      <c r="BC244" s="780">
        <f t="shared" si="2280"/>
        <v>30.948754132327405</v>
      </c>
      <c r="BD244" s="780">
        <f t="shared" si="2280"/>
        <v>32.591491812026852</v>
      </c>
      <c r="BE244" s="780">
        <f t="shared" si="2280"/>
        <v>34.321681088998503</v>
      </c>
      <c r="BF244" s="780">
        <f t="shared" si="2280"/>
        <v>36.143019351142293</v>
      </c>
      <c r="BG244" s="780">
        <f t="shared" si="2280"/>
        <v>38.059292115999952</v>
      </c>
      <c r="BH244" s="780">
        <f t="shared" si="2280"/>
        <v>40.074376775040108</v>
      </c>
      <c r="BI244" s="781">
        <f t="shared" si="2280"/>
        <v>42.192247034738458</v>
      </c>
    </row>
    <row r="245" spans="1:61" s="780" customFormat="1" hidden="1" outlineLevel="1">
      <c r="A245" s="780" t="str">
        <f>$A$538</f>
        <v>Retrofit</v>
      </c>
      <c r="M245" s="781"/>
      <c r="N245" s="782"/>
      <c r="Y245" s="781"/>
      <c r="Z245" s="782"/>
      <c r="AA245" s="780">
        <f t="shared" ref="AA245:BI245" si="2281">IF($AA$5&gt;$Z$5,($AA$5-$Z$5)*B538,0)</f>
        <v>3.2741145374449339</v>
      </c>
      <c r="AB245" s="780">
        <f t="shared" si="2281"/>
        <v>3.4211429613668018</v>
      </c>
      <c r="AC245" s="780">
        <f t="shared" si="2281"/>
        <v>3.6089747928733105</v>
      </c>
      <c r="AD245" s="780">
        <f t="shared" si="2281"/>
        <v>3.80943356172375</v>
      </c>
      <c r="AE245" s="780">
        <f t="shared" si="2281"/>
        <v>4.023495407635</v>
      </c>
      <c r="AF245" s="780">
        <f t="shared" si="2281"/>
        <v>4.2522035025469851</v>
      </c>
      <c r="AG245" s="780">
        <f t="shared" si="2281"/>
        <v>4.4966691121698661</v>
      </c>
      <c r="AH245" s="780">
        <f t="shared" si="2281"/>
        <v>4.7580720961942786</v>
      </c>
      <c r="AI245" s="780">
        <f t="shared" si="2281"/>
        <v>5.0376608331454982</v>
      </c>
      <c r="AJ245" s="780">
        <f t="shared" si="2281"/>
        <v>5.3367515834608863</v>
      </c>
      <c r="AK245" s="781">
        <f t="shared" si="2281"/>
        <v>5.6567273345837759</v>
      </c>
      <c r="AL245" s="782">
        <f t="shared" si="2281"/>
        <v>5.9990362027609887</v>
      </c>
      <c r="AM245" s="780">
        <f t="shared" si="2281"/>
        <v>6.3656710756275423</v>
      </c>
      <c r="AN245" s="780">
        <f t="shared" si="2281"/>
        <v>6.7527905497767229</v>
      </c>
      <c r="AO245" s="780">
        <f t="shared" si="2281"/>
        <v>7.1679946156961591</v>
      </c>
      <c r="AP245" s="780">
        <f t="shared" si="2281"/>
        <v>7.6132687220703144</v>
      </c>
      <c r="AQ245" s="780">
        <f t="shared" si="2281"/>
        <v>8.0906802436821312</v>
      </c>
      <c r="AR245" s="780">
        <f t="shared" si="2281"/>
        <v>8.6023733713231554</v>
      </c>
      <c r="AS245" s="780">
        <f t="shared" si="2281"/>
        <v>9.1505635635964193</v>
      </c>
      <c r="AT245" s="780">
        <f t="shared" si="2281"/>
        <v>9.7375318038296879</v>
      </c>
      <c r="AU245" s="780">
        <f t="shared" si="2281"/>
        <v>10.365618926205418</v>
      </c>
      <c r="AV245" s="780">
        <f t="shared" si="2281"/>
        <v>11.037220281947453</v>
      </c>
      <c r="AW245" s="781">
        <f t="shared" si="2281"/>
        <v>11.754781008099396</v>
      </c>
      <c r="AX245" s="782">
        <f t="shared" si="2281"/>
        <v>12.520792138493604</v>
      </c>
      <c r="AY245" s="780">
        <f t="shared" si="2281"/>
        <v>13.338724403473293</v>
      </c>
      <c r="AZ245" s="780">
        <f t="shared" si="2281"/>
        <v>14.173899457244383</v>
      </c>
      <c r="BA245" s="780">
        <f t="shared" si="2281"/>
        <v>15.06160093928195</v>
      </c>
      <c r="BB245" s="780">
        <f t="shared" si="2281"/>
        <v>16.004396182835173</v>
      </c>
      <c r="BC245" s="780">
        <f t="shared" si="2281"/>
        <v>17.004903510314108</v>
      </c>
      <c r="BD245" s="780">
        <f t="shared" si="2281"/>
        <v>18.065792108500531</v>
      </c>
      <c r="BE245" s="780">
        <f t="shared" si="2281"/>
        <v>19.189782637475492</v>
      </c>
      <c r="BF245" s="780">
        <f t="shared" si="2281"/>
        <v>20.379648596658086</v>
      </c>
      <c r="BG245" s="780">
        <f t="shared" si="2281"/>
        <v>21.638218454438508</v>
      </c>
      <c r="BH245" s="780">
        <f t="shared" si="2281"/>
        <v>22.968378532837651</v>
      </c>
      <c r="BI245" s="781">
        <f t="shared" si="2281"/>
        <v>24.373076625940293</v>
      </c>
    </row>
    <row r="246" spans="1:61" s="780" customFormat="1" hidden="1" outlineLevel="1">
      <c r="A246" s="780" t="str">
        <f>$A$539</f>
        <v>Revenue</v>
      </c>
      <c r="M246" s="781"/>
      <c r="N246" s="782"/>
      <c r="Y246" s="781"/>
      <c r="Z246" s="782"/>
      <c r="AA246" s="780">
        <f t="shared" ref="AA246:BI246" si="2282">IF($AA$5&gt;$Z$5,($AA$5-$Z$5)*B539,0)</f>
        <v>20728.933920704847</v>
      </c>
      <c r="AB246" s="780">
        <f t="shared" si="2282"/>
        <v>22334.796424579898</v>
      </c>
      <c r="AC246" s="780">
        <f t="shared" si="2282"/>
        <v>24261.379157843236</v>
      </c>
      <c r="AD246" s="780">
        <f t="shared" si="2282"/>
        <v>27109.041527058151</v>
      </c>
      <c r="AE246" s="780">
        <f t="shared" si="2282"/>
        <v>29411.012063918617</v>
      </c>
      <c r="AF246" s="780">
        <f t="shared" si="2282"/>
        <v>31904.731979940196</v>
      </c>
      <c r="AG246" s="780">
        <f t="shared" si="2282"/>
        <v>34157.516935543477</v>
      </c>
      <c r="AH246" s="780">
        <f t="shared" si="2282"/>
        <v>36585.144030160183</v>
      </c>
      <c r="AI246" s="780">
        <f t="shared" si="2282"/>
        <v>39202.024549786183</v>
      </c>
      <c r="AJ246" s="780">
        <f t="shared" si="2282"/>
        <v>41489.907780370268</v>
      </c>
      <c r="AK246" s="781">
        <f t="shared" si="2282"/>
        <v>43934.936399734994</v>
      </c>
      <c r="AL246" s="782">
        <f t="shared" si="2282"/>
        <v>46547.932291314006</v>
      </c>
      <c r="AM246" s="780">
        <f t="shared" si="2282"/>
        <v>48812.622611071754</v>
      </c>
      <c r="AN246" s="780">
        <f t="shared" si="2282"/>
        <v>51746.745047763237</v>
      </c>
      <c r="AO246" s="780">
        <f t="shared" si="2282"/>
        <v>54891.491572423707</v>
      </c>
      <c r="AP246" s="780">
        <f t="shared" si="2282"/>
        <v>58261.704056497998</v>
      </c>
      <c r="AQ246" s="780">
        <f t="shared" si="2282"/>
        <v>61872.837706819933</v>
      </c>
      <c r="AR246" s="780">
        <f t="shared" si="2282"/>
        <v>65740.922877654608</v>
      </c>
      <c r="AS246" s="780">
        <f t="shared" si="2282"/>
        <v>69882.52360507095</v>
      </c>
      <c r="AT246" s="780">
        <f t="shared" si="2282"/>
        <v>74314.694687467563</v>
      </c>
      <c r="AU246" s="780">
        <f t="shared" si="2282"/>
        <v>79054.939292696072</v>
      </c>
      <c r="AV246" s="780">
        <f t="shared" si="2282"/>
        <v>84121.169122674793</v>
      </c>
      <c r="AW246" s="781">
        <f t="shared" si="2282"/>
        <v>89531.669104034416</v>
      </c>
      <c r="AX246" s="782">
        <f t="shared" si="2282"/>
        <v>95305.068401244935</v>
      </c>
      <c r="AY246" s="780">
        <f t="shared" si="2282"/>
        <v>101467.05911812153</v>
      </c>
      <c r="AZ246" s="780">
        <f t="shared" si="2282"/>
        <v>107757.45533319093</v>
      </c>
      <c r="BA246" s="780">
        <f t="shared" si="2282"/>
        <v>114440.84237520174</v>
      </c>
      <c r="BB246" s="780">
        <f t="shared" si="2282"/>
        <v>121536.40957263115</v>
      </c>
      <c r="BC246" s="780">
        <f t="shared" si="2282"/>
        <v>129063.73094559579</v>
      </c>
      <c r="BD246" s="780">
        <f t="shared" si="2282"/>
        <v>137042.76458890198</v>
      </c>
      <c r="BE246" s="780">
        <f t="shared" si="2282"/>
        <v>145493.85755130055</v>
      </c>
      <c r="BF246" s="780">
        <f t="shared" si="2282"/>
        <v>154437.75638435522</v>
      </c>
      <c r="BG246" s="780">
        <f t="shared" si="2282"/>
        <v>163895.6234075159</v>
      </c>
      <c r="BH246" s="780">
        <f t="shared" si="2282"/>
        <v>173889.05862314338</v>
      </c>
      <c r="BI246" s="781">
        <f t="shared" si="2282"/>
        <v>184440.12712015139</v>
      </c>
    </row>
    <row r="247" spans="1:61" s="780" customFormat="1" hidden="1" outlineLevel="1">
      <c r="A247" s="780" t="str">
        <f>$A$540</f>
        <v>Net Income</v>
      </c>
      <c r="M247" s="781"/>
      <c r="N247" s="782"/>
      <c r="Y247" s="781"/>
      <c r="Z247" s="782"/>
      <c r="AA247" s="780">
        <f t="shared" ref="AA247:BI247" si="2283">IF($AA$5&gt;$Z$5,($AA$5-$Z$5)*B540,0)</f>
        <v>-33184.964170807638</v>
      </c>
      <c r="AB247" s="780">
        <f t="shared" si="2283"/>
        <v>-14837.14568100147</v>
      </c>
      <c r="AC247" s="780">
        <f t="shared" si="2283"/>
        <v>-14268.717003781454</v>
      </c>
      <c r="AD247" s="780">
        <f t="shared" si="2283"/>
        <v>-13405.013342705901</v>
      </c>
      <c r="AE247" s="780">
        <f t="shared" si="2283"/>
        <v>-12685.072540306182</v>
      </c>
      <c r="AF247" s="780">
        <f t="shared" si="2283"/>
        <v>-17604.404805924125</v>
      </c>
      <c r="AG247" s="780">
        <f t="shared" si="2283"/>
        <v>-15156.124616524507</v>
      </c>
      <c r="AH247" s="780">
        <f t="shared" si="2283"/>
        <v>-13971.31609512752</v>
      </c>
      <c r="AI247" s="780">
        <f t="shared" si="2283"/>
        <v>-13027.555718246989</v>
      </c>
      <c r="AJ247" s="780">
        <f t="shared" si="2283"/>
        <v>-12167.444211420123</v>
      </c>
      <c r="AK247" s="781">
        <f t="shared" si="2283"/>
        <v>-11228.257793696379</v>
      </c>
      <c r="AL247" s="782">
        <f t="shared" si="2283"/>
        <v>-10203.756141625032</v>
      </c>
      <c r="AM247" s="780">
        <f t="shared" si="2283"/>
        <v>-8928.9645055486872</v>
      </c>
      <c r="AN247" s="780">
        <f t="shared" si="2283"/>
        <v>-6565.2951604608934</v>
      </c>
      <c r="AO247" s="780">
        <f t="shared" si="2283"/>
        <v>-7951.6323699894165</v>
      </c>
      <c r="AP247" s="780">
        <f t="shared" si="2283"/>
        <v>-6483.5792380389103</v>
      </c>
      <c r="AQ247" s="780">
        <f t="shared" si="2283"/>
        <v>-5307.1722049655655</v>
      </c>
      <c r="AR247" s="780">
        <f t="shared" si="2283"/>
        <v>-3966.3475887754175</v>
      </c>
      <c r="AS247" s="780">
        <f t="shared" si="2283"/>
        <v>-2466.8649492429358</v>
      </c>
      <c r="AT247" s="780">
        <f t="shared" si="2283"/>
        <v>-826.64406907309967</v>
      </c>
      <c r="AU247" s="780">
        <f t="shared" si="2283"/>
        <v>-10770.241509529737</v>
      </c>
      <c r="AV247" s="780">
        <f t="shared" si="2283"/>
        <v>-19174.962642260827</v>
      </c>
      <c r="AW247" s="781">
        <f t="shared" si="2283"/>
        <v>-16925.443971653156</v>
      </c>
      <c r="AX247" s="782">
        <f t="shared" si="2283"/>
        <v>-25696.207513260568</v>
      </c>
      <c r="AY247" s="780">
        <f t="shared" si="2283"/>
        <v>-30466.524333613874</v>
      </c>
      <c r="AZ247" s="780">
        <f t="shared" si="2283"/>
        <v>-30644.209260269774</v>
      </c>
      <c r="BA247" s="780">
        <f t="shared" si="2283"/>
        <v>-25743.81021126837</v>
      </c>
      <c r="BB247" s="780">
        <f t="shared" si="2283"/>
        <v>-25374.965354328699</v>
      </c>
      <c r="BC247" s="780">
        <f t="shared" si="2283"/>
        <v>-21685.632709168298</v>
      </c>
      <c r="BD247" s="780">
        <f t="shared" si="2283"/>
        <v>-17735.699053003482</v>
      </c>
      <c r="BE247" s="780">
        <f t="shared" si="2283"/>
        <v>-25824.517795504849</v>
      </c>
      <c r="BF247" s="780">
        <f t="shared" si="2283"/>
        <v>-13812.381476188923</v>
      </c>
      <c r="BG247" s="780">
        <f t="shared" si="2283"/>
        <v>-15733.807969274916</v>
      </c>
      <c r="BH247" s="780">
        <f t="shared" si="2283"/>
        <v>-12981.108202038886</v>
      </c>
      <c r="BI247" s="781">
        <f t="shared" si="2283"/>
        <v>-27659.485752690453</v>
      </c>
    </row>
    <row r="248" spans="1:61" s="780" customFormat="1" hidden="1" outlineLevel="1">
      <c r="A248" s="780" t="str">
        <f>$A$541</f>
        <v>Program Revenue</v>
      </c>
      <c r="M248" s="781"/>
      <c r="N248" s="782"/>
      <c r="Y248" s="781"/>
      <c r="Z248" s="782"/>
      <c r="AA248" s="780">
        <f t="shared" ref="AA248" si="2284">IF($AA$5&gt;$Z$5,($AA$5-$Z$5)*B541,0)</f>
        <v>1850</v>
      </c>
      <c r="AB248" s="780">
        <f t="shared" ref="AB248" si="2285">IF($AA$5&gt;$Z$5,($AA$5-$Z$5)*C541,0)</f>
        <v>1937.1558751999999</v>
      </c>
      <c r="AC248" s="780">
        <f t="shared" ref="AC248" si="2286">IF($AA$5&gt;$Z$5,($AA$5-$Z$5)*D541,0)</f>
        <v>2030.0190587848704</v>
      </c>
      <c r="AD248" s="780">
        <f t="shared" ref="AD248" si="2287">IF($AA$5&gt;$Z$5,($AA$5-$Z$5)*E541,0)</f>
        <v>2128.941218449359</v>
      </c>
      <c r="AE248" s="780">
        <f t="shared" ref="AE248" si="2288">IF($AA$5&gt;$Z$5,($AA$5-$Z$5)*F541,0)</f>
        <v>2234.2900324673633</v>
      </c>
      <c r="AF248" s="780">
        <f t="shared" ref="AF248" si="2289">IF($AA$5&gt;$Z$5,($AA$5-$Z$5)*G541,0)</f>
        <v>2346.4496034726417</v>
      </c>
      <c r="AG248" s="780">
        <f t="shared" ref="AG248" si="2290">IF($AA$5&gt;$Z$5,($AA$5-$Z$5)*H541,0)</f>
        <v>2465.8208731027789</v>
      </c>
      <c r="AH248" s="780">
        <f t="shared" ref="AH248" si="2291">IF($AA$5&gt;$Z$5,($AA$5-$Z$5)*I541,0)</f>
        <v>2592.8220377557409</v>
      </c>
      <c r="AI248" s="780">
        <f t="shared" ref="AI248" si="2292">IF($AA$5&gt;$Z$5,($AA$5-$Z$5)*J541,0)</f>
        <v>2727.8889657926175</v>
      </c>
      <c r="AJ248" s="780">
        <f t="shared" ref="AJ248" si="2293">IF($AA$5&gt;$Z$5,($AA$5-$Z$5)*K541,0)</f>
        <v>2871.4756166091629</v>
      </c>
      <c r="AK248" s="781">
        <f t="shared" ref="AK248" si="2294">IF($AA$5&gt;$Z$5,($AA$5-$Z$5)*L541,0)</f>
        <v>3024.0544620924302</v>
      </c>
      <c r="AL248" s="782">
        <f t="shared" ref="AL248" si="2295">IF($AA$5&gt;$Z$5,($AA$5-$Z$5)*M541,0)</f>
        <v>3186.1169110768442</v>
      </c>
      <c r="AM248" s="780">
        <f t="shared" ref="AM248" si="2296">IF($AA$5&gt;$Z$5,($AA$5-$Z$5)*N541,0)</f>
        <v>3358.9807376414046</v>
      </c>
      <c r="AN248" s="780">
        <f t="shared" ref="AN248" si="2297">IF($AA$5&gt;$Z$5,($AA$5-$Z$5)*O541,0)</f>
        <v>3543.2416591361321</v>
      </c>
      <c r="AO248" s="780">
        <f t="shared" ref="AO248" si="2298">IF($AA$5&gt;$Z$5,($AA$5-$Z$5)*P541,0)</f>
        <v>3739.515514961849</v>
      </c>
      <c r="AP248" s="780">
        <f t="shared" ref="AP248" si="2299">IF($AA$5&gt;$Z$5,($AA$5-$Z$5)*Q541,0)</f>
        <v>3948.4383904349252</v>
      </c>
      <c r="AQ248" s="780">
        <f t="shared" ref="AQ248" si="2300">IF($AA$5&gt;$Z$5,($AA$5-$Z$5)*R541,0)</f>
        <v>4170.6667372134807</v>
      </c>
      <c r="AR248" s="780">
        <f t="shared" ref="AR248" si="2301">IF($AA$5&gt;$Z$5,($AA$5-$Z$5)*S541,0)</f>
        <v>4406.877493173627</v>
      </c>
      <c r="AS248" s="780">
        <f t="shared" ref="AS248" si="2302">IF($AA$5&gt;$Z$5,($AA$5-$Z$5)*T541,0)</f>
        <v>4657.7682048703127</v>
      </c>
      <c r="AT248" s="780">
        <f t="shared" ref="AT248" si="2303">IF($AA$5&gt;$Z$5,($AA$5-$Z$5)*U541,0)</f>
        <v>4924.0571559566215</v>
      </c>
      <c r="AU248" s="780">
        <f t="shared" ref="AU248" si="2304">IF($AA$5&gt;$Z$5,($AA$5-$Z$5)*V541,0)</f>
        <v>5206.4835051661303</v>
      </c>
      <c r="AV248" s="780">
        <f t="shared" ref="AV248" si="2305">IF($AA$5&gt;$Z$5,($AA$5-$Z$5)*W541,0)</f>
        <v>5505.8074376836603</v>
      </c>
      <c r="AW248" s="781">
        <f t="shared" ref="AW248" si="2306">IF($AA$5&gt;$Z$5,($AA$5-$Z$5)*X541,0)</f>
        <v>5822.8103339388172</v>
      </c>
      <c r="AX248" s="782">
        <f t="shared" ref="AX248" si="2307">IF($AA$5&gt;$Z$5,($AA$5-$Z$5)*Y541,0)</f>
        <v>6158.2949600526208</v>
      </c>
      <c r="AY248" s="780">
        <f t="shared" ref="AY248" si="2308">IF($AA$5&gt;$Z$5,($AA$5-$Z$5)*Z541,0)</f>
        <v>6514.1392664878649</v>
      </c>
      <c r="AZ248" s="780">
        <f t="shared" ref="AZ248" si="2309">IF($AA$5&gt;$Z$5,($AA$5-$Z$5)*AA541,0)</f>
        <v>6891.2420929122554</v>
      </c>
      <c r="BA248" s="780">
        <f t="shared" ref="BA248" si="2310">IF($AA$5&gt;$Z$5,($AA$5-$Z$5)*AB541,0)</f>
        <v>7290.5201481641989</v>
      </c>
      <c r="BB248" s="780">
        <f t="shared" ref="BB248" si="2311">IF($AA$5&gt;$Z$5,($AA$5-$Z$5)*AC541,0)</f>
        <v>7712.9078999165331</v>
      </c>
      <c r="BC248" s="780">
        <f t="shared" ref="BC248" si="2312">IF($AA$5&gt;$Z$5,($AA$5-$Z$5)*AD541,0)</f>
        <v>8159.357530652579</v>
      </c>
      <c r="BD248" s="780">
        <f t="shared" ref="BD248" si="2313">IF($AA$5&gt;$Z$5,($AA$5-$Z$5)*AE541,0)</f>
        <v>8630.8389688113039</v>
      </c>
      <c r="BE248" s="780">
        <f t="shared" ref="BE248" si="2314">IF($AA$5&gt;$Z$5,($AA$5-$Z$5)*AF541,0)</f>
        <v>9128.3400039027438</v>
      </c>
      <c r="BF248" s="780">
        <f t="shared" ref="BF248" si="2315">IF($AA$5&gt;$Z$5,($AA$5-$Z$5)*AG541,0)</f>
        <v>9652.8664942797932</v>
      </c>
      <c r="BG248" s="780">
        <f t="shared" ref="BG248" si="2316">IF($AA$5&gt;$Z$5,($AA$5-$Z$5)*AH541,0)</f>
        <v>10205.442676078563</v>
      </c>
      <c r="BH248" s="780">
        <f t="shared" ref="BH248" si="2317">IF($AA$5&gt;$Z$5,($AA$5-$Z$5)*AI541,0)</f>
        <v>10787.111581608189</v>
      </c>
      <c r="BI248" s="781">
        <f t="shared" ref="BI248" si="2318">IF($AA$5&gt;$Z$5,($AA$5-$Z$5)*AJ541,0)</f>
        <v>11398.935575183927</v>
      </c>
    </row>
    <row r="249" spans="1:61" s="780" customFormat="1" hidden="1" outlineLevel="1">
      <c r="M249" s="781"/>
      <c r="N249" s="782"/>
      <c r="Y249" s="781"/>
      <c r="Z249" s="782"/>
      <c r="AK249" s="781"/>
      <c r="AL249" s="782"/>
      <c r="AW249" s="781"/>
      <c r="AX249" s="782"/>
      <c r="BI249" s="781"/>
    </row>
    <row r="250" spans="1:61" s="780" customFormat="1" hidden="1" outlineLevel="1">
      <c r="A250" s="780" t="s">
        <v>359</v>
      </c>
      <c r="M250" s="781"/>
      <c r="N250" s="782"/>
      <c r="Y250" s="781"/>
      <c r="Z250" s="782"/>
      <c r="AB250" s="780">
        <f>IF($AB$5&gt;$AA$5,($AB$5-$AA$5)*B535,0)</f>
        <v>8</v>
      </c>
      <c r="AC250" s="780">
        <f t="shared" ref="AC250" si="2319">IF($AB$5&gt;$AA$5,($AB$5-$AA$5)*C535,0)</f>
        <v>8.3824000000000005</v>
      </c>
      <c r="AD250" s="780">
        <f t="shared" ref="AD250" si="2320">IF($AB$5&gt;$AA$5,($AB$5-$AA$5)*D535,0)</f>
        <v>8.790016102400001</v>
      </c>
      <c r="AE250" s="780">
        <f t="shared" ref="AE250" si="2321">IF($AB$5&gt;$AA$5,($AB$5-$AA$5)*E535,0)</f>
        <v>9.2244218586677267</v>
      </c>
      <c r="AF250" s="780">
        <f t="shared" ref="AF250" si="2322">IF($AB$5&gt;$AA$5,($AB$5-$AA$5)*F535,0)</f>
        <v>9.6872643857899394</v>
      </c>
      <c r="AG250" s="780">
        <f t="shared" ref="AG250" si="2323">IF($AB$5&gt;$AA$5,($AB$5-$AA$5)*G535,0)</f>
        <v>10.180266404063699</v>
      </c>
      <c r="AH250" s="780">
        <f t="shared" ref="AH250" si="2324">IF($AB$5&gt;$AA$5,($AB$5-$AA$5)*H535,0)</f>
        <v>10.705228286703797</v>
      </c>
      <c r="AI250" s="780">
        <f t="shared" ref="AI250" si="2325">IF($AB$5&gt;$AA$5,($AB$5-$AA$5)*I535,0)</f>
        <v>11.264030122404236</v>
      </c>
      <c r="AJ250" s="780">
        <f t="shared" ref="AJ250" si="2326">IF($AB$5&gt;$AA$5,($AB$5-$AA$5)*J535,0)</f>
        <v>11.858633792363815</v>
      </c>
      <c r="AK250" s="781">
        <f t="shared" ref="AK250" si="2327">IF($AB$5&gt;$AA$5,($AB$5-$AA$5)*K535,0)</f>
        <v>12.491085063681208</v>
      </c>
      <c r="AL250" s="782">
        <f t="shared" ref="AL250" si="2328">IF($AB$5&gt;$AA$5,($AB$5-$AA$5)*L535,0)</f>
        <v>13.163515701442698</v>
      </c>
      <c r="AM250" s="780">
        <f t="shared" ref="AM250" si="2329">IF($AB$5&gt;$AA$5,($AB$5-$AA$5)*M535,0)</f>
        <v>13.878145602265221</v>
      </c>
      <c r="AN250" s="780">
        <f t="shared" ref="AN250" si="2330">IF($AB$5&gt;$AA$5,($AB$5-$AA$5)*N535,0)</f>
        <v>14.640802427106802</v>
      </c>
      <c r="AO250" s="780">
        <f t="shared" ref="AO250" si="2331">IF($AB$5&gt;$AA$5,($AB$5-$AA$5)*O535,0)</f>
        <v>15.454179973028484</v>
      </c>
      <c r="AP250" s="780">
        <f t="shared" ref="AP250" si="2332">IF($AB$5&gt;$AA$5,($AB$5-$AA$5)*P535,0)</f>
        <v>16.321067007803048</v>
      </c>
      <c r="AQ250" s="780">
        <f t="shared" ref="AQ250" si="2333">IF($AB$5&gt;$AA$5,($AB$5-$AA$5)*Q535,0)</f>
        <v>17.244348126107901</v>
      </c>
      <c r="AR250" s="780">
        <f t="shared" ref="AR250" si="2334">IF($AB$5&gt;$AA$5,($AB$5-$AA$5)*R535,0)</f>
        <v>18.227004594103096</v>
      </c>
      <c r="AS250" s="780">
        <f t="shared" ref="AS250" si="2335">IF($AB$5&gt;$AA$5,($AB$5-$AA$5)*S535,0)</f>
        <v>19.272115194972702</v>
      </c>
      <c r="AT250" s="780">
        <f t="shared" ref="AT250" si="2336">IF($AB$5&gt;$AA$5,($AB$5-$AA$5)*T535,0)</f>
        <v>20.382857089151276</v>
      </c>
      <c r="AU250" s="780">
        <f t="shared" ref="AU250" si="2337">IF($AB$5&gt;$AA$5,($AB$5-$AA$5)*U535,0)</f>
        <v>21.56250670407784</v>
      </c>
      <c r="AV250" s="780">
        <f t="shared" ref="AV250" si="2338">IF($AB$5&gt;$AA$5,($AB$5-$AA$5)*V535,0)</f>
        <v>22.814440669410335</v>
      </c>
      <c r="AW250" s="781">
        <f t="shared" ref="AW250" si="2339">IF($AB$5&gt;$AA$5,($AB$5-$AA$5)*W535,0)</f>
        <v>24.142136814686012</v>
      </c>
      <c r="AX250" s="782">
        <f t="shared" ref="AX250" si="2340">IF($AB$5&gt;$AA$5,($AB$5-$AA$5)*X535,0)</f>
        <v>25.549175247421399</v>
      </c>
      <c r="AY250" s="780">
        <f t="shared" ref="AY250" si="2341">IF($AB$5&gt;$AA$5,($AB$5-$AA$5)*Y535,0)</f>
        <v>27.039239530601542</v>
      </c>
      <c r="AZ250" s="780">
        <f t="shared" ref="AZ250" si="2342">IF($AB$5&gt;$AA$5,($AB$5-$AA$5)*Z535,0)</f>
        <v>28.620747034243404</v>
      </c>
      <c r="BA250" s="780">
        <f t="shared" ref="BA250" si="2343">IF($AB$5&gt;$AA$5,($AB$5-$AA$5)*AA535,0)</f>
        <v>30.297832899152603</v>
      </c>
      <c r="BB250" s="780">
        <f t="shared" ref="BB250" si="2344">IF($AB$5&gt;$AA$5,($AB$5-$AA$5)*AB535,0)</f>
        <v>32.074721942842451</v>
      </c>
      <c r="BC250" s="780">
        <f t="shared" ref="BC250" si="2345">IF($AB$5&gt;$AA$5,($AB$5-$AA$5)*AC535,0)</f>
        <v>33.955728473829772</v>
      </c>
      <c r="BD250" s="780">
        <f t="shared" ref="BD250" si="2346">IF($AB$5&gt;$AA$5,($AB$5-$AA$5)*AD535,0)</f>
        <v>35.945256397317038</v>
      </c>
      <c r="BE250" s="780">
        <f t="shared" ref="BE250" si="2347">IF($AB$5&gt;$AA$5,($AB$5-$AA$5)*AE535,0)</f>
        <v>38.047799652671507</v>
      </c>
      <c r="BF250" s="780">
        <f t="shared" ref="BF250" si="2348">IF($AB$5&gt;$AA$5,($AB$5-$AA$5)*AF535,0)</f>
        <v>40.267943023083284</v>
      </c>
      <c r="BG250" s="780">
        <f t="shared" ref="BG250" si="2349">IF($AB$5&gt;$AA$5,($AB$5-$AA$5)*AG535,0)</f>
        <v>42.61036335749322</v>
      </c>
      <c r="BH250" s="780">
        <f t="shared" ref="BH250" si="2350">IF($AB$5&gt;$AA$5,($AB$5-$AA$5)*AH535,0)</f>
        <v>45.079831244328588</v>
      </c>
      <c r="BI250" s="781">
        <f t="shared" ref="BI250" si="2351">IF($AB$5&gt;$AA$5,($AB$5-$AA$5)*AI535,0)</f>
        <v>47.68121317577463</v>
      </c>
    </row>
    <row r="251" spans="1:61" s="780" customFormat="1" hidden="1" outlineLevel="1">
      <c r="A251" s="780" t="str">
        <f>$A$536</f>
        <v>Leads</v>
      </c>
      <c r="M251" s="781"/>
      <c r="N251" s="782"/>
      <c r="Y251" s="781"/>
      <c r="Z251" s="782"/>
      <c r="AB251" s="780">
        <f>IF($AB$5&gt;$AA$5,($AB$5-$AA$5)*B536,0)</f>
        <v>20</v>
      </c>
      <c r="AC251" s="780">
        <f t="shared" ref="AC251:BI251" si="2352">IF($AB$5&gt;$AA$5,($AB$5-$AA$5)*C536,0)</f>
        <v>20.8</v>
      </c>
      <c r="AD251" s="780">
        <f t="shared" si="2352"/>
        <v>21.632000000000001</v>
      </c>
      <c r="AE251" s="780">
        <f t="shared" si="2352"/>
        <v>22.497280000000003</v>
      </c>
      <c r="AF251" s="780">
        <f t="shared" si="2352"/>
        <v>23.397171200000006</v>
      </c>
      <c r="AG251" s="780">
        <f t="shared" si="2352"/>
        <v>24.333058048000009</v>
      </c>
      <c r="AH251" s="780">
        <f t="shared" si="2352"/>
        <v>25.30638036992001</v>
      </c>
      <c r="AI251" s="780">
        <f t="shared" si="2352"/>
        <v>26.318635584716812</v>
      </c>
      <c r="AJ251" s="780">
        <f t="shared" si="2352"/>
        <v>27.371381008105487</v>
      </c>
      <c r="AK251" s="781">
        <f t="shared" si="2352"/>
        <v>28.466236248429709</v>
      </c>
      <c r="AL251" s="782">
        <f t="shared" si="2352"/>
        <v>29.6048856983669</v>
      </c>
      <c r="AM251" s="780">
        <f t="shared" si="2352"/>
        <v>30.789081126301578</v>
      </c>
      <c r="AN251" s="780">
        <f t="shared" si="2352"/>
        <v>32.02064437135364</v>
      </c>
      <c r="AO251" s="780">
        <f t="shared" si="2352"/>
        <v>33.301470146207784</v>
      </c>
      <c r="AP251" s="780">
        <f t="shared" si="2352"/>
        <v>34.633528952056096</v>
      </c>
      <c r="AQ251" s="780">
        <f t="shared" si="2352"/>
        <v>36.018870110138344</v>
      </c>
      <c r="AR251" s="780">
        <f t="shared" si="2352"/>
        <v>37.45962491454388</v>
      </c>
      <c r="AS251" s="780">
        <f t="shared" si="2352"/>
        <v>38.958009911125636</v>
      </c>
      <c r="AT251" s="780">
        <f t="shared" si="2352"/>
        <v>40.516330307570662</v>
      </c>
      <c r="AU251" s="780">
        <f t="shared" si="2352"/>
        <v>42.136983519873489</v>
      </c>
      <c r="AV251" s="780">
        <f t="shared" si="2352"/>
        <v>43.822462860668423</v>
      </c>
      <c r="AW251" s="781">
        <f t="shared" si="2352"/>
        <v>45.57536137509517</v>
      </c>
      <c r="AX251" s="782">
        <f t="shared" si="2352"/>
        <v>47.398375830098978</v>
      </c>
      <c r="AY251" s="780">
        <f t="shared" si="2352"/>
        <v>49.29431086330294</v>
      </c>
      <c r="AZ251" s="780">
        <f t="shared" si="2352"/>
        <v>51.26608329783506</v>
      </c>
      <c r="BA251" s="780">
        <f t="shared" si="2352"/>
        <v>53.316726629748466</v>
      </c>
      <c r="BB251" s="780">
        <f t="shared" si="2352"/>
        <v>55.44939569493841</v>
      </c>
      <c r="BC251" s="780">
        <f t="shared" si="2352"/>
        <v>57.667371522735948</v>
      </c>
      <c r="BD251" s="780">
        <f t="shared" si="2352"/>
        <v>59.974066383645386</v>
      </c>
      <c r="BE251" s="780">
        <f t="shared" si="2352"/>
        <v>62.373029038991206</v>
      </c>
      <c r="BF251" s="780">
        <f t="shared" si="2352"/>
        <v>64.867950200550851</v>
      </c>
      <c r="BG251" s="780">
        <f t="shared" si="2352"/>
        <v>67.462668208572893</v>
      </c>
      <c r="BH251" s="780">
        <f t="shared" si="2352"/>
        <v>70.161174936915813</v>
      </c>
      <c r="BI251" s="781">
        <f t="shared" si="2352"/>
        <v>72.967621934392454</v>
      </c>
    </row>
    <row r="252" spans="1:61" s="780" customFormat="1" hidden="1" outlineLevel="1">
      <c r="A252" s="780" t="str">
        <f>$A$537</f>
        <v>Audits</v>
      </c>
      <c r="M252" s="781"/>
      <c r="N252" s="782"/>
      <c r="Y252" s="781"/>
      <c r="Z252" s="782"/>
      <c r="AB252" s="780">
        <f t="shared" ref="AB252:BI252" si="2353">IF($AB$5&gt;$AA$5,($AB$5-$AA$5)*B537,0)</f>
        <v>7.8466960352422905</v>
      </c>
      <c r="AC252" s="780">
        <f t="shared" si="2353"/>
        <v>8.1805560257268723</v>
      </c>
      <c r="AD252" s="780">
        <f t="shared" si="2353"/>
        <v>8.556158139083367</v>
      </c>
      <c r="AE252" s="780">
        <f t="shared" si="2353"/>
        <v>8.9523024684242678</v>
      </c>
      <c r="AF252" s="780">
        <f t="shared" si="2353"/>
        <v>9.3702787716763911</v>
      </c>
      <c r="AG252" s="780">
        <f t="shared" si="2353"/>
        <v>9.811453812672589</v>
      </c>
      <c r="AH252" s="780">
        <f t="shared" si="2353"/>
        <v>10.277273093546537</v>
      </c>
      <c r="AI252" s="780">
        <f t="shared" si="2353"/>
        <v>10.769262132442826</v>
      </c>
      <c r="AJ252" s="780">
        <f t="shared" si="2353"/>
        <v>11.289027268145146</v>
      </c>
      <c r="AK252" s="781">
        <f t="shared" si="2353"/>
        <v>11.838255995812663</v>
      </c>
      <c r="AL252" s="782">
        <f t="shared" si="2353"/>
        <v>12.418716863200714</v>
      </c>
      <c r="AM252" s="780">
        <f t="shared" si="2353"/>
        <v>13.032258982971491</v>
      </c>
      <c r="AN252" s="780">
        <f t="shared" si="2353"/>
        <v>13.681748513642187</v>
      </c>
      <c r="AO252" s="780">
        <f t="shared" si="2353"/>
        <v>14.367753613373562</v>
      </c>
      <c r="AP252" s="780">
        <f t="shared" si="2353"/>
        <v>15.094450719778326</v>
      </c>
      <c r="AQ252" s="780">
        <f t="shared" si="2353"/>
        <v>15.864274704794562</v>
      </c>
      <c r="AR252" s="780">
        <f t="shared" si="2353"/>
        <v>16.679756380011042</v>
      </c>
      <c r="AS252" s="780">
        <f t="shared" si="2353"/>
        <v>17.543519083999907</v>
      </c>
      <c r="AT252" s="780">
        <f t="shared" si="2353"/>
        <v>18.458274953232511</v>
      </c>
      <c r="AU252" s="780">
        <f t="shared" si="2353"/>
        <v>19.426821075192013</v>
      </c>
      <c r="AV252" s="780">
        <f t="shared" si="2353"/>
        <v>20.452035738521069</v>
      </c>
      <c r="AW252" s="781">
        <f t="shared" si="2353"/>
        <v>21.536874999893016</v>
      </c>
      <c r="AX252" s="782">
        <f t="shared" si="2353"/>
        <v>22.68436978011453</v>
      </c>
      <c r="AY252" s="780">
        <f t="shared" si="2353"/>
        <v>23.897623683136111</v>
      </c>
      <c r="AZ252" s="780">
        <f t="shared" si="2353"/>
        <v>25.181305860088621</v>
      </c>
      <c r="BA252" s="780">
        <f t="shared" si="2353"/>
        <v>26.509539923847804</v>
      </c>
      <c r="BB252" s="780">
        <f t="shared" si="2353"/>
        <v>27.911267150389076</v>
      </c>
      <c r="BC252" s="780">
        <f t="shared" si="2353"/>
        <v>29.389855755030599</v>
      </c>
      <c r="BD252" s="780">
        <f t="shared" si="2353"/>
        <v>30.948754132327405</v>
      </c>
      <c r="BE252" s="780">
        <f t="shared" si="2353"/>
        <v>32.591491812026852</v>
      </c>
      <c r="BF252" s="780">
        <f t="shared" si="2353"/>
        <v>34.321681088998503</v>
      </c>
      <c r="BG252" s="780">
        <f t="shared" si="2353"/>
        <v>36.143019351142293</v>
      </c>
      <c r="BH252" s="780">
        <f t="shared" si="2353"/>
        <v>38.059292115999952</v>
      </c>
      <c r="BI252" s="781">
        <f t="shared" si="2353"/>
        <v>40.074376775040108</v>
      </c>
    </row>
    <row r="253" spans="1:61" s="780" customFormat="1" hidden="1" outlineLevel="1">
      <c r="A253" s="780" t="str">
        <f>$A$538</f>
        <v>Retrofit</v>
      </c>
      <c r="M253" s="781"/>
      <c r="N253" s="782"/>
      <c r="Y253" s="781"/>
      <c r="Z253" s="782"/>
      <c r="AB253" s="780">
        <f t="shared" ref="AB253:BI253" si="2354">IF($AB$5&gt;$AA$5,($AB$5-$AA$5)*B538,0)</f>
        <v>3.2741145374449339</v>
      </c>
      <c r="AC253" s="780">
        <f t="shared" si="2354"/>
        <v>3.4211429613668018</v>
      </c>
      <c r="AD253" s="780">
        <f t="shared" si="2354"/>
        <v>3.6089747928733105</v>
      </c>
      <c r="AE253" s="780">
        <f t="shared" si="2354"/>
        <v>3.80943356172375</v>
      </c>
      <c r="AF253" s="780">
        <f t="shared" si="2354"/>
        <v>4.023495407635</v>
      </c>
      <c r="AG253" s="780">
        <f t="shared" si="2354"/>
        <v>4.2522035025469851</v>
      </c>
      <c r="AH253" s="780">
        <f t="shared" si="2354"/>
        <v>4.4966691121698661</v>
      </c>
      <c r="AI253" s="780">
        <f t="shared" si="2354"/>
        <v>4.7580720961942786</v>
      </c>
      <c r="AJ253" s="780">
        <f t="shared" si="2354"/>
        <v>5.0376608331454982</v>
      </c>
      <c r="AK253" s="781">
        <f t="shared" si="2354"/>
        <v>5.3367515834608863</v>
      </c>
      <c r="AL253" s="782">
        <f t="shared" si="2354"/>
        <v>5.6567273345837759</v>
      </c>
      <c r="AM253" s="780">
        <f t="shared" si="2354"/>
        <v>5.9990362027609887</v>
      </c>
      <c r="AN253" s="780">
        <f t="shared" si="2354"/>
        <v>6.3656710756275423</v>
      </c>
      <c r="AO253" s="780">
        <f t="shared" si="2354"/>
        <v>6.7527905497767229</v>
      </c>
      <c r="AP253" s="780">
        <f t="shared" si="2354"/>
        <v>7.1679946156961591</v>
      </c>
      <c r="AQ253" s="780">
        <f t="shared" si="2354"/>
        <v>7.6132687220703144</v>
      </c>
      <c r="AR253" s="780">
        <f t="shared" si="2354"/>
        <v>8.0906802436821312</v>
      </c>
      <c r="AS253" s="780">
        <f t="shared" si="2354"/>
        <v>8.6023733713231554</v>
      </c>
      <c r="AT253" s="780">
        <f t="shared" si="2354"/>
        <v>9.1505635635964193</v>
      </c>
      <c r="AU253" s="780">
        <f t="shared" si="2354"/>
        <v>9.7375318038296879</v>
      </c>
      <c r="AV253" s="780">
        <f t="shared" si="2354"/>
        <v>10.365618926205418</v>
      </c>
      <c r="AW253" s="781">
        <f t="shared" si="2354"/>
        <v>11.037220281947453</v>
      </c>
      <c r="AX253" s="782">
        <f t="shared" si="2354"/>
        <v>11.754781008099396</v>
      </c>
      <c r="AY253" s="780">
        <f t="shared" si="2354"/>
        <v>12.520792138493604</v>
      </c>
      <c r="AZ253" s="780">
        <f t="shared" si="2354"/>
        <v>13.338724403473293</v>
      </c>
      <c r="BA253" s="780">
        <f t="shared" si="2354"/>
        <v>14.173899457244383</v>
      </c>
      <c r="BB253" s="780">
        <f t="shared" si="2354"/>
        <v>15.06160093928195</v>
      </c>
      <c r="BC253" s="780">
        <f t="shared" si="2354"/>
        <v>16.004396182835173</v>
      </c>
      <c r="BD253" s="780">
        <f t="shared" si="2354"/>
        <v>17.004903510314108</v>
      </c>
      <c r="BE253" s="780">
        <f t="shared" si="2354"/>
        <v>18.065792108500531</v>
      </c>
      <c r="BF253" s="780">
        <f t="shared" si="2354"/>
        <v>19.189782637475492</v>
      </c>
      <c r="BG253" s="780">
        <f t="shared" si="2354"/>
        <v>20.379648596658086</v>
      </c>
      <c r="BH253" s="780">
        <f t="shared" si="2354"/>
        <v>21.638218454438508</v>
      </c>
      <c r="BI253" s="781">
        <f t="shared" si="2354"/>
        <v>22.968378532837651</v>
      </c>
    </row>
    <row r="254" spans="1:61" s="780" customFormat="1" hidden="1" outlineLevel="1">
      <c r="A254" s="780" t="str">
        <f>$A$539</f>
        <v>Revenue</v>
      </c>
      <c r="M254" s="781"/>
      <c r="N254" s="782"/>
      <c r="Y254" s="781"/>
      <c r="Z254" s="782"/>
      <c r="AB254" s="780">
        <f t="shared" ref="AB254:BI254" si="2355">IF($AB$5&gt;$AA$5,($AB$5-$AA$5)*B539,0)</f>
        <v>20728.933920704847</v>
      </c>
      <c r="AC254" s="780">
        <f t="shared" si="2355"/>
        <v>22334.796424579898</v>
      </c>
      <c r="AD254" s="780">
        <f t="shared" si="2355"/>
        <v>24261.379157843236</v>
      </c>
      <c r="AE254" s="780">
        <f t="shared" si="2355"/>
        <v>27109.041527058151</v>
      </c>
      <c r="AF254" s="780">
        <f t="shared" si="2355"/>
        <v>29411.012063918617</v>
      </c>
      <c r="AG254" s="780">
        <f t="shared" si="2355"/>
        <v>31904.731979940196</v>
      </c>
      <c r="AH254" s="780">
        <f t="shared" si="2355"/>
        <v>34157.516935543477</v>
      </c>
      <c r="AI254" s="780">
        <f t="shared" si="2355"/>
        <v>36585.144030160183</v>
      </c>
      <c r="AJ254" s="780">
        <f t="shared" si="2355"/>
        <v>39202.024549786183</v>
      </c>
      <c r="AK254" s="781">
        <f t="shared" si="2355"/>
        <v>41489.907780370268</v>
      </c>
      <c r="AL254" s="782">
        <f t="shared" si="2355"/>
        <v>43934.936399734994</v>
      </c>
      <c r="AM254" s="780">
        <f t="shared" si="2355"/>
        <v>46547.932291314006</v>
      </c>
      <c r="AN254" s="780">
        <f t="shared" si="2355"/>
        <v>48812.622611071754</v>
      </c>
      <c r="AO254" s="780">
        <f t="shared" si="2355"/>
        <v>51746.745047763237</v>
      </c>
      <c r="AP254" s="780">
        <f t="shared" si="2355"/>
        <v>54891.491572423707</v>
      </c>
      <c r="AQ254" s="780">
        <f t="shared" si="2355"/>
        <v>58261.704056497998</v>
      </c>
      <c r="AR254" s="780">
        <f t="shared" si="2355"/>
        <v>61872.837706819933</v>
      </c>
      <c r="AS254" s="780">
        <f t="shared" si="2355"/>
        <v>65740.922877654608</v>
      </c>
      <c r="AT254" s="780">
        <f t="shared" si="2355"/>
        <v>69882.52360507095</v>
      </c>
      <c r="AU254" s="780">
        <f t="shared" si="2355"/>
        <v>74314.694687467563</v>
      </c>
      <c r="AV254" s="780">
        <f t="shared" si="2355"/>
        <v>79054.939292696072</v>
      </c>
      <c r="AW254" s="781">
        <f t="shared" si="2355"/>
        <v>84121.169122674793</v>
      </c>
      <c r="AX254" s="782">
        <f t="shared" si="2355"/>
        <v>89531.669104034416</v>
      </c>
      <c r="AY254" s="780">
        <f t="shared" si="2355"/>
        <v>95305.068401244935</v>
      </c>
      <c r="AZ254" s="780">
        <f t="shared" si="2355"/>
        <v>101467.05911812153</v>
      </c>
      <c r="BA254" s="780">
        <f t="shared" si="2355"/>
        <v>107757.45533319093</v>
      </c>
      <c r="BB254" s="780">
        <f t="shared" si="2355"/>
        <v>114440.84237520174</v>
      </c>
      <c r="BC254" s="780">
        <f t="shared" si="2355"/>
        <v>121536.40957263115</v>
      </c>
      <c r="BD254" s="780">
        <f t="shared" si="2355"/>
        <v>129063.73094559579</v>
      </c>
      <c r="BE254" s="780">
        <f t="shared" si="2355"/>
        <v>137042.76458890198</v>
      </c>
      <c r="BF254" s="780">
        <f t="shared" si="2355"/>
        <v>145493.85755130055</v>
      </c>
      <c r="BG254" s="780">
        <f t="shared" si="2355"/>
        <v>154437.75638435522</v>
      </c>
      <c r="BH254" s="780">
        <f t="shared" si="2355"/>
        <v>163895.6234075159</v>
      </c>
      <c r="BI254" s="781">
        <f t="shared" si="2355"/>
        <v>173889.05862314338</v>
      </c>
    </row>
    <row r="255" spans="1:61" s="780" customFormat="1" hidden="1" outlineLevel="1">
      <c r="A255" s="780" t="str">
        <f>$A$540</f>
        <v>Net Income</v>
      </c>
      <c r="M255" s="781"/>
      <c r="N255" s="782"/>
      <c r="Y255" s="781"/>
      <c r="Z255" s="782"/>
      <c r="AB255" s="780">
        <f t="shared" ref="AB255:BI255" si="2356">IF($AB$5&gt;$AA$5,($AB$5-$AA$5)*B540,0)</f>
        <v>-33184.964170807638</v>
      </c>
      <c r="AC255" s="780">
        <f t="shared" si="2356"/>
        <v>-14837.14568100147</v>
      </c>
      <c r="AD255" s="780">
        <f t="shared" si="2356"/>
        <v>-14268.717003781454</v>
      </c>
      <c r="AE255" s="780">
        <f t="shared" si="2356"/>
        <v>-13405.013342705901</v>
      </c>
      <c r="AF255" s="780">
        <f t="shared" si="2356"/>
        <v>-12685.072540306182</v>
      </c>
      <c r="AG255" s="780">
        <f t="shared" si="2356"/>
        <v>-17604.404805924125</v>
      </c>
      <c r="AH255" s="780">
        <f t="shared" si="2356"/>
        <v>-15156.124616524507</v>
      </c>
      <c r="AI255" s="780">
        <f t="shared" si="2356"/>
        <v>-13971.31609512752</v>
      </c>
      <c r="AJ255" s="780">
        <f t="shared" si="2356"/>
        <v>-13027.555718246989</v>
      </c>
      <c r="AK255" s="781">
        <f t="shared" si="2356"/>
        <v>-12167.444211420123</v>
      </c>
      <c r="AL255" s="782">
        <f t="shared" si="2356"/>
        <v>-11228.257793696379</v>
      </c>
      <c r="AM255" s="780">
        <f t="shared" si="2356"/>
        <v>-10203.756141625032</v>
      </c>
      <c r="AN255" s="780">
        <f t="shared" si="2356"/>
        <v>-8928.9645055486872</v>
      </c>
      <c r="AO255" s="780">
        <f t="shared" si="2356"/>
        <v>-6565.2951604608934</v>
      </c>
      <c r="AP255" s="780">
        <f t="shared" si="2356"/>
        <v>-7951.6323699894165</v>
      </c>
      <c r="AQ255" s="780">
        <f t="shared" si="2356"/>
        <v>-6483.5792380389103</v>
      </c>
      <c r="AR255" s="780">
        <f t="shared" si="2356"/>
        <v>-5307.1722049655655</v>
      </c>
      <c r="AS255" s="780">
        <f t="shared" si="2356"/>
        <v>-3966.3475887754175</v>
      </c>
      <c r="AT255" s="780">
        <f t="shared" si="2356"/>
        <v>-2466.8649492429358</v>
      </c>
      <c r="AU255" s="780">
        <f t="shared" si="2356"/>
        <v>-826.64406907309967</v>
      </c>
      <c r="AV255" s="780">
        <f t="shared" si="2356"/>
        <v>-10770.241509529737</v>
      </c>
      <c r="AW255" s="781">
        <f t="shared" si="2356"/>
        <v>-19174.962642260827</v>
      </c>
      <c r="AX255" s="782">
        <f t="shared" si="2356"/>
        <v>-16925.443971653156</v>
      </c>
      <c r="AY255" s="780">
        <f t="shared" si="2356"/>
        <v>-25696.207513260568</v>
      </c>
      <c r="AZ255" s="780">
        <f t="shared" si="2356"/>
        <v>-30466.524333613874</v>
      </c>
      <c r="BA255" s="780">
        <f t="shared" si="2356"/>
        <v>-30644.209260269774</v>
      </c>
      <c r="BB255" s="780">
        <f t="shared" si="2356"/>
        <v>-25743.81021126837</v>
      </c>
      <c r="BC255" s="780">
        <f t="shared" si="2356"/>
        <v>-25374.965354328699</v>
      </c>
      <c r="BD255" s="780">
        <f t="shared" si="2356"/>
        <v>-21685.632709168298</v>
      </c>
      <c r="BE255" s="780">
        <f t="shared" si="2356"/>
        <v>-17735.699053003482</v>
      </c>
      <c r="BF255" s="780">
        <f t="shared" si="2356"/>
        <v>-25824.517795504849</v>
      </c>
      <c r="BG255" s="780">
        <f t="shared" si="2356"/>
        <v>-13812.381476188923</v>
      </c>
      <c r="BH255" s="780">
        <f t="shared" si="2356"/>
        <v>-15733.807969274916</v>
      </c>
      <c r="BI255" s="781">
        <f t="shared" si="2356"/>
        <v>-12981.108202038886</v>
      </c>
    </row>
    <row r="256" spans="1:61" s="780" customFormat="1" hidden="1" outlineLevel="1">
      <c r="A256" s="780" t="str">
        <f>$A$541</f>
        <v>Program Revenue</v>
      </c>
      <c r="M256" s="781"/>
      <c r="N256" s="782"/>
      <c r="Y256" s="781"/>
      <c r="Z256" s="782"/>
      <c r="AB256" s="780">
        <f t="shared" ref="AB256" si="2357">IF($AB$5&gt;$AA$5,($AB$5-$AA$5)*B541,0)</f>
        <v>1850</v>
      </c>
      <c r="AC256" s="780">
        <f t="shared" ref="AC256" si="2358">IF($AB$5&gt;$AA$5,($AB$5-$AA$5)*C541,0)</f>
        <v>1937.1558751999999</v>
      </c>
      <c r="AD256" s="780">
        <f t="shared" ref="AD256" si="2359">IF($AB$5&gt;$AA$5,($AB$5-$AA$5)*D541,0)</f>
        <v>2030.0190587848704</v>
      </c>
      <c r="AE256" s="780">
        <f t="shared" ref="AE256" si="2360">IF($AB$5&gt;$AA$5,($AB$5-$AA$5)*E541,0)</f>
        <v>2128.941218449359</v>
      </c>
      <c r="AF256" s="780">
        <f t="shared" ref="AF256" si="2361">IF($AB$5&gt;$AA$5,($AB$5-$AA$5)*F541,0)</f>
        <v>2234.2900324673633</v>
      </c>
      <c r="AG256" s="780">
        <f t="shared" ref="AG256" si="2362">IF($AB$5&gt;$AA$5,($AB$5-$AA$5)*G541,0)</f>
        <v>2346.4496034726417</v>
      </c>
      <c r="AH256" s="780">
        <f t="shared" ref="AH256" si="2363">IF($AB$5&gt;$AA$5,($AB$5-$AA$5)*H541,0)</f>
        <v>2465.8208731027789</v>
      </c>
      <c r="AI256" s="780">
        <f t="shared" ref="AI256" si="2364">IF($AB$5&gt;$AA$5,($AB$5-$AA$5)*I541,0)</f>
        <v>2592.8220377557409</v>
      </c>
      <c r="AJ256" s="780">
        <f t="shared" ref="AJ256" si="2365">IF($AB$5&gt;$AA$5,($AB$5-$AA$5)*J541,0)</f>
        <v>2727.8889657926175</v>
      </c>
      <c r="AK256" s="781">
        <f t="shared" ref="AK256" si="2366">IF($AB$5&gt;$AA$5,($AB$5-$AA$5)*K541,0)</f>
        <v>2871.4756166091629</v>
      </c>
      <c r="AL256" s="782">
        <f t="shared" ref="AL256" si="2367">IF($AB$5&gt;$AA$5,($AB$5-$AA$5)*L541,0)</f>
        <v>3024.0544620924302</v>
      </c>
      <c r="AM256" s="780">
        <f t="shared" ref="AM256" si="2368">IF($AB$5&gt;$AA$5,($AB$5-$AA$5)*M541,0)</f>
        <v>3186.1169110768442</v>
      </c>
      <c r="AN256" s="780">
        <f t="shared" ref="AN256" si="2369">IF($AB$5&gt;$AA$5,($AB$5-$AA$5)*N541,0)</f>
        <v>3358.9807376414046</v>
      </c>
      <c r="AO256" s="780">
        <f t="shared" ref="AO256" si="2370">IF($AB$5&gt;$AA$5,($AB$5-$AA$5)*O541,0)</f>
        <v>3543.2416591361321</v>
      </c>
      <c r="AP256" s="780">
        <f t="shared" ref="AP256" si="2371">IF($AB$5&gt;$AA$5,($AB$5-$AA$5)*P541,0)</f>
        <v>3739.515514961849</v>
      </c>
      <c r="AQ256" s="780">
        <f t="shared" ref="AQ256" si="2372">IF($AB$5&gt;$AA$5,($AB$5-$AA$5)*Q541,0)</f>
        <v>3948.4383904349252</v>
      </c>
      <c r="AR256" s="780">
        <f t="shared" ref="AR256" si="2373">IF($AB$5&gt;$AA$5,($AB$5-$AA$5)*R541,0)</f>
        <v>4170.6667372134807</v>
      </c>
      <c r="AS256" s="780">
        <f t="shared" ref="AS256" si="2374">IF($AB$5&gt;$AA$5,($AB$5-$AA$5)*S541,0)</f>
        <v>4406.877493173627</v>
      </c>
      <c r="AT256" s="780">
        <f t="shared" ref="AT256" si="2375">IF($AB$5&gt;$AA$5,($AB$5-$AA$5)*T541,0)</f>
        <v>4657.7682048703127</v>
      </c>
      <c r="AU256" s="780">
        <f t="shared" ref="AU256" si="2376">IF($AB$5&gt;$AA$5,($AB$5-$AA$5)*U541,0)</f>
        <v>4924.0571559566215</v>
      </c>
      <c r="AV256" s="780">
        <f t="shared" ref="AV256" si="2377">IF($AB$5&gt;$AA$5,($AB$5-$AA$5)*V541,0)</f>
        <v>5206.4835051661303</v>
      </c>
      <c r="AW256" s="781">
        <f t="shared" ref="AW256" si="2378">IF($AB$5&gt;$AA$5,($AB$5-$AA$5)*W541,0)</f>
        <v>5505.8074376836603</v>
      </c>
      <c r="AX256" s="782">
        <f t="shared" ref="AX256" si="2379">IF($AB$5&gt;$AA$5,($AB$5-$AA$5)*X541,0)</f>
        <v>5822.8103339388172</v>
      </c>
      <c r="AY256" s="780">
        <f t="shared" ref="AY256" si="2380">IF($AB$5&gt;$AA$5,($AB$5-$AA$5)*Y541,0)</f>
        <v>6158.2949600526208</v>
      </c>
      <c r="AZ256" s="780">
        <f t="shared" ref="AZ256" si="2381">IF($AB$5&gt;$AA$5,($AB$5-$AA$5)*Z541,0)</f>
        <v>6514.1392664878649</v>
      </c>
      <c r="BA256" s="780">
        <f t="shared" ref="BA256" si="2382">IF($AB$5&gt;$AA$5,($AB$5-$AA$5)*AA541,0)</f>
        <v>6891.2420929122554</v>
      </c>
      <c r="BB256" s="780">
        <f t="shared" ref="BB256" si="2383">IF($AB$5&gt;$AA$5,($AB$5-$AA$5)*AB541,0)</f>
        <v>7290.5201481641989</v>
      </c>
      <c r="BC256" s="780">
        <f t="shared" ref="BC256" si="2384">IF($AB$5&gt;$AA$5,($AB$5-$AA$5)*AC541,0)</f>
        <v>7712.9078999165331</v>
      </c>
      <c r="BD256" s="780">
        <f t="shared" ref="BD256" si="2385">IF($AB$5&gt;$AA$5,($AB$5-$AA$5)*AD541,0)</f>
        <v>8159.357530652579</v>
      </c>
      <c r="BE256" s="780">
        <f t="shared" ref="BE256" si="2386">IF($AB$5&gt;$AA$5,($AB$5-$AA$5)*AE541,0)</f>
        <v>8630.8389688113039</v>
      </c>
      <c r="BF256" s="780">
        <f t="shared" ref="BF256" si="2387">IF($AB$5&gt;$AA$5,($AB$5-$AA$5)*AF541,0)</f>
        <v>9128.3400039027438</v>
      </c>
      <c r="BG256" s="780">
        <f t="shared" ref="BG256" si="2388">IF($AB$5&gt;$AA$5,($AB$5-$AA$5)*AG541,0)</f>
        <v>9652.8664942797932</v>
      </c>
      <c r="BH256" s="780">
        <f t="shared" ref="BH256" si="2389">IF($AB$5&gt;$AA$5,($AB$5-$AA$5)*AH541,0)</f>
        <v>10205.442676078563</v>
      </c>
      <c r="BI256" s="781">
        <f t="shared" ref="BI256" si="2390">IF($AB$5&gt;$AA$5,($AB$5-$AA$5)*AI541,0)</f>
        <v>10787.111581608189</v>
      </c>
    </row>
    <row r="257" spans="1:61" s="780" customFormat="1" hidden="1" outlineLevel="1">
      <c r="M257" s="781"/>
      <c r="N257" s="782"/>
      <c r="Y257" s="781"/>
      <c r="Z257" s="782"/>
      <c r="AK257" s="781"/>
      <c r="AL257" s="782"/>
      <c r="AW257" s="781"/>
      <c r="AX257" s="782"/>
      <c r="BI257" s="781"/>
    </row>
    <row r="258" spans="1:61" s="780" customFormat="1" hidden="1" outlineLevel="1">
      <c r="A258" s="780" t="s">
        <v>359</v>
      </c>
      <c r="M258" s="781"/>
      <c r="N258" s="782"/>
      <c r="Y258" s="781"/>
      <c r="Z258" s="782"/>
      <c r="AC258" s="780">
        <f>IF($AC$5&gt;$AB$5,($AC$5-$AB$5)*B535,0)</f>
        <v>8</v>
      </c>
      <c r="AD258" s="780">
        <f t="shared" ref="AD258" si="2391">IF($AC$5&gt;$AB$5,($AC$5-$AB$5)*C535,0)</f>
        <v>8.3824000000000005</v>
      </c>
      <c r="AE258" s="780">
        <f t="shared" ref="AE258" si="2392">IF($AC$5&gt;$AB$5,($AC$5-$AB$5)*D535,0)</f>
        <v>8.790016102400001</v>
      </c>
      <c r="AF258" s="780">
        <f t="shared" ref="AF258" si="2393">IF($AC$5&gt;$AB$5,($AC$5-$AB$5)*E535,0)</f>
        <v>9.2244218586677267</v>
      </c>
      <c r="AG258" s="780">
        <f t="shared" ref="AG258" si="2394">IF($AC$5&gt;$AB$5,($AC$5-$AB$5)*F535,0)</f>
        <v>9.6872643857899394</v>
      </c>
      <c r="AH258" s="780">
        <f t="shared" ref="AH258" si="2395">IF($AC$5&gt;$AB$5,($AC$5-$AB$5)*G535,0)</f>
        <v>10.180266404063699</v>
      </c>
      <c r="AI258" s="780">
        <f t="shared" ref="AI258" si="2396">IF($AC$5&gt;$AB$5,($AC$5-$AB$5)*H535,0)</f>
        <v>10.705228286703797</v>
      </c>
      <c r="AJ258" s="780">
        <f t="shared" ref="AJ258" si="2397">IF($AC$5&gt;$AB$5,($AC$5-$AB$5)*I535,0)</f>
        <v>11.264030122404236</v>
      </c>
      <c r="AK258" s="781">
        <f t="shared" ref="AK258" si="2398">IF($AC$5&gt;$AB$5,($AC$5-$AB$5)*J535,0)</f>
        <v>11.858633792363815</v>
      </c>
      <c r="AL258" s="782">
        <f t="shared" ref="AL258" si="2399">IF($AC$5&gt;$AB$5,($AC$5-$AB$5)*K535,0)</f>
        <v>12.491085063681208</v>
      </c>
      <c r="AM258" s="780">
        <f t="shared" ref="AM258" si="2400">IF($AC$5&gt;$AB$5,($AC$5-$AB$5)*L535,0)</f>
        <v>13.163515701442698</v>
      </c>
      <c r="AN258" s="780">
        <f t="shared" ref="AN258" si="2401">IF($AC$5&gt;$AB$5,($AC$5-$AB$5)*M535,0)</f>
        <v>13.878145602265221</v>
      </c>
      <c r="AO258" s="780">
        <f t="shared" ref="AO258" si="2402">IF($AC$5&gt;$AB$5,($AC$5-$AB$5)*N535,0)</f>
        <v>14.640802427106802</v>
      </c>
      <c r="AP258" s="780">
        <f t="shared" ref="AP258" si="2403">IF($AC$5&gt;$AB$5,($AC$5-$AB$5)*O535,0)</f>
        <v>15.454179973028484</v>
      </c>
      <c r="AQ258" s="780">
        <f t="shared" ref="AQ258" si="2404">IF($AC$5&gt;$AB$5,($AC$5-$AB$5)*P535,0)</f>
        <v>16.321067007803048</v>
      </c>
      <c r="AR258" s="780">
        <f t="shared" ref="AR258" si="2405">IF($AC$5&gt;$AB$5,($AC$5-$AB$5)*Q535,0)</f>
        <v>17.244348126107901</v>
      </c>
      <c r="AS258" s="780">
        <f t="shared" ref="AS258" si="2406">IF($AC$5&gt;$AB$5,($AC$5-$AB$5)*R535,0)</f>
        <v>18.227004594103096</v>
      </c>
      <c r="AT258" s="780">
        <f t="shared" ref="AT258" si="2407">IF($AC$5&gt;$AB$5,($AC$5-$AB$5)*S535,0)</f>
        <v>19.272115194972702</v>
      </c>
      <c r="AU258" s="780">
        <f t="shared" ref="AU258" si="2408">IF($AC$5&gt;$AB$5,($AC$5-$AB$5)*T535,0)</f>
        <v>20.382857089151276</v>
      </c>
      <c r="AV258" s="780">
        <f t="shared" ref="AV258" si="2409">IF($AC$5&gt;$AB$5,($AC$5-$AB$5)*U535,0)</f>
        <v>21.56250670407784</v>
      </c>
      <c r="AW258" s="781">
        <f t="shared" ref="AW258" si="2410">IF($AC$5&gt;$AB$5,($AC$5-$AB$5)*V535,0)</f>
        <v>22.814440669410335</v>
      </c>
      <c r="AX258" s="782">
        <f t="shared" ref="AX258" si="2411">IF($AC$5&gt;$AB$5,($AC$5-$AB$5)*W535,0)</f>
        <v>24.142136814686012</v>
      </c>
      <c r="AY258" s="780">
        <f t="shared" ref="AY258" si="2412">IF($AC$5&gt;$AB$5,($AC$5-$AB$5)*X535,0)</f>
        <v>25.549175247421399</v>
      </c>
      <c r="AZ258" s="780">
        <f t="shared" ref="AZ258" si="2413">IF($AC$5&gt;$AB$5,($AC$5-$AB$5)*Y535,0)</f>
        <v>27.039239530601542</v>
      </c>
      <c r="BA258" s="780">
        <f t="shared" ref="BA258" si="2414">IF($AC$5&gt;$AB$5,($AC$5-$AB$5)*Z535,0)</f>
        <v>28.620747034243404</v>
      </c>
      <c r="BB258" s="780">
        <f t="shared" ref="BB258" si="2415">IF($AC$5&gt;$AB$5,($AC$5-$AB$5)*AA535,0)</f>
        <v>30.297832899152603</v>
      </c>
      <c r="BC258" s="780">
        <f t="shared" ref="BC258" si="2416">IF($AC$5&gt;$AB$5,($AC$5-$AB$5)*AB535,0)</f>
        <v>32.074721942842451</v>
      </c>
      <c r="BD258" s="780">
        <f t="shared" ref="BD258" si="2417">IF($AC$5&gt;$AB$5,($AC$5-$AB$5)*AC535,0)</f>
        <v>33.955728473829772</v>
      </c>
      <c r="BE258" s="780">
        <f t="shared" ref="BE258" si="2418">IF($AC$5&gt;$AB$5,($AC$5-$AB$5)*AD535,0)</f>
        <v>35.945256397317038</v>
      </c>
      <c r="BF258" s="780">
        <f t="shared" ref="BF258" si="2419">IF($AC$5&gt;$AB$5,($AC$5-$AB$5)*AE535,0)</f>
        <v>38.047799652671507</v>
      </c>
      <c r="BG258" s="780">
        <f t="shared" ref="BG258" si="2420">IF($AC$5&gt;$AB$5,($AC$5-$AB$5)*AF535,0)</f>
        <v>40.267943023083284</v>
      </c>
      <c r="BH258" s="780">
        <f t="shared" ref="BH258" si="2421">IF($AC$5&gt;$AB$5,($AC$5-$AB$5)*AG535,0)</f>
        <v>42.61036335749322</v>
      </c>
      <c r="BI258" s="781">
        <f t="shared" ref="BI258" si="2422">IF($AC$5&gt;$AB$5,($AC$5-$AB$5)*AH535,0)</f>
        <v>45.079831244328588</v>
      </c>
    </row>
    <row r="259" spans="1:61" s="780" customFormat="1" hidden="1" outlineLevel="1">
      <c r="A259" s="780" t="str">
        <f>$A$536</f>
        <v>Leads</v>
      </c>
      <c r="M259" s="781"/>
      <c r="N259" s="782"/>
      <c r="Y259" s="781"/>
      <c r="Z259" s="782"/>
      <c r="AC259" s="780">
        <f>IF($AC$5&gt;$AB$5,($AC$5-$AB$5)*B536,0)</f>
        <v>20</v>
      </c>
      <c r="AD259" s="780">
        <f t="shared" ref="AD259:BI259" si="2423">IF($AC$5&gt;$AB$5,($AC$5-$AB$5)*C536,0)</f>
        <v>20.8</v>
      </c>
      <c r="AE259" s="780">
        <f t="shared" si="2423"/>
        <v>21.632000000000001</v>
      </c>
      <c r="AF259" s="780">
        <f t="shared" si="2423"/>
        <v>22.497280000000003</v>
      </c>
      <c r="AG259" s="780">
        <f t="shared" si="2423"/>
        <v>23.397171200000006</v>
      </c>
      <c r="AH259" s="780">
        <f t="shared" si="2423"/>
        <v>24.333058048000009</v>
      </c>
      <c r="AI259" s="780">
        <f t="shared" si="2423"/>
        <v>25.30638036992001</v>
      </c>
      <c r="AJ259" s="780">
        <f t="shared" si="2423"/>
        <v>26.318635584716812</v>
      </c>
      <c r="AK259" s="781">
        <f t="shared" si="2423"/>
        <v>27.371381008105487</v>
      </c>
      <c r="AL259" s="782">
        <f t="shared" si="2423"/>
        <v>28.466236248429709</v>
      </c>
      <c r="AM259" s="780">
        <f t="shared" si="2423"/>
        <v>29.6048856983669</v>
      </c>
      <c r="AN259" s="780">
        <f t="shared" si="2423"/>
        <v>30.789081126301578</v>
      </c>
      <c r="AO259" s="780">
        <f t="shared" si="2423"/>
        <v>32.02064437135364</v>
      </c>
      <c r="AP259" s="780">
        <f t="shared" si="2423"/>
        <v>33.301470146207784</v>
      </c>
      <c r="AQ259" s="780">
        <f t="shared" si="2423"/>
        <v>34.633528952056096</v>
      </c>
      <c r="AR259" s="780">
        <f t="shared" si="2423"/>
        <v>36.018870110138344</v>
      </c>
      <c r="AS259" s="780">
        <f t="shared" si="2423"/>
        <v>37.45962491454388</v>
      </c>
      <c r="AT259" s="780">
        <f t="shared" si="2423"/>
        <v>38.958009911125636</v>
      </c>
      <c r="AU259" s="780">
        <f t="shared" si="2423"/>
        <v>40.516330307570662</v>
      </c>
      <c r="AV259" s="780">
        <f t="shared" si="2423"/>
        <v>42.136983519873489</v>
      </c>
      <c r="AW259" s="781">
        <f t="shared" si="2423"/>
        <v>43.822462860668423</v>
      </c>
      <c r="AX259" s="782">
        <f t="shared" si="2423"/>
        <v>45.57536137509517</v>
      </c>
      <c r="AY259" s="780">
        <f t="shared" si="2423"/>
        <v>47.398375830098978</v>
      </c>
      <c r="AZ259" s="780">
        <f t="shared" si="2423"/>
        <v>49.29431086330294</v>
      </c>
      <c r="BA259" s="780">
        <f t="shared" si="2423"/>
        <v>51.26608329783506</v>
      </c>
      <c r="BB259" s="780">
        <f t="shared" si="2423"/>
        <v>53.316726629748466</v>
      </c>
      <c r="BC259" s="780">
        <f t="shared" si="2423"/>
        <v>55.44939569493841</v>
      </c>
      <c r="BD259" s="780">
        <f t="shared" si="2423"/>
        <v>57.667371522735948</v>
      </c>
      <c r="BE259" s="780">
        <f t="shared" si="2423"/>
        <v>59.974066383645386</v>
      </c>
      <c r="BF259" s="780">
        <f t="shared" si="2423"/>
        <v>62.373029038991206</v>
      </c>
      <c r="BG259" s="780">
        <f t="shared" si="2423"/>
        <v>64.867950200550851</v>
      </c>
      <c r="BH259" s="780">
        <f t="shared" si="2423"/>
        <v>67.462668208572893</v>
      </c>
      <c r="BI259" s="781">
        <f t="shared" si="2423"/>
        <v>70.161174936915813</v>
      </c>
    </row>
    <row r="260" spans="1:61" s="780" customFormat="1" hidden="1" outlineLevel="1">
      <c r="A260" s="780" t="str">
        <f>$A$537</f>
        <v>Audits</v>
      </c>
      <c r="M260" s="781"/>
      <c r="N260" s="782"/>
      <c r="Y260" s="781"/>
      <c r="Z260" s="782"/>
      <c r="AC260" s="780">
        <f t="shared" ref="AC260:BI260" si="2424">IF($AC$5&gt;$AB$5,($AC$5-$AB$5)*B537,0)</f>
        <v>7.8466960352422905</v>
      </c>
      <c r="AD260" s="780">
        <f t="shared" si="2424"/>
        <v>8.1805560257268723</v>
      </c>
      <c r="AE260" s="780">
        <f t="shared" si="2424"/>
        <v>8.556158139083367</v>
      </c>
      <c r="AF260" s="780">
        <f t="shared" si="2424"/>
        <v>8.9523024684242678</v>
      </c>
      <c r="AG260" s="780">
        <f t="shared" si="2424"/>
        <v>9.3702787716763911</v>
      </c>
      <c r="AH260" s="780">
        <f t="shared" si="2424"/>
        <v>9.811453812672589</v>
      </c>
      <c r="AI260" s="780">
        <f t="shared" si="2424"/>
        <v>10.277273093546537</v>
      </c>
      <c r="AJ260" s="780">
        <f t="shared" si="2424"/>
        <v>10.769262132442826</v>
      </c>
      <c r="AK260" s="781">
        <f t="shared" si="2424"/>
        <v>11.289027268145146</v>
      </c>
      <c r="AL260" s="782">
        <f t="shared" si="2424"/>
        <v>11.838255995812663</v>
      </c>
      <c r="AM260" s="780">
        <f t="shared" si="2424"/>
        <v>12.418716863200714</v>
      </c>
      <c r="AN260" s="780">
        <f t="shared" si="2424"/>
        <v>13.032258982971491</v>
      </c>
      <c r="AO260" s="780">
        <f t="shared" si="2424"/>
        <v>13.681748513642187</v>
      </c>
      <c r="AP260" s="780">
        <f t="shared" si="2424"/>
        <v>14.367753613373562</v>
      </c>
      <c r="AQ260" s="780">
        <f t="shared" si="2424"/>
        <v>15.094450719778326</v>
      </c>
      <c r="AR260" s="780">
        <f t="shared" si="2424"/>
        <v>15.864274704794562</v>
      </c>
      <c r="AS260" s="780">
        <f t="shared" si="2424"/>
        <v>16.679756380011042</v>
      </c>
      <c r="AT260" s="780">
        <f t="shared" si="2424"/>
        <v>17.543519083999907</v>
      </c>
      <c r="AU260" s="780">
        <f t="shared" si="2424"/>
        <v>18.458274953232511</v>
      </c>
      <c r="AV260" s="780">
        <f t="shared" si="2424"/>
        <v>19.426821075192013</v>
      </c>
      <c r="AW260" s="781">
        <f t="shared" si="2424"/>
        <v>20.452035738521069</v>
      </c>
      <c r="AX260" s="782">
        <f t="shared" si="2424"/>
        <v>21.536874999893016</v>
      </c>
      <c r="AY260" s="780">
        <f t="shared" si="2424"/>
        <v>22.68436978011453</v>
      </c>
      <c r="AZ260" s="780">
        <f t="shared" si="2424"/>
        <v>23.897623683136111</v>
      </c>
      <c r="BA260" s="780">
        <f t="shared" si="2424"/>
        <v>25.181305860088621</v>
      </c>
      <c r="BB260" s="780">
        <f t="shared" si="2424"/>
        <v>26.509539923847804</v>
      </c>
      <c r="BC260" s="780">
        <f t="shared" si="2424"/>
        <v>27.911267150389076</v>
      </c>
      <c r="BD260" s="780">
        <f t="shared" si="2424"/>
        <v>29.389855755030599</v>
      </c>
      <c r="BE260" s="780">
        <f t="shared" si="2424"/>
        <v>30.948754132327405</v>
      </c>
      <c r="BF260" s="780">
        <f t="shared" si="2424"/>
        <v>32.591491812026852</v>
      </c>
      <c r="BG260" s="780">
        <f t="shared" si="2424"/>
        <v>34.321681088998503</v>
      </c>
      <c r="BH260" s="780">
        <f t="shared" si="2424"/>
        <v>36.143019351142293</v>
      </c>
      <c r="BI260" s="781">
        <f t="shared" si="2424"/>
        <v>38.059292115999952</v>
      </c>
    </row>
    <row r="261" spans="1:61" s="780" customFormat="1" hidden="1" outlineLevel="1">
      <c r="A261" s="780" t="str">
        <f>$A$538</f>
        <v>Retrofit</v>
      </c>
      <c r="M261" s="781"/>
      <c r="N261" s="782"/>
      <c r="Y261" s="781"/>
      <c r="Z261" s="782"/>
      <c r="AC261" s="780">
        <f t="shared" ref="AC261:BI261" si="2425">IF($AC$5&gt;$AB$5,($AC$5-$AB$5)*B538,0)</f>
        <v>3.2741145374449339</v>
      </c>
      <c r="AD261" s="780">
        <f t="shared" si="2425"/>
        <v>3.4211429613668018</v>
      </c>
      <c r="AE261" s="780">
        <f t="shared" si="2425"/>
        <v>3.6089747928733105</v>
      </c>
      <c r="AF261" s="780">
        <f t="shared" si="2425"/>
        <v>3.80943356172375</v>
      </c>
      <c r="AG261" s="780">
        <f t="shared" si="2425"/>
        <v>4.023495407635</v>
      </c>
      <c r="AH261" s="780">
        <f t="shared" si="2425"/>
        <v>4.2522035025469851</v>
      </c>
      <c r="AI261" s="780">
        <f t="shared" si="2425"/>
        <v>4.4966691121698661</v>
      </c>
      <c r="AJ261" s="780">
        <f t="shared" si="2425"/>
        <v>4.7580720961942786</v>
      </c>
      <c r="AK261" s="781">
        <f t="shared" si="2425"/>
        <v>5.0376608331454982</v>
      </c>
      <c r="AL261" s="782">
        <f t="shared" si="2425"/>
        <v>5.3367515834608863</v>
      </c>
      <c r="AM261" s="780">
        <f t="shared" si="2425"/>
        <v>5.6567273345837759</v>
      </c>
      <c r="AN261" s="780">
        <f t="shared" si="2425"/>
        <v>5.9990362027609887</v>
      </c>
      <c r="AO261" s="780">
        <f t="shared" si="2425"/>
        <v>6.3656710756275423</v>
      </c>
      <c r="AP261" s="780">
        <f t="shared" si="2425"/>
        <v>6.7527905497767229</v>
      </c>
      <c r="AQ261" s="780">
        <f t="shared" si="2425"/>
        <v>7.1679946156961591</v>
      </c>
      <c r="AR261" s="780">
        <f t="shared" si="2425"/>
        <v>7.6132687220703144</v>
      </c>
      <c r="AS261" s="780">
        <f t="shared" si="2425"/>
        <v>8.0906802436821312</v>
      </c>
      <c r="AT261" s="780">
        <f t="shared" si="2425"/>
        <v>8.6023733713231554</v>
      </c>
      <c r="AU261" s="780">
        <f t="shared" si="2425"/>
        <v>9.1505635635964193</v>
      </c>
      <c r="AV261" s="780">
        <f t="shared" si="2425"/>
        <v>9.7375318038296879</v>
      </c>
      <c r="AW261" s="781">
        <f t="shared" si="2425"/>
        <v>10.365618926205418</v>
      </c>
      <c r="AX261" s="782">
        <f t="shared" si="2425"/>
        <v>11.037220281947453</v>
      </c>
      <c r="AY261" s="780">
        <f t="shared" si="2425"/>
        <v>11.754781008099396</v>
      </c>
      <c r="AZ261" s="780">
        <f t="shared" si="2425"/>
        <v>12.520792138493604</v>
      </c>
      <c r="BA261" s="780">
        <f t="shared" si="2425"/>
        <v>13.338724403473293</v>
      </c>
      <c r="BB261" s="780">
        <f t="shared" si="2425"/>
        <v>14.173899457244383</v>
      </c>
      <c r="BC261" s="780">
        <f t="shared" si="2425"/>
        <v>15.06160093928195</v>
      </c>
      <c r="BD261" s="780">
        <f t="shared" si="2425"/>
        <v>16.004396182835173</v>
      </c>
      <c r="BE261" s="780">
        <f t="shared" si="2425"/>
        <v>17.004903510314108</v>
      </c>
      <c r="BF261" s="780">
        <f t="shared" si="2425"/>
        <v>18.065792108500531</v>
      </c>
      <c r="BG261" s="780">
        <f t="shared" si="2425"/>
        <v>19.189782637475492</v>
      </c>
      <c r="BH261" s="780">
        <f t="shared" si="2425"/>
        <v>20.379648596658086</v>
      </c>
      <c r="BI261" s="781">
        <f t="shared" si="2425"/>
        <v>21.638218454438508</v>
      </c>
    </row>
    <row r="262" spans="1:61" s="780" customFormat="1" hidden="1" outlineLevel="1">
      <c r="A262" s="780" t="str">
        <f>$A$539</f>
        <v>Revenue</v>
      </c>
      <c r="M262" s="781"/>
      <c r="N262" s="782"/>
      <c r="Y262" s="781"/>
      <c r="Z262" s="782"/>
      <c r="AC262" s="780">
        <f t="shared" ref="AC262:BI262" si="2426">IF($AC$5&gt;$AB$5,($AC$5-$AB$5)*B539,0)</f>
        <v>20728.933920704847</v>
      </c>
      <c r="AD262" s="780">
        <f t="shared" si="2426"/>
        <v>22334.796424579898</v>
      </c>
      <c r="AE262" s="780">
        <f t="shared" si="2426"/>
        <v>24261.379157843236</v>
      </c>
      <c r="AF262" s="780">
        <f t="shared" si="2426"/>
        <v>27109.041527058151</v>
      </c>
      <c r="AG262" s="780">
        <f t="shared" si="2426"/>
        <v>29411.012063918617</v>
      </c>
      <c r="AH262" s="780">
        <f t="shared" si="2426"/>
        <v>31904.731979940196</v>
      </c>
      <c r="AI262" s="780">
        <f t="shared" si="2426"/>
        <v>34157.516935543477</v>
      </c>
      <c r="AJ262" s="780">
        <f t="shared" si="2426"/>
        <v>36585.144030160183</v>
      </c>
      <c r="AK262" s="781">
        <f t="shared" si="2426"/>
        <v>39202.024549786183</v>
      </c>
      <c r="AL262" s="782">
        <f t="shared" si="2426"/>
        <v>41489.907780370268</v>
      </c>
      <c r="AM262" s="780">
        <f t="shared" si="2426"/>
        <v>43934.936399734994</v>
      </c>
      <c r="AN262" s="780">
        <f t="shared" si="2426"/>
        <v>46547.932291314006</v>
      </c>
      <c r="AO262" s="780">
        <f t="shared" si="2426"/>
        <v>48812.622611071754</v>
      </c>
      <c r="AP262" s="780">
        <f t="shared" si="2426"/>
        <v>51746.745047763237</v>
      </c>
      <c r="AQ262" s="780">
        <f t="shared" si="2426"/>
        <v>54891.491572423707</v>
      </c>
      <c r="AR262" s="780">
        <f t="shared" si="2426"/>
        <v>58261.704056497998</v>
      </c>
      <c r="AS262" s="780">
        <f t="shared" si="2426"/>
        <v>61872.837706819933</v>
      </c>
      <c r="AT262" s="780">
        <f t="shared" si="2426"/>
        <v>65740.922877654608</v>
      </c>
      <c r="AU262" s="780">
        <f t="shared" si="2426"/>
        <v>69882.52360507095</v>
      </c>
      <c r="AV262" s="780">
        <f t="shared" si="2426"/>
        <v>74314.694687467563</v>
      </c>
      <c r="AW262" s="781">
        <f t="shared" si="2426"/>
        <v>79054.939292696072</v>
      </c>
      <c r="AX262" s="782">
        <f t="shared" si="2426"/>
        <v>84121.169122674793</v>
      </c>
      <c r="AY262" s="780">
        <f t="shared" si="2426"/>
        <v>89531.669104034416</v>
      </c>
      <c r="AZ262" s="780">
        <f t="shared" si="2426"/>
        <v>95305.068401244935</v>
      </c>
      <c r="BA262" s="780">
        <f t="shared" si="2426"/>
        <v>101467.05911812153</v>
      </c>
      <c r="BB262" s="780">
        <f t="shared" si="2426"/>
        <v>107757.45533319093</v>
      </c>
      <c r="BC262" s="780">
        <f t="shared" si="2426"/>
        <v>114440.84237520174</v>
      </c>
      <c r="BD262" s="780">
        <f t="shared" si="2426"/>
        <v>121536.40957263115</v>
      </c>
      <c r="BE262" s="780">
        <f t="shared" si="2426"/>
        <v>129063.73094559579</v>
      </c>
      <c r="BF262" s="780">
        <f t="shared" si="2426"/>
        <v>137042.76458890198</v>
      </c>
      <c r="BG262" s="780">
        <f t="shared" si="2426"/>
        <v>145493.85755130055</v>
      </c>
      <c r="BH262" s="780">
        <f t="shared" si="2426"/>
        <v>154437.75638435522</v>
      </c>
      <c r="BI262" s="781">
        <f t="shared" si="2426"/>
        <v>163895.6234075159</v>
      </c>
    </row>
    <row r="263" spans="1:61" s="780" customFormat="1" hidden="1" outlineLevel="1">
      <c r="A263" s="780" t="str">
        <f>$A$540</f>
        <v>Net Income</v>
      </c>
      <c r="M263" s="781"/>
      <c r="N263" s="782"/>
      <c r="Y263" s="781"/>
      <c r="Z263" s="782"/>
      <c r="AC263" s="780">
        <f t="shared" ref="AC263:BI263" si="2427">IF($AC$5&gt;$AB$5,($AC$5-$AB$5)*B540,0)</f>
        <v>-33184.964170807638</v>
      </c>
      <c r="AD263" s="780">
        <f t="shared" si="2427"/>
        <v>-14837.14568100147</v>
      </c>
      <c r="AE263" s="780">
        <f t="shared" si="2427"/>
        <v>-14268.717003781454</v>
      </c>
      <c r="AF263" s="780">
        <f t="shared" si="2427"/>
        <v>-13405.013342705901</v>
      </c>
      <c r="AG263" s="780">
        <f t="shared" si="2427"/>
        <v>-12685.072540306182</v>
      </c>
      <c r="AH263" s="780">
        <f t="shared" si="2427"/>
        <v>-17604.404805924125</v>
      </c>
      <c r="AI263" s="780">
        <f t="shared" si="2427"/>
        <v>-15156.124616524507</v>
      </c>
      <c r="AJ263" s="780">
        <f t="shared" si="2427"/>
        <v>-13971.31609512752</v>
      </c>
      <c r="AK263" s="781">
        <f t="shared" si="2427"/>
        <v>-13027.555718246989</v>
      </c>
      <c r="AL263" s="782">
        <f t="shared" si="2427"/>
        <v>-12167.444211420123</v>
      </c>
      <c r="AM263" s="780">
        <f t="shared" si="2427"/>
        <v>-11228.257793696379</v>
      </c>
      <c r="AN263" s="780">
        <f t="shared" si="2427"/>
        <v>-10203.756141625032</v>
      </c>
      <c r="AO263" s="780">
        <f t="shared" si="2427"/>
        <v>-8928.9645055486872</v>
      </c>
      <c r="AP263" s="780">
        <f t="shared" si="2427"/>
        <v>-6565.2951604608934</v>
      </c>
      <c r="AQ263" s="780">
        <f t="shared" si="2427"/>
        <v>-7951.6323699894165</v>
      </c>
      <c r="AR263" s="780">
        <f t="shared" si="2427"/>
        <v>-6483.5792380389103</v>
      </c>
      <c r="AS263" s="780">
        <f t="shared" si="2427"/>
        <v>-5307.1722049655655</v>
      </c>
      <c r="AT263" s="780">
        <f t="shared" si="2427"/>
        <v>-3966.3475887754175</v>
      </c>
      <c r="AU263" s="780">
        <f t="shared" si="2427"/>
        <v>-2466.8649492429358</v>
      </c>
      <c r="AV263" s="780">
        <f t="shared" si="2427"/>
        <v>-826.64406907309967</v>
      </c>
      <c r="AW263" s="781">
        <f t="shared" si="2427"/>
        <v>-10770.241509529737</v>
      </c>
      <c r="AX263" s="782">
        <f t="shared" si="2427"/>
        <v>-19174.962642260827</v>
      </c>
      <c r="AY263" s="780">
        <f t="shared" si="2427"/>
        <v>-16925.443971653156</v>
      </c>
      <c r="AZ263" s="780">
        <f t="shared" si="2427"/>
        <v>-25696.207513260568</v>
      </c>
      <c r="BA263" s="780">
        <f t="shared" si="2427"/>
        <v>-30466.524333613874</v>
      </c>
      <c r="BB263" s="780">
        <f t="shared" si="2427"/>
        <v>-30644.209260269774</v>
      </c>
      <c r="BC263" s="780">
        <f t="shared" si="2427"/>
        <v>-25743.81021126837</v>
      </c>
      <c r="BD263" s="780">
        <f t="shared" si="2427"/>
        <v>-25374.965354328699</v>
      </c>
      <c r="BE263" s="780">
        <f t="shared" si="2427"/>
        <v>-21685.632709168298</v>
      </c>
      <c r="BF263" s="780">
        <f t="shared" si="2427"/>
        <v>-17735.699053003482</v>
      </c>
      <c r="BG263" s="780">
        <f t="shared" si="2427"/>
        <v>-25824.517795504849</v>
      </c>
      <c r="BH263" s="780">
        <f t="shared" si="2427"/>
        <v>-13812.381476188923</v>
      </c>
      <c r="BI263" s="781">
        <f t="shared" si="2427"/>
        <v>-15733.807969274916</v>
      </c>
    </row>
    <row r="264" spans="1:61" s="780" customFormat="1" hidden="1" outlineLevel="1">
      <c r="A264" s="780" t="str">
        <f>$A$541</f>
        <v>Program Revenue</v>
      </c>
      <c r="M264" s="781"/>
      <c r="N264" s="782"/>
      <c r="Y264" s="781"/>
      <c r="Z264" s="782"/>
      <c r="AC264" s="780">
        <f t="shared" ref="AC264" si="2428">IF($AC$5&gt;$AB$5,($AC$5-$AB$5)*B541,0)</f>
        <v>1850</v>
      </c>
      <c r="AD264" s="780">
        <f t="shared" ref="AD264" si="2429">IF($AC$5&gt;$AB$5,($AC$5-$AB$5)*C541,0)</f>
        <v>1937.1558751999999</v>
      </c>
      <c r="AE264" s="780">
        <f t="shared" ref="AE264" si="2430">IF($AC$5&gt;$AB$5,($AC$5-$AB$5)*D541,0)</f>
        <v>2030.0190587848704</v>
      </c>
      <c r="AF264" s="780">
        <f t="shared" ref="AF264" si="2431">IF($AC$5&gt;$AB$5,($AC$5-$AB$5)*E541,0)</f>
        <v>2128.941218449359</v>
      </c>
      <c r="AG264" s="780">
        <f t="shared" ref="AG264" si="2432">IF($AC$5&gt;$AB$5,($AC$5-$AB$5)*F541,0)</f>
        <v>2234.2900324673633</v>
      </c>
      <c r="AH264" s="780">
        <f t="shared" ref="AH264" si="2433">IF($AC$5&gt;$AB$5,($AC$5-$AB$5)*G541,0)</f>
        <v>2346.4496034726417</v>
      </c>
      <c r="AI264" s="780">
        <f t="shared" ref="AI264" si="2434">IF($AC$5&gt;$AB$5,($AC$5-$AB$5)*H541,0)</f>
        <v>2465.8208731027789</v>
      </c>
      <c r="AJ264" s="780">
        <f t="shared" ref="AJ264" si="2435">IF($AC$5&gt;$AB$5,($AC$5-$AB$5)*I541,0)</f>
        <v>2592.8220377557409</v>
      </c>
      <c r="AK264" s="781">
        <f t="shared" ref="AK264" si="2436">IF($AC$5&gt;$AB$5,($AC$5-$AB$5)*J541,0)</f>
        <v>2727.8889657926175</v>
      </c>
      <c r="AL264" s="782">
        <f t="shared" ref="AL264" si="2437">IF($AC$5&gt;$AB$5,($AC$5-$AB$5)*K541,0)</f>
        <v>2871.4756166091629</v>
      </c>
      <c r="AM264" s="780">
        <f t="shared" ref="AM264" si="2438">IF($AC$5&gt;$AB$5,($AC$5-$AB$5)*L541,0)</f>
        <v>3024.0544620924302</v>
      </c>
      <c r="AN264" s="780">
        <f t="shared" ref="AN264" si="2439">IF($AC$5&gt;$AB$5,($AC$5-$AB$5)*M541,0)</f>
        <v>3186.1169110768442</v>
      </c>
      <c r="AO264" s="780">
        <f t="shared" ref="AO264" si="2440">IF($AC$5&gt;$AB$5,($AC$5-$AB$5)*N541,0)</f>
        <v>3358.9807376414046</v>
      </c>
      <c r="AP264" s="780">
        <f t="shared" ref="AP264" si="2441">IF($AC$5&gt;$AB$5,($AC$5-$AB$5)*O541,0)</f>
        <v>3543.2416591361321</v>
      </c>
      <c r="AQ264" s="780">
        <f t="shared" ref="AQ264" si="2442">IF($AC$5&gt;$AB$5,($AC$5-$AB$5)*P541,0)</f>
        <v>3739.515514961849</v>
      </c>
      <c r="AR264" s="780">
        <f t="shared" ref="AR264" si="2443">IF($AC$5&gt;$AB$5,($AC$5-$AB$5)*Q541,0)</f>
        <v>3948.4383904349252</v>
      </c>
      <c r="AS264" s="780">
        <f t="shared" ref="AS264" si="2444">IF($AC$5&gt;$AB$5,($AC$5-$AB$5)*R541,0)</f>
        <v>4170.6667372134807</v>
      </c>
      <c r="AT264" s="780">
        <f t="shared" ref="AT264" si="2445">IF($AC$5&gt;$AB$5,($AC$5-$AB$5)*S541,0)</f>
        <v>4406.877493173627</v>
      </c>
      <c r="AU264" s="780">
        <f t="shared" ref="AU264" si="2446">IF($AC$5&gt;$AB$5,($AC$5-$AB$5)*T541,0)</f>
        <v>4657.7682048703127</v>
      </c>
      <c r="AV264" s="780">
        <f t="shared" ref="AV264" si="2447">IF($AC$5&gt;$AB$5,($AC$5-$AB$5)*U541,0)</f>
        <v>4924.0571559566215</v>
      </c>
      <c r="AW264" s="781">
        <f t="shared" ref="AW264" si="2448">IF($AC$5&gt;$AB$5,($AC$5-$AB$5)*V541,0)</f>
        <v>5206.4835051661303</v>
      </c>
      <c r="AX264" s="782">
        <f t="shared" ref="AX264" si="2449">IF($AC$5&gt;$AB$5,($AC$5-$AB$5)*W541,0)</f>
        <v>5505.8074376836603</v>
      </c>
      <c r="AY264" s="780">
        <f t="shared" ref="AY264" si="2450">IF($AC$5&gt;$AB$5,($AC$5-$AB$5)*X541,0)</f>
        <v>5822.8103339388172</v>
      </c>
      <c r="AZ264" s="780">
        <f t="shared" ref="AZ264" si="2451">IF($AC$5&gt;$AB$5,($AC$5-$AB$5)*Y541,0)</f>
        <v>6158.2949600526208</v>
      </c>
      <c r="BA264" s="780">
        <f t="shared" ref="BA264" si="2452">IF($AC$5&gt;$AB$5,($AC$5-$AB$5)*Z541,0)</f>
        <v>6514.1392664878649</v>
      </c>
      <c r="BB264" s="780">
        <f t="shared" ref="BB264" si="2453">IF($AC$5&gt;$AB$5,($AC$5-$AB$5)*AA541,0)</f>
        <v>6891.2420929122554</v>
      </c>
      <c r="BC264" s="780">
        <f t="shared" ref="BC264" si="2454">IF($AC$5&gt;$AB$5,($AC$5-$AB$5)*AB541,0)</f>
        <v>7290.5201481641989</v>
      </c>
      <c r="BD264" s="780">
        <f t="shared" ref="BD264" si="2455">IF($AC$5&gt;$AB$5,($AC$5-$AB$5)*AC541,0)</f>
        <v>7712.9078999165331</v>
      </c>
      <c r="BE264" s="780">
        <f t="shared" ref="BE264" si="2456">IF($AC$5&gt;$AB$5,($AC$5-$AB$5)*AD541,0)</f>
        <v>8159.357530652579</v>
      </c>
      <c r="BF264" s="780">
        <f t="shared" ref="BF264" si="2457">IF($AC$5&gt;$AB$5,($AC$5-$AB$5)*AE541,0)</f>
        <v>8630.8389688113039</v>
      </c>
      <c r="BG264" s="780">
        <f t="shared" ref="BG264" si="2458">IF($AC$5&gt;$AB$5,($AC$5-$AB$5)*AF541,0)</f>
        <v>9128.3400039027438</v>
      </c>
      <c r="BH264" s="780">
        <f t="shared" ref="BH264" si="2459">IF($AC$5&gt;$AB$5,($AC$5-$AB$5)*AG541,0)</f>
        <v>9652.8664942797932</v>
      </c>
      <c r="BI264" s="781">
        <f t="shared" ref="BI264" si="2460">IF($AC$5&gt;$AB$5,($AC$5-$AB$5)*AH541,0)</f>
        <v>10205.442676078563</v>
      </c>
    </row>
    <row r="265" spans="1:61" s="780" customFormat="1" hidden="1" outlineLevel="1">
      <c r="M265" s="781"/>
      <c r="N265" s="782"/>
      <c r="Y265" s="781"/>
      <c r="Z265" s="782"/>
      <c r="AK265" s="781"/>
      <c r="AL265" s="782"/>
      <c r="AW265" s="781"/>
      <c r="AX265" s="782"/>
      <c r="BI265" s="781"/>
    </row>
    <row r="266" spans="1:61" s="780" customFormat="1" hidden="1" outlineLevel="1">
      <c r="A266" s="780" t="s">
        <v>359</v>
      </c>
      <c r="M266" s="781"/>
      <c r="N266" s="782"/>
      <c r="Y266" s="781"/>
      <c r="Z266" s="782"/>
      <c r="AD266" s="780">
        <f>IF($AD$5&gt;$AC$5,($AD$5-$AC$5)*B535,0)</f>
        <v>8</v>
      </c>
      <c r="AE266" s="780">
        <f t="shared" ref="AE266" si="2461">IF($AD$5&gt;$AC$5,($AD$5-$AC$5)*C535,0)</f>
        <v>8.3824000000000005</v>
      </c>
      <c r="AF266" s="780">
        <f t="shared" ref="AF266" si="2462">IF($AD$5&gt;$AC$5,($AD$5-$AC$5)*D535,0)</f>
        <v>8.790016102400001</v>
      </c>
      <c r="AG266" s="780">
        <f t="shared" ref="AG266" si="2463">IF($AD$5&gt;$AC$5,($AD$5-$AC$5)*E535,0)</f>
        <v>9.2244218586677267</v>
      </c>
      <c r="AH266" s="780">
        <f t="shared" ref="AH266" si="2464">IF($AD$5&gt;$AC$5,($AD$5-$AC$5)*F535,0)</f>
        <v>9.6872643857899394</v>
      </c>
      <c r="AI266" s="780">
        <f t="shared" ref="AI266" si="2465">IF($AD$5&gt;$AC$5,($AD$5-$AC$5)*G535,0)</f>
        <v>10.180266404063699</v>
      </c>
      <c r="AJ266" s="780">
        <f t="shared" ref="AJ266" si="2466">IF($AD$5&gt;$AC$5,($AD$5-$AC$5)*H535,0)</f>
        <v>10.705228286703797</v>
      </c>
      <c r="AK266" s="781">
        <f t="shared" ref="AK266" si="2467">IF($AD$5&gt;$AC$5,($AD$5-$AC$5)*I535,0)</f>
        <v>11.264030122404236</v>
      </c>
      <c r="AL266" s="782">
        <f t="shared" ref="AL266" si="2468">IF($AD$5&gt;$AC$5,($AD$5-$AC$5)*J535,0)</f>
        <v>11.858633792363815</v>
      </c>
      <c r="AM266" s="780">
        <f t="shared" ref="AM266" si="2469">IF($AD$5&gt;$AC$5,($AD$5-$AC$5)*K535,0)</f>
        <v>12.491085063681208</v>
      </c>
      <c r="AN266" s="780">
        <f t="shared" ref="AN266" si="2470">IF($AD$5&gt;$AC$5,($AD$5-$AC$5)*L535,0)</f>
        <v>13.163515701442698</v>
      </c>
      <c r="AO266" s="780">
        <f t="shared" ref="AO266" si="2471">IF($AD$5&gt;$AC$5,($AD$5-$AC$5)*M535,0)</f>
        <v>13.878145602265221</v>
      </c>
      <c r="AP266" s="780">
        <f t="shared" ref="AP266" si="2472">IF($AD$5&gt;$AC$5,($AD$5-$AC$5)*N535,0)</f>
        <v>14.640802427106802</v>
      </c>
      <c r="AQ266" s="780">
        <f t="shared" ref="AQ266" si="2473">IF($AD$5&gt;$AC$5,($AD$5-$AC$5)*O535,0)</f>
        <v>15.454179973028484</v>
      </c>
      <c r="AR266" s="780">
        <f t="shared" ref="AR266" si="2474">IF($AD$5&gt;$AC$5,($AD$5-$AC$5)*P535,0)</f>
        <v>16.321067007803048</v>
      </c>
      <c r="AS266" s="780">
        <f t="shared" ref="AS266" si="2475">IF($AD$5&gt;$AC$5,($AD$5-$AC$5)*Q535,0)</f>
        <v>17.244348126107901</v>
      </c>
      <c r="AT266" s="780">
        <f t="shared" ref="AT266" si="2476">IF($AD$5&gt;$AC$5,($AD$5-$AC$5)*R535,0)</f>
        <v>18.227004594103096</v>
      </c>
      <c r="AU266" s="780">
        <f t="shared" ref="AU266" si="2477">IF($AD$5&gt;$AC$5,($AD$5-$AC$5)*S535,0)</f>
        <v>19.272115194972702</v>
      </c>
      <c r="AV266" s="780">
        <f t="shared" ref="AV266" si="2478">IF($AD$5&gt;$AC$5,($AD$5-$AC$5)*T535,0)</f>
        <v>20.382857089151276</v>
      </c>
      <c r="AW266" s="781">
        <f t="shared" ref="AW266" si="2479">IF($AD$5&gt;$AC$5,($AD$5-$AC$5)*U535,0)</f>
        <v>21.56250670407784</v>
      </c>
      <c r="AX266" s="782">
        <f t="shared" ref="AX266" si="2480">IF($AD$5&gt;$AC$5,($AD$5-$AC$5)*V535,0)</f>
        <v>22.814440669410335</v>
      </c>
      <c r="AY266" s="780">
        <f t="shared" ref="AY266" si="2481">IF($AD$5&gt;$AC$5,($AD$5-$AC$5)*W535,0)</f>
        <v>24.142136814686012</v>
      </c>
      <c r="AZ266" s="780">
        <f t="shared" ref="AZ266" si="2482">IF($AD$5&gt;$AC$5,($AD$5-$AC$5)*X535,0)</f>
        <v>25.549175247421399</v>
      </c>
      <c r="BA266" s="780">
        <f t="shared" ref="BA266" si="2483">IF($AD$5&gt;$AC$5,($AD$5-$AC$5)*Y535,0)</f>
        <v>27.039239530601542</v>
      </c>
      <c r="BB266" s="780">
        <f t="shared" ref="BB266" si="2484">IF($AD$5&gt;$AC$5,($AD$5-$AC$5)*Z535,0)</f>
        <v>28.620747034243404</v>
      </c>
      <c r="BC266" s="780">
        <f t="shared" ref="BC266" si="2485">IF($AD$5&gt;$AC$5,($AD$5-$AC$5)*AA535,0)</f>
        <v>30.297832899152603</v>
      </c>
      <c r="BD266" s="780">
        <f t="shared" ref="BD266" si="2486">IF($AD$5&gt;$AC$5,($AD$5-$AC$5)*AB535,0)</f>
        <v>32.074721942842451</v>
      </c>
      <c r="BE266" s="780">
        <f t="shared" ref="BE266" si="2487">IF($AD$5&gt;$AC$5,($AD$5-$AC$5)*AC535,0)</f>
        <v>33.955728473829772</v>
      </c>
      <c r="BF266" s="780">
        <f t="shared" ref="BF266" si="2488">IF($AD$5&gt;$AC$5,($AD$5-$AC$5)*AD535,0)</f>
        <v>35.945256397317038</v>
      </c>
      <c r="BG266" s="780">
        <f t="shared" ref="BG266" si="2489">IF($AD$5&gt;$AC$5,($AD$5-$AC$5)*AE535,0)</f>
        <v>38.047799652671507</v>
      </c>
      <c r="BH266" s="780">
        <f t="shared" ref="BH266" si="2490">IF($AD$5&gt;$AC$5,($AD$5-$AC$5)*AF535,0)</f>
        <v>40.267943023083284</v>
      </c>
      <c r="BI266" s="781">
        <f t="shared" ref="BI266" si="2491">IF($AD$5&gt;$AC$5,($AD$5-$AC$5)*AG535,0)</f>
        <v>42.61036335749322</v>
      </c>
    </row>
    <row r="267" spans="1:61" s="780" customFormat="1" hidden="1" outlineLevel="1">
      <c r="A267" s="780" t="str">
        <f>$A$536</f>
        <v>Leads</v>
      </c>
      <c r="M267" s="781"/>
      <c r="N267" s="782"/>
      <c r="Y267" s="781"/>
      <c r="Z267" s="782"/>
      <c r="AD267" s="780">
        <f>IF($AD$5&gt;$AC$5,($AD$5-$AC$5)*B536,0)</f>
        <v>20</v>
      </c>
      <c r="AE267" s="780">
        <f t="shared" ref="AE267:BI267" si="2492">IF($AD$5&gt;$AC$5,($AD$5-$AC$5)*C536,0)</f>
        <v>20.8</v>
      </c>
      <c r="AF267" s="780">
        <f t="shared" si="2492"/>
        <v>21.632000000000001</v>
      </c>
      <c r="AG267" s="780">
        <f t="shared" si="2492"/>
        <v>22.497280000000003</v>
      </c>
      <c r="AH267" s="780">
        <f t="shared" si="2492"/>
        <v>23.397171200000006</v>
      </c>
      <c r="AI267" s="780">
        <f t="shared" si="2492"/>
        <v>24.333058048000009</v>
      </c>
      <c r="AJ267" s="780">
        <f t="shared" si="2492"/>
        <v>25.30638036992001</v>
      </c>
      <c r="AK267" s="781">
        <f t="shared" si="2492"/>
        <v>26.318635584716812</v>
      </c>
      <c r="AL267" s="782">
        <f t="shared" si="2492"/>
        <v>27.371381008105487</v>
      </c>
      <c r="AM267" s="780">
        <f t="shared" si="2492"/>
        <v>28.466236248429709</v>
      </c>
      <c r="AN267" s="780">
        <f t="shared" si="2492"/>
        <v>29.6048856983669</v>
      </c>
      <c r="AO267" s="780">
        <f t="shared" si="2492"/>
        <v>30.789081126301578</v>
      </c>
      <c r="AP267" s="780">
        <f t="shared" si="2492"/>
        <v>32.02064437135364</v>
      </c>
      <c r="AQ267" s="780">
        <f t="shared" si="2492"/>
        <v>33.301470146207784</v>
      </c>
      <c r="AR267" s="780">
        <f t="shared" si="2492"/>
        <v>34.633528952056096</v>
      </c>
      <c r="AS267" s="780">
        <f t="shared" si="2492"/>
        <v>36.018870110138344</v>
      </c>
      <c r="AT267" s="780">
        <f t="shared" si="2492"/>
        <v>37.45962491454388</v>
      </c>
      <c r="AU267" s="780">
        <f t="shared" si="2492"/>
        <v>38.958009911125636</v>
      </c>
      <c r="AV267" s="780">
        <f t="shared" si="2492"/>
        <v>40.516330307570662</v>
      </c>
      <c r="AW267" s="781">
        <f t="shared" si="2492"/>
        <v>42.136983519873489</v>
      </c>
      <c r="AX267" s="782">
        <f t="shared" si="2492"/>
        <v>43.822462860668423</v>
      </c>
      <c r="AY267" s="780">
        <f t="shared" si="2492"/>
        <v>45.57536137509517</v>
      </c>
      <c r="AZ267" s="780">
        <f t="shared" si="2492"/>
        <v>47.398375830098978</v>
      </c>
      <c r="BA267" s="780">
        <f t="shared" si="2492"/>
        <v>49.29431086330294</v>
      </c>
      <c r="BB267" s="780">
        <f t="shared" si="2492"/>
        <v>51.26608329783506</v>
      </c>
      <c r="BC267" s="780">
        <f t="shared" si="2492"/>
        <v>53.316726629748466</v>
      </c>
      <c r="BD267" s="780">
        <f t="shared" si="2492"/>
        <v>55.44939569493841</v>
      </c>
      <c r="BE267" s="780">
        <f t="shared" si="2492"/>
        <v>57.667371522735948</v>
      </c>
      <c r="BF267" s="780">
        <f t="shared" si="2492"/>
        <v>59.974066383645386</v>
      </c>
      <c r="BG267" s="780">
        <f t="shared" si="2492"/>
        <v>62.373029038991206</v>
      </c>
      <c r="BH267" s="780">
        <f t="shared" si="2492"/>
        <v>64.867950200550851</v>
      </c>
      <c r="BI267" s="781">
        <f t="shared" si="2492"/>
        <v>67.462668208572893</v>
      </c>
    </row>
    <row r="268" spans="1:61" s="780" customFormat="1" hidden="1" outlineLevel="1">
      <c r="A268" s="780" t="str">
        <f>$A$537</f>
        <v>Audits</v>
      </c>
      <c r="M268" s="781"/>
      <c r="N268" s="782"/>
      <c r="Y268" s="781"/>
      <c r="Z268" s="782"/>
      <c r="AD268" s="780">
        <f t="shared" ref="AD268:BI268" si="2493">IF($AD$5&gt;$AC$5,($AD$5-$AC$5)*B537,0)</f>
        <v>7.8466960352422905</v>
      </c>
      <c r="AE268" s="780">
        <f t="shared" si="2493"/>
        <v>8.1805560257268723</v>
      </c>
      <c r="AF268" s="780">
        <f t="shared" si="2493"/>
        <v>8.556158139083367</v>
      </c>
      <c r="AG268" s="780">
        <f t="shared" si="2493"/>
        <v>8.9523024684242678</v>
      </c>
      <c r="AH268" s="780">
        <f t="shared" si="2493"/>
        <v>9.3702787716763911</v>
      </c>
      <c r="AI268" s="780">
        <f t="shared" si="2493"/>
        <v>9.811453812672589</v>
      </c>
      <c r="AJ268" s="780">
        <f t="shared" si="2493"/>
        <v>10.277273093546537</v>
      </c>
      <c r="AK268" s="781">
        <f t="shared" si="2493"/>
        <v>10.769262132442826</v>
      </c>
      <c r="AL268" s="782">
        <f t="shared" si="2493"/>
        <v>11.289027268145146</v>
      </c>
      <c r="AM268" s="780">
        <f t="shared" si="2493"/>
        <v>11.838255995812663</v>
      </c>
      <c r="AN268" s="780">
        <f t="shared" si="2493"/>
        <v>12.418716863200714</v>
      </c>
      <c r="AO268" s="780">
        <f t="shared" si="2493"/>
        <v>13.032258982971491</v>
      </c>
      <c r="AP268" s="780">
        <f t="shared" si="2493"/>
        <v>13.681748513642187</v>
      </c>
      <c r="AQ268" s="780">
        <f t="shared" si="2493"/>
        <v>14.367753613373562</v>
      </c>
      <c r="AR268" s="780">
        <f t="shared" si="2493"/>
        <v>15.094450719778326</v>
      </c>
      <c r="AS268" s="780">
        <f t="shared" si="2493"/>
        <v>15.864274704794562</v>
      </c>
      <c r="AT268" s="780">
        <f t="shared" si="2493"/>
        <v>16.679756380011042</v>
      </c>
      <c r="AU268" s="780">
        <f t="shared" si="2493"/>
        <v>17.543519083999907</v>
      </c>
      <c r="AV268" s="780">
        <f t="shared" si="2493"/>
        <v>18.458274953232511</v>
      </c>
      <c r="AW268" s="781">
        <f t="shared" si="2493"/>
        <v>19.426821075192013</v>
      </c>
      <c r="AX268" s="782">
        <f t="shared" si="2493"/>
        <v>20.452035738521069</v>
      </c>
      <c r="AY268" s="780">
        <f t="shared" si="2493"/>
        <v>21.536874999893016</v>
      </c>
      <c r="AZ268" s="780">
        <f t="shared" si="2493"/>
        <v>22.68436978011453</v>
      </c>
      <c r="BA268" s="780">
        <f t="shared" si="2493"/>
        <v>23.897623683136111</v>
      </c>
      <c r="BB268" s="780">
        <f t="shared" si="2493"/>
        <v>25.181305860088621</v>
      </c>
      <c r="BC268" s="780">
        <f t="shared" si="2493"/>
        <v>26.509539923847804</v>
      </c>
      <c r="BD268" s="780">
        <f t="shared" si="2493"/>
        <v>27.911267150389076</v>
      </c>
      <c r="BE268" s="780">
        <f t="shared" si="2493"/>
        <v>29.389855755030599</v>
      </c>
      <c r="BF268" s="780">
        <f t="shared" si="2493"/>
        <v>30.948754132327405</v>
      </c>
      <c r="BG268" s="780">
        <f t="shared" si="2493"/>
        <v>32.591491812026852</v>
      </c>
      <c r="BH268" s="780">
        <f t="shared" si="2493"/>
        <v>34.321681088998503</v>
      </c>
      <c r="BI268" s="781">
        <f t="shared" si="2493"/>
        <v>36.143019351142293</v>
      </c>
    </row>
    <row r="269" spans="1:61" s="780" customFormat="1" hidden="1" outlineLevel="1">
      <c r="A269" s="780" t="str">
        <f>$A$538</f>
        <v>Retrofit</v>
      </c>
      <c r="M269" s="781"/>
      <c r="N269" s="782"/>
      <c r="Y269" s="781"/>
      <c r="Z269" s="782"/>
      <c r="AD269" s="780">
        <f t="shared" ref="AD269:BI269" si="2494">IF($AD$5&gt;$AC$5,($AD$5-$AC$5)*B538,0)</f>
        <v>3.2741145374449339</v>
      </c>
      <c r="AE269" s="780">
        <f t="shared" si="2494"/>
        <v>3.4211429613668018</v>
      </c>
      <c r="AF269" s="780">
        <f t="shared" si="2494"/>
        <v>3.6089747928733105</v>
      </c>
      <c r="AG269" s="780">
        <f t="shared" si="2494"/>
        <v>3.80943356172375</v>
      </c>
      <c r="AH269" s="780">
        <f t="shared" si="2494"/>
        <v>4.023495407635</v>
      </c>
      <c r="AI269" s="780">
        <f t="shared" si="2494"/>
        <v>4.2522035025469851</v>
      </c>
      <c r="AJ269" s="780">
        <f t="shared" si="2494"/>
        <v>4.4966691121698661</v>
      </c>
      <c r="AK269" s="781">
        <f t="shared" si="2494"/>
        <v>4.7580720961942786</v>
      </c>
      <c r="AL269" s="782">
        <f t="shared" si="2494"/>
        <v>5.0376608331454982</v>
      </c>
      <c r="AM269" s="780">
        <f t="shared" si="2494"/>
        <v>5.3367515834608863</v>
      </c>
      <c r="AN269" s="780">
        <f t="shared" si="2494"/>
        <v>5.6567273345837759</v>
      </c>
      <c r="AO269" s="780">
        <f t="shared" si="2494"/>
        <v>5.9990362027609887</v>
      </c>
      <c r="AP269" s="780">
        <f t="shared" si="2494"/>
        <v>6.3656710756275423</v>
      </c>
      <c r="AQ269" s="780">
        <f t="shared" si="2494"/>
        <v>6.7527905497767229</v>
      </c>
      <c r="AR269" s="780">
        <f t="shared" si="2494"/>
        <v>7.1679946156961591</v>
      </c>
      <c r="AS269" s="780">
        <f t="shared" si="2494"/>
        <v>7.6132687220703144</v>
      </c>
      <c r="AT269" s="780">
        <f t="shared" si="2494"/>
        <v>8.0906802436821312</v>
      </c>
      <c r="AU269" s="780">
        <f t="shared" si="2494"/>
        <v>8.6023733713231554</v>
      </c>
      <c r="AV269" s="780">
        <f t="shared" si="2494"/>
        <v>9.1505635635964193</v>
      </c>
      <c r="AW269" s="781">
        <f t="shared" si="2494"/>
        <v>9.7375318038296879</v>
      </c>
      <c r="AX269" s="782">
        <f t="shared" si="2494"/>
        <v>10.365618926205418</v>
      </c>
      <c r="AY269" s="780">
        <f t="shared" si="2494"/>
        <v>11.037220281947453</v>
      </c>
      <c r="AZ269" s="780">
        <f t="shared" si="2494"/>
        <v>11.754781008099396</v>
      </c>
      <c r="BA269" s="780">
        <f t="shared" si="2494"/>
        <v>12.520792138493604</v>
      </c>
      <c r="BB269" s="780">
        <f t="shared" si="2494"/>
        <v>13.338724403473293</v>
      </c>
      <c r="BC269" s="780">
        <f t="shared" si="2494"/>
        <v>14.173899457244383</v>
      </c>
      <c r="BD269" s="780">
        <f t="shared" si="2494"/>
        <v>15.06160093928195</v>
      </c>
      <c r="BE269" s="780">
        <f t="shared" si="2494"/>
        <v>16.004396182835173</v>
      </c>
      <c r="BF269" s="780">
        <f t="shared" si="2494"/>
        <v>17.004903510314108</v>
      </c>
      <c r="BG269" s="780">
        <f t="shared" si="2494"/>
        <v>18.065792108500531</v>
      </c>
      <c r="BH269" s="780">
        <f t="shared" si="2494"/>
        <v>19.189782637475492</v>
      </c>
      <c r="BI269" s="781">
        <f t="shared" si="2494"/>
        <v>20.379648596658086</v>
      </c>
    </row>
    <row r="270" spans="1:61" s="780" customFormat="1" hidden="1" outlineLevel="1">
      <c r="A270" s="780" t="str">
        <f>$A$539</f>
        <v>Revenue</v>
      </c>
      <c r="M270" s="781"/>
      <c r="N270" s="782"/>
      <c r="Y270" s="781"/>
      <c r="Z270" s="782"/>
      <c r="AD270" s="780">
        <f t="shared" ref="AD270:BI270" si="2495">IF($AD$5&gt;$AC$5,($AD$5-$AC$5)*B539,0)</f>
        <v>20728.933920704847</v>
      </c>
      <c r="AE270" s="780">
        <f t="shared" si="2495"/>
        <v>22334.796424579898</v>
      </c>
      <c r="AF270" s="780">
        <f t="shared" si="2495"/>
        <v>24261.379157843236</v>
      </c>
      <c r="AG270" s="780">
        <f t="shared" si="2495"/>
        <v>27109.041527058151</v>
      </c>
      <c r="AH270" s="780">
        <f t="shared" si="2495"/>
        <v>29411.012063918617</v>
      </c>
      <c r="AI270" s="780">
        <f t="shared" si="2495"/>
        <v>31904.731979940196</v>
      </c>
      <c r="AJ270" s="780">
        <f t="shared" si="2495"/>
        <v>34157.516935543477</v>
      </c>
      <c r="AK270" s="781">
        <f t="shared" si="2495"/>
        <v>36585.144030160183</v>
      </c>
      <c r="AL270" s="782">
        <f t="shared" si="2495"/>
        <v>39202.024549786183</v>
      </c>
      <c r="AM270" s="780">
        <f t="shared" si="2495"/>
        <v>41489.907780370268</v>
      </c>
      <c r="AN270" s="780">
        <f t="shared" si="2495"/>
        <v>43934.936399734994</v>
      </c>
      <c r="AO270" s="780">
        <f t="shared" si="2495"/>
        <v>46547.932291314006</v>
      </c>
      <c r="AP270" s="780">
        <f t="shared" si="2495"/>
        <v>48812.622611071754</v>
      </c>
      <c r="AQ270" s="780">
        <f t="shared" si="2495"/>
        <v>51746.745047763237</v>
      </c>
      <c r="AR270" s="780">
        <f t="shared" si="2495"/>
        <v>54891.491572423707</v>
      </c>
      <c r="AS270" s="780">
        <f t="shared" si="2495"/>
        <v>58261.704056497998</v>
      </c>
      <c r="AT270" s="780">
        <f t="shared" si="2495"/>
        <v>61872.837706819933</v>
      </c>
      <c r="AU270" s="780">
        <f t="shared" si="2495"/>
        <v>65740.922877654608</v>
      </c>
      <c r="AV270" s="780">
        <f t="shared" si="2495"/>
        <v>69882.52360507095</v>
      </c>
      <c r="AW270" s="781">
        <f t="shared" si="2495"/>
        <v>74314.694687467563</v>
      </c>
      <c r="AX270" s="782">
        <f t="shared" si="2495"/>
        <v>79054.939292696072</v>
      </c>
      <c r="AY270" s="780">
        <f t="shared" si="2495"/>
        <v>84121.169122674793</v>
      </c>
      <c r="AZ270" s="780">
        <f t="shared" si="2495"/>
        <v>89531.669104034416</v>
      </c>
      <c r="BA270" s="780">
        <f t="shared" si="2495"/>
        <v>95305.068401244935</v>
      </c>
      <c r="BB270" s="780">
        <f t="shared" si="2495"/>
        <v>101467.05911812153</v>
      </c>
      <c r="BC270" s="780">
        <f t="shared" si="2495"/>
        <v>107757.45533319093</v>
      </c>
      <c r="BD270" s="780">
        <f t="shared" si="2495"/>
        <v>114440.84237520174</v>
      </c>
      <c r="BE270" s="780">
        <f t="shared" si="2495"/>
        <v>121536.40957263115</v>
      </c>
      <c r="BF270" s="780">
        <f t="shared" si="2495"/>
        <v>129063.73094559579</v>
      </c>
      <c r="BG270" s="780">
        <f t="shared" si="2495"/>
        <v>137042.76458890198</v>
      </c>
      <c r="BH270" s="780">
        <f t="shared" si="2495"/>
        <v>145493.85755130055</v>
      </c>
      <c r="BI270" s="781">
        <f t="shared" si="2495"/>
        <v>154437.75638435522</v>
      </c>
    </row>
    <row r="271" spans="1:61" s="780" customFormat="1" hidden="1" outlineLevel="1">
      <c r="A271" s="780" t="str">
        <f>$A$540</f>
        <v>Net Income</v>
      </c>
      <c r="M271" s="781"/>
      <c r="N271" s="782"/>
      <c r="Y271" s="781"/>
      <c r="Z271" s="782"/>
      <c r="AD271" s="780">
        <f t="shared" ref="AD271:BI271" si="2496">IF($AD$5&gt;$AC$5,($AD$5-$AC$5)*B540,0)</f>
        <v>-33184.964170807638</v>
      </c>
      <c r="AE271" s="780">
        <f t="shared" si="2496"/>
        <v>-14837.14568100147</v>
      </c>
      <c r="AF271" s="780">
        <f t="shared" si="2496"/>
        <v>-14268.717003781454</v>
      </c>
      <c r="AG271" s="780">
        <f t="shared" si="2496"/>
        <v>-13405.013342705901</v>
      </c>
      <c r="AH271" s="780">
        <f t="shared" si="2496"/>
        <v>-12685.072540306182</v>
      </c>
      <c r="AI271" s="780">
        <f t="shared" si="2496"/>
        <v>-17604.404805924125</v>
      </c>
      <c r="AJ271" s="780">
        <f t="shared" si="2496"/>
        <v>-15156.124616524507</v>
      </c>
      <c r="AK271" s="781">
        <f t="shared" si="2496"/>
        <v>-13971.31609512752</v>
      </c>
      <c r="AL271" s="782">
        <f t="shared" si="2496"/>
        <v>-13027.555718246989</v>
      </c>
      <c r="AM271" s="780">
        <f t="shared" si="2496"/>
        <v>-12167.444211420123</v>
      </c>
      <c r="AN271" s="780">
        <f t="shared" si="2496"/>
        <v>-11228.257793696379</v>
      </c>
      <c r="AO271" s="780">
        <f t="shared" si="2496"/>
        <v>-10203.756141625032</v>
      </c>
      <c r="AP271" s="780">
        <f t="shared" si="2496"/>
        <v>-8928.9645055486872</v>
      </c>
      <c r="AQ271" s="780">
        <f t="shared" si="2496"/>
        <v>-6565.2951604608934</v>
      </c>
      <c r="AR271" s="780">
        <f t="shared" si="2496"/>
        <v>-7951.6323699894165</v>
      </c>
      <c r="AS271" s="780">
        <f t="shared" si="2496"/>
        <v>-6483.5792380389103</v>
      </c>
      <c r="AT271" s="780">
        <f t="shared" si="2496"/>
        <v>-5307.1722049655655</v>
      </c>
      <c r="AU271" s="780">
        <f t="shared" si="2496"/>
        <v>-3966.3475887754175</v>
      </c>
      <c r="AV271" s="780">
        <f t="shared" si="2496"/>
        <v>-2466.8649492429358</v>
      </c>
      <c r="AW271" s="781">
        <f t="shared" si="2496"/>
        <v>-826.64406907309967</v>
      </c>
      <c r="AX271" s="782">
        <f t="shared" si="2496"/>
        <v>-10770.241509529737</v>
      </c>
      <c r="AY271" s="780">
        <f t="shared" si="2496"/>
        <v>-19174.962642260827</v>
      </c>
      <c r="AZ271" s="780">
        <f t="shared" si="2496"/>
        <v>-16925.443971653156</v>
      </c>
      <c r="BA271" s="780">
        <f t="shared" si="2496"/>
        <v>-25696.207513260568</v>
      </c>
      <c r="BB271" s="780">
        <f t="shared" si="2496"/>
        <v>-30466.524333613874</v>
      </c>
      <c r="BC271" s="780">
        <f t="shared" si="2496"/>
        <v>-30644.209260269774</v>
      </c>
      <c r="BD271" s="780">
        <f t="shared" si="2496"/>
        <v>-25743.81021126837</v>
      </c>
      <c r="BE271" s="780">
        <f t="shared" si="2496"/>
        <v>-25374.965354328699</v>
      </c>
      <c r="BF271" s="780">
        <f t="shared" si="2496"/>
        <v>-21685.632709168298</v>
      </c>
      <c r="BG271" s="780">
        <f t="shared" si="2496"/>
        <v>-17735.699053003482</v>
      </c>
      <c r="BH271" s="780">
        <f t="shared" si="2496"/>
        <v>-25824.517795504849</v>
      </c>
      <c r="BI271" s="781">
        <f t="shared" si="2496"/>
        <v>-13812.381476188923</v>
      </c>
    </row>
    <row r="272" spans="1:61" s="780" customFormat="1" hidden="1" outlineLevel="1">
      <c r="A272" s="780" t="str">
        <f>$A$541</f>
        <v>Program Revenue</v>
      </c>
      <c r="M272" s="781"/>
      <c r="N272" s="782"/>
      <c r="Y272" s="781"/>
      <c r="Z272" s="782"/>
      <c r="AD272" s="780">
        <f t="shared" ref="AD272" si="2497">IF($AD$5&gt;$AC$5,($AD$5-$AC$5)*B541,0)</f>
        <v>1850</v>
      </c>
      <c r="AE272" s="780">
        <f t="shared" ref="AE272" si="2498">IF($AD$5&gt;$AC$5,($AD$5-$AC$5)*C541,0)</f>
        <v>1937.1558751999999</v>
      </c>
      <c r="AF272" s="780">
        <f t="shared" ref="AF272" si="2499">IF($AD$5&gt;$AC$5,($AD$5-$AC$5)*D541,0)</f>
        <v>2030.0190587848704</v>
      </c>
      <c r="AG272" s="780">
        <f t="shared" ref="AG272" si="2500">IF($AD$5&gt;$AC$5,($AD$5-$AC$5)*E541,0)</f>
        <v>2128.941218449359</v>
      </c>
      <c r="AH272" s="780">
        <f t="shared" ref="AH272" si="2501">IF($AD$5&gt;$AC$5,($AD$5-$AC$5)*F541,0)</f>
        <v>2234.2900324673633</v>
      </c>
      <c r="AI272" s="780">
        <f t="shared" ref="AI272" si="2502">IF($AD$5&gt;$AC$5,($AD$5-$AC$5)*G541,0)</f>
        <v>2346.4496034726417</v>
      </c>
      <c r="AJ272" s="780">
        <f t="shared" ref="AJ272" si="2503">IF($AD$5&gt;$AC$5,($AD$5-$AC$5)*H541,0)</f>
        <v>2465.8208731027789</v>
      </c>
      <c r="AK272" s="781">
        <f t="shared" ref="AK272" si="2504">IF($AD$5&gt;$AC$5,($AD$5-$AC$5)*I541,0)</f>
        <v>2592.8220377557409</v>
      </c>
      <c r="AL272" s="782">
        <f t="shared" ref="AL272" si="2505">IF($AD$5&gt;$AC$5,($AD$5-$AC$5)*J541,0)</f>
        <v>2727.8889657926175</v>
      </c>
      <c r="AM272" s="780">
        <f t="shared" ref="AM272" si="2506">IF($AD$5&gt;$AC$5,($AD$5-$AC$5)*K541,0)</f>
        <v>2871.4756166091629</v>
      </c>
      <c r="AN272" s="780">
        <f t="shared" ref="AN272" si="2507">IF($AD$5&gt;$AC$5,($AD$5-$AC$5)*L541,0)</f>
        <v>3024.0544620924302</v>
      </c>
      <c r="AO272" s="780">
        <f t="shared" ref="AO272" si="2508">IF($AD$5&gt;$AC$5,($AD$5-$AC$5)*M541,0)</f>
        <v>3186.1169110768442</v>
      </c>
      <c r="AP272" s="780">
        <f t="shared" ref="AP272" si="2509">IF($AD$5&gt;$AC$5,($AD$5-$AC$5)*N541,0)</f>
        <v>3358.9807376414046</v>
      </c>
      <c r="AQ272" s="780">
        <f t="shared" ref="AQ272" si="2510">IF($AD$5&gt;$AC$5,($AD$5-$AC$5)*O541,0)</f>
        <v>3543.2416591361321</v>
      </c>
      <c r="AR272" s="780">
        <f t="shared" ref="AR272" si="2511">IF($AD$5&gt;$AC$5,($AD$5-$AC$5)*P541,0)</f>
        <v>3739.515514961849</v>
      </c>
      <c r="AS272" s="780">
        <f t="shared" ref="AS272" si="2512">IF($AD$5&gt;$AC$5,($AD$5-$AC$5)*Q541,0)</f>
        <v>3948.4383904349252</v>
      </c>
      <c r="AT272" s="780">
        <f t="shared" ref="AT272" si="2513">IF($AD$5&gt;$AC$5,($AD$5-$AC$5)*R541,0)</f>
        <v>4170.6667372134807</v>
      </c>
      <c r="AU272" s="780">
        <f t="shared" ref="AU272" si="2514">IF($AD$5&gt;$AC$5,($AD$5-$AC$5)*S541,0)</f>
        <v>4406.877493173627</v>
      </c>
      <c r="AV272" s="780">
        <f t="shared" ref="AV272" si="2515">IF($AD$5&gt;$AC$5,($AD$5-$AC$5)*T541,0)</f>
        <v>4657.7682048703127</v>
      </c>
      <c r="AW272" s="781">
        <f t="shared" ref="AW272" si="2516">IF($AD$5&gt;$AC$5,($AD$5-$AC$5)*U541,0)</f>
        <v>4924.0571559566215</v>
      </c>
      <c r="AX272" s="782">
        <f t="shared" ref="AX272" si="2517">IF($AD$5&gt;$AC$5,($AD$5-$AC$5)*V541,0)</f>
        <v>5206.4835051661303</v>
      </c>
      <c r="AY272" s="780">
        <f t="shared" ref="AY272" si="2518">IF($AD$5&gt;$AC$5,($AD$5-$AC$5)*W541,0)</f>
        <v>5505.8074376836603</v>
      </c>
      <c r="AZ272" s="780">
        <f t="shared" ref="AZ272" si="2519">IF($AD$5&gt;$AC$5,($AD$5-$AC$5)*X541,0)</f>
        <v>5822.8103339388172</v>
      </c>
      <c r="BA272" s="780">
        <f t="shared" ref="BA272" si="2520">IF($AD$5&gt;$AC$5,($AD$5-$AC$5)*Y541,0)</f>
        <v>6158.2949600526208</v>
      </c>
      <c r="BB272" s="780">
        <f t="shared" ref="BB272" si="2521">IF($AD$5&gt;$AC$5,($AD$5-$AC$5)*Z541,0)</f>
        <v>6514.1392664878649</v>
      </c>
      <c r="BC272" s="780">
        <f t="shared" ref="BC272" si="2522">IF($AD$5&gt;$AC$5,($AD$5-$AC$5)*AA541,0)</f>
        <v>6891.2420929122554</v>
      </c>
      <c r="BD272" s="780">
        <f t="shared" ref="BD272" si="2523">IF($AD$5&gt;$AC$5,($AD$5-$AC$5)*AB541,0)</f>
        <v>7290.5201481641989</v>
      </c>
      <c r="BE272" s="780">
        <f t="shared" ref="BE272" si="2524">IF($AD$5&gt;$AC$5,($AD$5-$AC$5)*AC541,0)</f>
        <v>7712.9078999165331</v>
      </c>
      <c r="BF272" s="780">
        <f t="shared" ref="BF272" si="2525">IF($AD$5&gt;$AC$5,($AD$5-$AC$5)*AD541,0)</f>
        <v>8159.357530652579</v>
      </c>
      <c r="BG272" s="780">
        <f t="shared" ref="BG272" si="2526">IF($AD$5&gt;$AC$5,($AD$5-$AC$5)*AE541,0)</f>
        <v>8630.8389688113039</v>
      </c>
      <c r="BH272" s="780">
        <f t="shared" ref="BH272" si="2527">IF($AD$5&gt;$AC$5,($AD$5-$AC$5)*AF541,0)</f>
        <v>9128.3400039027438</v>
      </c>
      <c r="BI272" s="781">
        <f t="shared" ref="BI272" si="2528">IF($AD$5&gt;$AC$5,($AD$5-$AC$5)*AG541,0)</f>
        <v>9652.8664942797932</v>
      </c>
    </row>
    <row r="273" spans="1:61" s="780" customFormat="1" hidden="1" outlineLevel="1">
      <c r="M273" s="781"/>
      <c r="N273" s="782"/>
      <c r="Y273" s="781"/>
      <c r="Z273" s="782"/>
      <c r="AK273" s="781"/>
      <c r="AL273" s="782"/>
      <c r="AW273" s="781"/>
      <c r="AX273" s="782"/>
      <c r="BI273" s="781"/>
    </row>
    <row r="274" spans="1:61" s="780" customFormat="1" hidden="1" outlineLevel="1">
      <c r="A274" s="780" t="s">
        <v>359</v>
      </c>
      <c r="M274" s="781"/>
      <c r="N274" s="782"/>
      <c r="Y274" s="781"/>
      <c r="Z274" s="782"/>
      <c r="AE274" s="780">
        <f>IF($AE$5&gt;$AD$5,($AE$5-$AD$5)*B535,0)</f>
        <v>8</v>
      </c>
      <c r="AF274" s="780">
        <f t="shared" ref="AF274" si="2529">IF($AE$5&gt;$AD$5,($AE$5-$AD$5)*C535,0)</f>
        <v>8.3824000000000005</v>
      </c>
      <c r="AG274" s="780">
        <f t="shared" ref="AG274" si="2530">IF($AE$5&gt;$AD$5,($AE$5-$AD$5)*D535,0)</f>
        <v>8.790016102400001</v>
      </c>
      <c r="AH274" s="780">
        <f t="shared" ref="AH274" si="2531">IF($AE$5&gt;$AD$5,($AE$5-$AD$5)*E535,0)</f>
        <v>9.2244218586677267</v>
      </c>
      <c r="AI274" s="780">
        <f t="shared" ref="AI274" si="2532">IF($AE$5&gt;$AD$5,($AE$5-$AD$5)*F535,0)</f>
        <v>9.6872643857899394</v>
      </c>
      <c r="AJ274" s="780">
        <f t="shared" ref="AJ274" si="2533">IF($AE$5&gt;$AD$5,($AE$5-$AD$5)*G535,0)</f>
        <v>10.180266404063699</v>
      </c>
      <c r="AK274" s="781">
        <f t="shared" ref="AK274" si="2534">IF($AE$5&gt;$AD$5,($AE$5-$AD$5)*H535,0)</f>
        <v>10.705228286703797</v>
      </c>
      <c r="AL274" s="782">
        <f t="shared" ref="AL274" si="2535">IF($AE$5&gt;$AD$5,($AE$5-$AD$5)*I535,0)</f>
        <v>11.264030122404236</v>
      </c>
      <c r="AM274" s="780">
        <f t="shared" ref="AM274" si="2536">IF($AE$5&gt;$AD$5,($AE$5-$AD$5)*J535,0)</f>
        <v>11.858633792363815</v>
      </c>
      <c r="AN274" s="780">
        <f t="shared" ref="AN274" si="2537">IF($AE$5&gt;$AD$5,($AE$5-$AD$5)*K535,0)</f>
        <v>12.491085063681208</v>
      </c>
      <c r="AO274" s="780">
        <f t="shared" ref="AO274" si="2538">IF($AE$5&gt;$AD$5,($AE$5-$AD$5)*L535,0)</f>
        <v>13.163515701442698</v>
      </c>
      <c r="AP274" s="780">
        <f t="shared" ref="AP274" si="2539">IF($AE$5&gt;$AD$5,($AE$5-$AD$5)*M535,0)</f>
        <v>13.878145602265221</v>
      </c>
      <c r="AQ274" s="780">
        <f t="shared" ref="AQ274" si="2540">IF($AE$5&gt;$AD$5,($AE$5-$AD$5)*N535,0)</f>
        <v>14.640802427106802</v>
      </c>
      <c r="AR274" s="780">
        <f t="shared" ref="AR274" si="2541">IF($AE$5&gt;$AD$5,($AE$5-$AD$5)*O535,0)</f>
        <v>15.454179973028484</v>
      </c>
      <c r="AS274" s="780">
        <f t="shared" ref="AS274" si="2542">IF($AE$5&gt;$AD$5,($AE$5-$AD$5)*P535,0)</f>
        <v>16.321067007803048</v>
      </c>
      <c r="AT274" s="780">
        <f t="shared" ref="AT274" si="2543">IF($AE$5&gt;$AD$5,($AE$5-$AD$5)*Q535,0)</f>
        <v>17.244348126107901</v>
      </c>
      <c r="AU274" s="780">
        <f t="shared" ref="AU274" si="2544">IF($AE$5&gt;$AD$5,($AE$5-$AD$5)*R535,0)</f>
        <v>18.227004594103096</v>
      </c>
      <c r="AV274" s="780">
        <f t="shared" ref="AV274" si="2545">IF($AE$5&gt;$AD$5,($AE$5-$AD$5)*S535,0)</f>
        <v>19.272115194972702</v>
      </c>
      <c r="AW274" s="781">
        <f t="shared" ref="AW274" si="2546">IF($AE$5&gt;$AD$5,($AE$5-$AD$5)*T535,0)</f>
        <v>20.382857089151276</v>
      </c>
      <c r="AX274" s="782">
        <f t="shared" ref="AX274" si="2547">IF($AE$5&gt;$AD$5,($AE$5-$AD$5)*U535,0)</f>
        <v>21.56250670407784</v>
      </c>
      <c r="AY274" s="780">
        <f t="shared" ref="AY274" si="2548">IF($AE$5&gt;$AD$5,($AE$5-$AD$5)*V535,0)</f>
        <v>22.814440669410335</v>
      </c>
      <c r="AZ274" s="780">
        <f t="shared" ref="AZ274" si="2549">IF($AE$5&gt;$AD$5,($AE$5-$AD$5)*W535,0)</f>
        <v>24.142136814686012</v>
      </c>
      <c r="BA274" s="780">
        <f t="shared" ref="BA274" si="2550">IF($AE$5&gt;$AD$5,($AE$5-$AD$5)*X535,0)</f>
        <v>25.549175247421399</v>
      </c>
      <c r="BB274" s="780">
        <f t="shared" ref="BB274" si="2551">IF($AE$5&gt;$AD$5,($AE$5-$AD$5)*Y535,0)</f>
        <v>27.039239530601542</v>
      </c>
      <c r="BC274" s="780">
        <f t="shared" ref="BC274" si="2552">IF($AE$5&gt;$AD$5,($AE$5-$AD$5)*Z535,0)</f>
        <v>28.620747034243404</v>
      </c>
      <c r="BD274" s="780">
        <f t="shared" ref="BD274" si="2553">IF($AE$5&gt;$AD$5,($AE$5-$AD$5)*AA535,0)</f>
        <v>30.297832899152603</v>
      </c>
      <c r="BE274" s="780">
        <f t="shared" ref="BE274" si="2554">IF($AE$5&gt;$AD$5,($AE$5-$AD$5)*AB535,0)</f>
        <v>32.074721942842451</v>
      </c>
      <c r="BF274" s="780">
        <f t="shared" ref="BF274" si="2555">IF($AE$5&gt;$AD$5,($AE$5-$AD$5)*AC535,0)</f>
        <v>33.955728473829772</v>
      </c>
      <c r="BG274" s="780">
        <f t="shared" ref="BG274" si="2556">IF($AE$5&gt;$AD$5,($AE$5-$AD$5)*AD535,0)</f>
        <v>35.945256397317038</v>
      </c>
      <c r="BH274" s="780">
        <f t="shared" ref="BH274" si="2557">IF($AE$5&gt;$AD$5,($AE$5-$AD$5)*AE535,0)</f>
        <v>38.047799652671507</v>
      </c>
      <c r="BI274" s="781">
        <f t="shared" ref="BI274" si="2558">IF($AE$5&gt;$AD$5,($AE$5-$AD$5)*AF535,0)</f>
        <v>40.267943023083284</v>
      </c>
    </row>
    <row r="275" spans="1:61" s="780" customFormat="1" hidden="1" outlineLevel="1">
      <c r="A275" s="780" t="str">
        <f>$A$536</f>
        <v>Leads</v>
      </c>
      <c r="M275" s="781"/>
      <c r="N275" s="782"/>
      <c r="Y275" s="781"/>
      <c r="Z275" s="782"/>
      <c r="AE275" s="780">
        <f>IF($AE$5&gt;$AD$5,($AE$5-$AD$5)*B536,0)</f>
        <v>20</v>
      </c>
      <c r="AF275" s="780">
        <f t="shared" ref="AF275:BI275" si="2559">IF($AE$5&gt;$AD$5,($AE$5-$AD$5)*C536,0)</f>
        <v>20.8</v>
      </c>
      <c r="AG275" s="780">
        <f t="shared" si="2559"/>
        <v>21.632000000000001</v>
      </c>
      <c r="AH275" s="780">
        <f t="shared" si="2559"/>
        <v>22.497280000000003</v>
      </c>
      <c r="AI275" s="780">
        <f t="shared" si="2559"/>
        <v>23.397171200000006</v>
      </c>
      <c r="AJ275" s="780">
        <f t="shared" si="2559"/>
        <v>24.333058048000009</v>
      </c>
      <c r="AK275" s="781">
        <f t="shared" si="2559"/>
        <v>25.30638036992001</v>
      </c>
      <c r="AL275" s="782">
        <f t="shared" si="2559"/>
        <v>26.318635584716812</v>
      </c>
      <c r="AM275" s="780">
        <f t="shared" si="2559"/>
        <v>27.371381008105487</v>
      </c>
      <c r="AN275" s="780">
        <f t="shared" si="2559"/>
        <v>28.466236248429709</v>
      </c>
      <c r="AO275" s="780">
        <f t="shared" si="2559"/>
        <v>29.6048856983669</v>
      </c>
      <c r="AP275" s="780">
        <f t="shared" si="2559"/>
        <v>30.789081126301578</v>
      </c>
      <c r="AQ275" s="780">
        <f t="shared" si="2559"/>
        <v>32.02064437135364</v>
      </c>
      <c r="AR275" s="780">
        <f t="shared" si="2559"/>
        <v>33.301470146207784</v>
      </c>
      <c r="AS275" s="780">
        <f t="shared" si="2559"/>
        <v>34.633528952056096</v>
      </c>
      <c r="AT275" s="780">
        <f t="shared" si="2559"/>
        <v>36.018870110138344</v>
      </c>
      <c r="AU275" s="780">
        <f t="shared" si="2559"/>
        <v>37.45962491454388</v>
      </c>
      <c r="AV275" s="780">
        <f t="shared" si="2559"/>
        <v>38.958009911125636</v>
      </c>
      <c r="AW275" s="781">
        <f t="shared" si="2559"/>
        <v>40.516330307570662</v>
      </c>
      <c r="AX275" s="782">
        <f t="shared" si="2559"/>
        <v>42.136983519873489</v>
      </c>
      <c r="AY275" s="780">
        <f t="shared" si="2559"/>
        <v>43.822462860668423</v>
      </c>
      <c r="AZ275" s="780">
        <f t="shared" si="2559"/>
        <v>45.57536137509517</v>
      </c>
      <c r="BA275" s="780">
        <f t="shared" si="2559"/>
        <v>47.398375830098978</v>
      </c>
      <c r="BB275" s="780">
        <f t="shared" si="2559"/>
        <v>49.29431086330294</v>
      </c>
      <c r="BC275" s="780">
        <f t="shared" si="2559"/>
        <v>51.26608329783506</v>
      </c>
      <c r="BD275" s="780">
        <f t="shared" si="2559"/>
        <v>53.316726629748466</v>
      </c>
      <c r="BE275" s="780">
        <f t="shared" si="2559"/>
        <v>55.44939569493841</v>
      </c>
      <c r="BF275" s="780">
        <f t="shared" si="2559"/>
        <v>57.667371522735948</v>
      </c>
      <c r="BG275" s="780">
        <f t="shared" si="2559"/>
        <v>59.974066383645386</v>
      </c>
      <c r="BH275" s="780">
        <f t="shared" si="2559"/>
        <v>62.373029038991206</v>
      </c>
      <c r="BI275" s="781">
        <f t="shared" si="2559"/>
        <v>64.867950200550851</v>
      </c>
    </row>
    <row r="276" spans="1:61" s="780" customFormat="1" hidden="1" outlineLevel="1">
      <c r="A276" s="780" t="str">
        <f>$A$537</f>
        <v>Audits</v>
      </c>
      <c r="M276" s="781"/>
      <c r="N276" s="782"/>
      <c r="Y276" s="781"/>
      <c r="Z276" s="782"/>
      <c r="AE276" s="780">
        <f t="shared" ref="AE276:BI276" si="2560">IF($AE$5&gt;$AD$5,($AE$5-$AD$5)*B537,0)</f>
        <v>7.8466960352422905</v>
      </c>
      <c r="AF276" s="780">
        <f t="shared" si="2560"/>
        <v>8.1805560257268723</v>
      </c>
      <c r="AG276" s="780">
        <f t="shared" si="2560"/>
        <v>8.556158139083367</v>
      </c>
      <c r="AH276" s="780">
        <f t="shared" si="2560"/>
        <v>8.9523024684242678</v>
      </c>
      <c r="AI276" s="780">
        <f t="shared" si="2560"/>
        <v>9.3702787716763911</v>
      </c>
      <c r="AJ276" s="780">
        <f t="shared" si="2560"/>
        <v>9.811453812672589</v>
      </c>
      <c r="AK276" s="781">
        <f t="shared" si="2560"/>
        <v>10.277273093546537</v>
      </c>
      <c r="AL276" s="782">
        <f t="shared" si="2560"/>
        <v>10.769262132442826</v>
      </c>
      <c r="AM276" s="780">
        <f t="shared" si="2560"/>
        <v>11.289027268145146</v>
      </c>
      <c r="AN276" s="780">
        <f t="shared" si="2560"/>
        <v>11.838255995812663</v>
      </c>
      <c r="AO276" s="780">
        <f t="shared" si="2560"/>
        <v>12.418716863200714</v>
      </c>
      <c r="AP276" s="780">
        <f t="shared" si="2560"/>
        <v>13.032258982971491</v>
      </c>
      <c r="AQ276" s="780">
        <f t="shared" si="2560"/>
        <v>13.681748513642187</v>
      </c>
      <c r="AR276" s="780">
        <f t="shared" si="2560"/>
        <v>14.367753613373562</v>
      </c>
      <c r="AS276" s="780">
        <f t="shared" si="2560"/>
        <v>15.094450719778326</v>
      </c>
      <c r="AT276" s="780">
        <f t="shared" si="2560"/>
        <v>15.864274704794562</v>
      </c>
      <c r="AU276" s="780">
        <f t="shared" si="2560"/>
        <v>16.679756380011042</v>
      </c>
      <c r="AV276" s="780">
        <f t="shared" si="2560"/>
        <v>17.543519083999907</v>
      </c>
      <c r="AW276" s="781">
        <f t="shared" si="2560"/>
        <v>18.458274953232511</v>
      </c>
      <c r="AX276" s="782">
        <f t="shared" si="2560"/>
        <v>19.426821075192013</v>
      </c>
      <c r="AY276" s="780">
        <f t="shared" si="2560"/>
        <v>20.452035738521069</v>
      </c>
      <c r="AZ276" s="780">
        <f t="shared" si="2560"/>
        <v>21.536874999893016</v>
      </c>
      <c r="BA276" s="780">
        <f t="shared" si="2560"/>
        <v>22.68436978011453</v>
      </c>
      <c r="BB276" s="780">
        <f t="shared" si="2560"/>
        <v>23.897623683136111</v>
      </c>
      <c r="BC276" s="780">
        <f t="shared" si="2560"/>
        <v>25.181305860088621</v>
      </c>
      <c r="BD276" s="780">
        <f t="shared" si="2560"/>
        <v>26.509539923847804</v>
      </c>
      <c r="BE276" s="780">
        <f t="shared" si="2560"/>
        <v>27.911267150389076</v>
      </c>
      <c r="BF276" s="780">
        <f t="shared" si="2560"/>
        <v>29.389855755030599</v>
      </c>
      <c r="BG276" s="780">
        <f t="shared" si="2560"/>
        <v>30.948754132327405</v>
      </c>
      <c r="BH276" s="780">
        <f t="shared" si="2560"/>
        <v>32.591491812026852</v>
      </c>
      <c r="BI276" s="781">
        <f t="shared" si="2560"/>
        <v>34.321681088998503</v>
      </c>
    </row>
    <row r="277" spans="1:61" s="780" customFormat="1" hidden="1" outlineLevel="1">
      <c r="A277" s="780" t="str">
        <f>$A$538</f>
        <v>Retrofit</v>
      </c>
      <c r="M277" s="781"/>
      <c r="N277" s="782"/>
      <c r="Y277" s="781"/>
      <c r="Z277" s="782"/>
      <c r="AE277" s="780">
        <f t="shared" ref="AE277:BI277" si="2561">IF($AE$5&gt;$AD$5,($AE$5-$AD$5)*B538,0)</f>
        <v>3.2741145374449339</v>
      </c>
      <c r="AF277" s="780">
        <f t="shared" si="2561"/>
        <v>3.4211429613668018</v>
      </c>
      <c r="AG277" s="780">
        <f t="shared" si="2561"/>
        <v>3.6089747928733105</v>
      </c>
      <c r="AH277" s="780">
        <f t="shared" si="2561"/>
        <v>3.80943356172375</v>
      </c>
      <c r="AI277" s="780">
        <f t="shared" si="2561"/>
        <v>4.023495407635</v>
      </c>
      <c r="AJ277" s="780">
        <f t="shared" si="2561"/>
        <v>4.2522035025469851</v>
      </c>
      <c r="AK277" s="781">
        <f t="shared" si="2561"/>
        <v>4.4966691121698661</v>
      </c>
      <c r="AL277" s="782">
        <f t="shared" si="2561"/>
        <v>4.7580720961942786</v>
      </c>
      <c r="AM277" s="780">
        <f t="shared" si="2561"/>
        <v>5.0376608331454982</v>
      </c>
      <c r="AN277" s="780">
        <f t="shared" si="2561"/>
        <v>5.3367515834608863</v>
      </c>
      <c r="AO277" s="780">
        <f t="shared" si="2561"/>
        <v>5.6567273345837759</v>
      </c>
      <c r="AP277" s="780">
        <f t="shared" si="2561"/>
        <v>5.9990362027609887</v>
      </c>
      <c r="AQ277" s="780">
        <f t="shared" si="2561"/>
        <v>6.3656710756275423</v>
      </c>
      <c r="AR277" s="780">
        <f t="shared" si="2561"/>
        <v>6.7527905497767229</v>
      </c>
      <c r="AS277" s="780">
        <f t="shared" si="2561"/>
        <v>7.1679946156961591</v>
      </c>
      <c r="AT277" s="780">
        <f t="shared" si="2561"/>
        <v>7.6132687220703144</v>
      </c>
      <c r="AU277" s="780">
        <f t="shared" si="2561"/>
        <v>8.0906802436821312</v>
      </c>
      <c r="AV277" s="780">
        <f t="shared" si="2561"/>
        <v>8.6023733713231554</v>
      </c>
      <c r="AW277" s="781">
        <f t="shared" si="2561"/>
        <v>9.1505635635964193</v>
      </c>
      <c r="AX277" s="782">
        <f t="shared" si="2561"/>
        <v>9.7375318038296879</v>
      </c>
      <c r="AY277" s="780">
        <f t="shared" si="2561"/>
        <v>10.365618926205418</v>
      </c>
      <c r="AZ277" s="780">
        <f t="shared" si="2561"/>
        <v>11.037220281947453</v>
      </c>
      <c r="BA277" s="780">
        <f t="shared" si="2561"/>
        <v>11.754781008099396</v>
      </c>
      <c r="BB277" s="780">
        <f t="shared" si="2561"/>
        <v>12.520792138493604</v>
      </c>
      <c r="BC277" s="780">
        <f t="shared" si="2561"/>
        <v>13.338724403473293</v>
      </c>
      <c r="BD277" s="780">
        <f t="shared" si="2561"/>
        <v>14.173899457244383</v>
      </c>
      <c r="BE277" s="780">
        <f t="shared" si="2561"/>
        <v>15.06160093928195</v>
      </c>
      <c r="BF277" s="780">
        <f t="shared" si="2561"/>
        <v>16.004396182835173</v>
      </c>
      <c r="BG277" s="780">
        <f t="shared" si="2561"/>
        <v>17.004903510314108</v>
      </c>
      <c r="BH277" s="780">
        <f t="shared" si="2561"/>
        <v>18.065792108500531</v>
      </c>
      <c r="BI277" s="781">
        <f t="shared" si="2561"/>
        <v>19.189782637475492</v>
      </c>
    </row>
    <row r="278" spans="1:61" s="780" customFormat="1" hidden="1" outlineLevel="1">
      <c r="A278" s="780" t="str">
        <f>$A$539</f>
        <v>Revenue</v>
      </c>
      <c r="M278" s="781"/>
      <c r="N278" s="782"/>
      <c r="Y278" s="781"/>
      <c r="Z278" s="782"/>
      <c r="AE278" s="780">
        <f t="shared" ref="AE278:BI278" si="2562">IF($AE$5&gt;$AD$5,($AE$5-$AD$5)*B539,0)</f>
        <v>20728.933920704847</v>
      </c>
      <c r="AF278" s="780">
        <f t="shared" si="2562"/>
        <v>22334.796424579898</v>
      </c>
      <c r="AG278" s="780">
        <f t="shared" si="2562"/>
        <v>24261.379157843236</v>
      </c>
      <c r="AH278" s="780">
        <f t="shared" si="2562"/>
        <v>27109.041527058151</v>
      </c>
      <c r="AI278" s="780">
        <f t="shared" si="2562"/>
        <v>29411.012063918617</v>
      </c>
      <c r="AJ278" s="780">
        <f t="shared" si="2562"/>
        <v>31904.731979940196</v>
      </c>
      <c r="AK278" s="781">
        <f t="shared" si="2562"/>
        <v>34157.516935543477</v>
      </c>
      <c r="AL278" s="782">
        <f t="shared" si="2562"/>
        <v>36585.144030160183</v>
      </c>
      <c r="AM278" s="780">
        <f t="shared" si="2562"/>
        <v>39202.024549786183</v>
      </c>
      <c r="AN278" s="780">
        <f t="shared" si="2562"/>
        <v>41489.907780370268</v>
      </c>
      <c r="AO278" s="780">
        <f t="shared" si="2562"/>
        <v>43934.936399734994</v>
      </c>
      <c r="AP278" s="780">
        <f t="shared" si="2562"/>
        <v>46547.932291314006</v>
      </c>
      <c r="AQ278" s="780">
        <f t="shared" si="2562"/>
        <v>48812.622611071754</v>
      </c>
      <c r="AR278" s="780">
        <f t="shared" si="2562"/>
        <v>51746.745047763237</v>
      </c>
      <c r="AS278" s="780">
        <f t="shared" si="2562"/>
        <v>54891.491572423707</v>
      </c>
      <c r="AT278" s="780">
        <f t="shared" si="2562"/>
        <v>58261.704056497998</v>
      </c>
      <c r="AU278" s="780">
        <f t="shared" si="2562"/>
        <v>61872.837706819933</v>
      </c>
      <c r="AV278" s="780">
        <f t="shared" si="2562"/>
        <v>65740.922877654608</v>
      </c>
      <c r="AW278" s="781">
        <f t="shared" si="2562"/>
        <v>69882.52360507095</v>
      </c>
      <c r="AX278" s="782">
        <f t="shared" si="2562"/>
        <v>74314.694687467563</v>
      </c>
      <c r="AY278" s="780">
        <f t="shared" si="2562"/>
        <v>79054.939292696072</v>
      </c>
      <c r="AZ278" s="780">
        <f t="shared" si="2562"/>
        <v>84121.169122674793</v>
      </c>
      <c r="BA278" s="780">
        <f t="shared" si="2562"/>
        <v>89531.669104034416</v>
      </c>
      <c r="BB278" s="780">
        <f t="shared" si="2562"/>
        <v>95305.068401244935</v>
      </c>
      <c r="BC278" s="780">
        <f t="shared" si="2562"/>
        <v>101467.05911812153</v>
      </c>
      <c r="BD278" s="780">
        <f t="shared" si="2562"/>
        <v>107757.45533319093</v>
      </c>
      <c r="BE278" s="780">
        <f t="shared" si="2562"/>
        <v>114440.84237520174</v>
      </c>
      <c r="BF278" s="780">
        <f t="shared" si="2562"/>
        <v>121536.40957263115</v>
      </c>
      <c r="BG278" s="780">
        <f t="shared" si="2562"/>
        <v>129063.73094559579</v>
      </c>
      <c r="BH278" s="780">
        <f t="shared" si="2562"/>
        <v>137042.76458890198</v>
      </c>
      <c r="BI278" s="781">
        <f t="shared" si="2562"/>
        <v>145493.85755130055</v>
      </c>
    </row>
    <row r="279" spans="1:61" s="780" customFormat="1" hidden="1" outlineLevel="1">
      <c r="A279" s="780" t="str">
        <f>$A$540</f>
        <v>Net Income</v>
      </c>
      <c r="M279" s="781"/>
      <c r="N279" s="782"/>
      <c r="Y279" s="781"/>
      <c r="Z279" s="782"/>
      <c r="AE279" s="780">
        <f t="shared" ref="AE279:BI279" si="2563">IF($AE$5&gt;$AD$5,($AE$5-$AD$5)*B540,0)</f>
        <v>-33184.964170807638</v>
      </c>
      <c r="AF279" s="780">
        <f t="shared" si="2563"/>
        <v>-14837.14568100147</v>
      </c>
      <c r="AG279" s="780">
        <f t="shared" si="2563"/>
        <v>-14268.717003781454</v>
      </c>
      <c r="AH279" s="780">
        <f t="shared" si="2563"/>
        <v>-13405.013342705901</v>
      </c>
      <c r="AI279" s="780">
        <f t="shared" si="2563"/>
        <v>-12685.072540306182</v>
      </c>
      <c r="AJ279" s="780">
        <f t="shared" si="2563"/>
        <v>-17604.404805924125</v>
      </c>
      <c r="AK279" s="781">
        <f t="shared" si="2563"/>
        <v>-15156.124616524507</v>
      </c>
      <c r="AL279" s="782">
        <f t="shared" si="2563"/>
        <v>-13971.31609512752</v>
      </c>
      <c r="AM279" s="780">
        <f t="shared" si="2563"/>
        <v>-13027.555718246989</v>
      </c>
      <c r="AN279" s="780">
        <f t="shared" si="2563"/>
        <v>-12167.444211420123</v>
      </c>
      <c r="AO279" s="780">
        <f t="shared" si="2563"/>
        <v>-11228.257793696379</v>
      </c>
      <c r="AP279" s="780">
        <f t="shared" si="2563"/>
        <v>-10203.756141625032</v>
      </c>
      <c r="AQ279" s="780">
        <f t="shared" si="2563"/>
        <v>-8928.9645055486872</v>
      </c>
      <c r="AR279" s="780">
        <f t="shared" si="2563"/>
        <v>-6565.2951604608934</v>
      </c>
      <c r="AS279" s="780">
        <f t="shared" si="2563"/>
        <v>-7951.6323699894165</v>
      </c>
      <c r="AT279" s="780">
        <f t="shared" si="2563"/>
        <v>-6483.5792380389103</v>
      </c>
      <c r="AU279" s="780">
        <f t="shared" si="2563"/>
        <v>-5307.1722049655655</v>
      </c>
      <c r="AV279" s="780">
        <f t="shared" si="2563"/>
        <v>-3966.3475887754175</v>
      </c>
      <c r="AW279" s="781">
        <f t="shared" si="2563"/>
        <v>-2466.8649492429358</v>
      </c>
      <c r="AX279" s="782">
        <f t="shared" si="2563"/>
        <v>-826.64406907309967</v>
      </c>
      <c r="AY279" s="780">
        <f t="shared" si="2563"/>
        <v>-10770.241509529737</v>
      </c>
      <c r="AZ279" s="780">
        <f t="shared" si="2563"/>
        <v>-19174.962642260827</v>
      </c>
      <c r="BA279" s="780">
        <f t="shared" si="2563"/>
        <v>-16925.443971653156</v>
      </c>
      <c r="BB279" s="780">
        <f t="shared" si="2563"/>
        <v>-25696.207513260568</v>
      </c>
      <c r="BC279" s="780">
        <f t="shared" si="2563"/>
        <v>-30466.524333613874</v>
      </c>
      <c r="BD279" s="780">
        <f t="shared" si="2563"/>
        <v>-30644.209260269774</v>
      </c>
      <c r="BE279" s="780">
        <f t="shared" si="2563"/>
        <v>-25743.81021126837</v>
      </c>
      <c r="BF279" s="780">
        <f t="shared" si="2563"/>
        <v>-25374.965354328699</v>
      </c>
      <c r="BG279" s="780">
        <f t="shared" si="2563"/>
        <v>-21685.632709168298</v>
      </c>
      <c r="BH279" s="780">
        <f t="shared" si="2563"/>
        <v>-17735.699053003482</v>
      </c>
      <c r="BI279" s="781">
        <f t="shared" si="2563"/>
        <v>-25824.517795504849</v>
      </c>
    </row>
    <row r="280" spans="1:61" s="780" customFormat="1" hidden="1" outlineLevel="1">
      <c r="A280" s="780" t="str">
        <f>$A$541</f>
        <v>Program Revenue</v>
      </c>
      <c r="M280" s="781"/>
      <c r="N280" s="782"/>
      <c r="Y280" s="781"/>
      <c r="Z280" s="782"/>
      <c r="AE280" s="780">
        <f t="shared" ref="AE280" si="2564">IF($AE$5&gt;$AD$5,($AE$5-$AD$5)*B541,0)</f>
        <v>1850</v>
      </c>
      <c r="AF280" s="780">
        <f t="shared" ref="AF280" si="2565">IF($AE$5&gt;$AD$5,($AE$5-$AD$5)*C541,0)</f>
        <v>1937.1558751999999</v>
      </c>
      <c r="AG280" s="780">
        <f t="shared" ref="AG280" si="2566">IF($AE$5&gt;$AD$5,($AE$5-$AD$5)*D541,0)</f>
        <v>2030.0190587848704</v>
      </c>
      <c r="AH280" s="780">
        <f t="shared" ref="AH280" si="2567">IF($AE$5&gt;$AD$5,($AE$5-$AD$5)*E541,0)</f>
        <v>2128.941218449359</v>
      </c>
      <c r="AI280" s="780">
        <f t="shared" ref="AI280" si="2568">IF($AE$5&gt;$AD$5,($AE$5-$AD$5)*F541,0)</f>
        <v>2234.2900324673633</v>
      </c>
      <c r="AJ280" s="780">
        <f t="shared" ref="AJ280" si="2569">IF($AE$5&gt;$AD$5,($AE$5-$AD$5)*G541,0)</f>
        <v>2346.4496034726417</v>
      </c>
      <c r="AK280" s="781">
        <f t="shared" ref="AK280" si="2570">IF($AE$5&gt;$AD$5,($AE$5-$AD$5)*H541,0)</f>
        <v>2465.8208731027789</v>
      </c>
      <c r="AL280" s="782">
        <f t="shared" ref="AL280" si="2571">IF($AE$5&gt;$AD$5,($AE$5-$AD$5)*I541,0)</f>
        <v>2592.8220377557409</v>
      </c>
      <c r="AM280" s="780">
        <f t="shared" ref="AM280" si="2572">IF($AE$5&gt;$AD$5,($AE$5-$AD$5)*J541,0)</f>
        <v>2727.8889657926175</v>
      </c>
      <c r="AN280" s="780">
        <f t="shared" ref="AN280" si="2573">IF($AE$5&gt;$AD$5,($AE$5-$AD$5)*K541,0)</f>
        <v>2871.4756166091629</v>
      </c>
      <c r="AO280" s="780">
        <f t="shared" ref="AO280" si="2574">IF($AE$5&gt;$AD$5,($AE$5-$AD$5)*L541,0)</f>
        <v>3024.0544620924302</v>
      </c>
      <c r="AP280" s="780">
        <f t="shared" ref="AP280" si="2575">IF($AE$5&gt;$AD$5,($AE$5-$AD$5)*M541,0)</f>
        <v>3186.1169110768442</v>
      </c>
      <c r="AQ280" s="780">
        <f t="shared" ref="AQ280" si="2576">IF($AE$5&gt;$AD$5,($AE$5-$AD$5)*N541,0)</f>
        <v>3358.9807376414046</v>
      </c>
      <c r="AR280" s="780">
        <f t="shared" ref="AR280" si="2577">IF($AE$5&gt;$AD$5,($AE$5-$AD$5)*O541,0)</f>
        <v>3543.2416591361321</v>
      </c>
      <c r="AS280" s="780">
        <f t="shared" ref="AS280" si="2578">IF($AE$5&gt;$AD$5,($AE$5-$AD$5)*P541,0)</f>
        <v>3739.515514961849</v>
      </c>
      <c r="AT280" s="780">
        <f t="shared" ref="AT280" si="2579">IF($AE$5&gt;$AD$5,($AE$5-$AD$5)*Q541,0)</f>
        <v>3948.4383904349252</v>
      </c>
      <c r="AU280" s="780">
        <f t="shared" ref="AU280" si="2580">IF($AE$5&gt;$AD$5,($AE$5-$AD$5)*R541,0)</f>
        <v>4170.6667372134807</v>
      </c>
      <c r="AV280" s="780">
        <f t="shared" ref="AV280" si="2581">IF($AE$5&gt;$AD$5,($AE$5-$AD$5)*S541,0)</f>
        <v>4406.877493173627</v>
      </c>
      <c r="AW280" s="781">
        <f t="shared" ref="AW280" si="2582">IF($AE$5&gt;$AD$5,($AE$5-$AD$5)*T541,0)</f>
        <v>4657.7682048703127</v>
      </c>
      <c r="AX280" s="782">
        <f t="shared" ref="AX280" si="2583">IF($AE$5&gt;$AD$5,($AE$5-$AD$5)*U541,0)</f>
        <v>4924.0571559566215</v>
      </c>
      <c r="AY280" s="780">
        <f t="shared" ref="AY280" si="2584">IF($AE$5&gt;$AD$5,($AE$5-$AD$5)*V541,0)</f>
        <v>5206.4835051661303</v>
      </c>
      <c r="AZ280" s="780">
        <f t="shared" ref="AZ280" si="2585">IF($AE$5&gt;$AD$5,($AE$5-$AD$5)*W541,0)</f>
        <v>5505.8074376836603</v>
      </c>
      <c r="BA280" s="780">
        <f t="shared" ref="BA280" si="2586">IF($AE$5&gt;$AD$5,($AE$5-$AD$5)*X541,0)</f>
        <v>5822.8103339388172</v>
      </c>
      <c r="BB280" s="780">
        <f t="shared" ref="BB280" si="2587">IF($AE$5&gt;$AD$5,($AE$5-$AD$5)*Y541,0)</f>
        <v>6158.2949600526208</v>
      </c>
      <c r="BC280" s="780">
        <f t="shared" ref="BC280" si="2588">IF($AE$5&gt;$AD$5,($AE$5-$AD$5)*Z541,0)</f>
        <v>6514.1392664878649</v>
      </c>
      <c r="BD280" s="780">
        <f t="shared" ref="BD280" si="2589">IF($AE$5&gt;$AD$5,($AE$5-$AD$5)*AA541,0)</f>
        <v>6891.2420929122554</v>
      </c>
      <c r="BE280" s="780">
        <f t="shared" ref="BE280" si="2590">IF($AE$5&gt;$AD$5,($AE$5-$AD$5)*AB541,0)</f>
        <v>7290.5201481641989</v>
      </c>
      <c r="BF280" s="780">
        <f t="shared" ref="BF280" si="2591">IF($AE$5&gt;$AD$5,($AE$5-$AD$5)*AC541,0)</f>
        <v>7712.9078999165331</v>
      </c>
      <c r="BG280" s="780">
        <f t="shared" ref="BG280" si="2592">IF($AE$5&gt;$AD$5,($AE$5-$AD$5)*AD541,0)</f>
        <v>8159.357530652579</v>
      </c>
      <c r="BH280" s="780">
        <f t="shared" ref="BH280" si="2593">IF($AE$5&gt;$AD$5,($AE$5-$AD$5)*AE541,0)</f>
        <v>8630.8389688113039</v>
      </c>
      <c r="BI280" s="781">
        <f t="shared" ref="BI280" si="2594">IF($AE$5&gt;$AD$5,($AE$5-$AD$5)*AF541,0)</f>
        <v>9128.3400039027438</v>
      </c>
    </row>
    <row r="281" spans="1:61" s="780" customFormat="1" hidden="1" outlineLevel="1">
      <c r="M281" s="781"/>
      <c r="N281" s="782"/>
      <c r="Y281" s="781"/>
      <c r="Z281" s="782"/>
      <c r="AK281" s="781"/>
      <c r="AL281" s="782"/>
      <c r="AW281" s="781"/>
      <c r="AX281" s="782"/>
      <c r="BI281" s="781"/>
    </row>
    <row r="282" spans="1:61" s="780" customFormat="1" hidden="1" outlineLevel="1">
      <c r="A282" s="780" t="s">
        <v>359</v>
      </c>
      <c r="M282" s="781"/>
      <c r="N282" s="782"/>
      <c r="Y282" s="781"/>
      <c r="Z282" s="782"/>
      <c r="AF282" s="780">
        <f>IF($AF$5&gt;$AE$5,($AF$5-$AE$5)*B535,0)</f>
        <v>8</v>
      </c>
      <c r="AG282" s="780">
        <f t="shared" ref="AG282" si="2595">IF($AF$5&gt;$AE$5,($AF$5-$AE$5)*C535,0)</f>
        <v>8.3824000000000005</v>
      </c>
      <c r="AH282" s="780">
        <f t="shared" ref="AH282" si="2596">IF($AF$5&gt;$AE$5,($AF$5-$AE$5)*D535,0)</f>
        <v>8.790016102400001</v>
      </c>
      <c r="AI282" s="780">
        <f t="shared" ref="AI282" si="2597">IF($AF$5&gt;$AE$5,($AF$5-$AE$5)*E535,0)</f>
        <v>9.2244218586677267</v>
      </c>
      <c r="AJ282" s="780">
        <f t="shared" ref="AJ282" si="2598">IF($AF$5&gt;$AE$5,($AF$5-$AE$5)*F535,0)</f>
        <v>9.6872643857899394</v>
      </c>
      <c r="AK282" s="781">
        <f t="shared" ref="AK282" si="2599">IF($AF$5&gt;$AE$5,($AF$5-$AE$5)*G535,0)</f>
        <v>10.180266404063699</v>
      </c>
      <c r="AL282" s="782">
        <f t="shared" ref="AL282" si="2600">IF($AF$5&gt;$AE$5,($AF$5-$AE$5)*H535,0)</f>
        <v>10.705228286703797</v>
      </c>
      <c r="AM282" s="780">
        <f t="shared" ref="AM282" si="2601">IF($AF$5&gt;$AE$5,($AF$5-$AE$5)*I535,0)</f>
        <v>11.264030122404236</v>
      </c>
      <c r="AN282" s="780">
        <f t="shared" ref="AN282" si="2602">IF($AF$5&gt;$AE$5,($AF$5-$AE$5)*J535,0)</f>
        <v>11.858633792363815</v>
      </c>
      <c r="AO282" s="780">
        <f t="shared" ref="AO282" si="2603">IF($AF$5&gt;$AE$5,($AF$5-$AE$5)*K535,0)</f>
        <v>12.491085063681208</v>
      </c>
      <c r="AP282" s="780">
        <f t="shared" ref="AP282" si="2604">IF($AF$5&gt;$AE$5,($AF$5-$AE$5)*L535,0)</f>
        <v>13.163515701442698</v>
      </c>
      <c r="AQ282" s="780">
        <f t="shared" ref="AQ282" si="2605">IF($AF$5&gt;$AE$5,($AF$5-$AE$5)*M535,0)</f>
        <v>13.878145602265221</v>
      </c>
      <c r="AR282" s="780">
        <f t="shared" ref="AR282" si="2606">IF($AF$5&gt;$AE$5,($AF$5-$AE$5)*N535,0)</f>
        <v>14.640802427106802</v>
      </c>
      <c r="AS282" s="780">
        <f t="shared" ref="AS282" si="2607">IF($AF$5&gt;$AE$5,($AF$5-$AE$5)*O535,0)</f>
        <v>15.454179973028484</v>
      </c>
      <c r="AT282" s="780">
        <f t="shared" ref="AT282" si="2608">IF($AF$5&gt;$AE$5,($AF$5-$AE$5)*P535,0)</f>
        <v>16.321067007803048</v>
      </c>
      <c r="AU282" s="780">
        <f t="shared" ref="AU282" si="2609">IF($AF$5&gt;$AE$5,($AF$5-$AE$5)*Q535,0)</f>
        <v>17.244348126107901</v>
      </c>
      <c r="AV282" s="780">
        <f t="shared" ref="AV282" si="2610">IF($AF$5&gt;$AE$5,($AF$5-$AE$5)*R535,0)</f>
        <v>18.227004594103096</v>
      </c>
      <c r="AW282" s="781">
        <f t="shared" ref="AW282" si="2611">IF($AF$5&gt;$AE$5,($AF$5-$AE$5)*S535,0)</f>
        <v>19.272115194972702</v>
      </c>
      <c r="AX282" s="782">
        <f t="shared" ref="AX282" si="2612">IF($AF$5&gt;$AE$5,($AF$5-$AE$5)*T535,0)</f>
        <v>20.382857089151276</v>
      </c>
      <c r="AY282" s="780">
        <f t="shared" ref="AY282" si="2613">IF($AF$5&gt;$AE$5,($AF$5-$AE$5)*U535,0)</f>
        <v>21.56250670407784</v>
      </c>
      <c r="AZ282" s="780">
        <f t="shared" ref="AZ282" si="2614">IF($AF$5&gt;$AE$5,($AF$5-$AE$5)*V535,0)</f>
        <v>22.814440669410335</v>
      </c>
      <c r="BA282" s="780">
        <f t="shared" ref="BA282" si="2615">IF($AF$5&gt;$AE$5,($AF$5-$AE$5)*W535,0)</f>
        <v>24.142136814686012</v>
      </c>
      <c r="BB282" s="780">
        <f t="shared" ref="BB282" si="2616">IF($AF$5&gt;$AE$5,($AF$5-$AE$5)*X535,0)</f>
        <v>25.549175247421399</v>
      </c>
      <c r="BC282" s="780">
        <f t="shared" ref="BC282" si="2617">IF($AF$5&gt;$AE$5,($AF$5-$AE$5)*Y535,0)</f>
        <v>27.039239530601542</v>
      </c>
      <c r="BD282" s="780">
        <f t="shared" ref="BD282" si="2618">IF($AF$5&gt;$AE$5,($AF$5-$AE$5)*Z535,0)</f>
        <v>28.620747034243404</v>
      </c>
      <c r="BE282" s="780">
        <f t="shared" ref="BE282" si="2619">IF($AF$5&gt;$AE$5,($AF$5-$AE$5)*AA535,0)</f>
        <v>30.297832899152603</v>
      </c>
      <c r="BF282" s="780">
        <f t="shared" ref="BF282" si="2620">IF($AF$5&gt;$AE$5,($AF$5-$AE$5)*AB535,0)</f>
        <v>32.074721942842451</v>
      </c>
      <c r="BG282" s="780">
        <f t="shared" ref="BG282" si="2621">IF($AF$5&gt;$AE$5,($AF$5-$AE$5)*AC535,0)</f>
        <v>33.955728473829772</v>
      </c>
      <c r="BH282" s="780">
        <f t="shared" ref="BH282" si="2622">IF($AF$5&gt;$AE$5,($AF$5-$AE$5)*AD535,0)</f>
        <v>35.945256397317038</v>
      </c>
      <c r="BI282" s="781">
        <f t="shared" ref="BI282" si="2623">IF($AF$5&gt;$AE$5,($AF$5-$AE$5)*AE535,0)</f>
        <v>38.047799652671507</v>
      </c>
    </row>
    <row r="283" spans="1:61" s="780" customFormat="1" hidden="1" outlineLevel="1">
      <c r="A283" s="780" t="str">
        <f>$A$536</f>
        <v>Leads</v>
      </c>
      <c r="M283" s="781"/>
      <c r="N283" s="782"/>
      <c r="Y283" s="781"/>
      <c r="Z283" s="782"/>
      <c r="AF283" s="780">
        <f>IF($AF$5&gt;$AE$5,($AF$5-$AE$5)*B536,0)</f>
        <v>20</v>
      </c>
      <c r="AG283" s="780">
        <f t="shared" ref="AG283:BI283" si="2624">IF($AF$5&gt;$AE$5,($AF$5-$AE$5)*C536,0)</f>
        <v>20.8</v>
      </c>
      <c r="AH283" s="780">
        <f t="shared" si="2624"/>
        <v>21.632000000000001</v>
      </c>
      <c r="AI283" s="780">
        <f t="shared" si="2624"/>
        <v>22.497280000000003</v>
      </c>
      <c r="AJ283" s="780">
        <f t="shared" si="2624"/>
        <v>23.397171200000006</v>
      </c>
      <c r="AK283" s="781">
        <f t="shared" si="2624"/>
        <v>24.333058048000009</v>
      </c>
      <c r="AL283" s="782">
        <f t="shared" si="2624"/>
        <v>25.30638036992001</v>
      </c>
      <c r="AM283" s="780">
        <f t="shared" si="2624"/>
        <v>26.318635584716812</v>
      </c>
      <c r="AN283" s="780">
        <f t="shared" si="2624"/>
        <v>27.371381008105487</v>
      </c>
      <c r="AO283" s="780">
        <f t="shared" si="2624"/>
        <v>28.466236248429709</v>
      </c>
      <c r="AP283" s="780">
        <f t="shared" si="2624"/>
        <v>29.6048856983669</v>
      </c>
      <c r="AQ283" s="780">
        <f t="shared" si="2624"/>
        <v>30.789081126301578</v>
      </c>
      <c r="AR283" s="780">
        <f t="shared" si="2624"/>
        <v>32.02064437135364</v>
      </c>
      <c r="AS283" s="780">
        <f t="shared" si="2624"/>
        <v>33.301470146207784</v>
      </c>
      <c r="AT283" s="780">
        <f t="shared" si="2624"/>
        <v>34.633528952056096</v>
      </c>
      <c r="AU283" s="780">
        <f t="shared" si="2624"/>
        <v>36.018870110138344</v>
      </c>
      <c r="AV283" s="780">
        <f t="shared" si="2624"/>
        <v>37.45962491454388</v>
      </c>
      <c r="AW283" s="781">
        <f t="shared" si="2624"/>
        <v>38.958009911125636</v>
      </c>
      <c r="AX283" s="782">
        <f t="shared" si="2624"/>
        <v>40.516330307570662</v>
      </c>
      <c r="AY283" s="780">
        <f t="shared" si="2624"/>
        <v>42.136983519873489</v>
      </c>
      <c r="AZ283" s="780">
        <f t="shared" si="2624"/>
        <v>43.822462860668423</v>
      </c>
      <c r="BA283" s="780">
        <f t="shared" si="2624"/>
        <v>45.57536137509517</v>
      </c>
      <c r="BB283" s="780">
        <f t="shared" si="2624"/>
        <v>47.398375830098978</v>
      </c>
      <c r="BC283" s="780">
        <f t="shared" si="2624"/>
        <v>49.29431086330294</v>
      </c>
      <c r="BD283" s="780">
        <f t="shared" si="2624"/>
        <v>51.26608329783506</v>
      </c>
      <c r="BE283" s="780">
        <f t="shared" si="2624"/>
        <v>53.316726629748466</v>
      </c>
      <c r="BF283" s="780">
        <f t="shared" si="2624"/>
        <v>55.44939569493841</v>
      </c>
      <c r="BG283" s="780">
        <f t="shared" si="2624"/>
        <v>57.667371522735948</v>
      </c>
      <c r="BH283" s="780">
        <f t="shared" si="2624"/>
        <v>59.974066383645386</v>
      </c>
      <c r="BI283" s="781">
        <f t="shared" si="2624"/>
        <v>62.373029038991206</v>
      </c>
    </row>
    <row r="284" spans="1:61" s="780" customFormat="1" hidden="1" outlineLevel="1">
      <c r="A284" s="780" t="str">
        <f>$A$537</f>
        <v>Audits</v>
      </c>
      <c r="M284" s="781"/>
      <c r="N284" s="782"/>
      <c r="Y284" s="781"/>
      <c r="Z284" s="782"/>
      <c r="AF284" s="780">
        <f t="shared" ref="AF284:BI284" si="2625">IF($AF$5&gt;$AE$5,($AF$5-$AE$5)*B537,0)</f>
        <v>7.8466960352422905</v>
      </c>
      <c r="AG284" s="780">
        <f t="shared" si="2625"/>
        <v>8.1805560257268723</v>
      </c>
      <c r="AH284" s="780">
        <f t="shared" si="2625"/>
        <v>8.556158139083367</v>
      </c>
      <c r="AI284" s="780">
        <f t="shared" si="2625"/>
        <v>8.9523024684242678</v>
      </c>
      <c r="AJ284" s="780">
        <f t="shared" si="2625"/>
        <v>9.3702787716763911</v>
      </c>
      <c r="AK284" s="781">
        <f t="shared" si="2625"/>
        <v>9.811453812672589</v>
      </c>
      <c r="AL284" s="782">
        <f t="shared" si="2625"/>
        <v>10.277273093546537</v>
      </c>
      <c r="AM284" s="780">
        <f t="shared" si="2625"/>
        <v>10.769262132442826</v>
      </c>
      <c r="AN284" s="780">
        <f t="shared" si="2625"/>
        <v>11.289027268145146</v>
      </c>
      <c r="AO284" s="780">
        <f t="shared" si="2625"/>
        <v>11.838255995812663</v>
      </c>
      <c r="AP284" s="780">
        <f t="shared" si="2625"/>
        <v>12.418716863200714</v>
      </c>
      <c r="AQ284" s="780">
        <f t="shared" si="2625"/>
        <v>13.032258982971491</v>
      </c>
      <c r="AR284" s="780">
        <f t="shared" si="2625"/>
        <v>13.681748513642187</v>
      </c>
      <c r="AS284" s="780">
        <f t="shared" si="2625"/>
        <v>14.367753613373562</v>
      </c>
      <c r="AT284" s="780">
        <f t="shared" si="2625"/>
        <v>15.094450719778326</v>
      </c>
      <c r="AU284" s="780">
        <f t="shared" si="2625"/>
        <v>15.864274704794562</v>
      </c>
      <c r="AV284" s="780">
        <f t="shared" si="2625"/>
        <v>16.679756380011042</v>
      </c>
      <c r="AW284" s="781">
        <f t="shared" si="2625"/>
        <v>17.543519083999907</v>
      </c>
      <c r="AX284" s="782">
        <f t="shared" si="2625"/>
        <v>18.458274953232511</v>
      </c>
      <c r="AY284" s="780">
        <f t="shared" si="2625"/>
        <v>19.426821075192013</v>
      </c>
      <c r="AZ284" s="780">
        <f t="shared" si="2625"/>
        <v>20.452035738521069</v>
      </c>
      <c r="BA284" s="780">
        <f t="shared" si="2625"/>
        <v>21.536874999893016</v>
      </c>
      <c r="BB284" s="780">
        <f t="shared" si="2625"/>
        <v>22.68436978011453</v>
      </c>
      <c r="BC284" s="780">
        <f t="shared" si="2625"/>
        <v>23.897623683136111</v>
      </c>
      <c r="BD284" s="780">
        <f t="shared" si="2625"/>
        <v>25.181305860088621</v>
      </c>
      <c r="BE284" s="780">
        <f t="shared" si="2625"/>
        <v>26.509539923847804</v>
      </c>
      <c r="BF284" s="780">
        <f t="shared" si="2625"/>
        <v>27.911267150389076</v>
      </c>
      <c r="BG284" s="780">
        <f t="shared" si="2625"/>
        <v>29.389855755030599</v>
      </c>
      <c r="BH284" s="780">
        <f t="shared" si="2625"/>
        <v>30.948754132327405</v>
      </c>
      <c r="BI284" s="781">
        <f t="shared" si="2625"/>
        <v>32.591491812026852</v>
      </c>
    </row>
    <row r="285" spans="1:61" s="780" customFormat="1" hidden="1" outlineLevel="1">
      <c r="A285" s="780" t="str">
        <f>$A$538</f>
        <v>Retrofit</v>
      </c>
      <c r="M285" s="781"/>
      <c r="N285" s="782"/>
      <c r="Y285" s="781"/>
      <c r="Z285" s="782"/>
      <c r="AF285" s="780">
        <f t="shared" ref="AF285:BI285" si="2626">IF($AF$5&gt;$AE$5,($AF$5-$AE$5)*B538,0)</f>
        <v>3.2741145374449339</v>
      </c>
      <c r="AG285" s="780">
        <f t="shared" si="2626"/>
        <v>3.4211429613668018</v>
      </c>
      <c r="AH285" s="780">
        <f t="shared" si="2626"/>
        <v>3.6089747928733105</v>
      </c>
      <c r="AI285" s="780">
        <f t="shared" si="2626"/>
        <v>3.80943356172375</v>
      </c>
      <c r="AJ285" s="780">
        <f t="shared" si="2626"/>
        <v>4.023495407635</v>
      </c>
      <c r="AK285" s="781">
        <f t="shared" si="2626"/>
        <v>4.2522035025469851</v>
      </c>
      <c r="AL285" s="782">
        <f t="shared" si="2626"/>
        <v>4.4966691121698661</v>
      </c>
      <c r="AM285" s="780">
        <f t="shared" si="2626"/>
        <v>4.7580720961942786</v>
      </c>
      <c r="AN285" s="780">
        <f t="shared" si="2626"/>
        <v>5.0376608331454982</v>
      </c>
      <c r="AO285" s="780">
        <f t="shared" si="2626"/>
        <v>5.3367515834608863</v>
      </c>
      <c r="AP285" s="780">
        <f t="shared" si="2626"/>
        <v>5.6567273345837759</v>
      </c>
      <c r="AQ285" s="780">
        <f t="shared" si="2626"/>
        <v>5.9990362027609887</v>
      </c>
      <c r="AR285" s="780">
        <f t="shared" si="2626"/>
        <v>6.3656710756275423</v>
      </c>
      <c r="AS285" s="780">
        <f t="shared" si="2626"/>
        <v>6.7527905497767229</v>
      </c>
      <c r="AT285" s="780">
        <f t="shared" si="2626"/>
        <v>7.1679946156961591</v>
      </c>
      <c r="AU285" s="780">
        <f t="shared" si="2626"/>
        <v>7.6132687220703144</v>
      </c>
      <c r="AV285" s="780">
        <f t="shared" si="2626"/>
        <v>8.0906802436821312</v>
      </c>
      <c r="AW285" s="781">
        <f t="shared" si="2626"/>
        <v>8.6023733713231554</v>
      </c>
      <c r="AX285" s="782">
        <f t="shared" si="2626"/>
        <v>9.1505635635964193</v>
      </c>
      <c r="AY285" s="780">
        <f t="shared" si="2626"/>
        <v>9.7375318038296879</v>
      </c>
      <c r="AZ285" s="780">
        <f t="shared" si="2626"/>
        <v>10.365618926205418</v>
      </c>
      <c r="BA285" s="780">
        <f t="shared" si="2626"/>
        <v>11.037220281947453</v>
      </c>
      <c r="BB285" s="780">
        <f t="shared" si="2626"/>
        <v>11.754781008099396</v>
      </c>
      <c r="BC285" s="780">
        <f t="shared" si="2626"/>
        <v>12.520792138493604</v>
      </c>
      <c r="BD285" s="780">
        <f t="shared" si="2626"/>
        <v>13.338724403473293</v>
      </c>
      <c r="BE285" s="780">
        <f t="shared" si="2626"/>
        <v>14.173899457244383</v>
      </c>
      <c r="BF285" s="780">
        <f t="shared" si="2626"/>
        <v>15.06160093928195</v>
      </c>
      <c r="BG285" s="780">
        <f t="shared" si="2626"/>
        <v>16.004396182835173</v>
      </c>
      <c r="BH285" s="780">
        <f t="shared" si="2626"/>
        <v>17.004903510314108</v>
      </c>
      <c r="BI285" s="781">
        <f t="shared" si="2626"/>
        <v>18.065792108500531</v>
      </c>
    </row>
    <row r="286" spans="1:61" s="780" customFormat="1" hidden="1" outlineLevel="1">
      <c r="A286" s="780" t="str">
        <f>$A$539</f>
        <v>Revenue</v>
      </c>
      <c r="M286" s="781"/>
      <c r="N286" s="782"/>
      <c r="Y286" s="781"/>
      <c r="Z286" s="782"/>
      <c r="AF286" s="780">
        <f t="shared" ref="AF286:BI286" si="2627">IF($AF$5&gt;$AE$5,($AF$5-$AE$5)*B539,0)</f>
        <v>20728.933920704847</v>
      </c>
      <c r="AG286" s="780">
        <f t="shared" si="2627"/>
        <v>22334.796424579898</v>
      </c>
      <c r="AH286" s="780">
        <f t="shared" si="2627"/>
        <v>24261.379157843236</v>
      </c>
      <c r="AI286" s="780">
        <f t="shared" si="2627"/>
        <v>27109.041527058151</v>
      </c>
      <c r="AJ286" s="780">
        <f t="shared" si="2627"/>
        <v>29411.012063918617</v>
      </c>
      <c r="AK286" s="781">
        <f t="shared" si="2627"/>
        <v>31904.731979940196</v>
      </c>
      <c r="AL286" s="782">
        <f t="shared" si="2627"/>
        <v>34157.516935543477</v>
      </c>
      <c r="AM286" s="780">
        <f t="shared" si="2627"/>
        <v>36585.144030160183</v>
      </c>
      <c r="AN286" s="780">
        <f t="shared" si="2627"/>
        <v>39202.024549786183</v>
      </c>
      <c r="AO286" s="780">
        <f t="shared" si="2627"/>
        <v>41489.907780370268</v>
      </c>
      <c r="AP286" s="780">
        <f t="shared" si="2627"/>
        <v>43934.936399734994</v>
      </c>
      <c r="AQ286" s="780">
        <f t="shared" si="2627"/>
        <v>46547.932291314006</v>
      </c>
      <c r="AR286" s="780">
        <f t="shared" si="2627"/>
        <v>48812.622611071754</v>
      </c>
      <c r="AS286" s="780">
        <f t="shared" si="2627"/>
        <v>51746.745047763237</v>
      </c>
      <c r="AT286" s="780">
        <f t="shared" si="2627"/>
        <v>54891.491572423707</v>
      </c>
      <c r="AU286" s="780">
        <f t="shared" si="2627"/>
        <v>58261.704056497998</v>
      </c>
      <c r="AV286" s="780">
        <f t="shared" si="2627"/>
        <v>61872.837706819933</v>
      </c>
      <c r="AW286" s="781">
        <f t="shared" si="2627"/>
        <v>65740.922877654608</v>
      </c>
      <c r="AX286" s="782">
        <f t="shared" si="2627"/>
        <v>69882.52360507095</v>
      </c>
      <c r="AY286" s="780">
        <f t="shared" si="2627"/>
        <v>74314.694687467563</v>
      </c>
      <c r="AZ286" s="780">
        <f t="shared" si="2627"/>
        <v>79054.939292696072</v>
      </c>
      <c r="BA286" s="780">
        <f t="shared" si="2627"/>
        <v>84121.169122674793</v>
      </c>
      <c r="BB286" s="780">
        <f t="shared" si="2627"/>
        <v>89531.669104034416</v>
      </c>
      <c r="BC286" s="780">
        <f t="shared" si="2627"/>
        <v>95305.068401244935</v>
      </c>
      <c r="BD286" s="780">
        <f t="shared" si="2627"/>
        <v>101467.05911812153</v>
      </c>
      <c r="BE286" s="780">
        <f t="shared" si="2627"/>
        <v>107757.45533319093</v>
      </c>
      <c r="BF286" s="780">
        <f t="shared" si="2627"/>
        <v>114440.84237520174</v>
      </c>
      <c r="BG286" s="780">
        <f t="shared" si="2627"/>
        <v>121536.40957263115</v>
      </c>
      <c r="BH286" s="780">
        <f t="shared" si="2627"/>
        <v>129063.73094559579</v>
      </c>
      <c r="BI286" s="781">
        <f t="shared" si="2627"/>
        <v>137042.76458890198</v>
      </c>
    </row>
    <row r="287" spans="1:61" s="780" customFormat="1" hidden="1" outlineLevel="1">
      <c r="A287" s="780" t="str">
        <f>$A$540</f>
        <v>Net Income</v>
      </c>
      <c r="M287" s="781"/>
      <c r="N287" s="782"/>
      <c r="Y287" s="781"/>
      <c r="Z287" s="782"/>
      <c r="AF287" s="780">
        <f t="shared" ref="AF287:BI287" si="2628">IF($AF$5&gt;$AE$5,($AF$5-$AE$5)*B540,0)</f>
        <v>-33184.964170807638</v>
      </c>
      <c r="AG287" s="780">
        <f t="shared" si="2628"/>
        <v>-14837.14568100147</v>
      </c>
      <c r="AH287" s="780">
        <f t="shared" si="2628"/>
        <v>-14268.717003781454</v>
      </c>
      <c r="AI287" s="780">
        <f t="shared" si="2628"/>
        <v>-13405.013342705901</v>
      </c>
      <c r="AJ287" s="780">
        <f t="shared" si="2628"/>
        <v>-12685.072540306182</v>
      </c>
      <c r="AK287" s="781">
        <f t="shared" si="2628"/>
        <v>-17604.404805924125</v>
      </c>
      <c r="AL287" s="782">
        <f t="shared" si="2628"/>
        <v>-15156.124616524507</v>
      </c>
      <c r="AM287" s="780">
        <f t="shared" si="2628"/>
        <v>-13971.31609512752</v>
      </c>
      <c r="AN287" s="780">
        <f t="shared" si="2628"/>
        <v>-13027.555718246989</v>
      </c>
      <c r="AO287" s="780">
        <f t="shared" si="2628"/>
        <v>-12167.444211420123</v>
      </c>
      <c r="AP287" s="780">
        <f t="shared" si="2628"/>
        <v>-11228.257793696379</v>
      </c>
      <c r="AQ287" s="780">
        <f t="shared" si="2628"/>
        <v>-10203.756141625032</v>
      </c>
      <c r="AR287" s="780">
        <f t="shared" si="2628"/>
        <v>-8928.9645055486872</v>
      </c>
      <c r="AS287" s="780">
        <f t="shared" si="2628"/>
        <v>-6565.2951604608934</v>
      </c>
      <c r="AT287" s="780">
        <f t="shared" si="2628"/>
        <v>-7951.6323699894165</v>
      </c>
      <c r="AU287" s="780">
        <f t="shared" si="2628"/>
        <v>-6483.5792380389103</v>
      </c>
      <c r="AV287" s="780">
        <f t="shared" si="2628"/>
        <v>-5307.1722049655655</v>
      </c>
      <c r="AW287" s="781">
        <f t="shared" si="2628"/>
        <v>-3966.3475887754175</v>
      </c>
      <c r="AX287" s="782">
        <f t="shared" si="2628"/>
        <v>-2466.8649492429358</v>
      </c>
      <c r="AY287" s="780">
        <f t="shared" si="2628"/>
        <v>-826.64406907309967</v>
      </c>
      <c r="AZ287" s="780">
        <f t="shared" si="2628"/>
        <v>-10770.241509529737</v>
      </c>
      <c r="BA287" s="780">
        <f t="shared" si="2628"/>
        <v>-19174.962642260827</v>
      </c>
      <c r="BB287" s="780">
        <f t="shared" si="2628"/>
        <v>-16925.443971653156</v>
      </c>
      <c r="BC287" s="780">
        <f t="shared" si="2628"/>
        <v>-25696.207513260568</v>
      </c>
      <c r="BD287" s="780">
        <f t="shared" si="2628"/>
        <v>-30466.524333613874</v>
      </c>
      <c r="BE287" s="780">
        <f t="shared" si="2628"/>
        <v>-30644.209260269774</v>
      </c>
      <c r="BF287" s="780">
        <f t="shared" si="2628"/>
        <v>-25743.81021126837</v>
      </c>
      <c r="BG287" s="780">
        <f t="shared" si="2628"/>
        <v>-25374.965354328699</v>
      </c>
      <c r="BH287" s="780">
        <f t="shared" si="2628"/>
        <v>-21685.632709168298</v>
      </c>
      <c r="BI287" s="781">
        <f t="shared" si="2628"/>
        <v>-17735.699053003482</v>
      </c>
    </row>
    <row r="288" spans="1:61" s="780" customFormat="1" hidden="1" outlineLevel="1">
      <c r="A288" s="780" t="str">
        <f>$A$541</f>
        <v>Program Revenue</v>
      </c>
      <c r="M288" s="781"/>
      <c r="N288" s="782"/>
      <c r="Y288" s="781"/>
      <c r="Z288" s="782"/>
      <c r="AF288" s="780">
        <f t="shared" ref="AF288" si="2629">IF($AF$5&gt;$AE$5,($AF$5-$AE$5)*B541,0)</f>
        <v>1850</v>
      </c>
      <c r="AG288" s="780">
        <f t="shared" ref="AG288" si="2630">IF($AF$5&gt;$AE$5,($AF$5-$AE$5)*C541,0)</f>
        <v>1937.1558751999999</v>
      </c>
      <c r="AH288" s="780">
        <f t="shared" ref="AH288" si="2631">IF($AF$5&gt;$AE$5,($AF$5-$AE$5)*D541,0)</f>
        <v>2030.0190587848704</v>
      </c>
      <c r="AI288" s="780">
        <f t="shared" ref="AI288" si="2632">IF($AF$5&gt;$AE$5,($AF$5-$AE$5)*E541,0)</f>
        <v>2128.941218449359</v>
      </c>
      <c r="AJ288" s="780">
        <f t="shared" ref="AJ288" si="2633">IF($AF$5&gt;$AE$5,($AF$5-$AE$5)*F541,0)</f>
        <v>2234.2900324673633</v>
      </c>
      <c r="AK288" s="781">
        <f t="shared" ref="AK288" si="2634">IF($AF$5&gt;$AE$5,($AF$5-$AE$5)*G541,0)</f>
        <v>2346.4496034726417</v>
      </c>
      <c r="AL288" s="782">
        <f t="shared" ref="AL288" si="2635">IF($AF$5&gt;$AE$5,($AF$5-$AE$5)*H541,0)</f>
        <v>2465.8208731027789</v>
      </c>
      <c r="AM288" s="780">
        <f t="shared" ref="AM288" si="2636">IF($AF$5&gt;$AE$5,($AF$5-$AE$5)*I541,0)</f>
        <v>2592.8220377557409</v>
      </c>
      <c r="AN288" s="780">
        <f t="shared" ref="AN288" si="2637">IF($AF$5&gt;$AE$5,($AF$5-$AE$5)*J541,0)</f>
        <v>2727.8889657926175</v>
      </c>
      <c r="AO288" s="780">
        <f t="shared" ref="AO288" si="2638">IF($AF$5&gt;$AE$5,($AF$5-$AE$5)*K541,0)</f>
        <v>2871.4756166091629</v>
      </c>
      <c r="AP288" s="780">
        <f t="shared" ref="AP288" si="2639">IF($AF$5&gt;$AE$5,($AF$5-$AE$5)*L541,0)</f>
        <v>3024.0544620924302</v>
      </c>
      <c r="AQ288" s="780">
        <f t="shared" ref="AQ288" si="2640">IF($AF$5&gt;$AE$5,($AF$5-$AE$5)*M541,0)</f>
        <v>3186.1169110768442</v>
      </c>
      <c r="AR288" s="780">
        <f t="shared" ref="AR288" si="2641">IF($AF$5&gt;$AE$5,($AF$5-$AE$5)*N541,0)</f>
        <v>3358.9807376414046</v>
      </c>
      <c r="AS288" s="780">
        <f t="shared" ref="AS288" si="2642">IF($AF$5&gt;$AE$5,($AF$5-$AE$5)*O541,0)</f>
        <v>3543.2416591361321</v>
      </c>
      <c r="AT288" s="780">
        <f t="shared" ref="AT288" si="2643">IF($AF$5&gt;$AE$5,($AF$5-$AE$5)*P541,0)</f>
        <v>3739.515514961849</v>
      </c>
      <c r="AU288" s="780">
        <f t="shared" ref="AU288" si="2644">IF($AF$5&gt;$AE$5,($AF$5-$AE$5)*Q541,0)</f>
        <v>3948.4383904349252</v>
      </c>
      <c r="AV288" s="780">
        <f t="shared" ref="AV288" si="2645">IF($AF$5&gt;$AE$5,($AF$5-$AE$5)*R541,0)</f>
        <v>4170.6667372134807</v>
      </c>
      <c r="AW288" s="781">
        <f t="shared" ref="AW288" si="2646">IF($AF$5&gt;$AE$5,($AF$5-$AE$5)*S541,0)</f>
        <v>4406.877493173627</v>
      </c>
      <c r="AX288" s="782">
        <f t="shared" ref="AX288" si="2647">IF($AF$5&gt;$AE$5,($AF$5-$AE$5)*T541,0)</f>
        <v>4657.7682048703127</v>
      </c>
      <c r="AY288" s="780">
        <f t="shared" ref="AY288" si="2648">IF($AF$5&gt;$AE$5,($AF$5-$AE$5)*U541,0)</f>
        <v>4924.0571559566215</v>
      </c>
      <c r="AZ288" s="780">
        <f t="shared" ref="AZ288" si="2649">IF($AF$5&gt;$AE$5,($AF$5-$AE$5)*V541,0)</f>
        <v>5206.4835051661303</v>
      </c>
      <c r="BA288" s="780">
        <f t="shared" ref="BA288" si="2650">IF($AF$5&gt;$AE$5,($AF$5-$AE$5)*W541,0)</f>
        <v>5505.8074376836603</v>
      </c>
      <c r="BB288" s="780">
        <f t="shared" ref="BB288" si="2651">IF($AF$5&gt;$AE$5,($AF$5-$AE$5)*X541,0)</f>
        <v>5822.8103339388172</v>
      </c>
      <c r="BC288" s="780">
        <f t="shared" ref="BC288" si="2652">IF($AF$5&gt;$AE$5,($AF$5-$AE$5)*Y541,0)</f>
        <v>6158.2949600526208</v>
      </c>
      <c r="BD288" s="780">
        <f t="shared" ref="BD288" si="2653">IF($AF$5&gt;$AE$5,($AF$5-$AE$5)*Z541,0)</f>
        <v>6514.1392664878649</v>
      </c>
      <c r="BE288" s="780">
        <f t="shared" ref="BE288" si="2654">IF($AF$5&gt;$AE$5,($AF$5-$AE$5)*AA541,0)</f>
        <v>6891.2420929122554</v>
      </c>
      <c r="BF288" s="780">
        <f t="shared" ref="BF288" si="2655">IF($AF$5&gt;$AE$5,($AF$5-$AE$5)*AB541,0)</f>
        <v>7290.5201481641989</v>
      </c>
      <c r="BG288" s="780">
        <f t="shared" ref="BG288" si="2656">IF($AF$5&gt;$AE$5,($AF$5-$AE$5)*AC541,0)</f>
        <v>7712.9078999165331</v>
      </c>
      <c r="BH288" s="780">
        <f t="shared" ref="BH288" si="2657">IF($AF$5&gt;$AE$5,($AF$5-$AE$5)*AD541,0)</f>
        <v>8159.357530652579</v>
      </c>
      <c r="BI288" s="781">
        <f t="shared" ref="BI288" si="2658">IF($AF$5&gt;$AE$5,($AF$5-$AE$5)*AE541,0)</f>
        <v>8630.8389688113039</v>
      </c>
    </row>
    <row r="289" spans="1:61" s="780" customFormat="1" hidden="1" outlineLevel="1">
      <c r="M289" s="781"/>
      <c r="N289" s="782"/>
      <c r="Y289" s="781"/>
      <c r="Z289" s="782"/>
      <c r="AK289" s="781"/>
      <c r="AL289" s="782"/>
      <c r="AW289" s="781"/>
      <c r="AX289" s="782"/>
      <c r="BI289" s="781"/>
    </row>
    <row r="290" spans="1:61" s="780" customFormat="1" hidden="1" outlineLevel="1">
      <c r="A290" s="780" t="s">
        <v>359</v>
      </c>
      <c r="M290" s="781"/>
      <c r="N290" s="782"/>
      <c r="Y290" s="781"/>
      <c r="Z290" s="782"/>
      <c r="AG290" s="780">
        <f>IF($AG$5&gt;$AF$5,($AG$5-$AF$5)*B535,0)</f>
        <v>0</v>
      </c>
      <c r="AH290" s="780">
        <f t="shared" ref="AH290" si="2659">IF($AG$5&gt;$AF$5,($AG$5-$AF$5)*C535,0)</f>
        <v>0</v>
      </c>
      <c r="AI290" s="780">
        <f t="shared" ref="AI290" si="2660">IF($AG$5&gt;$AF$5,($AG$5-$AF$5)*D535,0)</f>
        <v>0</v>
      </c>
      <c r="AJ290" s="780">
        <f t="shared" ref="AJ290" si="2661">IF($AG$5&gt;$AF$5,($AG$5-$AF$5)*E535,0)</f>
        <v>0</v>
      </c>
      <c r="AK290" s="781">
        <f t="shared" ref="AK290" si="2662">IF($AG$5&gt;$AF$5,($AG$5-$AF$5)*F535,0)</f>
        <v>0</v>
      </c>
      <c r="AL290" s="782">
        <f t="shared" ref="AL290" si="2663">IF($AG$5&gt;$AF$5,($AG$5-$AF$5)*G535,0)</f>
        <v>0</v>
      </c>
      <c r="AM290" s="780">
        <f t="shared" ref="AM290" si="2664">IF($AG$5&gt;$AF$5,($AG$5-$AF$5)*H535,0)</f>
        <v>0</v>
      </c>
      <c r="AN290" s="780">
        <f t="shared" ref="AN290" si="2665">IF($AG$5&gt;$AF$5,($AG$5-$AF$5)*I535,0)</f>
        <v>0</v>
      </c>
      <c r="AO290" s="780">
        <f t="shared" ref="AO290" si="2666">IF($AG$5&gt;$AF$5,($AG$5-$AF$5)*J535,0)</f>
        <v>0</v>
      </c>
      <c r="AP290" s="780">
        <f t="shared" ref="AP290" si="2667">IF($AG$5&gt;$AF$5,($AG$5-$AF$5)*K535,0)</f>
        <v>0</v>
      </c>
      <c r="AQ290" s="780">
        <f t="shared" ref="AQ290" si="2668">IF($AG$5&gt;$AF$5,($AG$5-$AF$5)*L535,0)</f>
        <v>0</v>
      </c>
      <c r="AR290" s="780">
        <f t="shared" ref="AR290" si="2669">IF($AG$5&gt;$AF$5,($AG$5-$AF$5)*M535,0)</f>
        <v>0</v>
      </c>
      <c r="AS290" s="780">
        <f t="shared" ref="AS290" si="2670">IF($AG$5&gt;$AF$5,($AG$5-$AF$5)*N535,0)</f>
        <v>0</v>
      </c>
      <c r="AT290" s="780">
        <f t="shared" ref="AT290" si="2671">IF($AG$5&gt;$AF$5,($AG$5-$AF$5)*O535,0)</f>
        <v>0</v>
      </c>
      <c r="AU290" s="780">
        <f t="shared" ref="AU290" si="2672">IF($AG$5&gt;$AF$5,($AG$5-$AF$5)*P535,0)</f>
        <v>0</v>
      </c>
      <c r="AV290" s="780">
        <f t="shared" ref="AV290" si="2673">IF($AG$5&gt;$AF$5,($AG$5-$AF$5)*Q535,0)</f>
        <v>0</v>
      </c>
      <c r="AW290" s="781">
        <f t="shared" ref="AW290" si="2674">IF($AG$5&gt;$AF$5,($AG$5-$AF$5)*R535,0)</f>
        <v>0</v>
      </c>
      <c r="AX290" s="782">
        <f t="shared" ref="AX290" si="2675">IF($AG$5&gt;$AF$5,($AG$5-$AF$5)*S535,0)</f>
        <v>0</v>
      </c>
      <c r="AY290" s="780">
        <f t="shared" ref="AY290" si="2676">IF($AG$5&gt;$AF$5,($AG$5-$AF$5)*T535,0)</f>
        <v>0</v>
      </c>
      <c r="AZ290" s="780">
        <f t="shared" ref="AZ290" si="2677">IF($AG$5&gt;$AF$5,($AG$5-$AF$5)*U535,0)</f>
        <v>0</v>
      </c>
      <c r="BA290" s="780">
        <f t="shared" ref="BA290" si="2678">IF($AG$5&gt;$AF$5,($AG$5-$AF$5)*V535,0)</f>
        <v>0</v>
      </c>
      <c r="BB290" s="780">
        <f t="shared" ref="BB290" si="2679">IF($AG$5&gt;$AF$5,($AG$5-$AF$5)*W535,0)</f>
        <v>0</v>
      </c>
      <c r="BC290" s="780">
        <f t="shared" ref="BC290" si="2680">IF($AG$5&gt;$AF$5,($AG$5-$AF$5)*X535,0)</f>
        <v>0</v>
      </c>
      <c r="BD290" s="780">
        <f t="shared" ref="BD290" si="2681">IF($AG$5&gt;$AF$5,($AG$5-$AF$5)*Y535,0)</f>
        <v>0</v>
      </c>
      <c r="BE290" s="780">
        <f t="shared" ref="BE290" si="2682">IF($AG$5&gt;$AF$5,($AG$5-$AF$5)*Z535,0)</f>
        <v>0</v>
      </c>
      <c r="BF290" s="780">
        <f t="shared" ref="BF290" si="2683">IF($AG$5&gt;$AF$5,($AG$5-$AF$5)*AA535,0)</f>
        <v>0</v>
      </c>
      <c r="BG290" s="780">
        <f t="shared" ref="BG290" si="2684">IF($AG$5&gt;$AF$5,($AG$5-$AF$5)*AB535,0)</f>
        <v>0</v>
      </c>
      <c r="BH290" s="780">
        <f t="shared" ref="BH290" si="2685">IF($AG$5&gt;$AF$5,($AG$5-$AF$5)*AC535,0)</f>
        <v>0</v>
      </c>
      <c r="BI290" s="781">
        <f t="shared" ref="BI290" si="2686">IF($AG$5&gt;$AF$5,($AG$5-$AF$5)*AD535,0)</f>
        <v>0</v>
      </c>
    </row>
    <row r="291" spans="1:61" s="780" customFormat="1" hidden="1" outlineLevel="1">
      <c r="A291" s="780" t="str">
        <f>$A$536</f>
        <v>Leads</v>
      </c>
      <c r="M291" s="781"/>
      <c r="N291" s="782"/>
      <c r="Y291" s="781"/>
      <c r="Z291" s="782"/>
      <c r="AG291" s="780">
        <f>IF($AG$5&gt;$AF$5,($AG$5-$AF$5)*B536,0)</f>
        <v>0</v>
      </c>
      <c r="AH291" s="780">
        <f t="shared" ref="AH291:BI291" si="2687">IF($AG$5&gt;$AF$5,($AG$5-$AF$5)*C536,0)</f>
        <v>0</v>
      </c>
      <c r="AI291" s="780">
        <f t="shared" si="2687"/>
        <v>0</v>
      </c>
      <c r="AJ291" s="780">
        <f t="shared" si="2687"/>
        <v>0</v>
      </c>
      <c r="AK291" s="781">
        <f t="shared" si="2687"/>
        <v>0</v>
      </c>
      <c r="AL291" s="782">
        <f t="shared" si="2687"/>
        <v>0</v>
      </c>
      <c r="AM291" s="780">
        <f t="shared" si="2687"/>
        <v>0</v>
      </c>
      <c r="AN291" s="780">
        <f t="shared" si="2687"/>
        <v>0</v>
      </c>
      <c r="AO291" s="780">
        <f t="shared" si="2687"/>
        <v>0</v>
      </c>
      <c r="AP291" s="780">
        <f t="shared" si="2687"/>
        <v>0</v>
      </c>
      <c r="AQ291" s="780">
        <f t="shared" si="2687"/>
        <v>0</v>
      </c>
      <c r="AR291" s="780">
        <f t="shared" si="2687"/>
        <v>0</v>
      </c>
      <c r="AS291" s="780">
        <f t="shared" si="2687"/>
        <v>0</v>
      </c>
      <c r="AT291" s="780">
        <f t="shared" si="2687"/>
        <v>0</v>
      </c>
      <c r="AU291" s="780">
        <f t="shared" si="2687"/>
        <v>0</v>
      </c>
      <c r="AV291" s="780">
        <f t="shared" si="2687"/>
        <v>0</v>
      </c>
      <c r="AW291" s="781">
        <f t="shared" si="2687"/>
        <v>0</v>
      </c>
      <c r="AX291" s="782">
        <f t="shared" si="2687"/>
        <v>0</v>
      </c>
      <c r="AY291" s="780">
        <f t="shared" si="2687"/>
        <v>0</v>
      </c>
      <c r="AZ291" s="780">
        <f t="shared" si="2687"/>
        <v>0</v>
      </c>
      <c r="BA291" s="780">
        <f t="shared" si="2687"/>
        <v>0</v>
      </c>
      <c r="BB291" s="780">
        <f t="shared" si="2687"/>
        <v>0</v>
      </c>
      <c r="BC291" s="780">
        <f t="shared" si="2687"/>
        <v>0</v>
      </c>
      <c r="BD291" s="780">
        <f t="shared" si="2687"/>
        <v>0</v>
      </c>
      <c r="BE291" s="780">
        <f t="shared" si="2687"/>
        <v>0</v>
      </c>
      <c r="BF291" s="780">
        <f t="shared" si="2687"/>
        <v>0</v>
      </c>
      <c r="BG291" s="780">
        <f t="shared" si="2687"/>
        <v>0</v>
      </c>
      <c r="BH291" s="780">
        <f t="shared" si="2687"/>
        <v>0</v>
      </c>
      <c r="BI291" s="781">
        <f t="shared" si="2687"/>
        <v>0</v>
      </c>
    </row>
    <row r="292" spans="1:61" s="780" customFormat="1" hidden="1" outlineLevel="1">
      <c r="A292" s="780" t="str">
        <f>$A$537</f>
        <v>Audits</v>
      </c>
      <c r="M292" s="781"/>
      <c r="N292" s="782"/>
      <c r="Y292" s="781"/>
      <c r="Z292" s="782"/>
      <c r="AG292" s="780">
        <f t="shared" ref="AG292:BI292" si="2688">IF($AG$5&gt;$AF$5,($AG$5-$AF$5)*B537,0)</f>
        <v>0</v>
      </c>
      <c r="AH292" s="780">
        <f t="shared" si="2688"/>
        <v>0</v>
      </c>
      <c r="AI292" s="780">
        <f t="shared" si="2688"/>
        <v>0</v>
      </c>
      <c r="AJ292" s="780">
        <f t="shared" si="2688"/>
        <v>0</v>
      </c>
      <c r="AK292" s="781">
        <f t="shared" si="2688"/>
        <v>0</v>
      </c>
      <c r="AL292" s="782">
        <f t="shared" si="2688"/>
        <v>0</v>
      </c>
      <c r="AM292" s="780">
        <f t="shared" si="2688"/>
        <v>0</v>
      </c>
      <c r="AN292" s="780">
        <f t="shared" si="2688"/>
        <v>0</v>
      </c>
      <c r="AO292" s="780">
        <f t="shared" si="2688"/>
        <v>0</v>
      </c>
      <c r="AP292" s="780">
        <f t="shared" si="2688"/>
        <v>0</v>
      </c>
      <c r="AQ292" s="780">
        <f t="shared" si="2688"/>
        <v>0</v>
      </c>
      <c r="AR292" s="780">
        <f t="shared" si="2688"/>
        <v>0</v>
      </c>
      <c r="AS292" s="780">
        <f t="shared" si="2688"/>
        <v>0</v>
      </c>
      <c r="AT292" s="780">
        <f t="shared" si="2688"/>
        <v>0</v>
      </c>
      <c r="AU292" s="780">
        <f t="shared" si="2688"/>
        <v>0</v>
      </c>
      <c r="AV292" s="780">
        <f t="shared" si="2688"/>
        <v>0</v>
      </c>
      <c r="AW292" s="781">
        <f t="shared" si="2688"/>
        <v>0</v>
      </c>
      <c r="AX292" s="782">
        <f t="shared" si="2688"/>
        <v>0</v>
      </c>
      <c r="AY292" s="780">
        <f t="shared" si="2688"/>
        <v>0</v>
      </c>
      <c r="AZ292" s="780">
        <f t="shared" si="2688"/>
        <v>0</v>
      </c>
      <c r="BA292" s="780">
        <f t="shared" si="2688"/>
        <v>0</v>
      </c>
      <c r="BB292" s="780">
        <f t="shared" si="2688"/>
        <v>0</v>
      </c>
      <c r="BC292" s="780">
        <f t="shared" si="2688"/>
        <v>0</v>
      </c>
      <c r="BD292" s="780">
        <f t="shared" si="2688"/>
        <v>0</v>
      </c>
      <c r="BE292" s="780">
        <f t="shared" si="2688"/>
        <v>0</v>
      </c>
      <c r="BF292" s="780">
        <f t="shared" si="2688"/>
        <v>0</v>
      </c>
      <c r="BG292" s="780">
        <f t="shared" si="2688"/>
        <v>0</v>
      </c>
      <c r="BH292" s="780">
        <f t="shared" si="2688"/>
        <v>0</v>
      </c>
      <c r="BI292" s="781">
        <f t="shared" si="2688"/>
        <v>0</v>
      </c>
    </row>
    <row r="293" spans="1:61" s="780" customFormat="1" hidden="1" outlineLevel="1">
      <c r="A293" s="780" t="str">
        <f>$A$538</f>
        <v>Retrofit</v>
      </c>
      <c r="M293" s="781"/>
      <c r="N293" s="782"/>
      <c r="Y293" s="781"/>
      <c r="Z293" s="782"/>
      <c r="AG293" s="780">
        <f t="shared" ref="AG293:BI293" si="2689">IF($AG$5&gt;$AF$5,($AG$5-$AF$5)*B538,0)</f>
        <v>0</v>
      </c>
      <c r="AH293" s="780">
        <f t="shared" si="2689"/>
        <v>0</v>
      </c>
      <c r="AI293" s="780">
        <f t="shared" si="2689"/>
        <v>0</v>
      </c>
      <c r="AJ293" s="780">
        <f t="shared" si="2689"/>
        <v>0</v>
      </c>
      <c r="AK293" s="781">
        <f t="shared" si="2689"/>
        <v>0</v>
      </c>
      <c r="AL293" s="782">
        <f t="shared" si="2689"/>
        <v>0</v>
      </c>
      <c r="AM293" s="780">
        <f t="shared" si="2689"/>
        <v>0</v>
      </c>
      <c r="AN293" s="780">
        <f t="shared" si="2689"/>
        <v>0</v>
      </c>
      <c r="AO293" s="780">
        <f t="shared" si="2689"/>
        <v>0</v>
      </c>
      <c r="AP293" s="780">
        <f t="shared" si="2689"/>
        <v>0</v>
      </c>
      <c r="AQ293" s="780">
        <f t="shared" si="2689"/>
        <v>0</v>
      </c>
      <c r="AR293" s="780">
        <f t="shared" si="2689"/>
        <v>0</v>
      </c>
      <c r="AS293" s="780">
        <f t="shared" si="2689"/>
        <v>0</v>
      </c>
      <c r="AT293" s="780">
        <f t="shared" si="2689"/>
        <v>0</v>
      </c>
      <c r="AU293" s="780">
        <f t="shared" si="2689"/>
        <v>0</v>
      </c>
      <c r="AV293" s="780">
        <f t="shared" si="2689"/>
        <v>0</v>
      </c>
      <c r="AW293" s="781">
        <f t="shared" si="2689"/>
        <v>0</v>
      </c>
      <c r="AX293" s="782">
        <f t="shared" si="2689"/>
        <v>0</v>
      </c>
      <c r="AY293" s="780">
        <f t="shared" si="2689"/>
        <v>0</v>
      </c>
      <c r="AZ293" s="780">
        <f t="shared" si="2689"/>
        <v>0</v>
      </c>
      <c r="BA293" s="780">
        <f t="shared" si="2689"/>
        <v>0</v>
      </c>
      <c r="BB293" s="780">
        <f t="shared" si="2689"/>
        <v>0</v>
      </c>
      <c r="BC293" s="780">
        <f t="shared" si="2689"/>
        <v>0</v>
      </c>
      <c r="BD293" s="780">
        <f t="shared" si="2689"/>
        <v>0</v>
      </c>
      <c r="BE293" s="780">
        <f t="shared" si="2689"/>
        <v>0</v>
      </c>
      <c r="BF293" s="780">
        <f t="shared" si="2689"/>
        <v>0</v>
      </c>
      <c r="BG293" s="780">
        <f t="shared" si="2689"/>
        <v>0</v>
      </c>
      <c r="BH293" s="780">
        <f t="shared" si="2689"/>
        <v>0</v>
      </c>
      <c r="BI293" s="781">
        <f t="shared" si="2689"/>
        <v>0</v>
      </c>
    </row>
    <row r="294" spans="1:61" s="780" customFormat="1" hidden="1" outlineLevel="1">
      <c r="A294" s="780" t="str">
        <f>$A$539</f>
        <v>Revenue</v>
      </c>
      <c r="M294" s="781"/>
      <c r="N294" s="782"/>
      <c r="Y294" s="781"/>
      <c r="Z294" s="782"/>
      <c r="AG294" s="780">
        <f t="shared" ref="AG294:BI294" si="2690">IF($AG$5&gt;$AF$5,($AG$5-$AF$5)*B539,0)</f>
        <v>0</v>
      </c>
      <c r="AH294" s="780">
        <f t="shared" si="2690"/>
        <v>0</v>
      </c>
      <c r="AI294" s="780">
        <f t="shared" si="2690"/>
        <v>0</v>
      </c>
      <c r="AJ294" s="780">
        <f t="shared" si="2690"/>
        <v>0</v>
      </c>
      <c r="AK294" s="781">
        <f t="shared" si="2690"/>
        <v>0</v>
      </c>
      <c r="AL294" s="782">
        <f t="shared" si="2690"/>
        <v>0</v>
      </c>
      <c r="AM294" s="780">
        <f t="shared" si="2690"/>
        <v>0</v>
      </c>
      <c r="AN294" s="780">
        <f t="shared" si="2690"/>
        <v>0</v>
      </c>
      <c r="AO294" s="780">
        <f t="shared" si="2690"/>
        <v>0</v>
      </c>
      <c r="AP294" s="780">
        <f t="shared" si="2690"/>
        <v>0</v>
      </c>
      <c r="AQ294" s="780">
        <f t="shared" si="2690"/>
        <v>0</v>
      </c>
      <c r="AR294" s="780">
        <f t="shared" si="2690"/>
        <v>0</v>
      </c>
      <c r="AS294" s="780">
        <f t="shared" si="2690"/>
        <v>0</v>
      </c>
      <c r="AT294" s="780">
        <f t="shared" si="2690"/>
        <v>0</v>
      </c>
      <c r="AU294" s="780">
        <f t="shared" si="2690"/>
        <v>0</v>
      </c>
      <c r="AV294" s="780">
        <f t="shared" si="2690"/>
        <v>0</v>
      </c>
      <c r="AW294" s="781">
        <f t="shared" si="2690"/>
        <v>0</v>
      </c>
      <c r="AX294" s="782">
        <f t="shared" si="2690"/>
        <v>0</v>
      </c>
      <c r="AY294" s="780">
        <f t="shared" si="2690"/>
        <v>0</v>
      </c>
      <c r="AZ294" s="780">
        <f t="shared" si="2690"/>
        <v>0</v>
      </c>
      <c r="BA294" s="780">
        <f t="shared" si="2690"/>
        <v>0</v>
      </c>
      <c r="BB294" s="780">
        <f t="shared" si="2690"/>
        <v>0</v>
      </c>
      <c r="BC294" s="780">
        <f t="shared" si="2690"/>
        <v>0</v>
      </c>
      <c r="BD294" s="780">
        <f t="shared" si="2690"/>
        <v>0</v>
      </c>
      <c r="BE294" s="780">
        <f t="shared" si="2690"/>
        <v>0</v>
      </c>
      <c r="BF294" s="780">
        <f t="shared" si="2690"/>
        <v>0</v>
      </c>
      <c r="BG294" s="780">
        <f t="shared" si="2690"/>
        <v>0</v>
      </c>
      <c r="BH294" s="780">
        <f t="shared" si="2690"/>
        <v>0</v>
      </c>
      <c r="BI294" s="781">
        <f t="shared" si="2690"/>
        <v>0</v>
      </c>
    </row>
    <row r="295" spans="1:61" s="780" customFormat="1" hidden="1" outlineLevel="1">
      <c r="A295" s="780" t="str">
        <f>$A$540</f>
        <v>Net Income</v>
      </c>
      <c r="M295" s="781"/>
      <c r="N295" s="782"/>
      <c r="Y295" s="781"/>
      <c r="Z295" s="782"/>
      <c r="AG295" s="780">
        <f t="shared" ref="AG295:BI295" si="2691">IF($AG$5&gt;$AF$5,($AG$5-$AF$5)*B540,0)</f>
        <v>0</v>
      </c>
      <c r="AH295" s="780">
        <f t="shared" si="2691"/>
        <v>0</v>
      </c>
      <c r="AI295" s="780">
        <f t="shared" si="2691"/>
        <v>0</v>
      </c>
      <c r="AJ295" s="780">
        <f t="shared" si="2691"/>
        <v>0</v>
      </c>
      <c r="AK295" s="781">
        <f t="shared" si="2691"/>
        <v>0</v>
      </c>
      <c r="AL295" s="782">
        <f t="shared" si="2691"/>
        <v>0</v>
      </c>
      <c r="AM295" s="780">
        <f t="shared" si="2691"/>
        <v>0</v>
      </c>
      <c r="AN295" s="780">
        <f t="shared" si="2691"/>
        <v>0</v>
      </c>
      <c r="AO295" s="780">
        <f t="shared" si="2691"/>
        <v>0</v>
      </c>
      <c r="AP295" s="780">
        <f t="shared" si="2691"/>
        <v>0</v>
      </c>
      <c r="AQ295" s="780">
        <f t="shared" si="2691"/>
        <v>0</v>
      </c>
      <c r="AR295" s="780">
        <f t="shared" si="2691"/>
        <v>0</v>
      </c>
      <c r="AS295" s="780">
        <f t="shared" si="2691"/>
        <v>0</v>
      </c>
      <c r="AT295" s="780">
        <f t="shared" si="2691"/>
        <v>0</v>
      </c>
      <c r="AU295" s="780">
        <f t="shared" si="2691"/>
        <v>0</v>
      </c>
      <c r="AV295" s="780">
        <f t="shared" si="2691"/>
        <v>0</v>
      </c>
      <c r="AW295" s="781">
        <f t="shared" si="2691"/>
        <v>0</v>
      </c>
      <c r="AX295" s="782">
        <f t="shared" si="2691"/>
        <v>0</v>
      </c>
      <c r="AY295" s="780">
        <f t="shared" si="2691"/>
        <v>0</v>
      </c>
      <c r="AZ295" s="780">
        <f t="shared" si="2691"/>
        <v>0</v>
      </c>
      <c r="BA295" s="780">
        <f t="shared" si="2691"/>
        <v>0</v>
      </c>
      <c r="BB295" s="780">
        <f t="shared" si="2691"/>
        <v>0</v>
      </c>
      <c r="BC295" s="780">
        <f t="shared" si="2691"/>
        <v>0</v>
      </c>
      <c r="BD295" s="780">
        <f t="shared" si="2691"/>
        <v>0</v>
      </c>
      <c r="BE295" s="780">
        <f t="shared" si="2691"/>
        <v>0</v>
      </c>
      <c r="BF295" s="780">
        <f t="shared" si="2691"/>
        <v>0</v>
      </c>
      <c r="BG295" s="780">
        <f t="shared" si="2691"/>
        <v>0</v>
      </c>
      <c r="BH295" s="780">
        <f t="shared" si="2691"/>
        <v>0</v>
      </c>
      <c r="BI295" s="781">
        <f t="shared" si="2691"/>
        <v>0</v>
      </c>
    </row>
    <row r="296" spans="1:61" s="780" customFormat="1" hidden="1" outlineLevel="1">
      <c r="A296" s="780" t="str">
        <f>$A$541</f>
        <v>Program Revenue</v>
      </c>
      <c r="M296" s="781"/>
      <c r="N296" s="782"/>
      <c r="Y296" s="781"/>
      <c r="Z296" s="782"/>
      <c r="AG296" s="780">
        <f t="shared" ref="AG296" si="2692">IF($AG$5&gt;$AF$5,($AG$5-$AF$5)*B541,0)</f>
        <v>0</v>
      </c>
      <c r="AH296" s="780">
        <f t="shared" ref="AH296" si="2693">IF($AG$5&gt;$AF$5,($AG$5-$AF$5)*C541,0)</f>
        <v>0</v>
      </c>
      <c r="AI296" s="780">
        <f t="shared" ref="AI296" si="2694">IF($AG$5&gt;$AF$5,($AG$5-$AF$5)*D541,0)</f>
        <v>0</v>
      </c>
      <c r="AJ296" s="780">
        <f t="shared" ref="AJ296" si="2695">IF($AG$5&gt;$AF$5,($AG$5-$AF$5)*E541,0)</f>
        <v>0</v>
      </c>
      <c r="AK296" s="781">
        <f t="shared" ref="AK296" si="2696">IF($AG$5&gt;$AF$5,($AG$5-$AF$5)*F541,0)</f>
        <v>0</v>
      </c>
      <c r="AL296" s="782">
        <f t="shared" ref="AL296" si="2697">IF($AG$5&gt;$AF$5,($AG$5-$AF$5)*G541,0)</f>
        <v>0</v>
      </c>
      <c r="AM296" s="780">
        <f t="shared" ref="AM296" si="2698">IF($AG$5&gt;$AF$5,($AG$5-$AF$5)*H541,0)</f>
        <v>0</v>
      </c>
      <c r="AN296" s="780">
        <f t="shared" ref="AN296" si="2699">IF($AG$5&gt;$AF$5,($AG$5-$AF$5)*I541,0)</f>
        <v>0</v>
      </c>
      <c r="AO296" s="780">
        <f t="shared" ref="AO296" si="2700">IF($AG$5&gt;$AF$5,($AG$5-$AF$5)*J541,0)</f>
        <v>0</v>
      </c>
      <c r="AP296" s="780">
        <f t="shared" ref="AP296" si="2701">IF($AG$5&gt;$AF$5,($AG$5-$AF$5)*K541,0)</f>
        <v>0</v>
      </c>
      <c r="AQ296" s="780">
        <f t="shared" ref="AQ296" si="2702">IF($AG$5&gt;$AF$5,($AG$5-$AF$5)*L541,0)</f>
        <v>0</v>
      </c>
      <c r="AR296" s="780">
        <f t="shared" ref="AR296" si="2703">IF($AG$5&gt;$AF$5,($AG$5-$AF$5)*M541,0)</f>
        <v>0</v>
      </c>
      <c r="AS296" s="780">
        <f t="shared" ref="AS296" si="2704">IF($AG$5&gt;$AF$5,($AG$5-$AF$5)*N541,0)</f>
        <v>0</v>
      </c>
      <c r="AT296" s="780">
        <f t="shared" ref="AT296" si="2705">IF($AG$5&gt;$AF$5,($AG$5-$AF$5)*O541,0)</f>
        <v>0</v>
      </c>
      <c r="AU296" s="780">
        <f t="shared" ref="AU296" si="2706">IF($AG$5&gt;$AF$5,($AG$5-$AF$5)*P541,0)</f>
        <v>0</v>
      </c>
      <c r="AV296" s="780">
        <f t="shared" ref="AV296" si="2707">IF($AG$5&gt;$AF$5,($AG$5-$AF$5)*Q541,0)</f>
        <v>0</v>
      </c>
      <c r="AW296" s="781">
        <f t="shared" ref="AW296" si="2708">IF($AG$5&gt;$AF$5,($AG$5-$AF$5)*R541,0)</f>
        <v>0</v>
      </c>
      <c r="AX296" s="782">
        <f t="shared" ref="AX296" si="2709">IF($AG$5&gt;$AF$5,($AG$5-$AF$5)*S541,0)</f>
        <v>0</v>
      </c>
      <c r="AY296" s="780">
        <f t="shared" ref="AY296" si="2710">IF($AG$5&gt;$AF$5,($AG$5-$AF$5)*T541,0)</f>
        <v>0</v>
      </c>
      <c r="AZ296" s="780">
        <f t="shared" ref="AZ296" si="2711">IF($AG$5&gt;$AF$5,($AG$5-$AF$5)*U541,0)</f>
        <v>0</v>
      </c>
      <c r="BA296" s="780">
        <f t="shared" ref="BA296" si="2712">IF($AG$5&gt;$AF$5,($AG$5-$AF$5)*V541,0)</f>
        <v>0</v>
      </c>
      <c r="BB296" s="780">
        <f t="shared" ref="BB296" si="2713">IF($AG$5&gt;$AF$5,($AG$5-$AF$5)*W541,0)</f>
        <v>0</v>
      </c>
      <c r="BC296" s="780">
        <f t="shared" ref="BC296" si="2714">IF($AG$5&gt;$AF$5,($AG$5-$AF$5)*X541,0)</f>
        <v>0</v>
      </c>
      <c r="BD296" s="780">
        <f t="shared" ref="BD296" si="2715">IF($AG$5&gt;$AF$5,($AG$5-$AF$5)*Y541,0)</f>
        <v>0</v>
      </c>
      <c r="BE296" s="780">
        <f t="shared" ref="BE296" si="2716">IF($AG$5&gt;$AF$5,($AG$5-$AF$5)*Z541,0)</f>
        <v>0</v>
      </c>
      <c r="BF296" s="780">
        <f t="shared" ref="BF296" si="2717">IF($AG$5&gt;$AF$5,($AG$5-$AF$5)*AA541,0)</f>
        <v>0</v>
      </c>
      <c r="BG296" s="780">
        <f t="shared" ref="BG296" si="2718">IF($AG$5&gt;$AF$5,($AG$5-$AF$5)*AB541,0)</f>
        <v>0</v>
      </c>
      <c r="BH296" s="780">
        <f t="shared" ref="BH296" si="2719">IF($AG$5&gt;$AF$5,($AG$5-$AF$5)*AC541,0)</f>
        <v>0</v>
      </c>
      <c r="BI296" s="781">
        <f t="shared" ref="BI296" si="2720">IF($AG$5&gt;$AF$5,($AG$5-$AF$5)*AD541,0)</f>
        <v>0</v>
      </c>
    </row>
    <row r="297" spans="1:61" s="780" customFormat="1" hidden="1" outlineLevel="1">
      <c r="M297" s="781"/>
      <c r="N297" s="782"/>
      <c r="Y297" s="781"/>
      <c r="Z297" s="782"/>
      <c r="AK297" s="781"/>
      <c r="AL297" s="782"/>
      <c r="AW297" s="781"/>
      <c r="AX297" s="782"/>
      <c r="BI297" s="781"/>
    </row>
    <row r="298" spans="1:61" s="780" customFormat="1" hidden="1" outlineLevel="1">
      <c r="A298" s="780" t="s">
        <v>359</v>
      </c>
      <c r="M298" s="781"/>
      <c r="N298" s="782"/>
      <c r="Y298" s="781"/>
      <c r="Z298" s="782"/>
      <c r="AH298" s="780">
        <f>IF($AH$5&gt;$AG$5,($AH$5-$AG$5)*B535,0)</f>
        <v>8</v>
      </c>
      <c r="AI298" s="780">
        <f t="shared" ref="AI298" si="2721">IF($AH$5&gt;$AG$5,($AH$5-$AG$5)*C535,0)</f>
        <v>8.3824000000000005</v>
      </c>
      <c r="AJ298" s="780">
        <f t="shared" ref="AJ298" si="2722">IF($AH$5&gt;$AG$5,($AH$5-$AG$5)*D535,0)</f>
        <v>8.790016102400001</v>
      </c>
      <c r="AK298" s="781">
        <f t="shared" ref="AK298" si="2723">IF($AH$5&gt;$AG$5,($AH$5-$AG$5)*E535,0)</f>
        <v>9.2244218586677267</v>
      </c>
      <c r="AL298" s="782">
        <f t="shared" ref="AL298" si="2724">IF($AH$5&gt;$AG$5,($AH$5-$AG$5)*F535,0)</f>
        <v>9.6872643857899394</v>
      </c>
      <c r="AM298" s="780">
        <f t="shared" ref="AM298" si="2725">IF($AH$5&gt;$AG$5,($AH$5-$AG$5)*G535,0)</f>
        <v>10.180266404063699</v>
      </c>
      <c r="AN298" s="780">
        <f t="shared" ref="AN298" si="2726">IF($AH$5&gt;$AG$5,($AH$5-$AG$5)*H535,0)</f>
        <v>10.705228286703797</v>
      </c>
      <c r="AO298" s="780">
        <f t="shared" ref="AO298" si="2727">IF($AH$5&gt;$AG$5,($AH$5-$AG$5)*I535,0)</f>
        <v>11.264030122404236</v>
      </c>
      <c r="AP298" s="780">
        <f t="shared" ref="AP298" si="2728">IF($AH$5&gt;$AG$5,($AH$5-$AG$5)*J535,0)</f>
        <v>11.858633792363815</v>
      </c>
      <c r="AQ298" s="780">
        <f t="shared" ref="AQ298" si="2729">IF($AH$5&gt;$AG$5,($AH$5-$AG$5)*K535,0)</f>
        <v>12.491085063681208</v>
      </c>
      <c r="AR298" s="780">
        <f t="shared" ref="AR298" si="2730">IF($AH$5&gt;$AG$5,($AH$5-$AG$5)*L535,0)</f>
        <v>13.163515701442698</v>
      </c>
      <c r="AS298" s="780">
        <f t="shared" ref="AS298" si="2731">IF($AH$5&gt;$AG$5,($AH$5-$AG$5)*M535,0)</f>
        <v>13.878145602265221</v>
      </c>
      <c r="AT298" s="780">
        <f t="shared" ref="AT298" si="2732">IF($AH$5&gt;$AG$5,($AH$5-$AG$5)*N535,0)</f>
        <v>14.640802427106802</v>
      </c>
      <c r="AU298" s="780">
        <f t="shared" ref="AU298" si="2733">IF($AH$5&gt;$AG$5,($AH$5-$AG$5)*O535,0)</f>
        <v>15.454179973028484</v>
      </c>
      <c r="AV298" s="780">
        <f t="shared" ref="AV298" si="2734">IF($AH$5&gt;$AG$5,($AH$5-$AG$5)*P535,0)</f>
        <v>16.321067007803048</v>
      </c>
      <c r="AW298" s="781">
        <f t="shared" ref="AW298" si="2735">IF($AH$5&gt;$AG$5,($AH$5-$AG$5)*Q535,0)</f>
        <v>17.244348126107901</v>
      </c>
      <c r="AX298" s="782">
        <f t="shared" ref="AX298" si="2736">IF($AH$5&gt;$AG$5,($AH$5-$AG$5)*R535,0)</f>
        <v>18.227004594103096</v>
      </c>
      <c r="AY298" s="780">
        <f t="shared" ref="AY298" si="2737">IF($AH$5&gt;$AG$5,($AH$5-$AG$5)*S535,0)</f>
        <v>19.272115194972702</v>
      </c>
      <c r="AZ298" s="780">
        <f t="shared" ref="AZ298" si="2738">IF($AH$5&gt;$AG$5,($AH$5-$AG$5)*T535,0)</f>
        <v>20.382857089151276</v>
      </c>
      <c r="BA298" s="780">
        <f t="shared" ref="BA298" si="2739">IF($AH$5&gt;$AG$5,($AH$5-$AG$5)*U535,0)</f>
        <v>21.56250670407784</v>
      </c>
      <c r="BB298" s="780">
        <f t="shared" ref="BB298" si="2740">IF($AH$5&gt;$AG$5,($AH$5-$AG$5)*V535,0)</f>
        <v>22.814440669410335</v>
      </c>
      <c r="BC298" s="780">
        <f t="shared" ref="BC298" si="2741">IF($AH$5&gt;$AG$5,($AH$5-$AG$5)*W535,0)</f>
        <v>24.142136814686012</v>
      </c>
      <c r="BD298" s="780">
        <f t="shared" ref="BD298" si="2742">IF($AH$5&gt;$AG$5,($AH$5-$AG$5)*X535,0)</f>
        <v>25.549175247421399</v>
      </c>
      <c r="BE298" s="780">
        <f t="shared" ref="BE298" si="2743">IF($AH$5&gt;$AG$5,($AH$5-$AG$5)*Y535,0)</f>
        <v>27.039239530601542</v>
      </c>
      <c r="BF298" s="780">
        <f t="shared" ref="BF298" si="2744">IF($AH$5&gt;$AG$5,($AH$5-$AG$5)*Z535,0)</f>
        <v>28.620747034243404</v>
      </c>
      <c r="BG298" s="780">
        <f t="shared" ref="BG298" si="2745">IF($AH$5&gt;$AG$5,($AH$5-$AG$5)*AA535,0)</f>
        <v>30.297832899152603</v>
      </c>
      <c r="BH298" s="780">
        <f t="shared" ref="BH298" si="2746">IF($AH$5&gt;$AG$5,($AH$5-$AG$5)*AB535,0)</f>
        <v>32.074721942842451</v>
      </c>
      <c r="BI298" s="781">
        <f t="shared" ref="BI298" si="2747">IF($AH$5&gt;$AG$5,($AH$5-$AG$5)*AC535,0)</f>
        <v>33.955728473829772</v>
      </c>
    </row>
    <row r="299" spans="1:61" s="780" customFormat="1" hidden="1" outlineLevel="1">
      <c r="A299" s="780" t="str">
        <f>$A$536</f>
        <v>Leads</v>
      </c>
      <c r="M299" s="781"/>
      <c r="N299" s="782"/>
      <c r="Y299" s="781"/>
      <c r="Z299" s="782"/>
      <c r="AH299" s="780">
        <f>IF($AH$5&gt;$AG$5,($AH$5-$AG$5)*B536,0)</f>
        <v>20</v>
      </c>
      <c r="AI299" s="780">
        <f t="shared" ref="AI299:BI299" si="2748">IF($AH$5&gt;$AG$5,($AH$5-$AG$5)*C536,0)</f>
        <v>20.8</v>
      </c>
      <c r="AJ299" s="780">
        <f t="shared" si="2748"/>
        <v>21.632000000000001</v>
      </c>
      <c r="AK299" s="781">
        <f t="shared" si="2748"/>
        <v>22.497280000000003</v>
      </c>
      <c r="AL299" s="782">
        <f t="shared" si="2748"/>
        <v>23.397171200000006</v>
      </c>
      <c r="AM299" s="780">
        <f t="shared" si="2748"/>
        <v>24.333058048000009</v>
      </c>
      <c r="AN299" s="780">
        <f t="shared" si="2748"/>
        <v>25.30638036992001</v>
      </c>
      <c r="AO299" s="780">
        <f t="shared" si="2748"/>
        <v>26.318635584716812</v>
      </c>
      <c r="AP299" s="780">
        <f t="shared" si="2748"/>
        <v>27.371381008105487</v>
      </c>
      <c r="AQ299" s="780">
        <f t="shared" si="2748"/>
        <v>28.466236248429709</v>
      </c>
      <c r="AR299" s="780">
        <f t="shared" si="2748"/>
        <v>29.6048856983669</v>
      </c>
      <c r="AS299" s="780">
        <f t="shared" si="2748"/>
        <v>30.789081126301578</v>
      </c>
      <c r="AT299" s="780">
        <f t="shared" si="2748"/>
        <v>32.02064437135364</v>
      </c>
      <c r="AU299" s="780">
        <f t="shared" si="2748"/>
        <v>33.301470146207784</v>
      </c>
      <c r="AV299" s="780">
        <f t="shared" si="2748"/>
        <v>34.633528952056096</v>
      </c>
      <c r="AW299" s="781">
        <f t="shared" si="2748"/>
        <v>36.018870110138344</v>
      </c>
      <c r="AX299" s="782">
        <f t="shared" si="2748"/>
        <v>37.45962491454388</v>
      </c>
      <c r="AY299" s="780">
        <f t="shared" si="2748"/>
        <v>38.958009911125636</v>
      </c>
      <c r="AZ299" s="780">
        <f t="shared" si="2748"/>
        <v>40.516330307570662</v>
      </c>
      <c r="BA299" s="780">
        <f t="shared" si="2748"/>
        <v>42.136983519873489</v>
      </c>
      <c r="BB299" s="780">
        <f t="shared" si="2748"/>
        <v>43.822462860668423</v>
      </c>
      <c r="BC299" s="780">
        <f t="shared" si="2748"/>
        <v>45.57536137509517</v>
      </c>
      <c r="BD299" s="780">
        <f t="shared" si="2748"/>
        <v>47.398375830098978</v>
      </c>
      <c r="BE299" s="780">
        <f t="shared" si="2748"/>
        <v>49.29431086330294</v>
      </c>
      <c r="BF299" s="780">
        <f t="shared" si="2748"/>
        <v>51.26608329783506</v>
      </c>
      <c r="BG299" s="780">
        <f t="shared" si="2748"/>
        <v>53.316726629748466</v>
      </c>
      <c r="BH299" s="780">
        <f t="shared" si="2748"/>
        <v>55.44939569493841</v>
      </c>
      <c r="BI299" s="781">
        <f t="shared" si="2748"/>
        <v>57.667371522735948</v>
      </c>
    </row>
    <row r="300" spans="1:61" s="780" customFormat="1" hidden="1" outlineLevel="1">
      <c r="A300" s="780" t="str">
        <f>$A$537</f>
        <v>Audits</v>
      </c>
      <c r="M300" s="781"/>
      <c r="N300" s="782"/>
      <c r="Y300" s="781"/>
      <c r="Z300" s="782"/>
      <c r="AH300" s="780">
        <f t="shared" ref="AH300:BI300" si="2749">IF($AH$5&gt;$AG$5,($AH$5-$AG$5)*B537,0)</f>
        <v>7.8466960352422905</v>
      </c>
      <c r="AI300" s="780">
        <f t="shared" si="2749"/>
        <v>8.1805560257268723</v>
      </c>
      <c r="AJ300" s="780">
        <f t="shared" si="2749"/>
        <v>8.556158139083367</v>
      </c>
      <c r="AK300" s="781">
        <f t="shared" si="2749"/>
        <v>8.9523024684242678</v>
      </c>
      <c r="AL300" s="782">
        <f t="shared" si="2749"/>
        <v>9.3702787716763911</v>
      </c>
      <c r="AM300" s="780">
        <f t="shared" si="2749"/>
        <v>9.811453812672589</v>
      </c>
      <c r="AN300" s="780">
        <f t="shared" si="2749"/>
        <v>10.277273093546537</v>
      </c>
      <c r="AO300" s="780">
        <f t="shared" si="2749"/>
        <v>10.769262132442826</v>
      </c>
      <c r="AP300" s="780">
        <f t="shared" si="2749"/>
        <v>11.289027268145146</v>
      </c>
      <c r="AQ300" s="780">
        <f t="shared" si="2749"/>
        <v>11.838255995812663</v>
      </c>
      <c r="AR300" s="780">
        <f t="shared" si="2749"/>
        <v>12.418716863200714</v>
      </c>
      <c r="AS300" s="780">
        <f t="shared" si="2749"/>
        <v>13.032258982971491</v>
      </c>
      <c r="AT300" s="780">
        <f t="shared" si="2749"/>
        <v>13.681748513642187</v>
      </c>
      <c r="AU300" s="780">
        <f t="shared" si="2749"/>
        <v>14.367753613373562</v>
      </c>
      <c r="AV300" s="780">
        <f t="shared" si="2749"/>
        <v>15.094450719778326</v>
      </c>
      <c r="AW300" s="781">
        <f t="shared" si="2749"/>
        <v>15.864274704794562</v>
      </c>
      <c r="AX300" s="782">
        <f t="shared" si="2749"/>
        <v>16.679756380011042</v>
      </c>
      <c r="AY300" s="780">
        <f t="shared" si="2749"/>
        <v>17.543519083999907</v>
      </c>
      <c r="AZ300" s="780">
        <f t="shared" si="2749"/>
        <v>18.458274953232511</v>
      </c>
      <c r="BA300" s="780">
        <f t="shared" si="2749"/>
        <v>19.426821075192013</v>
      </c>
      <c r="BB300" s="780">
        <f t="shared" si="2749"/>
        <v>20.452035738521069</v>
      </c>
      <c r="BC300" s="780">
        <f t="shared" si="2749"/>
        <v>21.536874999893016</v>
      </c>
      <c r="BD300" s="780">
        <f t="shared" si="2749"/>
        <v>22.68436978011453</v>
      </c>
      <c r="BE300" s="780">
        <f t="shared" si="2749"/>
        <v>23.897623683136111</v>
      </c>
      <c r="BF300" s="780">
        <f t="shared" si="2749"/>
        <v>25.181305860088621</v>
      </c>
      <c r="BG300" s="780">
        <f t="shared" si="2749"/>
        <v>26.509539923847804</v>
      </c>
      <c r="BH300" s="780">
        <f t="shared" si="2749"/>
        <v>27.911267150389076</v>
      </c>
      <c r="BI300" s="781">
        <f t="shared" si="2749"/>
        <v>29.389855755030599</v>
      </c>
    </row>
    <row r="301" spans="1:61" s="780" customFormat="1" hidden="1" outlineLevel="1">
      <c r="A301" s="780" t="str">
        <f>$A$538</f>
        <v>Retrofit</v>
      </c>
      <c r="M301" s="781"/>
      <c r="N301" s="782"/>
      <c r="Y301" s="781"/>
      <c r="Z301" s="782"/>
      <c r="AH301" s="780">
        <f t="shared" ref="AH301:BI301" si="2750">IF($AH$5&gt;$AG$5,($AH$5-$AG$5)*B538,0)</f>
        <v>3.2741145374449339</v>
      </c>
      <c r="AI301" s="780">
        <f t="shared" si="2750"/>
        <v>3.4211429613668018</v>
      </c>
      <c r="AJ301" s="780">
        <f t="shared" si="2750"/>
        <v>3.6089747928733105</v>
      </c>
      <c r="AK301" s="781">
        <f t="shared" si="2750"/>
        <v>3.80943356172375</v>
      </c>
      <c r="AL301" s="782">
        <f t="shared" si="2750"/>
        <v>4.023495407635</v>
      </c>
      <c r="AM301" s="780">
        <f t="shared" si="2750"/>
        <v>4.2522035025469851</v>
      </c>
      <c r="AN301" s="780">
        <f t="shared" si="2750"/>
        <v>4.4966691121698661</v>
      </c>
      <c r="AO301" s="780">
        <f t="shared" si="2750"/>
        <v>4.7580720961942786</v>
      </c>
      <c r="AP301" s="780">
        <f t="shared" si="2750"/>
        <v>5.0376608331454982</v>
      </c>
      <c r="AQ301" s="780">
        <f t="shared" si="2750"/>
        <v>5.3367515834608863</v>
      </c>
      <c r="AR301" s="780">
        <f t="shared" si="2750"/>
        <v>5.6567273345837759</v>
      </c>
      <c r="AS301" s="780">
        <f t="shared" si="2750"/>
        <v>5.9990362027609887</v>
      </c>
      <c r="AT301" s="780">
        <f t="shared" si="2750"/>
        <v>6.3656710756275423</v>
      </c>
      <c r="AU301" s="780">
        <f t="shared" si="2750"/>
        <v>6.7527905497767229</v>
      </c>
      <c r="AV301" s="780">
        <f t="shared" si="2750"/>
        <v>7.1679946156961591</v>
      </c>
      <c r="AW301" s="781">
        <f t="shared" si="2750"/>
        <v>7.6132687220703144</v>
      </c>
      <c r="AX301" s="782">
        <f t="shared" si="2750"/>
        <v>8.0906802436821312</v>
      </c>
      <c r="AY301" s="780">
        <f t="shared" si="2750"/>
        <v>8.6023733713231554</v>
      </c>
      <c r="AZ301" s="780">
        <f t="shared" si="2750"/>
        <v>9.1505635635964193</v>
      </c>
      <c r="BA301" s="780">
        <f t="shared" si="2750"/>
        <v>9.7375318038296879</v>
      </c>
      <c r="BB301" s="780">
        <f t="shared" si="2750"/>
        <v>10.365618926205418</v>
      </c>
      <c r="BC301" s="780">
        <f t="shared" si="2750"/>
        <v>11.037220281947453</v>
      </c>
      <c r="BD301" s="780">
        <f t="shared" si="2750"/>
        <v>11.754781008099396</v>
      </c>
      <c r="BE301" s="780">
        <f t="shared" si="2750"/>
        <v>12.520792138493604</v>
      </c>
      <c r="BF301" s="780">
        <f t="shared" si="2750"/>
        <v>13.338724403473293</v>
      </c>
      <c r="BG301" s="780">
        <f t="shared" si="2750"/>
        <v>14.173899457244383</v>
      </c>
      <c r="BH301" s="780">
        <f t="shared" si="2750"/>
        <v>15.06160093928195</v>
      </c>
      <c r="BI301" s="781">
        <f t="shared" si="2750"/>
        <v>16.004396182835173</v>
      </c>
    </row>
    <row r="302" spans="1:61" s="780" customFormat="1" hidden="1" outlineLevel="1">
      <c r="A302" s="780" t="str">
        <f>$A$539</f>
        <v>Revenue</v>
      </c>
      <c r="M302" s="781"/>
      <c r="N302" s="782"/>
      <c r="Y302" s="781"/>
      <c r="Z302" s="782"/>
      <c r="AH302" s="780">
        <f t="shared" ref="AH302:BI302" si="2751">IF($AH$5&gt;$AG$5,($AH$5-$AG$5)*B539,0)</f>
        <v>20728.933920704847</v>
      </c>
      <c r="AI302" s="780">
        <f t="shared" si="2751"/>
        <v>22334.796424579898</v>
      </c>
      <c r="AJ302" s="780">
        <f t="shared" si="2751"/>
        <v>24261.379157843236</v>
      </c>
      <c r="AK302" s="781">
        <f t="shared" si="2751"/>
        <v>27109.041527058151</v>
      </c>
      <c r="AL302" s="782">
        <f t="shared" si="2751"/>
        <v>29411.012063918617</v>
      </c>
      <c r="AM302" s="780">
        <f t="shared" si="2751"/>
        <v>31904.731979940196</v>
      </c>
      <c r="AN302" s="780">
        <f t="shared" si="2751"/>
        <v>34157.516935543477</v>
      </c>
      <c r="AO302" s="780">
        <f t="shared" si="2751"/>
        <v>36585.144030160183</v>
      </c>
      <c r="AP302" s="780">
        <f t="shared" si="2751"/>
        <v>39202.024549786183</v>
      </c>
      <c r="AQ302" s="780">
        <f t="shared" si="2751"/>
        <v>41489.907780370268</v>
      </c>
      <c r="AR302" s="780">
        <f t="shared" si="2751"/>
        <v>43934.936399734994</v>
      </c>
      <c r="AS302" s="780">
        <f t="shared" si="2751"/>
        <v>46547.932291314006</v>
      </c>
      <c r="AT302" s="780">
        <f t="shared" si="2751"/>
        <v>48812.622611071754</v>
      </c>
      <c r="AU302" s="780">
        <f t="shared" si="2751"/>
        <v>51746.745047763237</v>
      </c>
      <c r="AV302" s="780">
        <f t="shared" si="2751"/>
        <v>54891.491572423707</v>
      </c>
      <c r="AW302" s="781">
        <f t="shared" si="2751"/>
        <v>58261.704056497998</v>
      </c>
      <c r="AX302" s="782">
        <f t="shared" si="2751"/>
        <v>61872.837706819933</v>
      </c>
      <c r="AY302" s="780">
        <f t="shared" si="2751"/>
        <v>65740.922877654608</v>
      </c>
      <c r="AZ302" s="780">
        <f t="shared" si="2751"/>
        <v>69882.52360507095</v>
      </c>
      <c r="BA302" s="780">
        <f t="shared" si="2751"/>
        <v>74314.694687467563</v>
      </c>
      <c r="BB302" s="780">
        <f t="shared" si="2751"/>
        <v>79054.939292696072</v>
      </c>
      <c r="BC302" s="780">
        <f t="shared" si="2751"/>
        <v>84121.169122674793</v>
      </c>
      <c r="BD302" s="780">
        <f t="shared" si="2751"/>
        <v>89531.669104034416</v>
      </c>
      <c r="BE302" s="780">
        <f t="shared" si="2751"/>
        <v>95305.068401244935</v>
      </c>
      <c r="BF302" s="780">
        <f t="shared" si="2751"/>
        <v>101467.05911812153</v>
      </c>
      <c r="BG302" s="780">
        <f t="shared" si="2751"/>
        <v>107757.45533319093</v>
      </c>
      <c r="BH302" s="780">
        <f t="shared" si="2751"/>
        <v>114440.84237520174</v>
      </c>
      <c r="BI302" s="781">
        <f t="shared" si="2751"/>
        <v>121536.40957263115</v>
      </c>
    </row>
    <row r="303" spans="1:61" s="780" customFormat="1" hidden="1" outlineLevel="1">
      <c r="A303" s="780" t="str">
        <f>$A$540</f>
        <v>Net Income</v>
      </c>
      <c r="M303" s="781"/>
      <c r="N303" s="782"/>
      <c r="Y303" s="781"/>
      <c r="Z303" s="782"/>
      <c r="AH303" s="780">
        <f t="shared" ref="AH303:BI303" si="2752">IF($AH$5&gt;$AG$5,($AH$5-$AG$5)*B540,0)</f>
        <v>-33184.964170807638</v>
      </c>
      <c r="AI303" s="780">
        <f t="shared" si="2752"/>
        <v>-14837.14568100147</v>
      </c>
      <c r="AJ303" s="780">
        <f t="shared" si="2752"/>
        <v>-14268.717003781454</v>
      </c>
      <c r="AK303" s="781">
        <f t="shared" si="2752"/>
        <v>-13405.013342705901</v>
      </c>
      <c r="AL303" s="782">
        <f t="shared" si="2752"/>
        <v>-12685.072540306182</v>
      </c>
      <c r="AM303" s="780">
        <f t="shared" si="2752"/>
        <v>-17604.404805924125</v>
      </c>
      <c r="AN303" s="780">
        <f t="shared" si="2752"/>
        <v>-15156.124616524507</v>
      </c>
      <c r="AO303" s="780">
        <f t="shared" si="2752"/>
        <v>-13971.31609512752</v>
      </c>
      <c r="AP303" s="780">
        <f t="shared" si="2752"/>
        <v>-13027.555718246989</v>
      </c>
      <c r="AQ303" s="780">
        <f t="shared" si="2752"/>
        <v>-12167.444211420123</v>
      </c>
      <c r="AR303" s="780">
        <f t="shared" si="2752"/>
        <v>-11228.257793696379</v>
      </c>
      <c r="AS303" s="780">
        <f t="shared" si="2752"/>
        <v>-10203.756141625032</v>
      </c>
      <c r="AT303" s="780">
        <f t="shared" si="2752"/>
        <v>-8928.9645055486872</v>
      </c>
      <c r="AU303" s="780">
        <f t="shared" si="2752"/>
        <v>-6565.2951604608934</v>
      </c>
      <c r="AV303" s="780">
        <f t="shared" si="2752"/>
        <v>-7951.6323699894165</v>
      </c>
      <c r="AW303" s="781">
        <f t="shared" si="2752"/>
        <v>-6483.5792380389103</v>
      </c>
      <c r="AX303" s="782">
        <f t="shared" si="2752"/>
        <v>-5307.1722049655655</v>
      </c>
      <c r="AY303" s="780">
        <f t="shared" si="2752"/>
        <v>-3966.3475887754175</v>
      </c>
      <c r="AZ303" s="780">
        <f t="shared" si="2752"/>
        <v>-2466.8649492429358</v>
      </c>
      <c r="BA303" s="780">
        <f t="shared" si="2752"/>
        <v>-826.64406907309967</v>
      </c>
      <c r="BB303" s="780">
        <f t="shared" si="2752"/>
        <v>-10770.241509529737</v>
      </c>
      <c r="BC303" s="780">
        <f t="shared" si="2752"/>
        <v>-19174.962642260827</v>
      </c>
      <c r="BD303" s="780">
        <f t="shared" si="2752"/>
        <v>-16925.443971653156</v>
      </c>
      <c r="BE303" s="780">
        <f t="shared" si="2752"/>
        <v>-25696.207513260568</v>
      </c>
      <c r="BF303" s="780">
        <f t="shared" si="2752"/>
        <v>-30466.524333613874</v>
      </c>
      <c r="BG303" s="780">
        <f t="shared" si="2752"/>
        <v>-30644.209260269774</v>
      </c>
      <c r="BH303" s="780">
        <f t="shared" si="2752"/>
        <v>-25743.81021126837</v>
      </c>
      <c r="BI303" s="781">
        <f t="shared" si="2752"/>
        <v>-25374.965354328699</v>
      </c>
    </row>
    <row r="304" spans="1:61" s="780" customFormat="1" hidden="1" outlineLevel="1">
      <c r="A304" s="780" t="str">
        <f>$A$541</f>
        <v>Program Revenue</v>
      </c>
      <c r="M304" s="781"/>
      <c r="N304" s="782"/>
      <c r="Y304" s="781"/>
      <c r="Z304" s="782"/>
      <c r="AH304" s="780">
        <f t="shared" ref="AH304" si="2753">IF($AH$5&gt;$AG$5,($AH$5-$AG$5)*B541,0)</f>
        <v>1850</v>
      </c>
      <c r="AI304" s="780">
        <f t="shared" ref="AI304" si="2754">IF($AH$5&gt;$AG$5,($AH$5-$AG$5)*C541,0)</f>
        <v>1937.1558751999999</v>
      </c>
      <c r="AJ304" s="780">
        <f t="shared" ref="AJ304" si="2755">IF($AH$5&gt;$AG$5,($AH$5-$AG$5)*D541,0)</f>
        <v>2030.0190587848704</v>
      </c>
      <c r="AK304" s="781">
        <f t="shared" ref="AK304" si="2756">IF($AH$5&gt;$AG$5,($AH$5-$AG$5)*E541,0)</f>
        <v>2128.941218449359</v>
      </c>
      <c r="AL304" s="782">
        <f t="shared" ref="AL304" si="2757">IF($AH$5&gt;$AG$5,($AH$5-$AG$5)*F541,0)</f>
        <v>2234.2900324673633</v>
      </c>
      <c r="AM304" s="780">
        <f t="shared" ref="AM304" si="2758">IF($AH$5&gt;$AG$5,($AH$5-$AG$5)*G541,0)</f>
        <v>2346.4496034726417</v>
      </c>
      <c r="AN304" s="780">
        <f t="shared" ref="AN304" si="2759">IF($AH$5&gt;$AG$5,($AH$5-$AG$5)*H541,0)</f>
        <v>2465.8208731027789</v>
      </c>
      <c r="AO304" s="780">
        <f t="shared" ref="AO304" si="2760">IF($AH$5&gt;$AG$5,($AH$5-$AG$5)*I541,0)</f>
        <v>2592.8220377557409</v>
      </c>
      <c r="AP304" s="780">
        <f t="shared" ref="AP304" si="2761">IF($AH$5&gt;$AG$5,($AH$5-$AG$5)*J541,0)</f>
        <v>2727.8889657926175</v>
      </c>
      <c r="AQ304" s="780">
        <f t="shared" ref="AQ304" si="2762">IF($AH$5&gt;$AG$5,($AH$5-$AG$5)*K541,0)</f>
        <v>2871.4756166091629</v>
      </c>
      <c r="AR304" s="780">
        <f t="shared" ref="AR304" si="2763">IF($AH$5&gt;$AG$5,($AH$5-$AG$5)*L541,0)</f>
        <v>3024.0544620924302</v>
      </c>
      <c r="AS304" s="780">
        <f t="shared" ref="AS304" si="2764">IF($AH$5&gt;$AG$5,($AH$5-$AG$5)*M541,0)</f>
        <v>3186.1169110768442</v>
      </c>
      <c r="AT304" s="780">
        <f t="shared" ref="AT304" si="2765">IF($AH$5&gt;$AG$5,($AH$5-$AG$5)*N541,0)</f>
        <v>3358.9807376414046</v>
      </c>
      <c r="AU304" s="780">
        <f t="shared" ref="AU304" si="2766">IF($AH$5&gt;$AG$5,($AH$5-$AG$5)*O541,0)</f>
        <v>3543.2416591361321</v>
      </c>
      <c r="AV304" s="780">
        <f t="shared" ref="AV304" si="2767">IF($AH$5&gt;$AG$5,($AH$5-$AG$5)*P541,0)</f>
        <v>3739.515514961849</v>
      </c>
      <c r="AW304" s="781">
        <f t="shared" ref="AW304" si="2768">IF($AH$5&gt;$AG$5,($AH$5-$AG$5)*Q541,0)</f>
        <v>3948.4383904349252</v>
      </c>
      <c r="AX304" s="782">
        <f t="shared" ref="AX304" si="2769">IF($AH$5&gt;$AG$5,($AH$5-$AG$5)*R541,0)</f>
        <v>4170.6667372134807</v>
      </c>
      <c r="AY304" s="780">
        <f t="shared" ref="AY304" si="2770">IF($AH$5&gt;$AG$5,($AH$5-$AG$5)*S541,0)</f>
        <v>4406.877493173627</v>
      </c>
      <c r="AZ304" s="780">
        <f t="shared" ref="AZ304" si="2771">IF($AH$5&gt;$AG$5,($AH$5-$AG$5)*T541,0)</f>
        <v>4657.7682048703127</v>
      </c>
      <c r="BA304" s="780">
        <f t="shared" ref="BA304" si="2772">IF($AH$5&gt;$AG$5,($AH$5-$AG$5)*U541,0)</f>
        <v>4924.0571559566215</v>
      </c>
      <c r="BB304" s="780">
        <f t="shared" ref="BB304" si="2773">IF($AH$5&gt;$AG$5,($AH$5-$AG$5)*V541,0)</f>
        <v>5206.4835051661303</v>
      </c>
      <c r="BC304" s="780">
        <f t="shared" ref="BC304" si="2774">IF($AH$5&gt;$AG$5,($AH$5-$AG$5)*W541,0)</f>
        <v>5505.8074376836603</v>
      </c>
      <c r="BD304" s="780">
        <f t="shared" ref="BD304" si="2775">IF($AH$5&gt;$AG$5,($AH$5-$AG$5)*X541,0)</f>
        <v>5822.8103339388172</v>
      </c>
      <c r="BE304" s="780">
        <f t="shared" ref="BE304" si="2776">IF($AH$5&gt;$AG$5,($AH$5-$AG$5)*Y541,0)</f>
        <v>6158.2949600526208</v>
      </c>
      <c r="BF304" s="780">
        <f t="shared" ref="BF304" si="2777">IF($AH$5&gt;$AG$5,($AH$5-$AG$5)*Z541,0)</f>
        <v>6514.1392664878649</v>
      </c>
      <c r="BG304" s="780">
        <f t="shared" ref="BG304" si="2778">IF($AH$5&gt;$AG$5,($AH$5-$AG$5)*AA541,0)</f>
        <v>6891.2420929122554</v>
      </c>
      <c r="BH304" s="780">
        <f t="shared" ref="BH304" si="2779">IF($AH$5&gt;$AG$5,($AH$5-$AG$5)*AB541,0)</f>
        <v>7290.5201481641989</v>
      </c>
      <c r="BI304" s="781">
        <f t="shared" ref="BI304" si="2780">IF($AH$5&gt;$AG$5,($AH$5-$AG$5)*AC541,0)</f>
        <v>7712.9078999165331</v>
      </c>
    </row>
    <row r="305" spans="1:61" s="780" customFormat="1" hidden="1" outlineLevel="1">
      <c r="M305" s="781"/>
      <c r="N305" s="782"/>
      <c r="Y305" s="781"/>
      <c r="Z305" s="782"/>
      <c r="AK305" s="781"/>
      <c r="AL305" s="782"/>
      <c r="AW305" s="781"/>
      <c r="AX305" s="782"/>
      <c r="BI305" s="781"/>
    </row>
    <row r="306" spans="1:61" s="780" customFormat="1" hidden="1" outlineLevel="1">
      <c r="A306" s="780" t="s">
        <v>359</v>
      </c>
      <c r="M306" s="781"/>
      <c r="N306" s="782"/>
      <c r="Y306" s="781"/>
      <c r="Z306" s="782"/>
      <c r="AI306" s="780">
        <f>IF($AI$5&gt;$AH$5,($AI$5-$AH$5)*B535,0)</f>
        <v>0</v>
      </c>
      <c r="AJ306" s="780">
        <f t="shared" ref="AJ306" si="2781">IF($AI$5&gt;$AH$5,($AI$5-$AH$5)*C535,0)</f>
        <v>0</v>
      </c>
      <c r="AK306" s="781">
        <f t="shared" ref="AK306" si="2782">IF($AI$5&gt;$AH$5,($AI$5-$AH$5)*D535,0)</f>
        <v>0</v>
      </c>
      <c r="AL306" s="782">
        <f t="shared" ref="AL306" si="2783">IF($AI$5&gt;$AH$5,($AI$5-$AH$5)*E535,0)</f>
        <v>0</v>
      </c>
      <c r="AM306" s="780">
        <f t="shared" ref="AM306" si="2784">IF($AI$5&gt;$AH$5,($AI$5-$AH$5)*F535,0)</f>
        <v>0</v>
      </c>
      <c r="AN306" s="780">
        <f t="shared" ref="AN306" si="2785">IF($AI$5&gt;$AH$5,($AI$5-$AH$5)*G535,0)</f>
        <v>0</v>
      </c>
      <c r="AO306" s="780">
        <f t="shared" ref="AO306" si="2786">IF($AI$5&gt;$AH$5,($AI$5-$AH$5)*H535,0)</f>
        <v>0</v>
      </c>
      <c r="AP306" s="780">
        <f t="shared" ref="AP306" si="2787">IF($AI$5&gt;$AH$5,($AI$5-$AH$5)*I535,0)</f>
        <v>0</v>
      </c>
      <c r="AQ306" s="780">
        <f t="shared" ref="AQ306" si="2788">IF($AI$5&gt;$AH$5,($AI$5-$AH$5)*J535,0)</f>
        <v>0</v>
      </c>
      <c r="AR306" s="780">
        <f t="shared" ref="AR306" si="2789">IF($AI$5&gt;$AH$5,($AI$5-$AH$5)*K535,0)</f>
        <v>0</v>
      </c>
      <c r="AS306" s="780">
        <f t="shared" ref="AS306" si="2790">IF($AI$5&gt;$AH$5,($AI$5-$AH$5)*L535,0)</f>
        <v>0</v>
      </c>
      <c r="AT306" s="780">
        <f t="shared" ref="AT306" si="2791">IF($AI$5&gt;$AH$5,($AI$5-$AH$5)*M535,0)</f>
        <v>0</v>
      </c>
      <c r="AU306" s="780">
        <f t="shared" ref="AU306" si="2792">IF($AI$5&gt;$AH$5,($AI$5-$AH$5)*N535,0)</f>
        <v>0</v>
      </c>
      <c r="AV306" s="780">
        <f t="shared" ref="AV306" si="2793">IF($AI$5&gt;$AH$5,($AI$5-$AH$5)*O535,0)</f>
        <v>0</v>
      </c>
      <c r="AW306" s="781">
        <f t="shared" ref="AW306" si="2794">IF($AI$5&gt;$AH$5,($AI$5-$AH$5)*P535,0)</f>
        <v>0</v>
      </c>
      <c r="AX306" s="782">
        <f t="shared" ref="AX306" si="2795">IF($AI$5&gt;$AH$5,($AI$5-$AH$5)*Q535,0)</f>
        <v>0</v>
      </c>
      <c r="AY306" s="780">
        <f t="shared" ref="AY306" si="2796">IF($AI$5&gt;$AH$5,($AI$5-$AH$5)*R535,0)</f>
        <v>0</v>
      </c>
      <c r="AZ306" s="780">
        <f t="shared" ref="AZ306" si="2797">IF($AI$5&gt;$AH$5,($AI$5-$AH$5)*S535,0)</f>
        <v>0</v>
      </c>
      <c r="BA306" s="780">
        <f t="shared" ref="BA306" si="2798">IF($AI$5&gt;$AH$5,($AI$5-$AH$5)*T535,0)</f>
        <v>0</v>
      </c>
      <c r="BB306" s="780">
        <f t="shared" ref="BB306" si="2799">IF($AI$5&gt;$AH$5,($AI$5-$AH$5)*U535,0)</f>
        <v>0</v>
      </c>
      <c r="BC306" s="780">
        <f t="shared" ref="BC306" si="2800">IF($AI$5&gt;$AH$5,($AI$5-$AH$5)*V535,0)</f>
        <v>0</v>
      </c>
      <c r="BD306" s="780">
        <f t="shared" ref="BD306" si="2801">IF($AI$5&gt;$AH$5,($AI$5-$AH$5)*W535,0)</f>
        <v>0</v>
      </c>
      <c r="BE306" s="780">
        <f t="shared" ref="BE306" si="2802">IF($AI$5&gt;$AH$5,($AI$5-$AH$5)*X535,0)</f>
        <v>0</v>
      </c>
      <c r="BF306" s="780">
        <f t="shared" ref="BF306" si="2803">IF($AI$5&gt;$AH$5,($AI$5-$AH$5)*Y535,0)</f>
        <v>0</v>
      </c>
      <c r="BG306" s="780">
        <f t="shared" ref="BG306" si="2804">IF($AI$5&gt;$AH$5,($AI$5-$AH$5)*Z535,0)</f>
        <v>0</v>
      </c>
      <c r="BH306" s="780">
        <f t="shared" ref="BH306" si="2805">IF($AI$5&gt;$AH$5,($AI$5-$AH$5)*AA535,0)</f>
        <v>0</v>
      </c>
      <c r="BI306" s="781">
        <f t="shared" ref="BI306" si="2806">IF($AI$5&gt;$AH$5,($AI$5-$AH$5)*AB535,0)</f>
        <v>0</v>
      </c>
    </row>
    <row r="307" spans="1:61" s="780" customFormat="1" hidden="1" outlineLevel="1">
      <c r="A307" s="780" t="str">
        <f>$A$536</f>
        <v>Leads</v>
      </c>
      <c r="M307" s="781"/>
      <c r="N307" s="782"/>
      <c r="Y307" s="781"/>
      <c r="Z307" s="782"/>
      <c r="AI307" s="780">
        <f>IF($AI$5&gt;$AH$5,($AI$5-$AH$5)*B536,0)</f>
        <v>0</v>
      </c>
      <c r="AJ307" s="780">
        <f t="shared" ref="AJ307:BI307" si="2807">IF($AI$5&gt;$AH$5,($AI$5-$AH$5)*C536,0)</f>
        <v>0</v>
      </c>
      <c r="AK307" s="781">
        <f t="shared" si="2807"/>
        <v>0</v>
      </c>
      <c r="AL307" s="782">
        <f t="shared" si="2807"/>
        <v>0</v>
      </c>
      <c r="AM307" s="780">
        <f t="shared" si="2807"/>
        <v>0</v>
      </c>
      <c r="AN307" s="780">
        <f t="shared" si="2807"/>
        <v>0</v>
      </c>
      <c r="AO307" s="780">
        <f t="shared" si="2807"/>
        <v>0</v>
      </c>
      <c r="AP307" s="780">
        <f t="shared" si="2807"/>
        <v>0</v>
      </c>
      <c r="AQ307" s="780">
        <f t="shared" si="2807"/>
        <v>0</v>
      </c>
      <c r="AR307" s="780">
        <f t="shared" si="2807"/>
        <v>0</v>
      </c>
      <c r="AS307" s="780">
        <f t="shared" si="2807"/>
        <v>0</v>
      </c>
      <c r="AT307" s="780">
        <f t="shared" si="2807"/>
        <v>0</v>
      </c>
      <c r="AU307" s="780">
        <f t="shared" si="2807"/>
        <v>0</v>
      </c>
      <c r="AV307" s="780">
        <f t="shared" si="2807"/>
        <v>0</v>
      </c>
      <c r="AW307" s="781">
        <f t="shared" si="2807"/>
        <v>0</v>
      </c>
      <c r="AX307" s="782">
        <f t="shared" si="2807"/>
        <v>0</v>
      </c>
      <c r="AY307" s="780">
        <f t="shared" si="2807"/>
        <v>0</v>
      </c>
      <c r="AZ307" s="780">
        <f t="shared" si="2807"/>
        <v>0</v>
      </c>
      <c r="BA307" s="780">
        <f t="shared" si="2807"/>
        <v>0</v>
      </c>
      <c r="BB307" s="780">
        <f t="shared" si="2807"/>
        <v>0</v>
      </c>
      <c r="BC307" s="780">
        <f t="shared" si="2807"/>
        <v>0</v>
      </c>
      <c r="BD307" s="780">
        <f t="shared" si="2807"/>
        <v>0</v>
      </c>
      <c r="BE307" s="780">
        <f t="shared" si="2807"/>
        <v>0</v>
      </c>
      <c r="BF307" s="780">
        <f t="shared" si="2807"/>
        <v>0</v>
      </c>
      <c r="BG307" s="780">
        <f t="shared" si="2807"/>
        <v>0</v>
      </c>
      <c r="BH307" s="780">
        <f t="shared" si="2807"/>
        <v>0</v>
      </c>
      <c r="BI307" s="781">
        <f t="shared" si="2807"/>
        <v>0</v>
      </c>
    </row>
    <row r="308" spans="1:61" s="780" customFormat="1" hidden="1" outlineLevel="1">
      <c r="A308" s="780" t="str">
        <f>$A$537</f>
        <v>Audits</v>
      </c>
      <c r="M308" s="781"/>
      <c r="N308" s="782"/>
      <c r="Y308" s="781"/>
      <c r="Z308" s="782"/>
      <c r="AI308" s="780">
        <f t="shared" ref="AI308:BI308" si="2808">IF($AI$5&gt;$AH$5,($AI$5-$AH$5)*B537,0)</f>
        <v>0</v>
      </c>
      <c r="AJ308" s="780">
        <f t="shared" si="2808"/>
        <v>0</v>
      </c>
      <c r="AK308" s="781">
        <f t="shared" si="2808"/>
        <v>0</v>
      </c>
      <c r="AL308" s="782">
        <f t="shared" si="2808"/>
        <v>0</v>
      </c>
      <c r="AM308" s="780">
        <f t="shared" si="2808"/>
        <v>0</v>
      </c>
      <c r="AN308" s="780">
        <f t="shared" si="2808"/>
        <v>0</v>
      </c>
      <c r="AO308" s="780">
        <f t="shared" si="2808"/>
        <v>0</v>
      </c>
      <c r="AP308" s="780">
        <f t="shared" si="2808"/>
        <v>0</v>
      </c>
      <c r="AQ308" s="780">
        <f t="shared" si="2808"/>
        <v>0</v>
      </c>
      <c r="AR308" s="780">
        <f t="shared" si="2808"/>
        <v>0</v>
      </c>
      <c r="AS308" s="780">
        <f t="shared" si="2808"/>
        <v>0</v>
      </c>
      <c r="AT308" s="780">
        <f t="shared" si="2808"/>
        <v>0</v>
      </c>
      <c r="AU308" s="780">
        <f t="shared" si="2808"/>
        <v>0</v>
      </c>
      <c r="AV308" s="780">
        <f t="shared" si="2808"/>
        <v>0</v>
      </c>
      <c r="AW308" s="781">
        <f t="shared" si="2808"/>
        <v>0</v>
      </c>
      <c r="AX308" s="782">
        <f t="shared" si="2808"/>
        <v>0</v>
      </c>
      <c r="AY308" s="780">
        <f t="shared" si="2808"/>
        <v>0</v>
      </c>
      <c r="AZ308" s="780">
        <f t="shared" si="2808"/>
        <v>0</v>
      </c>
      <c r="BA308" s="780">
        <f t="shared" si="2808"/>
        <v>0</v>
      </c>
      <c r="BB308" s="780">
        <f t="shared" si="2808"/>
        <v>0</v>
      </c>
      <c r="BC308" s="780">
        <f t="shared" si="2808"/>
        <v>0</v>
      </c>
      <c r="BD308" s="780">
        <f t="shared" si="2808"/>
        <v>0</v>
      </c>
      <c r="BE308" s="780">
        <f t="shared" si="2808"/>
        <v>0</v>
      </c>
      <c r="BF308" s="780">
        <f t="shared" si="2808"/>
        <v>0</v>
      </c>
      <c r="BG308" s="780">
        <f t="shared" si="2808"/>
        <v>0</v>
      </c>
      <c r="BH308" s="780">
        <f t="shared" si="2808"/>
        <v>0</v>
      </c>
      <c r="BI308" s="781">
        <f t="shared" si="2808"/>
        <v>0</v>
      </c>
    </row>
    <row r="309" spans="1:61" s="780" customFormat="1" hidden="1" outlineLevel="1">
      <c r="A309" s="780" t="str">
        <f>$A$538</f>
        <v>Retrofit</v>
      </c>
      <c r="M309" s="781"/>
      <c r="N309" s="782"/>
      <c r="Y309" s="781"/>
      <c r="Z309" s="782"/>
      <c r="AI309" s="780">
        <f t="shared" ref="AI309:BI309" si="2809">IF($AI$5&gt;$AH$5,($AI$5-$AH$5)*B538,0)</f>
        <v>0</v>
      </c>
      <c r="AJ309" s="780">
        <f t="shared" si="2809"/>
        <v>0</v>
      </c>
      <c r="AK309" s="781">
        <f t="shared" si="2809"/>
        <v>0</v>
      </c>
      <c r="AL309" s="782">
        <f t="shared" si="2809"/>
        <v>0</v>
      </c>
      <c r="AM309" s="780">
        <f t="shared" si="2809"/>
        <v>0</v>
      </c>
      <c r="AN309" s="780">
        <f t="shared" si="2809"/>
        <v>0</v>
      </c>
      <c r="AO309" s="780">
        <f t="shared" si="2809"/>
        <v>0</v>
      </c>
      <c r="AP309" s="780">
        <f t="shared" si="2809"/>
        <v>0</v>
      </c>
      <c r="AQ309" s="780">
        <f t="shared" si="2809"/>
        <v>0</v>
      </c>
      <c r="AR309" s="780">
        <f t="shared" si="2809"/>
        <v>0</v>
      </c>
      <c r="AS309" s="780">
        <f t="shared" si="2809"/>
        <v>0</v>
      </c>
      <c r="AT309" s="780">
        <f t="shared" si="2809"/>
        <v>0</v>
      </c>
      <c r="AU309" s="780">
        <f t="shared" si="2809"/>
        <v>0</v>
      </c>
      <c r="AV309" s="780">
        <f t="shared" si="2809"/>
        <v>0</v>
      </c>
      <c r="AW309" s="781">
        <f t="shared" si="2809"/>
        <v>0</v>
      </c>
      <c r="AX309" s="782">
        <f t="shared" si="2809"/>
        <v>0</v>
      </c>
      <c r="AY309" s="780">
        <f t="shared" si="2809"/>
        <v>0</v>
      </c>
      <c r="AZ309" s="780">
        <f t="shared" si="2809"/>
        <v>0</v>
      </c>
      <c r="BA309" s="780">
        <f t="shared" si="2809"/>
        <v>0</v>
      </c>
      <c r="BB309" s="780">
        <f t="shared" si="2809"/>
        <v>0</v>
      </c>
      <c r="BC309" s="780">
        <f t="shared" si="2809"/>
        <v>0</v>
      </c>
      <c r="BD309" s="780">
        <f t="shared" si="2809"/>
        <v>0</v>
      </c>
      <c r="BE309" s="780">
        <f t="shared" si="2809"/>
        <v>0</v>
      </c>
      <c r="BF309" s="780">
        <f t="shared" si="2809"/>
        <v>0</v>
      </c>
      <c r="BG309" s="780">
        <f t="shared" si="2809"/>
        <v>0</v>
      </c>
      <c r="BH309" s="780">
        <f t="shared" si="2809"/>
        <v>0</v>
      </c>
      <c r="BI309" s="781">
        <f t="shared" si="2809"/>
        <v>0</v>
      </c>
    </row>
    <row r="310" spans="1:61" s="780" customFormat="1" hidden="1" outlineLevel="1">
      <c r="A310" s="780" t="str">
        <f>$A$539</f>
        <v>Revenue</v>
      </c>
      <c r="M310" s="781"/>
      <c r="N310" s="782"/>
      <c r="Y310" s="781"/>
      <c r="Z310" s="782"/>
      <c r="AI310" s="780">
        <f t="shared" ref="AI310:BI310" si="2810">IF($AI$5&gt;$AH$5,($AI$5-$AH$5)*B539,0)</f>
        <v>0</v>
      </c>
      <c r="AJ310" s="780">
        <f t="shared" si="2810"/>
        <v>0</v>
      </c>
      <c r="AK310" s="781">
        <f t="shared" si="2810"/>
        <v>0</v>
      </c>
      <c r="AL310" s="782">
        <f t="shared" si="2810"/>
        <v>0</v>
      </c>
      <c r="AM310" s="780">
        <f t="shared" si="2810"/>
        <v>0</v>
      </c>
      <c r="AN310" s="780">
        <f t="shared" si="2810"/>
        <v>0</v>
      </c>
      <c r="AO310" s="780">
        <f t="shared" si="2810"/>
        <v>0</v>
      </c>
      <c r="AP310" s="780">
        <f t="shared" si="2810"/>
        <v>0</v>
      </c>
      <c r="AQ310" s="780">
        <f t="shared" si="2810"/>
        <v>0</v>
      </c>
      <c r="AR310" s="780">
        <f t="shared" si="2810"/>
        <v>0</v>
      </c>
      <c r="AS310" s="780">
        <f t="shared" si="2810"/>
        <v>0</v>
      </c>
      <c r="AT310" s="780">
        <f t="shared" si="2810"/>
        <v>0</v>
      </c>
      <c r="AU310" s="780">
        <f t="shared" si="2810"/>
        <v>0</v>
      </c>
      <c r="AV310" s="780">
        <f t="shared" si="2810"/>
        <v>0</v>
      </c>
      <c r="AW310" s="781">
        <f t="shared" si="2810"/>
        <v>0</v>
      </c>
      <c r="AX310" s="782">
        <f t="shared" si="2810"/>
        <v>0</v>
      </c>
      <c r="AY310" s="780">
        <f t="shared" si="2810"/>
        <v>0</v>
      </c>
      <c r="AZ310" s="780">
        <f t="shared" si="2810"/>
        <v>0</v>
      </c>
      <c r="BA310" s="780">
        <f t="shared" si="2810"/>
        <v>0</v>
      </c>
      <c r="BB310" s="780">
        <f t="shared" si="2810"/>
        <v>0</v>
      </c>
      <c r="BC310" s="780">
        <f t="shared" si="2810"/>
        <v>0</v>
      </c>
      <c r="BD310" s="780">
        <f t="shared" si="2810"/>
        <v>0</v>
      </c>
      <c r="BE310" s="780">
        <f t="shared" si="2810"/>
        <v>0</v>
      </c>
      <c r="BF310" s="780">
        <f t="shared" si="2810"/>
        <v>0</v>
      </c>
      <c r="BG310" s="780">
        <f t="shared" si="2810"/>
        <v>0</v>
      </c>
      <c r="BH310" s="780">
        <f t="shared" si="2810"/>
        <v>0</v>
      </c>
      <c r="BI310" s="781">
        <f t="shared" si="2810"/>
        <v>0</v>
      </c>
    </row>
    <row r="311" spans="1:61" s="780" customFormat="1" hidden="1" outlineLevel="1">
      <c r="A311" s="780" t="str">
        <f>$A$540</f>
        <v>Net Income</v>
      </c>
      <c r="M311" s="781"/>
      <c r="N311" s="782"/>
      <c r="Y311" s="781"/>
      <c r="Z311" s="782"/>
      <c r="AI311" s="780">
        <f t="shared" ref="AI311:BI311" si="2811">IF($AI$5&gt;$AH$5,($AI$5-$AH$5)*B540,0)</f>
        <v>0</v>
      </c>
      <c r="AJ311" s="780">
        <f t="shared" si="2811"/>
        <v>0</v>
      </c>
      <c r="AK311" s="781">
        <f t="shared" si="2811"/>
        <v>0</v>
      </c>
      <c r="AL311" s="782">
        <f t="shared" si="2811"/>
        <v>0</v>
      </c>
      <c r="AM311" s="780">
        <f t="shared" si="2811"/>
        <v>0</v>
      </c>
      <c r="AN311" s="780">
        <f t="shared" si="2811"/>
        <v>0</v>
      </c>
      <c r="AO311" s="780">
        <f t="shared" si="2811"/>
        <v>0</v>
      </c>
      <c r="AP311" s="780">
        <f t="shared" si="2811"/>
        <v>0</v>
      </c>
      <c r="AQ311" s="780">
        <f t="shared" si="2811"/>
        <v>0</v>
      </c>
      <c r="AR311" s="780">
        <f t="shared" si="2811"/>
        <v>0</v>
      </c>
      <c r="AS311" s="780">
        <f t="shared" si="2811"/>
        <v>0</v>
      </c>
      <c r="AT311" s="780">
        <f t="shared" si="2811"/>
        <v>0</v>
      </c>
      <c r="AU311" s="780">
        <f t="shared" si="2811"/>
        <v>0</v>
      </c>
      <c r="AV311" s="780">
        <f t="shared" si="2811"/>
        <v>0</v>
      </c>
      <c r="AW311" s="781">
        <f t="shared" si="2811"/>
        <v>0</v>
      </c>
      <c r="AX311" s="782">
        <f t="shared" si="2811"/>
        <v>0</v>
      </c>
      <c r="AY311" s="780">
        <f t="shared" si="2811"/>
        <v>0</v>
      </c>
      <c r="AZ311" s="780">
        <f t="shared" si="2811"/>
        <v>0</v>
      </c>
      <c r="BA311" s="780">
        <f t="shared" si="2811"/>
        <v>0</v>
      </c>
      <c r="BB311" s="780">
        <f t="shared" si="2811"/>
        <v>0</v>
      </c>
      <c r="BC311" s="780">
        <f t="shared" si="2811"/>
        <v>0</v>
      </c>
      <c r="BD311" s="780">
        <f t="shared" si="2811"/>
        <v>0</v>
      </c>
      <c r="BE311" s="780">
        <f t="shared" si="2811"/>
        <v>0</v>
      </c>
      <c r="BF311" s="780">
        <f t="shared" si="2811"/>
        <v>0</v>
      </c>
      <c r="BG311" s="780">
        <f t="shared" si="2811"/>
        <v>0</v>
      </c>
      <c r="BH311" s="780">
        <f t="shared" si="2811"/>
        <v>0</v>
      </c>
      <c r="BI311" s="781">
        <f t="shared" si="2811"/>
        <v>0</v>
      </c>
    </row>
    <row r="312" spans="1:61" s="780" customFormat="1" hidden="1" outlineLevel="1">
      <c r="A312" s="780" t="str">
        <f>$A$541</f>
        <v>Program Revenue</v>
      </c>
      <c r="M312" s="781"/>
      <c r="N312" s="782"/>
      <c r="Y312" s="781"/>
      <c r="Z312" s="782"/>
      <c r="AI312" s="780">
        <f t="shared" ref="AI312" si="2812">IF($AI$5&gt;$AH$5,($AI$5-$AH$5)*B541,0)</f>
        <v>0</v>
      </c>
      <c r="AJ312" s="780">
        <f t="shared" ref="AJ312" si="2813">IF($AI$5&gt;$AH$5,($AI$5-$AH$5)*C541,0)</f>
        <v>0</v>
      </c>
      <c r="AK312" s="781">
        <f t="shared" ref="AK312" si="2814">IF($AI$5&gt;$AH$5,($AI$5-$AH$5)*D541,0)</f>
        <v>0</v>
      </c>
      <c r="AL312" s="782">
        <f t="shared" ref="AL312" si="2815">IF($AI$5&gt;$AH$5,($AI$5-$AH$5)*E541,0)</f>
        <v>0</v>
      </c>
      <c r="AM312" s="780">
        <f t="shared" ref="AM312" si="2816">IF($AI$5&gt;$AH$5,($AI$5-$AH$5)*F541,0)</f>
        <v>0</v>
      </c>
      <c r="AN312" s="780">
        <f t="shared" ref="AN312" si="2817">IF($AI$5&gt;$AH$5,($AI$5-$AH$5)*G541,0)</f>
        <v>0</v>
      </c>
      <c r="AO312" s="780">
        <f t="shared" ref="AO312" si="2818">IF($AI$5&gt;$AH$5,($AI$5-$AH$5)*H541,0)</f>
        <v>0</v>
      </c>
      <c r="AP312" s="780">
        <f t="shared" ref="AP312" si="2819">IF($AI$5&gt;$AH$5,($AI$5-$AH$5)*I541,0)</f>
        <v>0</v>
      </c>
      <c r="AQ312" s="780">
        <f t="shared" ref="AQ312" si="2820">IF($AI$5&gt;$AH$5,($AI$5-$AH$5)*J541,0)</f>
        <v>0</v>
      </c>
      <c r="AR312" s="780">
        <f t="shared" ref="AR312" si="2821">IF($AI$5&gt;$AH$5,($AI$5-$AH$5)*K541,0)</f>
        <v>0</v>
      </c>
      <c r="AS312" s="780">
        <f t="shared" ref="AS312" si="2822">IF($AI$5&gt;$AH$5,($AI$5-$AH$5)*L541,0)</f>
        <v>0</v>
      </c>
      <c r="AT312" s="780">
        <f t="shared" ref="AT312" si="2823">IF($AI$5&gt;$AH$5,($AI$5-$AH$5)*M541,0)</f>
        <v>0</v>
      </c>
      <c r="AU312" s="780">
        <f t="shared" ref="AU312" si="2824">IF($AI$5&gt;$AH$5,($AI$5-$AH$5)*N541,0)</f>
        <v>0</v>
      </c>
      <c r="AV312" s="780">
        <f t="shared" ref="AV312" si="2825">IF($AI$5&gt;$AH$5,($AI$5-$AH$5)*O541,0)</f>
        <v>0</v>
      </c>
      <c r="AW312" s="781">
        <f t="shared" ref="AW312" si="2826">IF($AI$5&gt;$AH$5,($AI$5-$AH$5)*P541,0)</f>
        <v>0</v>
      </c>
      <c r="AX312" s="782">
        <f t="shared" ref="AX312" si="2827">IF($AI$5&gt;$AH$5,($AI$5-$AH$5)*Q541,0)</f>
        <v>0</v>
      </c>
      <c r="AY312" s="780">
        <f t="shared" ref="AY312" si="2828">IF($AI$5&gt;$AH$5,($AI$5-$AH$5)*R541,0)</f>
        <v>0</v>
      </c>
      <c r="AZ312" s="780">
        <f t="shared" ref="AZ312" si="2829">IF($AI$5&gt;$AH$5,($AI$5-$AH$5)*S541,0)</f>
        <v>0</v>
      </c>
      <c r="BA312" s="780">
        <f t="shared" ref="BA312" si="2830">IF($AI$5&gt;$AH$5,($AI$5-$AH$5)*T541,0)</f>
        <v>0</v>
      </c>
      <c r="BB312" s="780">
        <f t="shared" ref="BB312" si="2831">IF($AI$5&gt;$AH$5,($AI$5-$AH$5)*U541,0)</f>
        <v>0</v>
      </c>
      <c r="BC312" s="780">
        <f t="shared" ref="BC312" si="2832">IF($AI$5&gt;$AH$5,($AI$5-$AH$5)*V541,0)</f>
        <v>0</v>
      </c>
      <c r="BD312" s="780">
        <f t="shared" ref="BD312" si="2833">IF($AI$5&gt;$AH$5,($AI$5-$AH$5)*W541,0)</f>
        <v>0</v>
      </c>
      <c r="BE312" s="780">
        <f t="shared" ref="BE312" si="2834">IF($AI$5&gt;$AH$5,($AI$5-$AH$5)*X541,0)</f>
        <v>0</v>
      </c>
      <c r="BF312" s="780">
        <f t="shared" ref="BF312" si="2835">IF($AI$5&gt;$AH$5,($AI$5-$AH$5)*Y541,0)</f>
        <v>0</v>
      </c>
      <c r="BG312" s="780">
        <f t="shared" ref="BG312" si="2836">IF($AI$5&gt;$AH$5,($AI$5-$AH$5)*Z541,0)</f>
        <v>0</v>
      </c>
      <c r="BH312" s="780">
        <f t="shared" ref="BH312" si="2837">IF($AI$5&gt;$AH$5,($AI$5-$AH$5)*AA541,0)</f>
        <v>0</v>
      </c>
      <c r="BI312" s="781">
        <f t="shared" ref="BI312" si="2838">IF($AI$5&gt;$AH$5,($AI$5-$AH$5)*AB541,0)</f>
        <v>0</v>
      </c>
    </row>
    <row r="313" spans="1:61" s="780" customFormat="1" hidden="1" outlineLevel="1">
      <c r="M313" s="781"/>
      <c r="N313" s="782"/>
      <c r="Y313" s="781"/>
      <c r="Z313" s="782"/>
      <c r="AK313" s="781"/>
      <c r="AL313" s="782"/>
      <c r="AW313" s="781"/>
      <c r="AX313" s="782"/>
      <c r="BI313" s="781"/>
    </row>
    <row r="314" spans="1:61" s="780" customFormat="1" hidden="1" outlineLevel="1">
      <c r="A314" s="780" t="s">
        <v>359</v>
      </c>
      <c r="M314" s="781"/>
      <c r="N314" s="782"/>
      <c r="Y314" s="781"/>
      <c r="Z314" s="782"/>
      <c r="AJ314" s="780">
        <f>IF($AJ$5&gt;$AI$5,($AJ$5-$AI$5)*B535,0)</f>
        <v>8</v>
      </c>
      <c r="AK314" s="781">
        <f t="shared" ref="AK314" si="2839">IF($AJ$5&gt;$AI$5,($AJ$5-$AI$5)*C535,0)</f>
        <v>8.3824000000000005</v>
      </c>
      <c r="AL314" s="782">
        <f t="shared" ref="AL314" si="2840">IF($AJ$5&gt;$AI$5,($AJ$5-$AI$5)*D535,0)</f>
        <v>8.790016102400001</v>
      </c>
      <c r="AM314" s="780">
        <f t="shared" ref="AM314" si="2841">IF($AJ$5&gt;$AI$5,($AJ$5-$AI$5)*E535,0)</f>
        <v>9.2244218586677267</v>
      </c>
      <c r="AN314" s="780">
        <f t="shared" ref="AN314" si="2842">IF($AJ$5&gt;$AI$5,($AJ$5-$AI$5)*F535,0)</f>
        <v>9.6872643857899394</v>
      </c>
      <c r="AO314" s="780">
        <f t="shared" ref="AO314" si="2843">IF($AJ$5&gt;$AI$5,($AJ$5-$AI$5)*G535,0)</f>
        <v>10.180266404063699</v>
      </c>
      <c r="AP314" s="780">
        <f t="shared" ref="AP314" si="2844">IF($AJ$5&gt;$AI$5,($AJ$5-$AI$5)*H535,0)</f>
        <v>10.705228286703797</v>
      </c>
      <c r="AQ314" s="780">
        <f t="shared" ref="AQ314" si="2845">IF($AJ$5&gt;$AI$5,($AJ$5-$AI$5)*I535,0)</f>
        <v>11.264030122404236</v>
      </c>
      <c r="AR314" s="780">
        <f t="shared" ref="AR314" si="2846">IF($AJ$5&gt;$AI$5,($AJ$5-$AI$5)*J535,0)</f>
        <v>11.858633792363815</v>
      </c>
      <c r="AS314" s="780">
        <f t="shared" ref="AS314" si="2847">IF($AJ$5&gt;$AI$5,($AJ$5-$AI$5)*K535,0)</f>
        <v>12.491085063681208</v>
      </c>
      <c r="AT314" s="780">
        <f t="shared" ref="AT314" si="2848">IF($AJ$5&gt;$AI$5,($AJ$5-$AI$5)*L535,0)</f>
        <v>13.163515701442698</v>
      </c>
      <c r="AU314" s="780">
        <f t="shared" ref="AU314" si="2849">IF($AJ$5&gt;$AI$5,($AJ$5-$AI$5)*M535,0)</f>
        <v>13.878145602265221</v>
      </c>
      <c r="AV314" s="780">
        <f t="shared" ref="AV314" si="2850">IF($AJ$5&gt;$AI$5,($AJ$5-$AI$5)*N535,0)</f>
        <v>14.640802427106802</v>
      </c>
      <c r="AW314" s="781">
        <f t="shared" ref="AW314" si="2851">IF($AJ$5&gt;$AI$5,($AJ$5-$AI$5)*O535,0)</f>
        <v>15.454179973028484</v>
      </c>
      <c r="AX314" s="782">
        <f t="shared" ref="AX314" si="2852">IF($AJ$5&gt;$AI$5,($AJ$5-$AI$5)*P535,0)</f>
        <v>16.321067007803048</v>
      </c>
      <c r="AY314" s="780">
        <f t="shared" ref="AY314" si="2853">IF($AJ$5&gt;$AI$5,($AJ$5-$AI$5)*Q535,0)</f>
        <v>17.244348126107901</v>
      </c>
      <c r="AZ314" s="780">
        <f t="shared" ref="AZ314" si="2854">IF($AJ$5&gt;$AI$5,($AJ$5-$AI$5)*R535,0)</f>
        <v>18.227004594103096</v>
      </c>
      <c r="BA314" s="780">
        <f t="shared" ref="BA314" si="2855">IF($AJ$5&gt;$AI$5,($AJ$5-$AI$5)*S535,0)</f>
        <v>19.272115194972702</v>
      </c>
      <c r="BB314" s="780">
        <f t="shared" ref="BB314" si="2856">IF($AJ$5&gt;$AI$5,($AJ$5-$AI$5)*T535,0)</f>
        <v>20.382857089151276</v>
      </c>
      <c r="BC314" s="780">
        <f t="shared" ref="BC314" si="2857">IF($AJ$5&gt;$AI$5,($AJ$5-$AI$5)*U535,0)</f>
        <v>21.56250670407784</v>
      </c>
      <c r="BD314" s="780">
        <f t="shared" ref="BD314" si="2858">IF($AJ$5&gt;$AI$5,($AJ$5-$AI$5)*V535,0)</f>
        <v>22.814440669410335</v>
      </c>
      <c r="BE314" s="780">
        <f t="shared" ref="BE314" si="2859">IF($AJ$5&gt;$AI$5,($AJ$5-$AI$5)*W535,0)</f>
        <v>24.142136814686012</v>
      </c>
      <c r="BF314" s="780">
        <f t="shared" ref="BF314" si="2860">IF($AJ$5&gt;$AI$5,($AJ$5-$AI$5)*X535,0)</f>
        <v>25.549175247421399</v>
      </c>
      <c r="BG314" s="780">
        <f t="shared" ref="BG314" si="2861">IF($AJ$5&gt;$AI$5,($AJ$5-$AI$5)*Y535,0)</f>
        <v>27.039239530601542</v>
      </c>
      <c r="BH314" s="780">
        <f t="shared" ref="BH314" si="2862">IF($AJ$5&gt;$AI$5,($AJ$5-$AI$5)*Z535,0)</f>
        <v>28.620747034243404</v>
      </c>
      <c r="BI314" s="781">
        <f t="shared" ref="BI314" si="2863">IF($AJ$5&gt;$AI$5,($AJ$5-$AI$5)*AA535,0)</f>
        <v>30.297832899152603</v>
      </c>
    </row>
    <row r="315" spans="1:61" s="780" customFormat="1" hidden="1" outlineLevel="1">
      <c r="A315" s="780" t="str">
        <f>$A$536</f>
        <v>Leads</v>
      </c>
      <c r="M315" s="781"/>
      <c r="N315" s="782"/>
      <c r="Y315" s="781"/>
      <c r="Z315" s="782"/>
      <c r="AJ315" s="780">
        <f>IF($AJ$5&gt;$AI$5,($AJ$5-$AI$5)*B536,0)</f>
        <v>20</v>
      </c>
      <c r="AK315" s="781">
        <f t="shared" ref="AK315:BI315" si="2864">IF($AJ$5&gt;$AI$5,($AJ$5-$AI$5)*C536,0)</f>
        <v>20.8</v>
      </c>
      <c r="AL315" s="782">
        <f t="shared" si="2864"/>
        <v>21.632000000000001</v>
      </c>
      <c r="AM315" s="780">
        <f t="shared" si="2864"/>
        <v>22.497280000000003</v>
      </c>
      <c r="AN315" s="780">
        <f t="shared" si="2864"/>
        <v>23.397171200000006</v>
      </c>
      <c r="AO315" s="780">
        <f t="shared" si="2864"/>
        <v>24.333058048000009</v>
      </c>
      <c r="AP315" s="780">
        <f t="shared" si="2864"/>
        <v>25.30638036992001</v>
      </c>
      <c r="AQ315" s="780">
        <f t="shared" si="2864"/>
        <v>26.318635584716812</v>
      </c>
      <c r="AR315" s="780">
        <f t="shared" si="2864"/>
        <v>27.371381008105487</v>
      </c>
      <c r="AS315" s="780">
        <f t="shared" si="2864"/>
        <v>28.466236248429709</v>
      </c>
      <c r="AT315" s="780">
        <f t="shared" si="2864"/>
        <v>29.6048856983669</v>
      </c>
      <c r="AU315" s="780">
        <f t="shared" si="2864"/>
        <v>30.789081126301578</v>
      </c>
      <c r="AV315" s="780">
        <f t="shared" si="2864"/>
        <v>32.02064437135364</v>
      </c>
      <c r="AW315" s="781">
        <f t="shared" si="2864"/>
        <v>33.301470146207784</v>
      </c>
      <c r="AX315" s="782">
        <f t="shared" si="2864"/>
        <v>34.633528952056096</v>
      </c>
      <c r="AY315" s="780">
        <f t="shared" si="2864"/>
        <v>36.018870110138344</v>
      </c>
      <c r="AZ315" s="780">
        <f t="shared" si="2864"/>
        <v>37.45962491454388</v>
      </c>
      <c r="BA315" s="780">
        <f t="shared" si="2864"/>
        <v>38.958009911125636</v>
      </c>
      <c r="BB315" s="780">
        <f t="shared" si="2864"/>
        <v>40.516330307570662</v>
      </c>
      <c r="BC315" s="780">
        <f t="shared" si="2864"/>
        <v>42.136983519873489</v>
      </c>
      <c r="BD315" s="780">
        <f t="shared" si="2864"/>
        <v>43.822462860668423</v>
      </c>
      <c r="BE315" s="780">
        <f t="shared" si="2864"/>
        <v>45.57536137509517</v>
      </c>
      <c r="BF315" s="780">
        <f t="shared" si="2864"/>
        <v>47.398375830098978</v>
      </c>
      <c r="BG315" s="780">
        <f t="shared" si="2864"/>
        <v>49.29431086330294</v>
      </c>
      <c r="BH315" s="780">
        <f t="shared" si="2864"/>
        <v>51.26608329783506</v>
      </c>
      <c r="BI315" s="781">
        <f t="shared" si="2864"/>
        <v>53.316726629748466</v>
      </c>
    </row>
    <row r="316" spans="1:61" s="780" customFormat="1" hidden="1" outlineLevel="1">
      <c r="A316" s="780" t="str">
        <f>$A$537</f>
        <v>Audits</v>
      </c>
      <c r="M316" s="781"/>
      <c r="N316" s="782"/>
      <c r="Y316" s="781"/>
      <c r="Z316" s="782"/>
      <c r="AJ316" s="780">
        <f t="shared" ref="AJ316:BI316" si="2865">IF($AJ$5&gt;$AI$5,($AJ$5-$AI$5)*B537,0)</f>
        <v>7.8466960352422905</v>
      </c>
      <c r="AK316" s="781">
        <f t="shared" si="2865"/>
        <v>8.1805560257268723</v>
      </c>
      <c r="AL316" s="782">
        <f t="shared" si="2865"/>
        <v>8.556158139083367</v>
      </c>
      <c r="AM316" s="780">
        <f t="shared" si="2865"/>
        <v>8.9523024684242678</v>
      </c>
      <c r="AN316" s="780">
        <f t="shared" si="2865"/>
        <v>9.3702787716763911</v>
      </c>
      <c r="AO316" s="780">
        <f t="shared" si="2865"/>
        <v>9.811453812672589</v>
      </c>
      <c r="AP316" s="780">
        <f t="shared" si="2865"/>
        <v>10.277273093546537</v>
      </c>
      <c r="AQ316" s="780">
        <f t="shared" si="2865"/>
        <v>10.769262132442826</v>
      </c>
      <c r="AR316" s="780">
        <f t="shared" si="2865"/>
        <v>11.289027268145146</v>
      </c>
      <c r="AS316" s="780">
        <f t="shared" si="2865"/>
        <v>11.838255995812663</v>
      </c>
      <c r="AT316" s="780">
        <f t="shared" si="2865"/>
        <v>12.418716863200714</v>
      </c>
      <c r="AU316" s="780">
        <f t="shared" si="2865"/>
        <v>13.032258982971491</v>
      </c>
      <c r="AV316" s="780">
        <f t="shared" si="2865"/>
        <v>13.681748513642187</v>
      </c>
      <c r="AW316" s="781">
        <f t="shared" si="2865"/>
        <v>14.367753613373562</v>
      </c>
      <c r="AX316" s="782">
        <f t="shared" si="2865"/>
        <v>15.094450719778326</v>
      </c>
      <c r="AY316" s="780">
        <f t="shared" si="2865"/>
        <v>15.864274704794562</v>
      </c>
      <c r="AZ316" s="780">
        <f t="shared" si="2865"/>
        <v>16.679756380011042</v>
      </c>
      <c r="BA316" s="780">
        <f t="shared" si="2865"/>
        <v>17.543519083999907</v>
      </c>
      <c r="BB316" s="780">
        <f t="shared" si="2865"/>
        <v>18.458274953232511</v>
      </c>
      <c r="BC316" s="780">
        <f t="shared" si="2865"/>
        <v>19.426821075192013</v>
      </c>
      <c r="BD316" s="780">
        <f t="shared" si="2865"/>
        <v>20.452035738521069</v>
      </c>
      <c r="BE316" s="780">
        <f t="shared" si="2865"/>
        <v>21.536874999893016</v>
      </c>
      <c r="BF316" s="780">
        <f t="shared" si="2865"/>
        <v>22.68436978011453</v>
      </c>
      <c r="BG316" s="780">
        <f t="shared" si="2865"/>
        <v>23.897623683136111</v>
      </c>
      <c r="BH316" s="780">
        <f t="shared" si="2865"/>
        <v>25.181305860088621</v>
      </c>
      <c r="BI316" s="781">
        <f t="shared" si="2865"/>
        <v>26.509539923847804</v>
      </c>
    </row>
    <row r="317" spans="1:61" s="780" customFormat="1" hidden="1" outlineLevel="1">
      <c r="A317" s="780" t="str">
        <f>$A$538</f>
        <v>Retrofit</v>
      </c>
      <c r="M317" s="781"/>
      <c r="N317" s="782"/>
      <c r="Y317" s="781"/>
      <c r="Z317" s="782"/>
      <c r="AJ317" s="780">
        <f t="shared" ref="AJ317:BI317" si="2866">IF($AJ$5&gt;$AI$5,($AJ$5-$AI$5)*B538,0)</f>
        <v>3.2741145374449339</v>
      </c>
      <c r="AK317" s="781">
        <f t="shared" si="2866"/>
        <v>3.4211429613668018</v>
      </c>
      <c r="AL317" s="782">
        <f t="shared" si="2866"/>
        <v>3.6089747928733105</v>
      </c>
      <c r="AM317" s="780">
        <f t="shared" si="2866"/>
        <v>3.80943356172375</v>
      </c>
      <c r="AN317" s="780">
        <f t="shared" si="2866"/>
        <v>4.023495407635</v>
      </c>
      <c r="AO317" s="780">
        <f t="shared" si="2866"/>
        <v>4.2522035025469851</v>
      </c>
      <c r="AP317" s="780">
        <f t="shared" si="2866"/>
        <v>4.4966691121698661</v>
      </c>
      <c r="AQ317" s="780">
        <f t="shared" si="2866"/>
        <v>4.7580720961942786</v>
      </c>
      <c r="AR317" s="780">
        <f t="shared" si="2866"/>
        <v>5.0376608331454982</v>
      </c>
      <c r="AS317" s="780">
        <f t="shared" si="2866"/>
        <v>5.3367515834608863</v>
      </c>
      <c r="AT317" s="780">
        <f t="shared" si="2866"/>
        <v>5.6567273345837759</v>
      </c>
      <c r="AU317" s="780">
        <f t="shared" si="2866"/>
        <v>5.9990362027609887</v>
      </c>
      <c r="AV317" s="780">
        <f t="shared" si="2866"/>
        <v>6.3656710756275423</v>
      </c>
      <c r="AW317" s="781">
        <f t="shared" si="2866"/>
        <v>6.7527905497767229</v>
      </c>
      <c r="AX317" s="782">
        <f t="shared" si="2866"/>
        <v>7.1679946156961591</v>
      </c>
      <c r="AY317" s="780">
        <f t="shared" si="2866"/>
        <v>7.6132687220703144</v>
      </c>
      <c r="AZ317" s="780">
        <f t="shared" si="2866"/>
        <v>8.0906802436821312</v>
      </c>
      <c r="BA317" s="780">
        <f t="shared" si="2866"/>
        <v>8.6023733713231554</v>
      </c>
      <c r="BB317" s="780">
        <f t="shared" si="2866"/>
        <v>9.1505635635964193</v>
      </c>
      <c r="BC317" s="780">
        <f t="shared" si="2866"/>
        <v>9.7375318038296879</v>
      </c>
      <c r="BD317" s="780">
        <f t="shared" si="2866"/>
        <v>10.365618926205418</v>
      </c>
      <c r="BE317" s="780">
        <f t="shared" si="2866"/>
        <v>11.037220281947453</v>
      </c>
      <c r="BF317" s="780">
        <f t="shared" si="2866"/>
        <v>11.754781008099396</v>
      </c>
      <c r="BG317" s="780">
        <f t="shared" si="2866"/>
        <v>12.520792138493604</v>
      </c>
      <c r="BH317" s="780">
        <f t="shared" si="2866"/>
        <v>13.338724403473293</v>
      </c>
      <c r="BI317" s="781">
        <f t="shared" si="2866"/>
        <v>14.173899457244383</v>
      </c>
    </row>
    <row r="318" spans="1:61" s="780" customFormat="1" hidden="1" outlineLevel="1">
      <c r="A318" s="780" t="str">
        <f>$A$539</f>
        <v>Revenue</v>
      </c>
      <c r="M318" s="781"/>
      <c r="N318" s="782"/>
      <c r="Y318" s="781"/>
      <c r="Z318" s="782"/>
      <c r="AJ318" s="780">
        <f t="shared" ref="AJ318:BI318" si="2867">IF($AJ$5&gt;$AI$5,($AJ$5-$AI$5)*B539,0)</f>
        <v>20728.933920704847</v>
      </c>
      <c r="AK318" s="781">
        <f t="shared" si="2867"/>
        <v>22334.796424579898</v>
      </c>
      <c r="AL318" s="782">
        <f t="shared" si="2867"/>
        <v>24261.379157843236</v>
      </c>
      <c r="AM318" s="780">
        <f t="shared" si="2867"/>
        <v>27109.041527058151</v>
      </c>
      <c r="AN318" s="780">
        <f t="shared" si="2867"/>
        <v>29411.012063918617</v>
      </c>
      <c r="AO318" s="780">
        <f t="shared" si="2867"/>
        <v>31904.731979940196</v>
      </c>
      <c r="AP318" s="780">
        <f t="shared" si="2867"/>
        <v>34157.516935543477</v>
      </c>
      <c r="AQ318" s="780">
        <f t="shared" si="2867"/>
        <v>36585.144030160183</v>
      </c>
      <c r="AR318" s="780">
        <f t="shared" si="2867"/>
        <v>39202.024549786183</v>
      </c>
      <c r="AS318" s="780">
        <f t="shared" si="2867"/>
        <v>41489.907780370268</v>
      </c>
      <c r="AT318" s="780">
        <f t="shared" si="2867"/>
        <v>43934.936399734994</v>
      </c>
      <c r="AU318" s="780">
        <f t="shared" si="2867"/>
        <v>46547.932291314006</v>
      </c>
      <c r="AV318" s="780">
        <f t="shared" si="2867"/>
        <v>48812.622611071754</v>
      </c>
      <c r="AW318" s="781">
        <f t="shared" si="2867"/>
        <v>51746.745047763237</v>
      </c>
      <c r="AX318" s="782">
        <f t="shared" si="2867"/>
        <v>54891.491572423707</v>
      </c>
      <c r="AY318" s="780">
        <f t="shared" si="2867"/>
        <v>58261.704056497998</v>
      </c>
      <c r="AZ318" s="780">
        <f t="shared" si="2867"/>
        <v>61872.837706819933</v>
      </c>
      <c r="BA318" s="780">
        <f t="shared" si="2867"/>
        <v>65740.922877654608</v>
      </c>
      <c r="BB318" s="780">
        <f t="shared" si="2867"/>
        <v>69882.52360507095</v>
      </c>
      <c r="BC318" s="780">
        <f t="shared" si="2867"/>
        <v>74314.694687467563</v>
      </c>
      <c r="BD318" s="780">
        <f t="shared" si="2867"/>
        <v>79054.939292696072</v>
      </c>
      <c r="BE318" s="780">
        <f t="shared" si="2867"/>
        <v>84121.169122674793</v>
      </c>
      <c r="BF318" s="780">
        <f t="shared" si="2867"/>
        <v>89531.669104034416</v>
      </c>
      <c r="BG318" s="780">
        <f t="shared" si="2867"/>
        <v>95305.068401244935</v>
      </c>
      <c r="BH318" s="780">
        <f t="shared" si="2867"/>
        <v>101467.05911812153</v>
      </c>
      <c r="BI318" s="781">
        <f t="shared" si="2867"/>
        <v>107757.45533319093</v>
      </c>
    </row>
    <row r="319" spans="1:61" s="780" customFormat="1" hidden="1" outlineLevel="1">
      <c r="A319" s="780" t="str">
        <f>$A$540</f>
        <v>Net Income</v>
      </c>
      <c r="M319" s="781"/>
      <c r="N319" s="782"/>
      <c r="Y319" s="781"/>
      <c r="Z319" s="782"/>
      <c r="AJ319" s="780">
        <f t="shared" ref="AJ319:BI319" si="2868">IF($AJ$5&gt;$AI$5,($AJ$5-$AI$5)*B540,0)</f>
        <v>-33184.964170807638</v>
      </c>
      <c r="AK319" s="781">
        <f t="shared" si="2868"/>
        <v>-14837.14568100147</v>
      </c>
      <c r="AL319" s="782">
        <f t="shared" si="2868"/>
        <v>-14268.717003781454</v>
      </c>
      <c r="AM319" s="780">
        <f t="shared" si="2868"/>
        <v>-13405.013342705901</v>
      </c>
      <c r="AN319" s="780">
        <f t="shared" si="2868"/>
        <v>-12685.072540306182</v>
      </c>
      <c r="AO319" s="780">
        <f t="shared" si="2868"/>
        <v>-17604.404805924125</v>
      </c>
      <c r="AP319" s="780">
        <f t="shared" si="2868"/>
        <v>-15156.124616524507</v>
      </c>
      <c r="AQ319" s="780">
        <f t="shared" si="2868"/>
        <v>-13971.31609512752</v>
      </c>
      <c r="AR319" s="780">
        <f t="shared" si="2868"/>
        <v>-13027.555718246989</v>
      </c>
      <c r="AS319" s="780">
        <f t="shared" si="2868"/>
        <v>-12167.444211420123</v>
      </c>
      <c r="AT319" s="780">
        <f t="shared" si="2868"/>
        <v>-11228.257793696379</v>
      </c>
      <c r="AU319" s="780">
        <f t="shared" si="2868"/>
        <v>-10203.756141625032</v>
      </c>
      <c r="AV319" s="780">
        <f t="shared" si="2868"/>
        <v>-8928.9645055486872</v>
      </c>
      <c r="AW319" s="781">
        <f t="shared" si="2868"/>
        <v>-6565.2951604608934</v>
      </c>
      <c r="AX319" s="782">
        <f t="shared" si="2868"/>
        <v>-7951.6323699894165</v>
      </c>
      <c r="AY319" s="780">
        <f t="shared" si="2868"/>
        <v>-6483.5792380389103</v>
      </c>
      <c r="AZ319" s="780">
        <f t="shared" si="2868"/>
        <v>-5307.1722049655655</v>
      </c>
      <c r="BA319" s="780">
        <f t="shared" si="2868"/>
        <v>-3966.3475887754175</v>
      </c>
      <c r="BB319" s="780">
        <f t="shared" si="2868"/>
        <v>-2466.8649492429358</v>
      </c>
      <c r="BC319" s="780">
        <f t="shared" si="2868"/>
        <v>-826.64406907309967</v>
      </c>
      <c r="BD319" s="780">
        <f t="shared" si="2868"/>
        <v>-10770.241509529737</v>
      </c>
      <c r="BE319" s="780">
        <f t="shared" si="2868"/>
        <v>-19174.962642260827</v>
      </c>
      <c r="BF319" s="780">
        <f t="shared" si="2868"/>
        <v>-16925.443971653156</v>
      </c>
      <c r="BG319" s="780">
        <f t="shared" si="2868"/>
        <v>-25696.207513260568</v>
      </c>
      <c r="BH319" s="780">
        <f t="shared" si="2868"/>
        <v>-30466.524333613874</v>
      </c>
      <c r="BI319" s="781">
        <f t="shared" si="2868"/>
        <v>-30644.209260269774</v>
      </c>
    </row>
    <row r="320" spans="1:61" s="780" customFormat="1" hidden="1" outlineLevel="1">
      <c r="A320" s="780" t="str">
        <f>$A$541</f>
        <v>Program Revenue</v>
      </c>
      <c r="M320" s="781"/>
      <c r="N320" s="782"/>
      <c r="Y320" s="781"/>
      <c r="Z320" s="782"/>
      <c r="AJ320" s="780">
        <f t="shared" ref="AJ320" si="2869">IF($AJ$5&gt;$AI$5,($AJ$5-$AI$5)*B541,0)</f>
        <v>1850</v>
      </c>
      <c r="AK320" s="781">
        <f t="shared" ref="AK320" si="2870">IF($AJ$5&gt;$AI$5,($AJ$5-$AI$5)*C541,0)</f>
        <v>1937.1558751999999</v>
      </c>
      <c r="AL320" s="782">
        <f t="shared" ref="AL320" si="2871">IF($AJ$5&gt;$AI$5,($AJ$5-$AI$5)*D541,0)</f>
        <v>2030.0190587848704</v>
      </c>
      <c r="AM320" s="780">
        <f t="shared" ref="AM320" si="2872">IF($AJ$5&gt;$AI$5,($AJ$5-$AI$5)*E541,0)</f>
        <v>2128.941218449359</v>
      </c>
      <c r="AN320" s="780">
        <f t="shared" ref="AN320" si="2873">IF($AJ$5&gt;$AI$5,($AJ$5-$AI$5)*F541,0)</f>
        <v>2234.2900324673633</v>
      </c>
      <c r="AO320" s="780">
        <f t="shared" ref="AO320" si="2874">IF($AJ$5&gt;$AI$5,($AJ$5-$AI$5)*G541,0)</f>
        <v>2346.4496034726417</v>
      </c>
      <c r="AP320" s="780">
        <f t="shared" ref="AP320" si="2875">IF($AJ$5&gt;$AI$5,($AJ$5-$AI$5)*H541,0)</f>
        <v>2465.8208731027789</v>
      </c>
      <c r="AQ320" s="780">
        <f t="shared" ref="AQ320" si="2876">IF($AJ$5&gt;$AI$5,($AJ$5-$AI$5)*I541,0)</f>
        <v>2592.8220377557409</v>
      </c>
      <c r="AR320" s="780">
        <f t="shared" ref="AR320" si="2877">IF($AJ$5&gt;$AI$5,($AJ$5-$AI$5)*J541,0)</f>
        <v>2727.8889657926175</v>
      </c>
      <c r="AS320" s="780">
        <f t="shared" ref="AS320" si="2878">IF($AJ$5&gt;$AI$5,($AJ$5-$AI$5)*K541,0)</f>
        <v>2871.4756166091629</v>
      </c>
      <c r="AT320" s="780">
        <f t="shared" ref="AT320" si="2879">IF($AJ$5&gt;$AI$5,($AJ$5-$AI$5)*L541,0)</f>
        <v>3024.0544620924302</v>
      </c>
      <c r="AU320" s="780">
        <f t="shared" ref="AU320" si="2880">IF($AJ$5&gt;$AI$5,($AJ$5-$AI$5)*M541,0)</f>
        <v>3186.1169110768442</v>
      </c>
      <c r="AV320" s="780">
        <f t="shared" ref="AV320" si="2881">IF($AJ$5&gt;$AI$5,($AJ$5-$AI$5)*N541,0)</f>
        <v>3358.9807376414046</v>
      </c>
      <c r="AW320" s="781">
        <f t="shared" ref="AW320" si="2882">IF($AJ$5&gt;$AI$5,($AJ$5-$AI$5)*O541,0)</f>
        <v>3543.2416591361321</v>
      </c>
      <c r="AX320" s="782">
        <f t="shared" ref="AX320" si="2883">IF($AJ$5&gt;$AI$5,($AJ$5-$AI$5)*P541,0)</f>
        <v>3739.515514961849</v>
      </c>
      <c r="AY320" s="780">
        <f t="shared" ref="AY320" si="2884">IF($AJ$5&gt;$AI$5,($AJ$5-$AI$5)*Q541,0)</f>
        <v>3948.4383904349252</v>
      </c>
      <c r="AZ320" s="780">
        <f t="shared" ref="AZ320" si="2885">IF($AJ$5&gt;$AI$5,($AJ$5-$AI$5)*R541,0)</f>
        <v>4170.6667372134807</v>
      </c>
      <c r="BA320" s="780">
        <f t="shared" ref="BA320" si="2886">IF($AJ$5&gt;$AI$5,($AJ$5-$AI$5)*S541,0)</f>
        <v>4406.877493173627</v>
      </c>
      <c r="BB320" s="780">
        <f t="shared" ref="BB320" si="2887">IF($AJ$5&gt;$AI$5,($AJ$5-$AI$5)*T541,0)</f>
        <v>4657.7682048703127</v>
      </c>
      <c r="BC320" s="780">
        <f t="shared" ref="BC320" si="2888">IF($AJ$5&gt;$AI$5,($AJ$5-$AI$5)*U541,0)</f>
        <v>4924.0571559566215</v>
      </c>
      <c r="BD320" s="780">
        <f t="shared" ref="BD320" si="2889">IF($AJ$5&gt;$AI$5,($AJ$5-$AI$5)*V541,0)</f>
        <v>5206.4835051661303</v>
      </c>
      <c r="BE320" s="780">
        <f t="shared" ref="BE320" si="2890">IF($AJ$5&gt;$AI$5,($AJ$5-$AI$5)*W541,0)</f>
        <v>5505.8074376836603</v>
      </c>
      <c r="BF320" s="780">
        <f t="shared" ref="BF320" si="2891">IF($AJ$5&gt;$AI$5,($AJ$5-$AI$5)*X541,0)</f>
        <v>5822.8103339388172</v>
      </c>
      <c r="BG320" s="780">
        <f t="shared" ref="BG320" si="2892">IF($AJ$5&gt;$AI$5,($AJ$5-$AI$5)*Y541,0)</f>
        <v>6158.2949600526208</v>
      </c>
      <c r="BH320" s="780">
        <f t="shared" ref="BH320" si="2893">IF($AJ$5&gt;$AI$5,($AJ$5-$AI$5)*Z541,0)</f>
        <v>6514.1392664878649</v>
      </c>
      <c r="BI320" s="781">
        <f t="shared" ref="BI320" si="2894">IF($AJ$5&gt;$AI$5,($AJ$5-$AI$5)*AA541,0)</f>
        <v>6891.2420929122554</v>
      </c>
    </row>
    <row r="321" spans="1:61" s="780" customFormat="1" hidden="1" outlineLevel="1">
      <c r="M321" s="781"/>
      <c r="N321" s="782"/>
      <c r="Y321" s="781"/>
      <c r="Z321" s="782"/>
      <c r="AK321" s="781"/>
      <c r="AL321" s="782"/>
      <c r="AW321" s="781"/>
      <c r="AX321" s="782"/>
      <c r="BI321" s="781"/>
    </row>
    <row r="322" spans="1:61" s="780" customFormat="1" hidden="1" outlineLevel="1">
      <c r="A322" s="780" t="s">
        <v>359</v>
      </c>
      <c r="M322" s="781"/>
      <c r="N322" s="782"/>
      <c r="Y322" s="781"/>
      <c r="Z322" s="782"/>
      <c r="AK322" s="781">
        <f>IF($AK$5&gt;$AJ$5,($AK$5-$AJ$5)*B535,0)</f>
        <v>0</v>
      </c>
      <c r="AL322" s="782">
        <f t="shared" ref="AL322" si="2895">IF($AK$5&gt;$AJ$5,($AK$5-$AJ$5)*C535,0)</f>
        <v>0</v>
      </c>
      <c r="AM322" s="780">
        <f t="shared" ref="AM322" si="2896">IF($AK$5&gt;$AJ$5,($AK$5-$AJ$5)*D535,0)</f>
        <v>0</v>
      </c>
      <c r="AN322" s="780">
        <f t="shared" ref="AN322" si="2897">IF($AK$5&gt;$AJ$5,($AK$5-$AJ$5)*E535,0)</f>
        <v>0</v>
      </c>
      <c r="AO322" s="780">
        <f t="shared" ref="AO322" si="2898">IF($AK$5&gt;$AJ$5,($AK$5-$AJ$5)*F535,0)</f>
        <v>0</v>
      </c>
      <c r="AP322" s="780">
        <f t="shared" ref="AP322" si="2899">IF($AK$5&gt;$AJ$5,($AK$5-$AJ$5)*G535,0)</f>
        <v>0</v>
      </c>
      <c r="AQ322" s="780">
        <f t="shared" ref="AQ322" si="2900">IF($AK$5&gt;$AJ$5,($AK$5-$AJ$5)*H535,0)</f>
        <v>0</v>
      </c>
      <c r="AR322" s="780">
        <f t="shared" ref="AR322" si="2901">IF($AK$5&gt;$AJ$5,($AK$5-$AJ$5)*I535,0)</f>
        <v>0</v>
      </c>
      <c r="AS322" s="780">
        <f t="shared" ref="AS322" si="2902">IF($AK$5&gt;$AJ$5,($AK$5-$AJ$5)*J535,0)</f>
        <v>0</v>
      </c>
      <c r="AT322" s="780">
        <f t="shared" ref="AT322" si="2903">IF($AK$5&gt;$AJ$5,($AK$5-$AJ$5)*K535,0)</f>
        <v>0</v>
      </c>
      <c r="AU322" s="780">
        <f t="shared" ref="AU322" si="2904">IF($AK$5&gt;$AJ$5,($AK$5-$AJ$5)*L535,0)</f>
        <v>0</v>
      </c>
      <c r="AV322" s="780">
        <f t="shared" ref="AV322" si="2905">IF($AK$5&gt;$AJ$5,($AK$5-$AJ$5)*M535,0)</f>
        <v>0</v>
      </c>
      <c r="AW322" s="781">
        <f t="shared" ref="AW322" si="2906">IF($AK$5&gt;$AJ$5,($AK$5-$AJ$5)*N535,0)</f>
        <v>0</v>
      </c>
      <c r="AX322" s="782">
        <f t="shared" ref="AX322" si="2907">IF($AK$5&gt;$AJ$5,($AK$5-$AJ$5)*O535,0)</f>
        <v>0</v>
      </c>
      <c r="AY322" s="780">
        <f t="shared" ref="AY322" si="2908">IF($AK$5&gt;$AJ$5,($AK$5-$AJ$5)*P535,0)</f>
        <v>0</v>
      </c>
      <c r="AZ322" s="780">
        <f t="shared" ref="AZ322" si="2909">IF($AK$5&gt;$AJ$5,($AK$5-$AJ$5)*Q535,0)</f>
        <v>0</v>
      </c>
      <c r="BA322" s="780">
        <f t="shared" ref="BA322" si="2910">IF($AK$5&gt;$AJ$5,($AK$5-$AJ$5)*R535,0)</f>
        <v>0</v>
      </c>
      <c r="BB322" s="780">
        <f t="shared" ref="BB322" si="2911">IF($AK$5&gt;$AJ$5,($AK$5-$AJ$5)*S535,0)</f>
        <v>0</v>
      </c>
      <c r="BC322" s="780">
        <f t="shared" ref="BC322" si="2912">IF($AK$5&gt;$AJ$5,($AK$5-$AJ$5)*T535,0)</f>
        <v>0</v>
      </c>
      <c r="BD322" s="780">
        <f t="shared" ref="BD322" si="2913">IF($AK$5&gt;$AJ$5,($AK$5-$AJ$5)*U535,0)</f>
        <v>0</v>
      </c>
      <c r="BE322" s="780">
        <f t="shared" ref="BE322" si="2914">IF($AK$5&gt;$AJ$5,($AK$5-$AJ$5)*V535,0)</f>
        <v>0</v>
      </c>
      <c r="BF322" s="780">
        <f t="shared" ref="BF322" si="2915">IF($AK$5&gt;$AJ$5,($AK$5-$AJ$5)*W535,0)</f>
        <v>0</v>
      </c>
      <c r="BG322" s="780">
        <f t="shared" ref="BG322" si="2916">IF($AK$5&gt;$AJ$5,($AK$5-$AJ$5)*X535,0)</f>
        <v>0</v>
      </c>
      <c r="BH322" s="780">
        <f t="shared" ref="BH322" si="2917">IF($AK$5&gt;$AJ$5,($AK$5-$AJ$5)*Y535,0)</f>
        <v>0</v>
      </c>
      <c r="BI322" s="781">
        <f t="shared" ref="BI322" si="2918">IF($AK$5&gt;$AJ$5,($AK$5-$AJ$5)*Z535,0)</f>
        <v>0</v>
      </c>
    </row>
    <row r="323" spans="1:61" s="780" customFormat="1" hidden="1" outlineLevel="1">
      <c r="A323" s="780" t="str">
        <f>$A$536</f>
        <v>Leads</v>
      </c>
      <c r="M323" s="781"/>
      <c r="N323" s="782"/>
      <c r="Y323" s="781"/>
      <c r="Z323" s="782"/>
      <c r="AK323" s="781">
        <f>IF($AK$5&gt;$AJ$5,($AK$5-$AJ$5)*B536,0)</f>
        <v>0</v>
      </c>
      <c r="AL323" s="782">
        <f t="shared" ref="AL323:BI323" si="2919">IF($AK$5&gt;$AJ$5,($AK$5-$AJ$5)*C536,0)</f>
        <v>0</v>
      </c>
      <c r="AM323" s="780">
        <f t="shared" si="2919"/>
        <v>0</v>
      </c>
      <c r="AN323" s="780">
        <f t="shared" si="2919"/>
        <v>0</v>
      </c>
      <c r="AO323" s="780">
        <f t="shared" si="2919"/>
        <v>0</v>
      </c>
      <c r="AP323" s="780">
        <f t="shared" si="2919"/>
        <v>0</v>
      </c>
      <c r="AQ323" s="780">
        <f t="shared" si="2919"/>
        <v>0</v>
      </c>
      <c r="AR323" s="780">
        <f t="shared" si="2919"/>
        <v>0</v>
      </c>
      <c r="AS323" s="780">
        <f t="shared" si="2919"/>
        <v>0</v>
      </c>
      <c r="AT323" s="780">
        <f t="shared" si="2919"/>
        <v>0</v>
      </c>
      <c r="AU323" s="780">
        <f t="shared" si="2919"/>
        <v>0</v>
      </c>
      <c r="AV323" s="780">
        <f t="shared" si="2919"/>
        <v>0</v>
      </c>
      <c r="AW323" s="781">
        <f t="shared" si="2919"/>
        <v>0</v>
      </c>
      <c r="AX323" s="782">
        <f t="shared" si="2919"/>
        <v>0</v>
      </c>
      <c r="AY323" s="780">
        <f t="shared" si="2919"/>
        <v>0</v>
      </c>
      <c r="AZ323" s="780">
        <f t="shared" si="2919"/>
        <v>0</v>
      </c>
      <c r="BA323" s="780">
        <f t="shared" si="2919"/>
        <v>0</v>
      </c>
      <c r="BB323" s="780">
        <f t="shared" si="2919"/>
        <v>0</v>
      </c>
      <c r="BC323" s="780">
        <f t="shared" si="2919"/>
        <v>0</v>
      </c>
      <c r="BD323" s="780">
        <f t="shared" si="2919"/>
        <v>0</v>
      </c>
      <c r="BE323" s="780">
        <f t="shared" si="2919"/>
        <v>0</v>
      </c>
      <c r="BF323" s="780">
        <f t="shared" si="2919"/>
        <v>0</v>
      </c>
      <c r="BG323" s="780">
        <f t="shared" si="2919"/>
        <v>0</v>
      </c>
      <c r="BH323" s="780">
        <f t="shared" si="2919"/>
        <v>0</v>
      </c>
      <c r="BI323" s="781">
        <f t="shared" si="2919"/>
        <v>0</v>
      </c>
    </row>
    <row r="324" spans="1:61" s="780" customFormat="1" hidden="1" outlineLevel="1">
      <c r="A324" s="780" t="str">
        <f>$A$537</f>
        <v>Audits</v>
      </c>
      <c r="M324" s="781"/>
      <c r="N324" s="782"/>
      <c r="Y324" s="781"/>
      <c r="Z324" s="782"/>
      <c r="AK324" s="781">
        <f t="shared" ref="AK324:BI324" si="2920">IF($AK$5&gt;$AJ$5,($AK$5-$AJ$5)*B537,0)</f>
        <v>0</v>
      </c>
      <c r="AL324" s="782">
        <f t="shared" si="2920"/>
        <v>0</v>
      </c>
      <c r="AM324" s="780">
        <f t="shared" si="2920"/>
        <v>0</v>
      </c>
      <c r="AN324" s="780">
        <f t="shared" si="2920"/>
        <v>0</v>
      </c>
      <c r="AO324" s="780">
        <f t="shared" si="2920"/>
        <v>0</v>
      </c>
      <c r="AP324" s="780">
        <f t="shared" si="2920"/>
        <v>0</v>
      </c>
      <c r="AQ324" s="780">
        <f t="shared" si="2920"/>
        <v>0</v>
      </c>
      <c r="AR324" s="780">
        <f t="shared" si="2920"/>
        <v>0</v>
      </c>
      <c r="AS324" s="780">
        <f t="shared" si="2920"/>
        <v>0</v>
      </c>
      <c r="AT324" s="780">
        <f t="shared" si="2920"/>
        <v>0</v>
      </c>
      <c r="AU324" s="780">
        <f t="shared" si="2920"/>
        <v>0</v>
      </c>
      <c r="AV324" s="780">
        <f t="shared" si="2920"/>
        <v>0</v>
      </c>
      <c r="AW324" s="781">
        <f t="shared" si="2920"/>
        <v>0</v>
      </c>
      <c r="AX324" s="782">
        <f t="shared" si="2920"/>
        <v>0</v>
      </c>
      <c r="AY324" s="780">
        <f t="shared" si="2920"/>
        <v>0</v>
      </c>
      <c r="AZ324" s="780">
        <f t="shared" si="2920"/>
        <v>0</v>
      </c>
      <c r="BA324" s="780">
        <f t="shared" si="2920"/>
        <v>0</v>
      </c>
      <c r="BB324" s="780">
        <f t="shared" si="2920"/>
        <v>0</v>
      </c>
      <c r="BC324" s="780">
        <f t="shared" si="2920"/>
        <v>0</v>
      </c>
      <c r="BD324" s="780">
        <f t="shared" si="2920"/>
        <v>0</v>
      </c>
      <c r="BE324" s="780">
        <f t="shared" si="2920"/>
        <v>0</v>
      </c>
      <c r="BF324" s="780">
        <f t="shared" si="2920"/>
        <v>0</v>
      </c>
      <c r="BG324" s="780">
        <f t="shared" si="2920"/>
        <v>0</v>
      </c>
      <c r="BH324" s="780">
        <f t="shared" si="2920"/>
        <v>0</v>
      </c>
      <c r="BI324" s="781">
        <f t="shared" si="2920"/>
        <v>0</v>
      </c>
    </row>
    <row r="325" spans="1:61" s="780" customFormat="1" hidden="1" outlineLevel="1">
      <c r="A325" s="780" t="str">
        <f>$A$538</f>
        <v>Retrofit</v>
      </c>
      <c r="M325" s="781"/>
      <c r="N325" s="782"/>
      <c r="Y325" s="781"/>
      <c r="Z325" s="782"/>
      <c r="AK325" s="781">
        <f t="shared" ref="AK325:BI325" si="2921">IF($AK$5&gt;$AJ$5,($AK$5-$AJ$5)*B538,0)</f>
        <v>0</v>
      </c>
      <c r="AL325" s="782">
        <f t="shared" si="2921"/>
        <v>0</v>
      </c>
      <c r="AM325" s="780">
        <f t="shared" si="2921"/>
        <v>0</v>
      </c>
      <c r="AN325" s="780">
        <f t="shared" si="2921"/>
        <v>0</v>
      </c>
      <c r="AO325" s="780">
        <f t="shared" si="2921"/>
        <v>0</v>
      </c>
      <c r="AP325" s="780">
        <f t="shared" si="2921"/>
        <v>0</v>
      </c>
      <c r="AQ325" s="780">
        <f t="shared" si="2921"/>
        <v>0</v>
      </c>
      <c r="AR325" s="780">
        <f t="shared" si="2921"/>
        <v>0</v>
      </c>
      <c r="AS325" s="780">
        <f t="shared" si="2921"/>
        <v>0</v>
      </c>
      <c r="AT325" s="780">
        <f t="shared" si="2921"/>
        <v>0</v>
      </c>
      <c r="AU325" s="780">
        <f t="shared" si="2921"/>
        <v>0</v>
      </c>
      <c r="AV325" s="780">
        <f t="shared" si="2921"/>
        <v>0</v>
      </c>
      <c r="AW325" s="781">
        <f t="shared" si="2921"/>
        <v>0</v>
      </c>
      <c r="AX325" s="782">
        <f t="shared" si="2921"/>
        <v>0</v>
      </c>
      <c r="AY325" s="780">
        <f t="shared" si="2921"/>
        <v>0</v>
      </c>
      <c r="AZ325" s="780">
        <f t="shared" si="2921"/>
        <v>0</v>
      </c>
      <c r="BA325" s="780">
        <f t="shared" si="2921"/>
        <v>0</v>
      </c>
      <c r="BB325" s="780">
        <f t="shared" si="2921"/>
        <v>0</v>
      </c>
      <c r="BC325" s="780">
        <f t="shared" si="2921"/>
        <v>0</v>
      </c>
      <c r="BD325" s="780">
        <f t="shared" si="2921"/>
        <v>0</v>
      </c>
      <c r="BE325" s="780">
        <f t="shared" si="2921"/>
        <v>0</v>
      </c>
      <c r="BF325" s="780">
        <f t="shared" si="2921"/>
        <v>0</v>
      </c>
      <c r="BG325" s="780">
        <f t="shared" si="2921"/>
        <v>0</v>
      </c>
      <c r="BH325" s="780">
        <f t="shared" si="2921"/>
        <v>0</v>
      </c>
      <c r="BI325" s="781">
        <f t="shared" si="2921"/>
        <v>0</v>
      </c>
    </row>
    <row r="326" spans="1:61" s="780" customFormat="1" hidden="1" outlineLevel="1">
      <c r="A326" s="780" t="str">
        <f>$A$539</f>
        <v>Revenue</v>
      </c>
      <c r="M326" s="781"/>
      <c r="N326" s="782"/>
      <c r="Y326" s="781"/>
      <c r="Z326" s="782"/>
      <c r="AK326" s="781">
        <f t="shared" ref="AK326:BI326" si="2922">IF($AK$5&gt;$AJ$5,($AK$5-$AJ$5)*B539,0)</f>
        <v>0</v>
      </c>
      <c r="AL326" s="782">
        <f t="shared" si="2922"/>
        <v>0</v>
      </c>
      <c r="AM326" s="780">
        <f t="shared" si="2922"/>
        <v>0</v>
      </c>
      <c r="AN326" s="780">
        <f t="shared" si="2922"/>
        <v>0</v>
      </c>
      <c r="AO326" s="780">
        <f t="shared" si="2922"/>
        <v>0</v>
      </c>
      <c r="AP326" s="780">
        <f t="shared" si="2922"/>
        <v>0</v>
      </c>
      <c r="AQ326" s="780">
        <f t="shared" si="2922"/>
        <v>0</v>
      </c>
      <c r="AR326" s="780">
        <f t="shared" si="2922"/>
        <v>0</v>
      </c>
      <c r="AS326" s="780">
        <f t="shared" si="2922"/>
        <v>0</v>
      </c>
      <c r="AT326" s="780">
        <f t="shared" si="2922"/>
        <v>0</v>
      </c>
      <c r="AU326" s="780">
        <f t="shared" si="2922"/>
        <v>0</v>
      </c>
      <c r="AV326" s="780">
        <f t="shared" si="2922"/>
        <v>0</v>
      </c>
      <c r="AW326" s="781">
        <f t="shared" si="2922"/>
        <v>0</v>
      </c>
      <c r="AX326" s="782">
        <f t="shared" si="2922"/>
        <v>0</v>
      </c>
      <c r="AY326" s="780">
        <f t="shared" si="2922"/>
        <v>0</v>
      </c>
      <c r="AZ326" s="780">
        <f t="shared" si="2922"/>
        <v>0</v>
      </c>
      <c r="BA326" s="780">
        <f t="shared" si="2922"/>
        <v>0</v>
      </c>
      <c r="BB326" s="780">
        <f t="shared" si="2922"/>
        <v>0</v>
      </c>
      <c r="BC326" s="780">
        <f t="shared" si="2922"/>
        <v>0</v>
      </c>
      <c r="BD326" s="780">
        <f t="shared" si="2922"/>
        <v>0</v>
      </c>
      <c r="BE326" s="780">
        <f t="shared" si="2922"/>
        <v>0</v>
      </c>
      <c r="BF326" s="780">
        <f t="shared" si="2922"/>
        <v>0</v>
      </c>
      <c r="BG326" s="780">
        <f t="shared" si="2922"/>
        <v>0</v>
      </c>
      <c r="BH326" s="780">
        <f t="shared" si="2922"/>
        <v>0</v>
      </c>
      <c r="BI326" s="781">
        <f t="shared" si="2922"/>
        <v>0</v>
      </c>
    </row>
    <row r="327" spans="1:61" s="780" customFormat="1" hidden="1" outlineLevel="1">
      <c r="A327" s="780" t="str">
        <f>$A$540</f>
        <v>Net Income</v>
      </c>
      <c r="M327" s="781"/>
      <c r="N327" s="782"/>
      <c r="Y327" s="781"/>
      <c r="Z327" s="782"/>
      <c r="AK327" s="781">
        <f t="shared" ref="AK327:BI327" si="2923">IF($AK$5&gt;$AJ$5,($AK$5-$AJ$5)*B540,0)</f>
        <v>0</v>
      </c>
      <c r="AL327" s="782">
        <f t="shared" si="2923"/>
        <v>0</v>
      </c>
      <c r="AM327" s="780">
        <f t="shared" si="2923"/>
        <v>0</v>
      </c>
      <c r="AN327" s="780">
        <f t="shared" si="2923"/>
        <v>0</v>
      </c>
      <c r="AO327" s="780">
        <f t="shared" si="2923"/>
        <v>0</v>
      </c>
      <c r="AP327" s="780">
        <f t="shared" si="2923"/>
        <v>0</v>
      </c>
      <c r="AQ327" s="780">
        <f t="shared" si="2923"/>
        <v>0</v>
      </c>
      <c r="AR327" s="780">
        <f t="shared" si="2923"/>
        <v>0</v>
      </c>
      <c r="AS327" s="780">
        <f t="shared" si="2923"/>
        <v>0</v>
      </c>
      <c r="AT327" s="780">
        <f t="shared" si="2923"/>
        <v>0</v>
      </c>
      <c r="AU327" s="780">
        <f t="shared" si="2923"/>
        <v>0</v>
      </c>
      <c r="AV327" s="780">
        <f t="shared" si="2923"/>
        <v>0</v>
      </c>
      <c r="AW327" s="781">
        <f t="shared" si="2923"/>
        <v>0</v>
      </c>
      <c r="AX327" s="782">
        <f t="shared" si="2923"/>
        <v>0</v>
      </c>
      <c r="AY327" s="780">
        <f t="shared" si="2923"/>
        <v>0</v>
      </c>
      <c r="AZ327" s="780">
        <f t="shared" si="2923"/>
        <v>0</v>
      </c>
      <c r="BA327" s="780">
        <f t="shared" si="2923"/>
        <v>0</v>
      </c>
      <c r="BB327" s="780">
        <f t="shared" si="2923"/>
        <v>0</v>
      </c>
      <c r="BC327" s="780">
        <f t="shared" si="2923"/>
        <v>0</v>
      </c>
      <c r="BD327" s="780">
        <f t="shared" si="2923"/>
        <v>0</v>
      </c>
      <c r="BE327" s="780">
        <f t="shared" si="2923"/>
        <v>0</v>
      </c>
      <c r="BF327" s="780">
        <f t="shared" si="2923"/>
        <v>0</v>
      </c>
      <c r="BG327" s="780">
        <f t="shared" si="2923"/>
        <v>0</v>
      </c>
      <c r="BH327" s="780">
        <f t="shared" si="2923"/>
        <v>0</v>
      </c>
      <c r="BI327" s="781">
        <f t="shared" si="2923"/>
        <v>0</v>
      </c>
    </row>
    <row r="328" spans="1:61" s="780" customFormat="1" hidden="1" outlineLevel="1">
      <c r="A328" s="780" t="str">
        <f>$A$541</f>
        <v>Program Revenue</v>
      </c>
      <c r="M328" s="781"/>
      <c r="N328" s="782"/>
      <c r="Y328" s="781"/>
      <c r="Z328" s="782"/>
      <c r="AK328" s="781">
        <f t="shared" ref="AK328" si="2924">IF($AK$5&gt;$AJ$5,($AK$5-$AJ$5)*B541,0)</f>
        <v>0</v>
      </c>
      <c r="AL328" s="782">
        <f t="shared" ref="AL328" si="2925">IF($AK$5&gt;$AJ$5,($AK$5-$AJ$5)*C541,0)</f>
        <v>0</v>
      </c>
      <c r="AM328" s="780">
        <f t="shared" ref="AM328" si="2926">IF($AK$5&gt;$AJ$5,($AK$5-$AJ$5)*D541,0)</f>
        <v>0</v>
      </c>
      <c r="AN328" s="780">
        <f t="shared" ref="AN328" si="2927">IF($AK$5&gt;$AJ$5,($AK$5-$AJ$5)*E541,0)</f>
        <v>0</v>
      </c>
      <c r="AO328" s="780">
        <f t="shared" ref="AO328" si="2928">IF($AK$5&gt;$AJ$5,($AK$5-$AJ$5)*F541,0)</f>
        <v>0</v>
      </c>
      <c r="AP328" s="780">
        <f t="shared" ref="AP328" si="2929">IF($AK$5&gt;$AJ$5,($AK$5-$AJ$5)*G541,0)</f>
        <v>0</v>
      </c>
      <c r="AQ328" s="780">
        <f t="shared" ref="AQ328" si="2930">IF($AK$5&gt;$AJ$5,($AK$5-$AJ$5)*H541,0)</f>
        <v>0</v>
      </c>
      <c r="AR328" s="780">
        <f t="shared" ref="AR328" si="2931">IF($AK$5&gt;$AJ$5,($AK$5-$AJ$5)*I541,0)</f>
        <v>0</v>
      </c>
      <c r="AS328" s="780">
        <f t="shared" ref="AS328" si="2932">IF($AK$5&gt;$AJ$5,($AK$5-$AJ$5)*J541,0)</f>
        <v>0</v>
      </c>
      <c r="AT328" s="780">
        <f t="shared" ref="AT328" si="2933">IF($AK$5&gt;$AJ$5,($AK$5-$AJ$5)*K541,0)</f>
        <v>0</v>
      </c>
      <c r="AU328" s="780">
        <f t="shared" ref="AU328" si="2934">IF($AK$5&gt;$AJ$5,($AK$5-$AJ$5)*L541,0)</f>
        <v>0</v>
      </c>
      <c r="AV328" s="780">
        <f t="shared" ref="AV328" si="2935">IF($AK$5&gt;$AJ$5,($AK$5-$AJ$5)*M541,0)</f>
        <v>0</v>
      </c>
      <c r="AW328" s="781">
        <f t="shared" ref="AW328" si="2936">IF($AK$5&gt;$AJ$5,($AK$5-$AJ$5)*N541,0)</f>
        <v>0</v>
      </c>
      <c r="AX328" s="782">
        <f t="shared" ref="AX328" si="2937">IF($AK$5&gt;$AJ$5,($AK$5-$AJ$5)*O541,0)</f>
        <v>0</v>
      </c>
      <c r="AY328" s="780">
        <f t="shared" ref="AY328" si="2938">IF($AK$5&gt;$AJ$5,($AK$5-$AJ$5)*P541,0)</f>
        <v>0</v>
      </c>
      <c r="AZ328" s="780">
        <f t="shared" ref="AZ328" si="2939">IF($AK$5&gt;$AJ$5,($AK$5-$AJ$5)*Q541,0)</f>
        <v>0</v>
      </c>
      <c r="BA328" s="780">
        <f t="shared" ref="BA328" si="2940">IF($AK$5&gt;$AJ$5,($AK$5-$AJ$5)*R541,0)</f>
        <v>0</v>
      </c>
      <c r="BB328" s="780">
        <f t="shared" ref="BB328" si="2941">IF($AK$5&gt;$AJ$5,($AK$5-$AJ$5)*S541,0)</f>
        <v>0</v>
      </c>
      <c r="BC328" s="780">
        <f t="shared" ref="BC328" si="2942">IF($AK$5&gt;$AJ$5,($AK$5-$AJ$5)*T541,0)</f>
        <v>0</v>
      </c>
      <c r="BD328" s="780">
        <f t="shared" ref="BD328" si="2943">IF($AK$5&gt;$AJ$5,($AK$5-$AJ$5)*U541,0)</f>
        <v>0</v>
      </c>
      <c r="BE328" s="780">
        <f t="shared" ref="BE328" si="2944">IF($AK$5&gt;$AJ$5,($AK$5-$AJ$5)*V541,0)</f>
        <v>0</v>
      </c>
      <c r="BF328" s="780">
        <f t="shared" ref="BF328" si="2945">IF($AK$5&gt;$AJ$5,($AK$5-$AJ$5)*W541,0)</f>
        <v>0</v>
      </c>
      <c r="BG328" s="780">
        <f t="shared" ref="BG328" si="2946">IF($AK$5&gt;$AJ$5,($AK$5-$AJ$5)*X541,0)</f>
        <v>0</v>
      </c>
      <c r="BH328" s="780">
        <f t="shared" ref="BH328" si="2947">IF($AK$5&gt;$AJ$5,($AK$5-$AJ$5)*Y541,0)</f>
        <v>0</v>
      </c>
      <c r="BI328" s="781">
        <f t="shared" ref="BI328" si="2948">IF($AK$5&gt;$AJ$5,($AK$5-$AJ$5)*Z541,0)</f>
        <v>0</v>
      </c>
    </row>
    <row r="329" spans="1:61" s="780" customFormat="1" hidden="1" outlineLevel="1">
      <c r="M329" s="781"/>
      <c r="N329" s="782"/>
      <c r="Y329" s="781"/>
      <c r="Z329" s="782"/>
      <c r="AK329" s="781"/>
      <c r="AL329" s="782"/>
      <c r="AW329" s="781"/>
      <c r="AX329" s="782"/>
      <c r="BI329" s="781"/>
    </row>
    <row r="330" spans="1:61" s="780" customFormat="1" hidden="1" outlineLevel="1">
      <c r="A330" s="780" t="s">
        <v>359</v>
      </c>
      <c r="M330" s="781"/>
      <c r="N330" s="782"/>
      <c r="Y330" s="781"/>
      <c r="Z330" s="782"/>
      <c r="AK330" s="781"/>
      <c r="AL330" s="782">
        <f>IF($AL$5&gt;$AK$5,($AL$5-$AK$5)*B535,0)</f>
        <v>8</v>
      </c>
      <c r="AM330" s="780">
        <f t="shared" ref="AM330" si="2949">IF($AL$5&gt;$AK$5,($AL$5-$AK$5)*C535,0)</f>
        <v>8.3824000000000005</v>
      </c>
      <c r="AN330" s="780">
        <f t="shared" ref="AN330" si="2950">IF($AL$5&gt;$AK$5,($AL$5-$AK$5)*D535,0)</f>
        <v>8.790016102400001</v>
      </c>
      <c r="AO330" s="780">
        <f t="shared" ref="AO330" si="2951">IF($AL$5&gt;$AK$5,($AL$5-$AK$5)*E535,0)</f>
        <v>9.2244218586677267</v>
      </c>
      <c r="AP330" s="780">
        <f t="shared" ref="AP330" si="2952">IF($AL$5&gt;$AK$5,($AL$5-$AK$5)*F535,0)</f>
        <v>9.6872643857899394</v>
      </c>
      <c r="AQ330" s="780">
        <f t="shared" ref="AQ330" si="2953">IF($AL$5&gt;$AK$5,($AL$5-$AK$5)*G535,0)</f>
        <v>10.180266404063699</v>
      </c>
      <c r="AR330" s="780">
        <f t="shared" ref="AR330" si="2954">IF($AL$5&gt;$AK$5,($AL$5-$AK$5)*H535,0)</f>
        <v>10.705228286703797</v>
      </c>
      <c r="AS330" s="780">
        <f t="shared" ref="AS330" si="2955">IF($AL$5&gt;$AK$5,($AL$5-$AK$5)*I535,0)</f>
        <v>11.264030122404236</v>
      </c>
      <c r="AT330" s="780">
        <f t="shared" ref="AT330" si="2956">IF($AL$5&gt;$AK$5,($AL$5-$AK$5)*J535,0)</f>
        <v>11.858633792363815</v>
      </c>
      <c r="AU330" s="780">
        <f t="shared" ref="AU330" si="2957">IF($AL$5&gt;$AK$5,($AL$5-$AK$5)*K535,0)</f>
        <v>12.491085063681208</v>
      </c>
      <c r="AV330" s="780">
        <f t="shared" ref="AV330" si="2958">IF($AL$5&gt;$AK$5,($AL$5-$AK$5)*L535,0)</f>
        <v>13.163515701442698</v>
      </c>
      <c r="AW330" s="781">
        <f t="shared" ref="AW330" si="2959">IF($AL$5&gt;$AK$5,($AL$5-$AK$5)*M535,0)</f>
        <v>13.878145602265221</v>
      </c>
      <c r="AX330" s="782">
        <f t="shared" ref="AX330" si="2960">IF($AL$5&gt;$AK$5,($AL$5-$AK$5)*N535,0)</f>
        <v>14.640802427106802</v>
      </c>
      <c r="AY330" s="780">
        <f t="shared" ref="AY330" si="2961">IF($AL$5&gt;$AK$5,($AL$5-$AK$5)*O535,0)</f>
        <v>15.454179973028484</v>
      </c>
      <c r="AZ330" s="780">
        <f t="shared" ref="AZ330" si="2962">IF($AL$5&gt;$AK$5,($AL$5-$AK$5)*P535,0)</f>
        <v>16.321067007803048</v>
      </c>
      <c r="BA330" s="780">
        <f t="shared" ref="BA330" si="2963">IF($AL$5&gt;$AK$5,($AL$5-$AK$5)*Q535,0)</f>
        <v>17.244348126107901</v>
      </c>
      <c r="BB330" s="780">
        <f t="shared" ref="BB330" si="2964">IF($AL$5&gt;$AK$5,($AL$5-$AK$5)*R535,0)</f>
        <v>18.227004594103096</v>
      </c>
      <c r="BC330" s="780">
        <f t="shared" ref="BC330" si="2965">IF($AL$5&gt;$AK$5,($AL$5-$AK$5)*S535,0)</f>
        <v>19.272115194972702</v>
      </c>
      <c r="BD330" s="780">
        <f t="shared" ref="BD330" si="2966">IF($AL$5&gt;$AK$5,($AL$5-$AK$5)*T535,0)</f>
        <v>20.382857089151276</v>
      </c>
      <c r="BE330" s="780">
        <f t="shared" ref="BE330" si="2967">IF($AL$5&gt;$AK$5,($AL$5-$AK$5)*U535,0)</f>
        <v>21.56250670407784</v>
      </c>
      <c r="BF330" s="780">
        <f t="shared" ref="BF330" si="2968">IF($AL$5&gt;$AK$5,($AL$5-$AK$5)*V535,0)</f>
        <v>22.814440669410335</v>
      </c>
      <c r="BG330" s="780">
        <f t="shared" ref="BG330" si="2969">IF($AL$5&gt;$AK$5,($AL$5-$AK$5)*W535,0)</f>
        <v>24.142136814686012</v>
      </c>
      <c r="BH330" s="780">
        <f t="shared" ref="BH330" si="2970">IF($AL$5&gt;$AK$5,($AL$5-$AK$5)*X535,0)</f>
        <v>25.549175247421399</v>
      </c>
      <c r="BI330" s="781">
        <f t="shared" ref="BI330" si="2971">IF($AL$5&gt;$AK$5,($AL$5-$AK$5)*Y535,0)</f>
        <v>27.039239530601542</v>
      </c>
    </row>
    <row r="331" spans="1:61" s="780" customFormat="1" hidden="1" outlineLevel="1">
      <c r="A331" s="780" t="str">
        <f>$A$536</f>
        <v>Leads</v>
      </c>
      <c r="M331" s="781"/>
      <c r="N331" s="782"/>
      <c r="Y331" s="781"/>
      <c r="Z331" s="782"/>
      <c r="AK331" s="781"/>
      <c r="AL331" s="782">
        <f>IF($AL$5&gt;$AK$5,($AL$5-$AK$5)*B536,0)</f>
        <v>20</v>
      </c>
      <c r="AM331" s="780">
        <f t="shared" ref="AM331:BI331" si="2972">IF($AL$5&gt;$AK$5,($AL$5-$AK$5)*C536,0)</f>
        <v>20.8</v>
      </c>
      <c r="AN331" s="780">
        <f t="shared" si="2972"/>
        <v>21.632000000000001</v>
      </c>
      <c r="AO331" s="780">
        <f t="shared" si="2972"/>
        <v>22.497280000000003</v>
      </c>
      <c r="AP331" s="780">
        <f t="shared" si="2972"/>
        <v>23.397171200000006</v>
      </c>
      <c r="AQ331" s="780">
        <f t="shared" si="2972"/>
        <v>24.333058048000009</v>
      </c>
      <c r="AR331" s="780">
        <f t="shared" si="2972"/>
        <v>25.30638036992001</v>
      </c>
      <c r="AS331" s="780">
        <f t="shared" si="2972"/>
        <v>26.318635584716812</v>
      </c>
      <c r="AT331" s="780">
        <f t="shared" si="2972"/>
        <v>27.371381008105487</v>
      </c>
      <c r="AU331" s="780">
        <f t="shared" si="2972"/>
        <v>28.466236248429709</v>
      </c>
      <c r="AV331" s="780">
        <f t="shared" si="2972"/>
        <v>29.6048856983669</v>
      </c>
      <c r="AW331" s="781">
        <f t="shared" si="2972"/>
        <v>30.789081126301578</v>
      </c>
      <c r="AX331" s="782">
        <f t="shared" si="2972"/>
        <v>32.02064437135364</v>
      </c>
      <c r="AY331" s="780">
        <f t="shared" si="2972"/>
        <v>33.301470146207784</v>
      </c>
      <c r="AZ331" s="780">
        <f t="shared" si="2972"/>
        <v>34.633528952056096</v>
      </c>
      <c r="BA331" s="780">
        <f t="shared" si="2972"/>
        <v>36.018870110138344</v>
      </c>
      <c r="BB331" s="780">
        <f t="shared" si="2972"/>
        <v>37.45962491454388</v>
      </c>
      <c r="BC331" s="780">
        <f t="shared" si="2972"/>
        <v>38.958009911125636</v>
      </c>
      <c r="BD331" s="780">
        <f t="shared" si="2972"/>
        <v>40.516330307570662</v>
      </c>
      <c r="BE331" s="780">
        <f t="shared" si="2972"/>
        <v>42.136983519873489</v>
      </c>
      <c r="BF331" s="780">
        <f t="shared" si="2972"/>
        <v>43.822462860668423</v>
      </c>
      <c r="BG331" s="780">
        <f t="shared" si="2972"/>
        <v>45.57536137509517</v>
      </c>
      <c r="BH331" s="780">
        <f t="shared" si="2972"/>
        <v>47.398375830098978</v>
      </c>
      <c r="BI331" s="781">
        <f t="shared" si="2972"/>
        <v>49.29431086330294</v>
      </c>
    </row>
    <row r="332" spans="1:61" s="780" customFormat="1" hidden="1" outlineLevel="1">
      <c r="A332" s="780" t="str">
        <f>$A$537</f>
        <v>Audits</v>
      </c>
      <c r="M332" s="781"/>
      <c r="N332" s="782"/>
      <c r="Y332" s="781"/>
      <c r="Z332" s="782"/>
      <c r="AK332" s="781"/>
      <c r="AL332" s="782">
        <f t="shared" ref="AL332:BI332" si="2973">IF($AL$5&gt;$AK$5,($AL$5-$AK$5)*B537,0)</f>
        <v>7.8466960352422905</v>
      </c>
      <c r="AM332" s="780">
        <f t="shared" si="2973"/>
        <v>8.1805560257268723</v>
      </c>
      <c r="AN332" s="780">
        <f t="shared" si="2973"/>
        <v>8.556158139083367</v>
      </c>
      <c r="AO332" s="780">
        <f t="shared" si="2973"/>
        <v>8.9523024684242678</v>
      </c>
      <c r="AP332" s="780">
        <f t="shared" si="2973"/>
        <v>9.3702787716763911</v>
      </c>
      <c r="AQ332" s="780">
        <f t="shared" si="2973"/>
        <v>9.811453812672589</v>
      </c>
      <c r="AR332" s="780">
        <f t="shared" si="2973"/>
        <v>10.277273093546537</v>
      </c>
      <c r="AS332" s="780">
        <f t="shared" si="2973"/>
        <v>10.769262132442826</v>
      </c>
      <c r="AT332" s="780">
        <f t="shared" si="2973"/>
        <v>11.289027268145146</v>
      </c>
      <c r="AU332" s="780">
        <f t="shared" si="2973"/>
        <v>11.838255995812663</v>
      </c>
      <c r="AV332" s="780">
        <f t="shared" si="2973"/>
        <v>12.418716863200714</v>
      </c>
      <c r="AW332" s="781">
        <f t="shared" si="2973"/>
        <v>13.032258982971491</v>
      </c>
      <c r="AX332" s="782">
        <f t="shared" si="2973"/>
        <v>13.681748513642187</v>
      </c>
      <c r="AY332" s="780">
        <f t="shared" si="2973"/>
        <v>14.367753613373562</v>
      </c>
      <c r="AZ332" s="780">
        <f t="shared" si="2973"/>
        <v>15.094450719778326</v>
      </c>
      <c r="BA332" s="780">
        <f t="shared" si="2973"/>
        <v>15.864274704794562</v>
      </c>
      <c r="BB332" s="780">
        <f t="shared" si="2973"/>
        <v>16.679756380011042</v>
      </c>
      <c r="BC332" s="780">
        <f t="shared" si="2973"/>
        <v>17.543519083999907</v>
      </c>
      <c r="BD332" s="780">
        <f t="shared" si="2973"/>
        <v>18.458274953232511</v>
      </c>
      <c r="BE332" s="780">
        <f t="shared" si="2973"/>
        <v>19.426821075192013</v>
      </c>
      <c r="BF332" s="780">
        <f t="shared" si="2973"/>
        <v>20.452035738521069</v>
      </c>
      <c r="BG332" s="780">
        <f t="shared" si="2973"/>
        <v>21.536874999893016</v>
      </c>
      <c r="BH332" s="780">
        <f t="shared" si="2973"/>
        <v>22.68436978011453</v>
      </c>
      <c r="BI332" s="781">
        <f t="shared" si="2973"/>
        <v>23.897623683136111</v>
      </c>
    </row>
    <row r="333" spans="1:61" s="780" customFormat="1" hidden="1" outlineLevel="1">
      <c r="A333" s="780" t="str">
        <f>$A$538</f>
        <v>Retrofit</v>
      </c>
      <c r="M333" s="781"/>
      <c r="N333" s="782"/>
      <c r="Y333" s="781"/>
      <c r="Z333" s="782"/>
      <c r="AK333" s="781"/>
      <c r="AL333" s="782">
        <f t="shared" ref="AL333:BI333" si="2974">IF($AL$5&gt;$AK$5,($AL$5-$AK$5)*B538,0)</f>
        <v>3.2741145374449339</v>
      </c>
      <c r="AM333" s="780">
        <f t="shared" si="2974"/>
        <v>3.4211429613668018</v>
      </c>
      <c r="AN333" s="780">
        <f t="shared" si="2974"/>
        <v>3.6089747928733105</v>
      </c>
      <c r="AO333" s="780">
        <f t="shared" si="2974"/>
        <v>3.80943356172375</v>
      </c>
      <c r="AP333" s="780">
        <f t="shared" si="2974"/>
        <v>4.023495407635</v>
      </c>
      <c r="AQ333" s="780">
        <f t="shared" si="2974"/>
        <v>4.2522035025469851</v>
      </c>
      <c r="AR333" s="780">
        <f t="shared" si="2974"/>
        <v>4.4966691121698661</v>
      </c>
      <c r="AS333" s="780">
        <f t="shared" si="2974"/>
        <v>4.7580720961942786</v>
      </c>
      <c r="AT333" s="780">
        <f t="shared" si="2974"/>
        <v>5.0376608331454982</v>
      </c>
      <c r="AU333" s="780">
        <f t="shared" si="2974"/>
        <v>5.3367515834608863</v>
      </c>
      <c r="AV333" s="780">
        <f t="shared" si="2974"/>
        <v>5.6567273345837759</v>
      </c>
      <c r="AW333" s="781">
        <f t="shared" si="2974"/>
        <v>5.9990362027609887</v>
      </c>
      <c r="AX333" s="782">
        <f t="shared" si="2974"/>
        <v>6.3656710756275423</v>
      </c>
      <c r="AY333" s="780">
        <f t="shared" si="2974"/>
        <v>6.7527905497767229</v>
      </c>
      <c r="AZ333" s="780">
        <f t="shared" si="2974"/>
        <v>7.1679946156961591</v>
      </c>
      <c r="BA333" s="780">
        <f t="shared" si="2974"/>
        <v>7.6132687220703144</v>
      </c>
      <c r="BB333" s="780">
        <f t="shared" si="2974"/>
        <v>8.0906802436821312</v>
      </c>
      <c r="BC333" s="780">
        <f t="shared" si="2974"/>
        <v>8.6023733713231554</v>
      </c>
      <c r="BD333" s="780">
        <f t="shared" si="2974"/>
        <v>9.1505635635964193</v>
      </c>
      <c r="BE333" s="780">
        <f t="shared" si="2974"/>
        <v>9.7375318038296879</v>
      </c>
      <c r="BF333" s="780">
        <f t="shared" si="2974"/>
        <v>10.365618926205418</v>
      </c>
      <c r="BG333" s="780">
        <f t="shared" si="2974"/>
        <v>11.037220281947453</v>
      </c>
      <c r="BH333" s="780">
        <f t="shared" si="2974"/>
        <v>11.754781008099396</v>
      </c>
      <c r="BI333" s="781">
        <f t="shared" si="2974"/>
        <v>12.520792138493604</v>
      </c>
    </row>
    <row r="334" spans="1:61" s="780" customFormat="1" hidden="1" outlineLevel="1">
      <c r="A334" s="780" t="str">
        <f>$A$539</f>
        <v>Revenue</v>
      </c>
      <c r="M334" s="781"/>
      <c r="N334" s="782"/>
      <c r="Y334" s="781"/>
      <c r="Z334" s="782"/>
      <c r="AK334" s="781"/>
      <c r="AL334" s="782">
        <f t="shared" ref="AL334:BI334" si="2975">IF($AL$5&gt;$AK$5,($AL$5-$AK$5)*B539,0)</f>
        <v>20728.933920704847</v>
      </c>
      <c r="AM334" s="780">
        <f t="shared" si="2975"/>
        <v>22334.796424579898</v>
      </c>
      <c r="AN334" s="780">
        <f t="shared" si="2975"/>
        <v>24261.379157843236</v>
      </c>
      <c r="AO334" s="780">
        <f t="shared" si="2975"/>
        <v>27109.041527058151</v>
      </c>
      <c r="AP334" s="780">
        <f t="shared" si="2975"/>
        <v>29411.012063918617</v>
      </c>
      <c r="AQ334" s="780">
        <f t="shared" si="2975"/>
        <v>31904.731979940196</v>
      </c>
      <c r="AR334" s="780">
        <f t="shared" si="2975"/>
        <v>34157.516935543477</v>
      </c>
      <c r="AS334" s="780">
        <f t="shared" si="2975"/>
        <v>36585.144030160183</v>
      </c>
      <c r="AT334" s="780">
        <f t="shared" si="2975"/>
        <v>39202.024549786183</v>
      </c>
      <c r="AU334" s="780">
        <f t="shared" si="2975"/>
        <v>41489.907780370268</v>
      </c>
      <c r="AV334" s="780">
        <f t="shared" si="2975"/>
        <v>43934.936399734994</v>
      </c>
      <c r="AW334" s="781">
        <f t="shared" si="2975"/>
        <v>46547.932291314006</v>
      </c>
      <c r="AX334" s="782">
        <f t="shared" si="2975"/>
        <v>48812.622611071754</v>
      </c>
      <c r="AY334" s="780">
        <f t="shared" si="2975"/>
        <v>51746.745047763237</v>
      </c>
      <c r="AZ334" s="780">
        <f t="shared" si="2975"/>
        <v>54891.491572423707</v>
      </c>
      <c r="BA334" s="780">
        <f t="shared" si="2975"/>
        <v>58261.704056497998</v>
      </c>
      <c r="BB334" s="780">
        <f t="shared" si="2975"/>
        <v>61872.837706819933</v>
      </c>
      <c r="BC334" s="780">
        <f t="shared" si="2975"/>
        <v>65740.922877654608</v>
      </c>
      <c r="BD334" s="780">
        <f t="shared" si="2975"/>
        <v>69882.52360507095</v>
      </c>
      <c r="BE334" s="780">
        <f t="shared" si="2975"/>
        <v>74314.694687467563</v>
      </c>
      <c r="BF334" s="780">
        <f t="shared" si="2975"/>
        <v>79054.939292696072</v>
      </c>
      <c r="BG334" s="780">
        <f t="shared" si="2975"/>
        <v>84121.169122674793</v>
      </c>
      <c r="BH334" s="780">
        <f t="shared" si="2975"/>
        <v>89531.669104034416</v>
      </c>
      <c r="BI334" s="781">
        <f t="shared" si="2975"/>
        <v>95305.068401244935</v>
      </c>
    </row>
    <row r="335" spans="1:61" s="780" customFormat="1" hidden="1" outlineLevel="1">
      <c r="A335" s="780" t="str">
        <f>$A$540</f>
        <v>Net Income</v>
      </c>
      <c r="M335" s="781"/>
      <c r="N335" s="782"/>
      <c r="Y335" s="781"/>
      <c r="Z335" s="782"/>
      <c r="AK335" s="781"/>
      <c r="AL335" s="782">
        <f t="shared" ref="AL335:BI335" si="2976">IF($AL$5&gt;$AK$5,($AL$5-$AK$5)*B540,0)</f>
        <v>-33184.964170807638</v>
      </c>
      <c r="AM335" s="780">
        <f t="shared" si="2976"/>
        <v>-14837.14568100147</v>
      </c>
      <c r="AN335" s="780">
        <f t="shared" si="2976"/>
        <v>-14268.717003781454</v>
      </c>
      <c r="AO335" s="780">
        <f t="shared" si="2976"/>
        <v>-13405.013342705901</v>
      </c>
      <c r="AP335" s="780">
        <f t="shared" si="2976"/>
        <v>-12685.072540306182</v>
      </c>
      <c r="AQ335" s="780">
        <f t="shared" si="2976"/>
        <v>-17604.404805924125</v>
      </c>
      <c r="AR335" s="780">
        <f t="shared" si="2976"/>
        <v>-15156.124616524507</v>
      </c>
      <c r="AS335" s="780">
        <f t="shared" si="2976"/>
        <v>-13971.31609512752</v>
      </c>
      <c r="AT335" s="780">
        <f t="shared" si="2976"/>
        <v>-13027.555718246989</v>
      </c>
      <c r="AU335" s="780">
        <f t="shared" si="2976"/>
        <v>-12167.444211420123</v>
      </c>
      <c r="AV335" s="780">
        <f t="shared" si="2976"/>
        <v>-11228.257793696379</v>
      </c>
      <c r="AW335" s="781">
        <f t="shared" si="2976"/>
        <v>-10203.756141625032</v>
      </c>
      <c r="AX335" s="782">
        <f t="shared" si="2976"/>
        <v>-8928.9645055486872</v>
      </c>
      <c r="AY335" s="780">
        <f t="shared" si="2976"/>
        <v>-6565.2951604608934</v>
      </c>
      <c r="AZ335" s="780">
        <f t="shared" si="2976"/>
        <v>-7951.6323699894165</v>
      </c>
      <c r="BA335" s="780">
        <f t="shared" si="2976"/>
        <v>-6483.5792380389103</v>
      </c>
      <c r="BB335" s="780">
        <f t="shared" si="2976"/>
        <v>-5307.1722049655655</v>
      </c>
      <c r="BC335" s="780">
        <f t="shared" si="2976"/>
        <v>-3966.3475887754175</v>
      </c>
      <c r="BD335" s="780">
        <f t="shared" si="2976"/>
        <v>-2466.8649492429358</v>
      </c>
      <c r="BE335" s="780">
        <f t="shared" si="2976"/>
        <v>-826.64406907309967</v>
      </c>
      <c r="BF335" s="780">
        <f t="shared" si="2976"/>
        <v>-10770.241509529737</v>
      </c>
      <c r="BG335" s="780">
        <f t="shared" si="2976"/>
        <v>-19174.962642260827</v>
      </c>
      <c r="BH335" s="780">
        <f t="shared" si="2976"/>
        <v>-16925.443971653156</v>
      </c>
      <c r="BI335" s="781">
        <f t="shared" si="2976"/>
        <v>-25696.207513260568</v>
      </c>
    </row>
    <row r="336" spans="1:61" s="780" customFormat="1" hidden="1" outlineLevel="1">
      <c r="A336" s="780" t="str">
        <f>$A$541</f>
        <v>Program Revenue</v>
      </c>
      <c r="M336" s="781"/>
      <c r="N336" s="782"/>
      <c r="Y336" s="781"/>
      <c r="Z336" s="782"/>
      <c r="AK336" s="781"/>
      <c r="AL336" s="782">
        <f t="shared" ref="AL336" si="2977">IF($AL$5&gt;$AK$5,($AL$5-$AK$5)*B541,0)</f>
        <v>1850</v>
      </c>
      <c r="AM336" s="780">
        <f t="shared" ref="AM336" si="2978">IF($AL$5&gt;$AK$5,($AL$5-$AK$5)*C541,0)</f>
        <v>1937.1558751999999</v>
      </c>
      <c r="AN336" s="780">
        <f t="shared" ref="AN336" si="2979">IF($AL$5&gt;$AK$5,($AL$5-$AK$5)*D541,0)</f>
        <v>2030.0190587848704</v>
      </c>
      <c r="AO336" s="780">
        <f t="shared" ref="AO336" si="2980">IF($AL$5&gt;$AK$5,($AL$5-$AK$5)*E541,0)</f>
        <v>2128.941218449359</v>
      </c>
      <c r="AP336" s="780">
        <f t="shared" ref="AP336" si="2981">IF($AL$5&gt;$AK$5,($AL$5-$AK$5)*F541,0)</f>
        <v>2234.2900324673633</v>
      </c>
      <c r="AQ336" s="780">
        <f t="shared" ref="AQ336" si="2982">IF($AL$5&gt;$AK$5,($AL$5-$AK$5)*G541,0)</f>
        <v>2346.4496034726417</v>
      </c>
      <c r="AR336" s="780">
        <f t="shared" ref="AR336" si="2983">IF($AL$5&gt;$AK$5,($AL$5-$AK$5)*H541,0)</f>
        <v>2465.8208731027789</v>
      </c>
      <c r="AS336" s="780">
        <f t="shared" ref="AS336" si="2984">IF($AL$5&gt;$AK$5,($AL$5-$AK$5)*I541,0)</f>
        <v>2592.8220377557409</v>
      </c>
      <c r="AT336" s="780">
        <f t="shared" ref="AT336" si="2985">IF($AL$5&gt;$AK$5,($AL$5-$AK$5)*J541,0)</f>
        <v>2727.8889657926175</v>
      </c>
      <c r="AU336" s="780">
        <f t="shared" ref="AU336" si="2986">IF($AL$5&gt;$AK$5,($AL$5-$AK$5)*K541,0)</f>
        <v>2871.4756166091629</v>
      </c>
      <c r="AV336" s="780">
        <f t="shared" ref="AV336" si="2987">IF($AL$5&gt;$AK$5,($AL$5-$AK$5)*L541,0)</f>
        <v>3024.0544620924302</v>
      </c>
      <c r="AW336" s="781">
        <f t="shared" ref="AW336" si="2988">IF($AL$5&gt;$AK$5,($AL$5-$AK$5)*M541,0)</f>
        <v>3186.1169110768442</v>
      </c>
      <c r="AX336" s="782">
        <f t="shared" ref="AX336" si="2989">IF($AL$5&gt;$AK$5,($AL$5-$AK$5)*N541,0)</f>
        <v>3358.9807376414046</v>
      </c>
      <c r="AY336" s="780">
        <f t="shared" ref="AY336" si="2990">IF($AL$5&gt;$AK$5,($AL$5-$AK$5)*O541,0)</f>
        <v>3543.2416591361321</v>
      </c>
      <c r="AZ336" s="780">
        <f t="shared" ref="AZ336" si="2991">IF($AL$5&gt;$AK$5,($AL$5-$AK$5)*P541,0)</f>
        <v>3739.515514961849</v>
      </c>
      <c r="BA336" s="780">
        <f t="shared" ref="BA336" si="2992">IF($AL$5&gt;$AK$5,($AL$5-$AK$5)*Q541,0)</f>
        <v>3948.4383904349252</v>
      </c>
      <c r="BB336" s="780">
        <f t="shared" ref="BB336" si="2993">IF($AL$5&gt;$AK$5,($AL$5-$AK$5)*R541,0)</f>
        <v>4170.6667372134807</v>
      </c>
      <c r="BC336" s="780">
        <f t="shared" ref="BC336" si="2994">IF($AL$5&gt;$AK$5,($AL$5-$AK$5)*S541,0)</f>
        <v>4406.877493173627</v>
      </c>
      <c r="BD336" s="780">
        <f t="shared" ref="BD336" si="2995">IF($AL$5&gt;$AK$5,($AL$5-$AK$5)*T541,0)</f>
        <v>4657.7682048703127</v>
      </c>
      <c r="BE336" s="780">
        <f t="shared" ref="BE336" si="2996">IF($AL$5&gt;$AK$5,($AL$5-$AK$5)*U541,0)</f>
        <v>4924.0571559566215</v>
      </c>
      <c r="BF336" s="780">
        <f t="shared" ref="BF336" si="2997">IF($AL$5&gt;$AK$5,($AL$5-$AK$5)*V541,0)</f>
        <v>5206.4835051661303</v>
      </c>
      <c r="BG336" s="780">
        <f t="shared" ref="BG336" si="2998">IF($AL$5&gt;$AK$5,($AL$5-$AK$5)*W541,0)</f>
        <v>5505.8074376836603</v>
      </c>
      <c r="BH336" s="780">
        <f t="shared" ref="BH336" si="2999">IF($AL$5&gt;$AK$5,($AL$5-$AK$5)*X541,0)</f>
        <v>5822.8103339388172</v>
      </c>
      <c r="BI336" s="781">
        <f t="shared" ref="BI336" si="3000">IF($AL$5&gt;$AK$5,($AL$5-$AK$5)*Y541,0)</f>
        <v>6158.2949600526208</v>
      </c>
    </row>
    <row r="337" spans="1:61" s="780" customFormat="1" hidden="1" outlineLevel="1">
      <c r="M337" s="781"/>
      <c r="N337" s="782"/>
      <c r="Y337" s="781"/>
      <c r="Z337" s="782"/>
      <c r="AK337" s="781"/>
      <c r="AL337" s="782"/>
      <c r="AW337" s="781"/>
      <c r="AX337" s="782"/>
      <c r="BI337" s="781"/>
    </row>
    <row r="338" spans="1:61" s="780" customFormat="1" hidden="1" outlineLevel="1">
      <c r="A338" s="780" t="s">
        <v>359</v>
      </c>
      <c r="M338" s="781"/>
      <c r="N338" s="782"/>
      <c r="Y338" s="781"/>
      <c r="Z338" s="782"/>
      <c r="AK338" s="781"/>
      <c r="AL338" s="782"/>
      <c r="AM338" s="780">
        <f>IF($AM$5&gt;$AL$5,($AM$5-$AL$5)*B535,0)</f>
        <v>8</v>
      </c>
      <c r="AN338" s="780">
        <f t="shared" ref="AN338" si="3001">IF($AM$5&gt;$AL$5,($AM$5-$AL$5)*C535,0)</f>
        <v>8.3824000000000005</v>
      </c>
      <c r="AO338" s="780">
        <f t="shared" ref="AO338" si="3002">IF($AM$5&gt;$AL$5,($AM$5-$AL$5)*D535,0)</f>
        <v>8.790016102400001</v>
      </c>
      <c r="AP338" s="780">
        <f t="shared" ref="AP338" si="3003">IF($AM$5&gt;$AL$5,($AM$5-$AL$5)*E535,0)</f>
        <v>9.2244218586677267</v>
      </c>
      <c r="AQ338" s="780">
        <f t="shared" ref="AQ338" si="3004">IF($AM$5&gt;$AL$5,($AM$5-$AL$5)*F535,0)</f>
        <v>9.6872643857899394</v>
      </c>
      <c r="AR338" s="780">
        <f t="shared" ref="AR338" si="3005">IF($AM$5&gt;$AL$5,($AM$5-$AL$5)*G535,0)</f>
        <v>10.180266404063699</v>
      </c>
      <c r="AS338" s="780">
        <f t="shared" ref="AS338" si="3006">IF($AM$5&gt;$AL$5,($AM$5-$AL$5)*H535,0)</f>
        <v>10.705228286703797</v>
      </c>
      <c r="AT338" s="780">
        <f t="shared" ref="AT338" si="3007">IF($AM$5&gt;$AL$5,($AM$5-$AL$5)*I535,0)</f>
        <v>11.264030122404236</v>
      </c>
      <c r="AU338" s="780">
        <f t="shared" ref="AU338" si="3008">IF($AM$5&gt;$AL$5,($AM$5-$AL$5)*J535,0)</f>
        <v>11.858633792363815</v>
      </c>
      <c r="AV338" s="780">
        <f t="shared" ref="AV338" si="3009">IF($AM$5&gt;$AL$5,($AM$5-$AL$5)*K535,0)</f>
        <v>12.491085063681208</v>
      </c>
      <c r="AW338" s="781">
        <f t="shared" ref="AW338" si="3010">IF($AM$5&gt;$AL$5,($AM$5-$AL$5)*L535,0)</f>
        <v>13.163515701442698</v>
      </c>
      <c r="AX338" s="782">
        <f t="shared" ref="AX338" si="3011">IF($AM$5&gt;$AL$5,($AM$5-$AL$5)*M535,0)</f>
        <v>13.878145602265221</v>
      </c>
      <c r="AY338" s="780">
        <f t="shared" ref="AY338" si="3012">IF($AM$5&gt;$AL$5,($AM$5-$AL$5)*N535,0)</f>
        <v>14.640802427106802</v>
      </c>
      <c r="AZ338" s="780">
        <f t="shared" ref="AZ338" si="3013">IF($AM$5&gt;$AL$5,($AM$5-$AL$5)*O535,0)</f>
        <v>15.454179973028484</v>
      </c>
      <c r="BA338" s="780">
        <f t="shared" ref="BA338" si="3014">IF($AM$5&gt;$AL$5,($AM$5-$AL$5)*P535,0)</f>
        <v>16.321067007803048</v>
      </c>
      <c r="BB338" s="780">
        <f t="shared" ref="BB338" si="3015">IF($AM$5&gt;$AL$5,($AM$5-$AL$5)*Q535,0)</f>
        <v>17.244348126107901</v>
      </c>
      <c r="BC338" s="780">
        <f t="shared" ref="BC338" si="3016">IF($AM$5&gt;$AL$5,($AM$5-$AL$5)*R535,0)</f>
        <v>18.227004594103096</v>
      </c>
      <c r="BD338" s="780">
        <f t="shared" ref="BD338" si="3017">IF($AM$5&gt;$AL$5,($AM$5-$AL$5)*S535,0)</f>
        <v>19.272115194972702</v>
      </c>
      <c r="BE338" s="780">
        <f t="shared" ref="BE338" si="3018">IF($AM$5&gt;$AL$5,($AM$5-$AL$5)*T535,0)</f>
        <v>20.382857089151276</v>
      </c>
      <c r="BF338" s="780">
        <f t="shared" ref="BF338" si="3019">IF($AM$5&gt;$AL$5,($AM$5-$AL$5)*U535,0)</f>
        <v>21.56250670407784</v>
      </c>
      <c r="BG338" s="780">
        <f t="shared" ref="BG338" si="3020">IF($AM$5&gt;$AL$5,($AM$5-$AL$5)*V535,0)</f>
        <v>22.814440669410335</v>
      </c>
      <c r="BH338" s="780">
        <f t="shared" ref="BH338" si="3021">IF($AM$5&gt;$AL$5,($AM$5-$AL$5)*W535,0)</f>
        <v>24.142136814686012</v>
      </c>
      <c r="BI338" s="781">
        <f t="shared" ref="BI338" si="3022">IF($AM$5&gt;$AL$5,($AM$5-$AL$5)*X535,0)</f>
        <v>25.549175247421399</v>
      </c>
    </row>
    <row r="339" spans="1:61" s="780" customFormat="1" hidden="1" outlineLevel="1">
      <c r="A339" s="780" t="str">
        <f>$A$536</f>
        <v>Leads</v>
      </c>
      <c r="M339" s="781"/>
      <c r="N339" s="782"/>
      <c r="Y339" s="781"/>
      <c r="Z339" s="782"/>
      <c r="AK339" s="781"/>
      <c r="AL339" s="782"/>
      <c r="AM339" s="780">
        <f>IF($AM$5&gt;$AL$5,($AM$5-$AL$5)*B536,0)</f>
        <v>20</v>
      </c>
      <c r="AN339" s="780">
        <f t="shared" ref="AN339:BI339" si="3023">IF($AM$5&gt;$AL$5,($AM$5-$AL$5)*C536,0)</f>
        <v>20.8</v>
      </c>
      <c r="AO339" s="780">
        <f t="shared" si="3023"/>
        <v>21.632000000000001</v>
      </c>
      <c r="AP339" s="780">
        <f t="shared" si="3023"/>
        <v>22.497280000000003</v>
      </c>
      <c r="AQ339" s="780">
        <f t="shared" si="3023"/>
        <v>23.397171200000006</v>
      </c>
      <c r="AR339" s="780">
        <f t="shared" si="3023"/>
        <v>24.333058048000009</v>
      </c>
      <c r="AS339" s="780">
        <f t="shared" si="3023"/>
        <v>25.30638036992001</v>
      </c>
      <c r="AT339" s="780">
        <f t="shared" si="3023"/>
        <v>26.318635584716812</v>
      </c>
      <c r="AU339" s="780">
        <f t="shared" si="3023"/>
        <v>27.371381008105487</v>
      </c>
      <c r="AV339" s="780">
        <f t="shared" si="3023"/>
        <v>28.466236248429709</v>
      </c>
      <c r="AW339" s="781">
        <f t="shared" si="3023"/>
        <v>29.6048856983669</v>
      </c>
      <c r="AX339" s="782">
        <f t="shared" si="3023"/>
        <v>30.789081126301578</v>
      </c>
      <c r="AY339" s="780">
        <f t="shared" si="3023"/>
        <v>32.02064437135364</v>
      </c>
      <c r="AZ339" s="780">
        <f t="shared" si="3023"/>
        <v>33.301470146207784</v>
      </c>
      <c r="BA339" s="780">
        <f t="shared" si="3023"/>
        <v>34.633528952056096</v>
      </c>
      <c r="BB339" s="780">
        <f t="shared" si="3023"/>
        <v>36.018870110138344</v>
      </c>
      <c r="BC339" s="780">
        <f t="shared" si="3023"/>
        <v>37.45962491454388</v>
      </c>
      <c r="BD339" s="780">
        <f t="shared" si="3023"/>
        <v>38.958009911125636</v>
      </c>
      <c r="BE339" s="780">
        <f t="shared" si="3023"/>
        <v>40.516330307570662</v>
      </c>
      <c r="BF339" s="780">
        <f t="shared" si="3023"/>
        <v>42.136983519873489</v>
      </c>
      <c r="BG339" s="780">
        <f t="shared" si="3023"/>
        <v>43.822462860668423</v>
      </c>
      <c r="BH339" s="780">
        <f t="shared" si="3023"/>
        <v>45.57536137509517</v>
      </c>
      <c r="BI339" s="781">
        <f t="shared" si="3023"/>
        <v>47.398375830098978</v>
      </c>
    </row>
    <row r="340" spans="1:61" s="780" customFormat="1" hidden="1" outlineLevel="1">
      <c r="A340" s="780" t="str">
        <f>$A$537</f>
        <v>Audits</v>
      </c>
      <c r="M340" s="781"/>
      <c r="N340" s="782"/>
      <c r="Y340" s="781"/>
      <c r="Z340" s="782"/>
      <c r="AK340" s="781"/>
      <c r="AL340" s="782"/>
      <c r="AM340" s="780">
        <f t="shared" ref="AM340:BI340" si="3024">IF($AM$5&gt;$AL$5,($AM$5-$AL$5)*B537,0)</f>
        <v>7.8466960352422905</v>
      </c>
      <c r="AN340" s="780">
        <f t="shared" si="3024"/>
        <v>8.1805560257268723</v>
      </c>
      <c r="AO340" s="780">
        <f t="shared" si="3024"/>
        <v>8.556158139083367</v>
      </c>
      <c r="AP340" s="780">
        <f t="shared" si="3024"/>
        <v>8.9523024684242678</v>
      </c>
      <c r="AQ340" s="780">
        <f t="shared" si="3024"/>
        <v>9.3702787716763911</v>
      </c>
      <c r="AR340" s="780">
        <f t="shared" si="3024"/>
        <v>9.811453812672589</v>
      </c>
      <c r="AS340" s="780">
        <f t="shared" si="3024"/>
        <v>10.277273093546537</v>
      </c>
      <c r="AT340" s="780">
        <f t="shared" si="3024"/>
        <v>10.769262132442826</v>
      </c>
      <c r="AU340" s="780">
        <f t="shared" si="3024"/>
        <v>11.289027268145146</v>
      </c>
      <c r="AV340" s="780">
        <f t="shared" si="3024"/>
        <v>11.838255995812663</v>
      </c>
      <c r="AW340" s="781">
        <f t="shared" si="3024"/>
        <v>12.418716863200714</v>
      </c>
      <c r="AX340" s="782">
        <f t="shared" si="3024"/>
        <v>13.032258982971491</v>
      </c>
      <c r="AY340" s="780">
        <f t="shared" si="3024"/>
        <v>13.681748513642187</v>
      </c>
      <c r="AZ340" s="780">
        <f t="shared" si="3024"/>
        <v>14.367753613373562</v>
      </c>
      <c r="BA340" s="780">
        <f t="shared" si="3024"/>
        <v>15.094450719778326</v>
      </c>
      <c r="BB340" s="780">
        <f t="shared" si="3024"/>
        <v>15.864274704794562</v>
      </c>
      <c r="BC340" s="780">
        <f t="shared" si="3024"/>
        <v>16.679756380011042</v>
      </c>
      <c r="BD340" s="780">
        <f t="shared" si="3024"/>
        <v>17.543519083999907</v>
      </c>
      <c r="BE340" s="780">
        <f t="shared" si="3024"/>
        <v>18.458274953232511</v>
      </c>
      <c r="BF340" s="780">
        <f t="shared" si="3024"/>
        <v>19.426821075192013</v>
      </c>
      <c r="BG340" s="780">
        <f t="shared" si="3024"/>
        <v>20.452035738521069</v>
      </c>
      <c r="BH340" s="780">
        <f t="shared" si="3024"/>
        <v>21.536874999893016</v>
      </c>
      <c r="BI340" s="781">
        <f t="shared" si="3024"/>
        <v>22.68436978011453</v>
      </c>
    </row>
    <row r="341" spans="1:61" s="780" customFormat="1" hidden="1" outlineLevel="1">
      <c r="A341" s="780" t="str">
        <f>$A$538</f>
        <v>Retrofit</v>
      </c>
      <c r="M341" s="781"/>
      <c r="N341" s="782"/>
      <c r="Y341" s="781"/>
      <c r="Z341" s="782"/>
      <c r="AK341" s="781"/>
      <c r="AL341" s="782"/>
      <c r="AM341" s="780">
        <f t="shared" ref="AM341:BI341" si="3025">IF($AM$5&gt;$AL$5,($AM$5-$AL$5)*B538,0)</f>
        <v>3.2741145374449339</v>
      </c>
      <c r="AN341" s="780">
        <f t="shared" si="3025"/>
        <v>3.4211429613668018</v>
      </c>
      <c r="AO341" s="780">
        <f t="shared" si="3025"/>
        <v>3.6089747928733105</v>
      </c>
      <c r="AP341" s="780">
        <f t="shared" si="3025"/>
        <v>3.80943356172375</v>
      </c>
      <c r="AQ341" s="780">
        <f t="shared" si="3025"/>
        <v>4.023495407635</v>
      </c>
      <c r="AR341" s="780">
        <f t="shared" si="3025"/>
        <v>4.2522035025469851</v>
      </c>
      <c r="AS341" s="780">
        <f t="shared" si="3025"/>
        <v>4.4966691121698661</v>
      </c>
      <c r="AT341" s="780">
        <f t="shared" si="3025"/>
        <v>4.7580720961942786</v>
      </c>
      <c r="AU341" s="780">
        <f t="shared" si="3025"/>
        <v>5.0376608331454982</v>
      </c>
      <c r="AV341" s="780">
        <f t="shared" si="3025"/>
        <v>5.3367515834608863</v>
      </c>
      <c r="AW341" s="781">
        <f t="shared" si="3025"/>
        <v>5.6567273345837759</v>
      </c>
      <c r="AX341" s="782">
        <f t="shared" si="3025"/>
        <v>5.9990362027609887</v>
      </c>
      <c r="AY341" s="780">
        <f t="shared" si="3025"/>
        <v>6.3656710756275423</v>
      </c>
      <c r="AZ341" s="780">
        <f t="shared" si="3025"/>
        <v>6.7527905497767229</v>
      </c>
      <c r="BA341" s="780">
        <f t="shared" si="3025"/>
        <v>7.1679946156961591</v>
      </c>
      <c r="BB341" s="780">
        <f t="shared" si="3025"/>
        <v>7.6132687220703144</v>
      </c>
      <c r="BC341" s="780">
        <f t="shared" si="3025"/>
        <v>8.0906802436821312</v>
      </c>
      <c r="BD341" s="780">
        <f t="shared" si="3025"/>
        <v>8.6023733713231554</v>
      </c>
      <c r="BE341" s="780">
        <f t="shared" si="3025"/>
        <v>9.1505635635964193</v>
      </c>
      <c r="BF341" s="780">
        <f t="shared" si="3025"/>
        <v>9.7375318038296879</v>
      </c>
      <c r="BG341" s="780">
        <f t="shared" si="3025"/>
        <v>10.365618926205418</v>
      </c>
      <c r="BH341" s="780">
        <f t="shared" si="3025"/>
        <v>11.037220281947453</v>
      </c>
      <c r="BI341" s="781">
        <f t="shared" si="3025"/>
        <v>11.754781008099396</v>
      </c>
    </row>
    <row r="342" spans="1:61" s="780" customFormat="1" hidden="1" outlineLevel="1">
      <c r="A342" s="780" t="str">
        <f>$A$539</f>
        <v>Revenue</v>
      </c>
      <c r="M342" s="781"/>
      <c r="N342" s="782"/>
      <c r="Y342" s="781"/>
      <c r="Z342" s="782"/>
      <c r="AK342" s="781"/>
      <c r="AL342" s="782"/>
      <c r="AM342" s="780">
        <f t="shared" ref="AM342:BI342" si="3026">IF($AM$5&gt;$AL$5,($AM$5-$AL$5)*B539,0)</f>
        <v>20728.933920704847</v>
      </c>
      <c r="AN342" s="780">
        <f t="shared" si="3026"/>
        <v>22334.796424579898</v>
      </c>
      <c r="AO342" s="780">
        <f t="shared" si="3026"/>
        <v>24261.379157843236</v>
      </c>
      <c r="AP342" s="780">
        <f t="shared" si="3026"/>
        <v>27109.041527058151</v>
      </c>
      <c r="AQ342" s="780">
        <f t="shared" si="3026"/>
        <v>29411.012063918617</v>
      </c>
      <c r="AR342" s="780">
        <f t="shared" si="3026"/>
        <v>31904.731979940196</v>
      </c>
      <c r="AS342" s="780">
        <f t="shared" si="3026"/>
        <v>34157.516935543477</v>
      </c>
      <c r="AT342" s="780">
        <f t="shared" si="3026"/>
        <v>36585.144030160183</v>
      </c>
      <c r="AU342" s="780">
        <f t="shared" si="3026"/>
        <v>39202.024549786183</v>
      </c>
      <c r="AV342" s="780">
        <f t="shared" si="3026"/>
        <v>41489.907780370268</v>
      </c>
      <c r="AW342" s="781">
        <f t="shared" si="3026"/>
        <v>43934.936399734994</v>
      </c>
      <c r="AX342" s="782">
        <f t="shared" si="3026"/>
        <v>46547.932291314006</v>
      </c>
      <c r="AY342" s="780">
        <f t="shared" si="3026"/>
        <v>48812.622611071754</v>
      </c>
      <c r="AZ342" s="780">
        <f t="shared" si="3026"/>
        <v>51746.745047763237</v>
      </c>
      <c r="BA342" s="780">
        <f t="shared" si="3026"/>
        <v>54891.491572423707</v>
      </c>
      <c r="BB342" s="780">
        <f t="shared" si="3026"/>
        <v>58261.704056497998</v>
      </c>
      <c r="BC342" s="780">
        <f t="shared" si="3026"/>
        <v>61872.837706819933</v>
      </c>
      <c r="BD342" s="780">
        <f t="shared" si="3026"/>
        <v>65740.922877654608</v>
      </c>
      <c r="BE342" s="780">
        <f t="shared" si="3026"/>
        <v>69882.52360507095</v>
      </c>
      <c r="BF342" s="780">
        <f t="shared" si="3026"/>
        <v>74314.694687467563</v>
      </c>
      <c r="BG342" s="780">
        <f t="shared" si="3026"/>
        <v>79054.939292696072</v>
      </c>
      <c r="BH342" s="780">
        <f t="shared" si="3026"/>
        <v>84121.169122674793</v>
      </c>
      <c r="BI342" s="781">
        <f t="shared" si="3026"/>
        <v>89531.669104034416</v>
      </c>
    </row>
    <row r="343" spans="1:61" s="780" customFormat="1" hidden="1" outlineLevel="1">
      <c r="A343" s="780" t="str">
        <f>$A$540</f>
        <v>Net Income</v>
      </c>
      <c r="M343" s="781"/>
      <c r="N343" s="782"/>
      <c r="Y343" s="781"/>
      <c r="Z343" s="782"/>
      <c r="AK343" s="781"/>
      <c r="AL343" s="782"/>
      <c r="AM343" s="780">
        <f t="shared" ref="AM343:BI343" si="3027">IF($AM$5&gt;$AL$5,($AM$5-$AL$5)*B540,0)</f>
        <v>-33184.964170807638</v>
      </c>
      <c r="AN343" s="780">
        <f t="shared" si="3027"/>
        <v>-14837.14568100147</v>
      </c>
      <c r="AO343" s="780">
        <f t="shared" si="3027"/>
        <v>-14268.717003781454</v>
      </c>
      <c r="AP343" s="780">
        <f t="shared" si="3027"/>
        <v>-13405.013342705901</v>
      </c>
      <c r="AQ343" s="780">
        <f t="shared" si="3027"/>
        <v>-12685.072540306182</v>
      </c>
      <c r="AR343" s="780">
        <f t="shared" si="3027"/>
        <v>-17604.404805924125</v>
      </c>
      <c r="AS343" s="780">
        <f t="shared" si="3027"/>
        <v>-15156.124616524507</v>
      </c>
      <c r="AT343" s="780">
        <f t="shared" si="3027"/>
        <v>-13971.31609512752</v>
      </c>
      <c r="AU343" s="780">
        <f t="shared" si="3027"/>
        <v>-13027.555718246989</v>
      </c>
      <c r="AV343" s="780">
        <f t="shared" si="3027"/>
        <v>-12167.444211420123</v>
      </c>
      <c r="AW343" s="781">
        <f t="shared" si="3027"/>
        <v>-11228.257793696379</v>
      </c>
      <c r="AX343" s="782">
        <f t="shared" si="3027"/>
        <v>-10203.756141625032</v>
      </c>
      <c r="AY343" s="780">
        <f t="shared" si="3027"/>
        <v>-8928.9645055486872</v>
      </c>
      <c r="AZ343" s="780">
        <f t="shared" si="3027"/>
        <v>-6565.2951604608934</v>
      </c>
      <c r="BA343" s="780">
        <f t="shared" si="3027"/>
        <v>-7951.6323699894165</v>
      </c>
      <c r="BB343" s="780">
        <f t="shared" si="3027"/>
        <v>-6483.5792380389103</v>
      </c>
      <c r="BC343" s="780">
        <f t="shared" si="3027"/>
        <v>-5307.1722049655655</v>
      </c>
      <c r="BD343" s="780">
        <f t="shared" si="3027"/>
        <v>-3966.3475887754175</v>
      </c>
      <c r="BE343" s="780">
        <f t="shared" si="3027"/>
        <v>-2466.8649492429358</v>
      </c>
      <c r="BF343" s="780">
        <f t="shared" si="3027"/>
        <v>-826.64406907309967</v>
      </c>
      <c r="BG343" s="780">
        <f t="shared" si="3027"/>
        <v>-10770.241509529737</v>
      </c>
      <c r="BH343" s="780">
        <f t="shared" si="3027"/>
        <v>-19174.962642260827</v>
      </c>
      <c r="BI343" s="781">
        <f t="shared" si="3027"/>
        <v>-16925.443971653156</v>
      </c>
    </row>
    <row r="344" spans="1:61" s="780" customFormat="1" hidden="1" outlineLevel="1">
      <c r="A344" s="780" t="str">
        <f>$A$541</f>
        <v>Program Revenue</v>
      </c>
      <c r="M344" s="781"/>
      <c r="N344" s="782"/>
      <c r="Y344" s="781"/>
      <c r="Z344" s="782"/>
      <c r="AK344" s="781"/>
      <c r="AL344" s="782"/>
      <c r="AM344" s="780">
        <f t="shared" ref="AM344" si="3028">IF($AM$5&gt;$AL$5,($AM$5-$AL$5)*B541,0)</f>
        <v>1850</v>
      </c>
      <c r="AN344" s="780">
        <f t="shared" ref="AN344" si="3029">IF($AM$5&gt;$AL$5,($AM$5-$AL$5)*C541,0)</f>
        <v>1937.1558751999999</v>
      </c>
      <c r="AO344" s="780">
        <f t="shared" ref="AO344" si="3030">IF($AM$5&gt;$AL$5,($AM$5-$AL$5)*D541,0)</f>
        <v>2030.0190587848704</v>
      </c>
      <c r="AP344" s="780">
        <f t="shared" ref="AP344" si="3031">IF($AM$5&gt;$AL$5,($AM$5-$AL$5)*E541,0)</f>
        <v>2128.941218449359</v>
      </c>
      <c r="AQ344" s="780">
        <f t="shared" ref="AQ344" si="3032">IF($AM$5&gt;$AL$5,($AM$5-$AL$5)*F541,0)</f>
        <v>2234.2900324673633</v>
      </c>
      <c r="AR344" s="780">
        <f t="shared" ref="AR344" si="3033">IF($AM$5&gt;$AL$5,($AM$5-$AL$5)*G541,0)</f>
        <v>2346.4496034726417</v>
      </c>
      <c r="AS344" s="780">
        <f t="shared" ref="AS344" si="3034">IF($AM$5&gt;$AL$5,($AM$5-$AL$5)*H541,0)</f>
        <v>2465.8208731027789</v>
      </c>
      <c r="AT344" s="780">
        <f t="shared" ref="AT344" si="3035">IF($AM$5&gt;$AL$5,($AM$5-$AL$5)*I541,0)</f>
        <v>2592.8220377557409</v>
      </c>
      <c r="AU344" s="780">
        <f t="shared" ref="AU344" si="3036">IF($AM$5&gt;$AL$5,($AM$5-$AL$5)*J541,0)</f>
        <v>2727.8889657926175</v>
      </c>
      <c r="AV344" s="780">
        <f t="shared" ref="AV344" si="3037">IF($AM$5&gt;$AL$5,($AM$5-$AL$5)*K541,0)</f>
        <v>2871.4756166091629</v>
      </c>
      <c r="AW344" s="781">
        <f t="shared" ref="AW344" si="3038">IF($AM$5&gt;$AL$5,($AM$5-$AL$5)*L541,0)</f>
        <v>3024.0544620924302</v>
      </c>
      <c r="AX344" s="782">
        <f t="shared" ref="AX344" si="3039">IF($AM$5&gt;$AL$5,($AM$5-$AL$5)*M541,0)</f>
        <v>3186.1169110768442</v>
      </c>
      <c r="AY344" s="780">
        <f t="shared" ref="AY344" si="3040">IF($AM$5&gt;$AL$5,($AM$5-$AL$5)*N541,0)</f>
        <v>3358.9807376414046</v>
      </c>
      <c r="AZ344" s="780">
        <f t="shared" ref="AZ344" si="3041">IF($AM$5&gt;$AL$5,($AM$5-$AL$5)*O541,0)</f>
        <v>3543.2416591361321</v>
      </c>
      <c r="BA344" s="780">
        <f t="shared" ref="BA344" si="3042">IF($AM$5&gt;$AL$5,($AM$5-$AL$5)*P541,0)</f>
        <v>3739.515514961849</v>
      </c>
      <c r="BB344" s="780">
        <f t="shared" ref="BB344" si="3043">IF($AM$5&gt;$AL$5,($AM$5-$AL$5)*Q541,0)</f>
        <v>3948.4383904349252</v>
      </c>
      <c r="BC344" s="780">
        <f t="shared" ref="BC344" si="3044">IF($AM$5&gt;$AL$5,($AM$5-$AL$5)*R541,0)</f>
        <v>4170.6667372134807</v>
      </c>
      <c r="BD344" s="780">
        <f t="shared" ref="BD344" si="3045">IF($AM$5&gt;$AL$5,($AM$5-$AL$5)*S541,0)</f>
        <v>4406.877493173627</v>
      </c>
      <c r="BE344" s="780">
        <f t="shared" ref="BE344" si="3046">IF($AM$5&gt;$AL$5,($AM$5-$AL$5)*T541,0)</f>
        <v>4657.7682048703127</v>
      </c>
      <c r="BF344" s="780">
        <f t="shared" ref="BF344" si="3047">IF($AM$5&gt;$AL$5,($AM$5-$AL$5)*U541,0)</f>
        <v>4924.0571559566215</v>
      </c>
      <c r="BG344" s="780">
        <f t="shared" ref="BG344" si="3048">IF($AM$5&gt;$AL$5,($AM$5-$AL$5)*V541,0)</f>
        <v>5206.4835051661303</v>
      </c>
      <c r="BH344" s="780">
        <f t="shared" ref="BH344" si="3049">IF($AM$5&gt;$AL$5,($AM$5-$AL$5)*W541,0)</f>
        <v>5505.8074376836603</v>
      </c>
      <c r="BI344" s="781">
        <f t="shared" ref="BI344" si="3050">IF($AM$5&gt;$AL$5,($AM$5-$AL$5)*X541,0)</f>
        <v>5822.8103339388172</v>
      </c>
    </row>
    <row r="345" spans="1:61" s="780" customFormat="1" hidden="1" outlineLevel="1">
      <c r="M345" s="781"/>
      <c r="N345" s="782"/>
      <c r="Y345" s="781"/>
      <c r="Z345" s="782"/>
      <c r="AK345" s="781"/>
      <c r="AL345" s="782"/>
      <c r="AW345" s="781"/>
      <c r="AX345" s="782"/>
      <c r="BI345" s="781"/>
    </row>
    <row r="346" spans="1:61" s="780" customFormat="1" hidden="1" outlineLevel="1">
      <c r="A346" s="780" t="s">
        <v>359</v>
      </c>
      <c r="M346" s="781"/>
      <c r="N346" s="782"/>
      <c r="Y346" s="781"/>
      <c r="Z346" s="782"/>
      <c r="AK346" s="781"/>
      <c r="AL346" s="782"/>
      <c r="AN346" s="780">
        <f>IF($AN$5&gt;$AM$5,($AN$5-$AM$5)*B535,0)</f>
        <v>0</v>
      </c>
      <c r="AO346" s="780">
        <f t="shared" ref="AO346" si="3051">IF($AN$5&gt;$AM$5,($AN$5-$AM$5)*C535,0)</f>
        <v>0</v>
      </c>
      <c r="AP346" s="780">
        <f t="shared" ref="AP346" si="3052">IF($AN$5&gt;$AM$5,($AN$5-$AM$5)*D535,0)</f>
        <v>0</v>
      </c>
      <c r="AQ346" s="780">
        <f t="shared" ref="AQ346" si="3053">IF($AN$5&gt;$AM$5,($AN$5-$AM$5)*E535,0)</f>
        <v>0</v>
      </c>
      <c r="AR346" s="780">
        <f t="shared" ref="AR346" si="3054">IF($AN$5&gt;$AM$5,($AN$5-$AM$5)*F535,0)</f>
        <v>0</v>
      </c>
      <c r="AS346" s="780">
        <f t="shared" ref="AS346" si="3055">IF($AN$5&gt;$AM$5,($AN$5-$AM$5)*G535,0)</f>
        <v>0</v>
      </c>
      <c r="AT346" s="780">
        <f t="shared" ref="AT346" si="3056">IF($AN$5&gt;$AM$5,($AN$5-$AM$5)*H535,0)</f>
        <v>0</v>
      </c>
      <c r="AU346" s="780">
        <f t="shared" ref="AU346" si="3057">IF($AN$5&gt;$AM$5,($AN$5-$AM$5)*I535,0)</f>
        <v>0</v>
      </c>
      <c r="AV346" s="780">
        <f t="shared" ref="AV346" si="3058">IF($AN$5&gt;$AM$5,($AN$5-$AM$5)*J535,0)</f>
        <v>0</v>
      </c>
      <c r="AW346" s="781">
        <f t="shared" ref="AW346" si="3059">IF($AN$5&gt;$AM$5,($AN$5-$AM$5)*K535,0)</f>
        <v>0</v>
      </c>
      <c r="AX346" s="782">
        <f t="shared" ref="AX346" si="3060">IF($AN$5&gt;$AM$5,($AN$5-$AM$5)*L535,0)</f>
        <v>0</v>
      </c>
      <c r="AY346" s="780">
        <f t="shared" ref="AY346" si="3061">IF($AN$5&gt;$AM$5,($AN$5-$AM$5)*M535,0)</f>
        <v>0</v>
      </c>
      <c r="AZ346" s="780">
        <f t="shared" ref="AZ346" si="3062">IF($AN$5&gt;$AM$5,($AN$5-$AM$5)*N535,0)</f>
        <v>0</v>
      </c>
      <c r="BA346" s="780">
        <f t="shared" ref="BA346" si="3063">IF($AN$5&gt;$AM$5,($AN$5-$AM$5)*O535,0)</f>
        <v>0</v>
      </c>
      <c r="BB346" s="780">
        <f t="shared" ref="BB346" si="3064">IF($AN$5&gt;$AM$5,($AN$5-$AM$5)*P535,0)</f>
        <v>0</v>
      </c>
      <c r="BC346" s="780">
        <f t="shared" ref="BC346" si="3065">IF($AN$5&gt;$AM$5,($AN$5-$AM$5)*Q535,0)</f>
        <v>0</v>
      </c>
      <c r="BD346" s="780">
        <f t="shared" ref="BD346" si="3066">IF($AN$5&gt;$AM$5,($AN$5-$AM$5)*R535,0)</f>
        <v>0</v>
      </c>
      <c r="BE346" s="780">
        <f t="shared" ref="BE346" si="3067">IF($AN$5&gt;$AM$5,($AN$5-$AM$5)*S535,0)</f>
        <v>0</v>
      </c>
      <c r="BF346" s="780">
        <f t="shared" ref="BF346" si="3068">IF($AN$5&gt;$AM$5,($AN$5-$AM$5)*T535,0)</f>
        <v>0</v>
      </c>
      <c r="BG346" s="780">
        <f t="shared" ref="BG346" si="3069">IF($AN$5&gt;$AM$5,($AN$5-$AM$5)*U535,0)</f>
        <v>0</v>
      </c>
      <c r="BH346" s="780">
        <f t="shared" ref="BH346" si="3070">IF($AN$5&gt;$AM$5,($AN$5-$AM$5)*V535,0)</f>
        <v>0</v>
      </c>
      <c r="BI346" s="781">
        <f t="shared" ref="BI346" si="3071">IF($AN$5&gt;$AM$5,($AN$5-$AM$5)*W535,0)</f>
        <v>0</v>
      </c>
    </row>
    <row r="347" spans="1:61" s="780" customFormat="1" hidden="1" outlineLevel="1">
      <c r="A347" s="780" t="str">
        <f>$A$536</f>
        <v>Leads</v>
      </c>
      <c r="M347" s="781"/>
      <c r="N347" s="782"/>
      <c r="Y347" s="781"/>
      <c r="Z347" s="782"/>
      <c r="AK347" s="781"/>
      <c r="AL347" s="782"/>
      <c r="AN347" s="780">
        <f>IF($AN$5&gt;$AM$5,($AN$5-$AM$5)*B536,0)</f>
        <v>0</v>
      </c>
      <c r="AO347" s="780">
        <f t="shared" ref="AO347:BI347" si="3072">IF($AN$5&gt;$AM$5,($AN$5-$AM$5)*C536,0)</f>
        <v>0</v>
      </c>
      <c r="AP347" s="780">
        <f t="shared" si="3072"/>
        <v>0</v>
      </c>
      <c r="AQ347" s="780">
        <f t="shared" si="3072"/>
        <v>0</v>
      </c>
      <c r="AR347" s="780">
        <f t="shared" si="3072"/>
        <v>0</v>
      </c>
      <c r="AS347" s="780">
        <f t="shared" si="3072"/>
        <v>0</v>
      </c>
      <c r="AT347" s="780">
        <f t="shared" si="3072"/>
        <v>0</v>
      </c>
      <c r="AU347" s="780">
        <f t="shared" si="3072"/>
        <v>0</v>
      </c>
      <c r="AV347" s="780">
        <f t="shared" si="3072"/>
        <v>0</v>
      </c>
      <c r="AW347" s="781">
        <f t="shared" si="3072"/>
        <v>0</v>
      </c>
      <c r="AX347" s="782">
        <f t="shared" si="3072"/>
        <v>0</v>
      </c>
      <c r="AY347" s="780">
        <f t="shared" si="3072"/>
        <v>0</v>
      </c>
      <c r="AZ347" s="780">
        <f t="shared" si="3072"/>
        <v>0</v>
      </c>
      <c r="BA347" s="780">
        <f t="shared" si="3072"/>
        <v>0</v>
      </c>
      <c r="BB347" s="780">
        <f t="shared" si="3072"/>
        <v>0</v>
      </c>
      <c r="BC347" s="780">
        <f t="shared" si="3072"/>
        <v>0</v>
      </c>
      <c r="BD347" s="780">
        <f t="shared" si="3072"/>
        <v>0</v>
      </c>
      <c r="BE347" s="780">
        <f t="shared" si="3072"/>
        <v>0</v>
      </c>
      <c r="BF347" s="780">
        <f t="shared" si="3072"/>
        <v>0</v>
      </c>
      <c r="BG347" s="780">
        <f t="shared" si="3072"/>
        <v>0</v>
      </c>
      <c r="BH347" s="780">
        <f t="shared" si="3072"/>
        <v>0</v>
      </c>
      <c r="BI347" s="781">
        <f t="shared" si="3072"/>
        <v>0</v>
      </c>
    </row>
    <row r="348" spans="1:61" s="780" customFormat="1" hidden="1" outlineLevel="1">
      <c r="A348" s="780" t="str">
        <f>$A$537</f>
        <v>Audits</v>
      </c>
      <c r="M348" s="781"/>
      <c r="N348" s="782"/>
      <c r="Y348" s="781"/>
      <c r="Z348" s="782"/>
      <c r="AK348" s="781"/>
      <c r="AL348" s="782"/>
      <c r="AN348" s="780">
        <f t="shared" ref="AN348:BI348" si="3073">IF($AN$5&gt;$AM$5,($AN$5-$AM$5)*B537,0)</f>
        <v>0</v>
      </c>
      <c r="AO348" s="780">
        <f t="shared" si="3073"/>
        <v>0</v>
      </c>
      <c r="AP348" s="780">
        <f t="shared" si="3073"/>
        <v>0</v>
      </c>
      <c r="AQ348" s="780">
        <f t="shared" si="3073"/>
        <v>0</v>
      </c>
      <c r="AR348" s="780">
        <f t="shared" si="3073"/>
        <v>0</v>
      </c>
      <c r="AS348" s="780">
        <f t="shared" si="3073"/>
        <v>0</v>
      </c>
      <c r="AT348" s="780">
        <f t="shared" si="3073"/>
        <v>0</v>
      </c>
      <c r="AU348" s="780">
        <f t="shared" si="3073"/>
        <v>0</v>
      </c>
      <c r="AV348" s="780">
        <f t="shared" si="3073"/>
        <v>0</v>
      </c>
      <c r="AW348" s="781">
        <f t="shared" si="3073"/>
        <v>0</v>
      </c>
      <c r="AX348" s="782">
        <f t="shared" si="3073"/>
        <v>0</v>
      </c>
      <c r="AY348" s="780">
        <f t="shared" si="3073"/>
        <v>0</v>
      </c>
      <c r="AZ348" s="780">
        <f t="shared" si="3073"/>
        <v>0</v>
      </c>
      <c r="BA348" s="780">
        <f t="shared" si="3073"/>
        <v>0</v>
      </c>
      <c r="BB348" s="780">
        <f t="shared" si="3073"/>
        <v>0</v>
      </c>
      <c r="BC348" s="780">
        <f t="shared" si="3073"/>
        <v>0</v>
      </c>
      <c r="BD348" s="780">
        <f t="shared" si="3073"/>
        <v>0</v>
      </c>
      <c r="BE348" s="780">
        <f t="shared" si="3073"/>
        <v>0</v>
      </c>
      <c r="BF348" s="780">
        <f t="shared" si="3073"/>
        <v>0</v>
      </c>
      <c r="BG348" s="780">
        <f t="shared" si="3073"/>
        <v>0</v>
      </c>
      <c r="BH348" s="780">
        <f t="shared" si="3073"/>
        <v>0</v>
      </c>
      <c r="BI348" s="781">
        <f t="shared" si="3073"/>
        <v>0</v>
      </c>
    </row>
    <row r="349" spans="1:61" s="780" customFormat="1" hidden="1" outlineLevel="1">
      <c r="A349" s="780" t="str">
        <f>$A$538</f>
        <v>Retrofit</v>
      </c>
      <c r="M349" s="781"/>
      <c r="N349" s="782"/>
      <c r="Y349" s="781"/>
      <c r="Z349" s="782"/>
      <c r="AK349" s="781"/>
      <c r="AL349" s="782"/>
      <c r="AN349" s="780">
        <f t="shared" ref="AN349:BI349" si="3074">IF($AN$5&gt;$AM$5,($AN$5-$AM$5)*B538,0)</f>
        <v>0</v>
      </c>
      <c r="AO349" s="780">
        <f t="shared" si="3074"/>
        <v>0</v>
      </c>
      <c r="AP349" s="780">
        <f t="shared" si="3074"/>
        <v>0</v>
      </c>
      <c r="AQ349" s="780">
        <f t="shared" si="3074"/>
        <v>0</v>
      </c>
      <c r="AR349" s="780">
        <f t="shared" si="3074"/>
        <v>0</v>
      </c>
      <c r="AS349" s="780">
        <f t="shared" si="3074"/>
        <v>0</v>
      </c>
      <c r="AT349" s="780">
        <f t="shared" si="3074"/>
        <v>0</v>
      </c>
      <c r="AU349" s="780">
        <f t="shared" si="3074"/>
        <v>0</v>
      </c>
      <c r="AV349" s="780">
        <f t="shared" si="3074"/>
        <v>0</v>
      </c>
      <c r="AW349" s="781">
        <f t="shared" si="3074"/>
        <v>0</v>
      </c>
      <c r="AX349" s="782">
        <f t="shared" si="3074"/>
        <v>0</v>
      </c>
      <c r="AY349" s="780">
        <f t="shared" si="3074"/>
        <v>0</v>
      </c>
      <c r="AZ349" s="780">
        <f t="shared" si="3074"/>
        <v>0</v>
      </c>
      <c r="BA349" s="780">
        <f t="shared" si="3074"/>
        <v>0</v>
      </c>
      <c r="BB349" s="780">
        <f t="shared" si="3074"/>
        <v>0</v>
      </c>
      <c r="BC349" s="780">
        <f t="shared" si="3074"/>
        <v>0</v>
      </c>
      <c r="BD349" s="780">
        <f t="shared" si="3074"/>
        <v>0</v>
      </c>
      <c r="BE349" s="780">
        <f t="shared" si="3074"/>
        <v>0</v>
      </c>
      <c r="BF349" s="780">
        <f t="shared" si="3074"/>
        <v>0</v>
      </c>
      <c r="BG349" s="780">
        <f t="shared" si="3074"/>
        <v>0</v>
      </c>
      <c r="BH349" s="780">
        <f t="shared" si="3074"/>
        <v>0</v>
      </c>
      <c r="BI349" s="781">
        <f t="shared" si="3074"/>
        <v>0</v>
      </c>
    </row>
    <row r="350" spans="1:61" s="780" customFormat="1" hidden="1" outlineLevel="1">
      <c r="A350" s="780" t="str">
        <f>$A$539</f>
        <v>Revenue</v>
      </c>
      <c r="M350" s="781"/>
      <c r="N350" s="782"/>
      <c r="Y350" s="781"/>
      <c r="Z350" s="782"/>
      <c r="AK350" s="781"/>
      <c r="AL350" s="782"/>
      <c r="AN350" s="780">
        <f t="shared" ref="AN350:BI350" si="3075">IF($AN$5&gt;$AM$5,($AN$5-$AM$5)*B539,0)</f>
        <v>0</v>
      </c>
      <c r="AO350" s="780">
        <f t="shared" si="3075"/>
        <v>0</v>
      </c>
      <c r="AP350" s="780">
        <f t="shared" si="3075"/>
        <v>0</v>
      </c>
      <c r="AQ350" s="780">
        <f t="shared" si="3075"/>
        <v>0</v>
      </c>
      <c r="AR350" s="780">
        <f t="shared" si="3075"/>
        <v>0</v>
      </c>
      <c r="AS350" s="780">
        <f t="shared" si="3075"/>
        <v>0</v>
      </c>
      <c r="AT350" s="780">
        <f t="shared" si="3075"/>
        <v>0</v>
      </c>
      <c r="AU350" s="780">
        <f t="shared" si="3075"/>
        <v>0</v>
      </c>
      <c r="AV350" s="780">
        <f t="shared" si="3075"/>
        <v>0</v>
      </c>
      <c r="AW350" s="781">
        <f t="shared" si="3075"/>
        <v>0</v>
      </c>
      <c r="AX350" s="782">
        <f t="shared" si="3075"/>
        <v>0</v>
      </c>
      <c r="AY350" s="780">
        <f t="shared" si="3075"/>
        <v>0</v>
      </c>
      <c r="AZ350" s="780">
        <f t="shared" si="3075"/>
        <v>0</v>
      </c>
      <c r="BA350" s="780">
        <f t="shared" si="3075"/>
        <v>0</v>
      </c>
      <c r="BB350" s="780">
        <f t="shared" si="3075"/>
        <v>0</v>
      </c>
      <c r="BC350" s="780">
        <f t="shared" si="3075"/>
        <v>0</v>
      </c>
      <c r="BD350" s="780">
        <f t="shared" si="3075"/>
        <v>0</v>
      </c>
      <c r="BE350" s="780">
        <f t="shared" si="3075"/>
        <v>0</v>
      </c>
      <c r="BF350" s="780">
        <f t="shared" si="3075"/>
        <v>0</v>
      </c>
      <c r="BG350" s="780">
        <f t="shared" si="3075"/>
        <v>0</v>
      </c>
      <c r="BH350" s="780">
        <f t="shared" si="3075"/>
        <v>0</v>
      </c>
      <c r="BI350" s="781">
        <f t="shared" si="3075"/>
        <v>0</v>
      </c>
    </row>
    <row r="351" spans="1:61" s="780" customFormat="1" hidden="1" outlineLevel="1">
      <c r="A351" s="780" t="str">
        <f>$A$540</f>
        <v>Net Income</v>
      </c>
      <c r="M351" s="781"/>
      <c r="N351" s="782"/>
      <c r="Y351" s="781"/>
      <c r="Z351" s="782"/>
      <c r="AK351" s="781"/>
      <c r="AL351" s="782"/>
      <c r="AN351" s="780">
        <f t="shared" ref="AN351:BI351" si="3076">IF($AN$5&gt;$AM$5,($AN$5-$AM$5)*B540,0)</f>
        <v>0</v>
      </c>
      <c r="AO351" s="780">
        <f t="shared" si="3076"/>
        <v>0</v>
      </c>
      <c r="AP351" s="780">
        <f t="shared" si="3076"/>
        <v>0</v>
      </c>
      <c r="AQ351" s="780">
        <f t="shared" si="3076"/>
        <v>0</v>
      </c>
      <c r="AR351" s="780">
        <f t="shared" si="3076"/>
        <v>0</v>
      </c>
      <c r="AS351" s="780">
        <f t="shared" si="3076"/>
        <v>0</v>
      </c>
      <c r="AT351" s="780">
        <f t="shared" si="3076"/>
        <v>0</v>
      </c>
      <c r="AU351" s="780">
        <f t="shared" si="3076"/>
        <v>0</v>
      </c>
      <c r="AV351" s="780">
        <f t="shared" si="3076"/>
        <v>0</v>
      </c>
      <c r="AW351" s="781">
        <f t="shared" si="3076"/>
        <v>0</v>
      </c>
      <c r="AX351" s="782">
        <f t="shared" si="3076"/>
        <v>0</v>
      </c>
      <c r="AY351" s="780">
        <f t="shared" si="3076"/>
        <v>0</v>
      </c>
      <c r="AZ351" s="780">
        <f t="shared" si="3076"/>
        <v>0</v>
      </c>
      <c r="BA351" s="780">
        <f t="shared" si="3076"/>
        <v>0</v>
      </c>
      <c r="BB351" s="780">
        <f t="shared" si="3076"/>
        <v>0</v>
      </c>
      <c r="BC351" s="780">
        <f t="shared" si="3076"/>
        <v>0</v>
      </c>
      <c r="BD351" s="780">
        <f t="shared" si="3076"/>
        <v>0</v>
      </c>
      <c r="BE351" s="780">
        <f t="shared" si="3076"/>
        <v>0</v>
      </c>
      <c r="BF351" s="780">
        <f t="shared" si="3076"/>
        <v>0</v>
      </c>
      <c r="BG351" s="780">
        <f t="shared" si="3076"/>
        <v>0</v>
      </c>
      <c r="BH351" s="780">
        <f t="shared" si="3076"/>
        <v>0</v>
      </c>
      <c r="BI351" s="781">
        <f t="shared" si="3076"/>
        <v>0</v>
      </c>
    </row>
    <row r="352" spans="1:61" s="780" customFormat="1" hidden="1" outlineLevel="1">
      <c r="A352" s="780" t="str">
        <f>$A$541</f>
        <v>Program Revenue</v>
      </c>
      <c r="M352" s="781"/>
      <c r="N352" s="782"/>
      <c r="Y352" s="781"/>
      <c r="Z352" s="782"/>
      <c r="AK352" s="781"/>
      <c r="AL352" s="782"/>
      <c r="AN352" s="780">
        <f t="shared" ref="AN352" si="3077">IF($AN$5&gt;$AM$5,($AN$5-$AM$5)*B541,0)</f>
        <v>0</v>
      </c>
      <c r="AO352" s="780">
        <f t="shared" ref="AO352" si="3078">IF($AN$5&gt;$AM$5,($AN$5-$AM$5)*C541,0)</f>
        <v>0</v>
      </c>
      <c r="AP352" s="780">
        <f t="shared" ref="AP352" si="3079">IF($AN$5&gt;$AM$5,($AN$5-$AM$5)*D541,0)</f>
        <v>0</v>
      </c>
      <c r="AQ352" s="780">
        <f t="shared" ref="AQ352" si="3080">IF($AN$5&gt;$AM$5,($AN$5-$AM$5)*E541,0)</f>
        <v>0</v>
      </c>
      <c r="AR352" s="780">
        <f t="shared" ref="AR352" si="3081">IF($AN$5&gt;$AM$5,($AN$5-$AM$5)*F541,0)</f>
        <v>0</v>
      </c>
      <c r="AS352" s="780">
        <f t="shared" ref="AS352" si="3082">IF($AN$5&gt;$AM$5,($AN$5-$AM$5)*G541,0)</f>
        <v>0</v>
      </c>
      <c r="AT352" s="780">
        <f t="shared" ref="AT352" si="3083">IF($AN$5&gt;$AM$5,($AN$5-$AM$5)*H541,0)</f>
        <v>0</v>
      </c>
      <c r="AU352" s="780">
        <f t="shared" ref="AU352" si="3084">IF($AN$5&gt;$AM$5,($AN$5-$AM$5)*I541,0)</f>
        <v>0</v>
      </c>
      <c r="AV352" s="780">
        <f t="shared" ref="AV352" si="3085">IF($AN$5&gt;$AM$5,($AN$5-$AM$5)*J541,0)</f>
        <v>0</v>
      </c>
      <c r="AW352" s="781">
        <f t="shared" ref="AW352" si="3086">IF($AN$5&gt;$AM$5,($AN$5-$AM$5)*K541,0)</f>
        <v>0</v>
      </c>
      <c r="AX352" s="782">
        <f t="shared" ref="AX352" si="3087">IF($AN$5&gt;$AM$5,($AN$5-$AM$5)*L541,0)</f>
        <v>0</v>
      </c>
      <c r="AY352" s="780">
        <f t="shared" ref="AY352" si="3088">IF($AN$5&gt;$AM$5,($AN$5-$AM$5)*M541,0)</f>
        <v>0</v>
      </c>
      <c r="AZ352" s="780">
        <f t="shared" ref="AZ352" si="3089">IF($AN$5&gt;$AM$5,($AN$5-$AM$5)*N541,0)</f>
        <v>0</v>
      </c>
      <c r="BA352" s="780">
        <f t="shared" ref="BA352" si="3090">IF($AN$5&gt;$AM$5,($AN$5-$AM$5)*O541,0)</f>
        <v>0</v>
      </c>
      <c r="BB352" s="780">
        <f t="shared" ref="BB352" si="3091">IF($AN$5&gt;$AM$5,($AN$5-$AM$5)*P541,0)</f>
        <v>0</v>
      </c>
      <c r="BC352" s="780">
        <f t="shared" ref="BC352" si="3092">IF($AN$5&gt;$AM$5,($AN$5-$AM$5)*Q541,0)</f>
        <v>0</v>
      </c>
      <c r="BD352" s="780">
        <f t="shared" ref="BD352" si="3093">IF($AN$5&gt;$AM$5,($AN$5-$AM$5)*R541,0)</f>
        <v>0</v>
      </c>
      <c r="BE352" s="780">
        <f t="shared" ref="BE352" si="3094">IF($AN$5&gt;$AM$5,($AN$5-$AM$5)*S541,0)</f>
        <v>0</v>
      </c>
      <c r="BF352" s="780">
        <f t="shared" ref="BF352" si="3095">IF($AN$5&gt;$AM$5,($AN$5-$AM$5)*T541,0)</f>
        <v>0</v>
      </c>
      <c r="BG352" s="780">
        <f t="shared" ref="BG352" si="3096">IF($AN$5&gt;$AM$5,($AN$5-$AM$5)*U541,0)</f>
        <v>0</v>
      </c>
      <c r="BH352" s="780">
        <f t="shared" ref="BH352" si="3097">IF($AN$5&gt;$AM$5,($AN$5-$AM$5)*V541,0)</f>
        <v>0</v>
      </c>
      <c r="BI352" s="781">
        <f t="shared" ref="BI352" si="3098">IF($AN$5&gt;$AM$5,($AN$5-$AM$5)*W541,0)</f>
        <v>0</v>
      </c>
    </row>
    <row r="353" spans="1:61" s="780" customFormat="1" hidden="1" outlineLevel="1">
      <c r="M353" s="781"/>
      <c r="N353" s="782"/>
      <c r="Y353" s="781"/>
      <c r="Z353" s="782"/>
      <c r="AK353" s="781"/>
      <c r="AL353" s="782"/>
      <c r="AW353" s="781"/>
      <c r="AX353" s="782"/>
      <c r="BI353" s="781"/>
    </row>
    <row r="354" spans="1:61" s="780" customFormat="1" hidden="1" outlineLevel="1">
      <c r="A354" s="780" t="s">
        <v>359</v>
      </c>
      <c r="M354" s="781"/>
      <c r="N354" s="782"/>
      <c r="Y354" s="781"/>
      <c r="Z354" s="782"/>
      <c r="AK354" s="781"/>
      <c r="AL354" s="782"/>
      <c r="AO354" s="780">
        <f>IF($AO$5&gt;$AN$5,($AO$5-$AN$5)*B535,0)</f>
        <v>8</v>
      </c>
      <c r="AP354" s="780">
        <f t="shared" ref="AP354" si="3099">IF($AO$5&gt;$AN$5,($AO$5-$AN$5)*C535,0)</f>
        <v>8.3824000000000005</v>
      </c>
      <c r="AQ354" s="780">
        <f t="shared" ref="AQ354" si="3100">IF($AO$5&gt;$AN$5,($AO$5-$AN$5)*D535,0)</f>
        <v>8.790016102400001</v>
      </c>
      <c r="AR354" s="780">
        <f t="shared" ref="AR354" si="3101">IF($AO$5&gt;$AN$5,($AO$5-$AN$5)*E535,0)</f>
        <v>9.2244218586677267</v>
      </c>
      <c r="AS354" s="780">
        <f t="shared" ref="AS354" si="3102">IF($AO$5&gt;$AN$5,($AO$5-$AN$5)*F535,0)</f>
        <v>9.6872643857899394</v>
      </c>
      <c r="AT354" s="780">
        <f t="shared" ref="AT354" si="3103">IF($AO$5&gt;$AN$5,($AO$5-$AN$5)*G535,0)</f>
        <v>10.180266404063699</v>
      </c>
      <c r="AU354" s="780">
        <f t="shared" ref="AU354" si="3104">IF($AO$5&gt;$AN$5,($AO$5-$AN$5)*H535,0)</f>
        <v>10.705228286703797</v>
      </c>
      <c r="AV354" s="780">
        <f t="shared" ref="AV354" si="3105">IF($AO$5&gt;$AN$5,($AO$5-$AN$5)*I535,0)</f>
        <v>11.264030122404236</v>
      </c>
      <c r="AW354" s="781">
        <f t="shared" ref="AW354" si="3106">IF($AO$5&gt;$AN$5,($AO$5-$AN$5)*J535,0)</f>
        <v>11.858633792363815</v>
      </c>
      <c r="AX354" s="782">
        <f t="shared" ref="AX354" si="3107">IF($AO$5&gt;$AN$5,($AO$5-$AN$5)*K535,0)</f>
        <v>12.491085063681208</v>
      </c>
      <c r="AY354" s="780">
        <f t="shared" ref="AY354" si="3108">IF($AO$5&gt;$AN$5,($AO$5-$AN$5)*L535,0)</f>
        <v>13.163515701442698</v>
      </c>
      <c r="AZ354" s="780">
        <f t="shared" ref="AZ354" si="3109">IF($AO$5&gt;$AN$5,($AO$5-$AN$5)*M535,0)</f>
        <v>13.878145602265221</v>
      </c>
      <c r="BA354" s="780">
        <f t="shared" ref="BA354" si="3110">IF($AO$5&gt;$AN$5,($AO$5-$AN$5)*N535,0)</f>
        <v>14.640802427106802</v>
      </c>
      <c r="BB354" s="780">
        <f t="shared" ref="BB354" si="3111">IF($AO$5&gt;$AN$5,($AO$5-$AN$5)*O535,0)</f>
        <v>15.454179973028484</v>
      </c>
      <c r="BC354" s="780">
        <f t="shared" ref="BC354" si="3112">IF($AO$5&gt;$AN$5,($AO$5-$AN$5)*P535,0)</f>
        <v>16.321067007803048</v>
      </c>
      <c r="BD354" s="780">
        <f t="shared" ref="BD354" si="3113">IF($AO$5&gt;$AN$5,($AO$5-$AN$5)*Q535,0)</f>
        <v>17.244348126107901</v>
      </c>
      <c r="BE354" s="780">
        <f t="shared" ref="BE354" si="3114">IF($AO$5&gt;$AN$5,($AO$5-$AN$5)*R535,0)</f>
        <v>18.227004594103096</v>
      </c>
      <c r="BF354" s="780">
        <f t="shared" ref="BF354" si="3115">IF($AO$5&gt;$AN$5,($AO$5-$AN$5)*S535,0)</f>
        <v>19.272115194972702</v>
      </c>
      <c r="BG354" s="780">
        <f t="shared" ref="BG354" si="3116">IF($AO$5&gt;$AN$5,($AO$5-$AN$5)*T535,0)</f>
        <v>20.382857089151276</v>
      </c>
      <c r="BH354" s="780">
        <f t="shared" ref="BH354" si="3117">IF($AO$5&gt;$AN$5,($AO$5-$AN$5)*U535,0)</f>
        <v>21.56250670407784</v>
      </c>
      <c r="BI354" s="781">
        <f t="shared" ref="BI354" si="3118">IF($AO$5&gt;$AN$5,($AO$5-$AN$5)*V535,0)</f>
        <v>22.814440669410335</v>
      </c>
    </row>
    <row r="355" spans="1:61" s="780" customFormat="1" hidden="1" outlineLevel="1">
      <c r="A355" s="780" t="str">
        <f>$A$536</f>
        <v>Leads</v>
      </c>
      <c r="M355" s="781"/>
      <c r="N355" s="782"/>
      <c r="Y355" s="781"/>
      <c r="Z355" s="782"/>
      <c r="AK355" s="781"/>
      <c r="AL355" s="782"/>
      <c r="AO355" s="780">
        <f>IF($AO$5&gt;$AN$5,($AO$5-$AN$5)*B536,0)</f>
        <v>20</v>
      </c>
      <c r="AP355" s="780">
        <f t="shared" ref="AP355:BI355" si="3119">IF($AO$5&gt;$AN$5,($AO$5-$AN$5)*C536,0)</f>
        <v>20.8</v>
      </c>
      <c r="AQ355" s="780">
        <f t="shared" si="3119"/>
        <v>21.632000000000001</v>
      </c>
      <c r="AR355" s="780">
        <f t="shared" si="3119"/>
        <v>22.497280000000003</v>
      </c>
      <c r="AS355" s="780">
        <f t="shared" si="3119"/>
        <v>23.397171200000006</v>
      </c>
      <c r="AT355" s="780">
        <f t="shared" si="3119"/>
        <v>24.333058048000009</v>
      </c>
      <c r="AU355" s="780">
        <f t="shared" si="3119"/>
        <v>25.30638036992001</v>
      </c>
      <c r="AV355" s="780">
        <f t="shared" si="3119"/>
        <v>26.318635584716812</v>
      </c>
      <c r="AW355" s="781">
        <f t="shared" si="3119"/>
        <v>27.371381008105487</v>
      </c>
      <c r="AX355" s="782">
        <f t="shared" si="3119"/>
        <v>28.466236248429709</v>
      </c>
      <c r="AY355" s="780">
        <f t="shared" si="3119"/>
        <v>29.6048856983669</v>
      </c>
      <c r="AZ355" s="780">
        <f t="shared" si="3119"/>
        <v>30.789081126301578</v>
      </c>
      <c r="BA355" s="780">
        <f t="shared" si="3119"/>
        <v>32.02064437135364</v>
      </c>
      <c r="BB355" s="780">
        <f t="shared" si="3119"/>
        <v>33.301470146207784</v>
      </c>
      <c r="BC355" s="780">
        <f t="shared" si="3119"/>
        <v>34.633528952056096</v>
      </c>
      <c r="BD355" s="780">
        <f t="shared" si="3119"/>
        <v>36.018870110138344</v>
      </c>
      <c r="BE355" s="780">
        <f t="shared" si="3119"/>
        <v>37.45962491454388</v>
      </c>
      <c r="BF355" s="780">
        <f t="shared" si="3119"/>
        <v>38.958009911125636</v>
      </c>
      <c r="BG355" s="780">
        <f t="shared" si="3119"/>
        <v>40.516330307570662</v>
      </c>
      <c r="BH355" s="780">
        <f t="shared" si="3119"/>
        <v>42.136983519873489</v>
      </c>
      <c r="BI355" s="781">
        <f t="shared" si="3119"/>
        <v>43.822462860668423</v>
      </c>
    </row>
    <row r="356" spans="1:61" s="780" customFormat="1" hidden="1" outlineLevel="1">
      <c r="A356" s="780" t="str">
        <f>$A$537</f>
        <v>Audits</v>
      </c>
      <c r="M356" s="781"/>
      <c r="N356" s="782"/>
      <c r="Y356" s="781"/>
      <c r="Z356" s="782"/>
      <c r="AK356" s="781"/>
      <c r="AL356" s="782"/>
      <c r="AO356" s="780">
        <f t="shared" ref="AO356:BI356" si="3120">IF($AO$5&gt;$AN$5,($AO$5-$AN$5)*B537,0)</f>
        <v>7.8466960352422905</v>
      </c>
      <c r="AP356" s="780">
        <f t="shared" si="3120"/>
        <v>8.1805560257268723</v>
      </c>
      <c r="AQ356" s="780">
        <f t="shared" si="3120"/>
        <v>8.556158139083367</v>
      </c>
      <c r="AR356" s="780">
        <f t="shared" si="3120"/>
        <v>8.9523024684242678</v>
      </c>
      <c r="AS356" s="780">
        <f t="shared" si="3120"/>
        <v>9.3702787716763911</v>
      </c>
      <c r="AT356" s="780">
        <f t="shared" si="3120"/>
        <v>9.811453812672589</v>
      </c>
      <c r="AU356" s="780">
        <f t="shared" si="3120"/>
        <v>10.277273093546537</v>
      </c>
      <c r="AV356" s="780">
        <f t="shared" si="3120"/>
        <v>10.769262132442826</v>
      </c>
      <c r="AW356" s="781">
        <f t="shared" si="3120"/>
        <v>11.289027268145146</v>
      </c>
      <c r="AX356" s="782">
        <f t="shared" si="3120"/>
        <v>11.838255995812663</v>
      </c>
      <c r="AY356" s="780">
        <f t="shared" si="3120"/>
        <v>12.418716863200714</v>
      </c>
      <c r="AZ356" s="780">
        <f t="shared" si="3120"/>
        <v>13.032258982971491</v>
      </c>
      <c r="BA356" s="780">
        <f t="shared" si="3120"/>
        <v>13.681748513642187</v>
      </c>
      <c r="BB356" s="780">
        <f t="shared" si="3120"/>
        <v>14.367753613373562</v>
      </c>
      <c r="BC356" s="780">
        <f t="shared" si="3120"/>
        <v>15.094450719778326</v>
      </c>
      <c r="BD356" s="780">
        <f t="shared" si="3120"/>
        <v>15.864274704794562</v>
      </c>
      <c r="BE356" s="780">
        <f t="shared" si="3120"/>
        <v>16.679756380011042</v>
      </c>
      <c r="BF356" s="780">
        <f t="shared" si="3120"/>
        <v>17.543519083999907</v>
      </c>
      <c r="BG356" s="780">
        <f t="shared" si="3120"/>
        <v>18.458274953232511</v>
      </c>
      <c r="BH356" s="780">
        <f t="shared" si="3120"/>
        <v>19.426821075192013</v>
      </c>
      <c r="BI356" s="781">
        <f t="shared" si="3120"/>
        <v>20.452035738521069</v>
      </c>
    </row>
    <row r="357" spans="1:61" s="780" customFormat="1" hidden="1" outlineLevel="1">
      <c r="A357" s="780" t="str">
        <f>$A$538</f>
        <v>Retrofit</v>
      </c>
      <c r="M357" s="781"/>
      <c r="N357" s="782"/>
      <c r="Y357" s="781"/>
      <c r="Z357" s="782"/>
      <c r="AK357" s="781"/>
      <c r="AL357" s="782"/>
      <c r="AO357" s="780">
        <f t="shared" ref="AO357:BI357" si="3121">IF($AO$5&gt;$AN$5,($AO$5-$AN$5)*B538,0)</f>
        <v>3.2741145374449339</v>
      </c>
      <c r="AP357" s="780">
        <f t="shared" si="3121"/>
        <v>3.4211429613668018</v>
      </c>
      <c r="AQ357" s="780">
        <f t="shared" si="3121"/>
        <v>3.6089747928733105</v>
      </c>
      <c r="AR357" s="780">
        <f t="shared" si="3121"/>
        <v>3.80943356172375</v>
      </c>
      <c r="AS357" s="780">
        <f t="shared" si="3121"/>
        <v>4.023495407635</v>
      </c>
      <c r="AT357" s="780">
        <f t="shared" si="3121"/>
        <v>4.2522035025469851</v>
      </c>
      <c r="AU357" s="780">
        <f t="shared" si="3121"/>
        <v>4.4966691121698661</v>
      </c>
      <c r="AV357" s="780">
        <f t="shared" si="3121"/>
        <v>4.7580720961942786</v>
      </c>
      <c r="AW357" s="781">
        <f t="shared" si="3121"/>
        <v>5.0376608331454982</v>
      </c>
      <c r="AX357" s="782">
        <f t="shared" si="3121"/>
        <v>5.3367515834608863</v>
      </c>
      <c r="AY357" s="780">
        <f t="shared" si="3121"/>
        <v>5.6567273345837759</v>
      </c>
      <c r="AZ357" s="780">
        <f t="shared" si="3121"/>
        <v>5.9990362027609887</v>
      </c>
      <c r="BA357" s="780">
        <f t="shared" si="3121"/>
        <v>6.3656710756275423</v>
      </c>
      <c r="BB357" s="780">
        <f t="shared" si="3121"/>
        <v>6.7527905497767229</v>
      </c>
      <c r="BC357" s="780">
        <f t="shared" si="3121"/>
        <v>7.1679946156961591</v>
      </c>
      <c r="BD357" s="780">
        <f t="shared" si="3121"/>
        <v>7.6132687220703144</v>
      </c>
      <c r="BE357" s="780">
        <f t="shared" si="3121"/>
        <v>8.0906802436821312</v>
      </c>
      <c r="BF357" s="780">
        <f t="shared" si="3121"/>
        <v>8.6023733713231554</v>
      </c>
      <c r="BG357" s="780">
        <f t="shared" si="3121"/>
        <v>9.1505635635964193</v>
      </c>
      <c r="BH357" s="780">
        <f t="shared" si="3121"/>
        <v>9.7375318038296879</v>
      </c>
      <c r="BI357" s="781">
        <f t="shared" si="3121"/>
        <v>10.365618926205418</v>
      </c>
    </row>
    <row r="358" spans="1:61" s="780" customFormat="1" hidden="1" outlineLevel="1">
      <c r="A358" s="780" t="str">
        <f>$A$539</f>
        <v>Revenue</v>
      </c>
      <c r="M358" s="781"/>
      <c r="N358" s="782"/>
      <c r="Y358" s="781"/>
      <c r="Z358" s="782"/>
      <c r="AK358" s="781"/>
      <c r="AL358" s="782"/>
      <c r="AO358" s="780">
        <f t="shared" ref="AO358:BI358" si="3122">IF($AO$5&gt;$AN$5,($AO$5-$AN$5)*B539,0)</f>
        <v>20728.933920704847</v>
      </c>
      <c r="AP358" s="780">
        <f t="shared" si="3122"/>
        <v>22334.796424579898</v>
      </c>
      <c r="AQ358" s="780">
        <f t="shared" si="3122"/>
        <v>24261.379157843236</v>
      </c>
      <c r="AR358" s="780">
        <f t="shared" si="3122"/>
        <v>27109.041527058151</v>
      </c>
      <c r="AS358" s="780">
        <f t="shared" si="3122"/>
        <v>29411.012063918617</v>
      </c>
      <c r="AT358" s="780">
        <f t="shared" si="3122"/>
        <v>31904.731979940196</v>
      </c>
      <c r="AU358" s="780">
        <f t="shared" si="3122"/>
        <v>34157.516935543477</v>
      </c>
      <c r="AV358" s="780">
        <f t="shared" si="3122"/>
        <v>36585.144030160183</v>
      </c>
      <c r="AW358" s="781">
        <f t="shared" si="3122"/>
        <v>39202.024549786183</v>
      </c>
      <c r="AX358" s="782">
        <f t="shared" si="3122"/>
        <v>41489.907780370268</v>
      </c>
      <c r="AY358" s="780">
        <f t="shared" si="3122"/>
        <v>43934.936399734994</v>
      </c>
      <c r="AZ358" s="780">
        <f t="shared" si="3122"/>
        <v>46547.932291314006</v>
      </c>
      <c r="BA358" s="780">
        <f t="shared" si="3122"/>
        <v>48812.622611071754</v>
      </c>
      <c r="BB358" s="780">
        <f t="shared" si="3122"/>
        <v>51746.745047763237</v>
      </c>
      <c r="BC358" s="780">
        <f t="shared" si="3122"/>
        <v>54891.491572423707</v>
      </c>
      <c r="BD358" s="780">
        <f t="shared" si="3122"/>
        <v>58261.704056497998</v>
      </c>
      <c r="BE358" s="780">
        <f t="shared" si="3122"/>
        <v>61872.837706819933</v>
      </c>
      <c r="BF358" s="780">
        <f t="shared" si="3122"/>
        <v>65740.922877654608</v>
      </c>
      <c r="BG358" s="780">
        <f t="shared" si="3122"/>
        <v>69882.52360507095</v>
      </c>
      <c r="BH358" s="780">
        <f t="shared" si="3122"/>
        <v>74314.694687467563</v>
      </c>
      <c r="BI358" s="781">
        <f t="shared" si="3122"/>
        <v>79054.939292696072</v>
      </c>
    </row>
    <row r="359" spans="1:61" s="780" customFormat="1" hidden="1" outlineLevel="1">
      <c r="A359" s="780" t="str">
        <f>$A$540</f>
        <v>Net Income</v>
      </c>
      <c r="M359" s="781"/>
      <c r="N359" s="782"/>
      <c r="Y359" s="781"/>
      <c r="Z359" s="782"/>
      <c r="AK359" s="781"/>
      <c r="AL359" s="782"/>
      <c r="AO359" s="780">
        <f t="shared" ref="AO359:BI359" si="3123">IF($AO$5&gt;$AN$5,($AO$5-$AN$5)*B540,0)</f>
        <v>-33184.964170807638</v>
      </c>
      <c r="AP359" s="780">
        <f t="shared" si="3123"/>
        <v>-14837.14568100147</v>
      </c>
      <c r="AQ359" s="780">
        <f t="shared" si="3123"/>
        <v>-14268.717003781454</v>
      </c>
      <c r="AR359" s="780">
        <f t="shared" si="3123"/>
        <v>-13405.013342705901</v>
      </c>
      <c r="AS359" s="780">
        <f t="shared" si="3123"/>
        <v>-12685.072540306182</v>
      </c>
      <c r="AT359" s="780">
        <f t="shared" si="3123"/>
        <v>-17604.404805924125</v>
      </c>
      <c r="AU359" s="780">
        <f t="shared" si="3123"/>
        <v>-15156.124616524507</v>
      </c>
      <c r="AV359" s="780">
        <f t="shared" si="3123"/>
        <v>-13971.31609512752</v>
      </c>
      <c r="AW359" s="781">
        <f t="shared" si="3123"/>
        <v>-13027.555718246989</v>
      </c>
      <c r="AX359" s="782">
        <f t="shared" si="3123"/>
        <v>-12167.444211420123</v>
      </c>
      <c r="AY359" s="780">
        <f t="shared" si="3123"/>
        <v>-11228.257793696379</v>
      </c>
      <c r="AZ359" s="780">
        <f t="shared" si="3123"/>
        <v>-10203.756141625032</v>
      </c>
      <c r="BA359" s="780">
        <f t="shared" si="3123"/>
        <v>-8928.9645055486872</v>
      </c>
      <c r="BB359" s="780">
        <f t="shared" si="3123"/>
        <v>-6565.2951604608934</v>
      </c>
      <c r="BC359" s="780">
        <f t="shared" si="3123"/>
        <v>-7951.6323699894165</v>
      </c>
      <c r="BD359" s="780">
        <f t="shared" si="3123"/>
        <v>-6483.5792380389103</v>
      </c>
      <c r="BE359" s="780">
        <f t="shared" si="3123"/>
        <v>-5307.1722049655655</v>
      </c>
      <c r="BF359" s="780">
        <f t="shared" si="3123"/>
        <v>-3966.3475887754175</v>
      </c>
      <c r="BG359" s="780">
        <f t="shared" si="3123"/>
        <v>-2466.8649492429358</v>
      </c>
      <c r="BH359" s="780">
        <f t="shared" si="3123"/>
        <v>-826.64406907309967</v>
      </c>
      <c r="BI359" s="781">
        <f t="shared" si="3123"/>
        <v>-10770.241509529737</v>
      </c>
    </row>
    <row r="360" spans="1:61" s="780" customFormat="1" hidden="1" outlineLevel="1">
      <c r="A360" s="780" t="str">
        <f>$A$541</f>
        <v>Program Revenue</v>
      </c>
      <c r="M360" s="781"/>
      <c r="N360" s="782"/>
      <c r="Y360" s="781"/>
      <c r="Z360" s="782"/>
      <c r="AK360" s="781"/>
      <c r="AL360" s="782"/>
      <c r="AO360" s="780">
        <f t="shared" ref="AO360" si="3124">IF($AO$5&gt;$AN$5,($AO$5-$AN$5)*B541,0)</f>
        <v>1850</v>
      </c>
      <c r="AP360" s="780">
        <f t="shared" ref="AP360" si="3125">IF($AO$5&gt;$AN$5,($AO$5-$AN$5)*C541,0)</f>
        <v>1937.1558751999999</v>
      </c>
      <c r="AQ360" s="780">
        <f t="shared" ref="AQ360" si="3126">IF($AO$5&gt;$AN$5,($AO$5-$AN$5)*D541,0)</f>
        <v>2030.0190587848704</v>
      </c>
      <c r="AR360" s="780">
        <f t="shared" ref="AR360" si="3127">IF($AO$5&gt;$AN$5,($AO$5-$AN$5)*E541,0)</f>
        <v>2128.941218449359</v>
      </c>
      <c r="AS360" s="780">
        <f t="shared" ref="AS360" si="3128">IF($AO$5&gt;$AN$5,($AO$5-$AN$5)*F541,0)</f>
        <v>2234.2900324673633</v>
      </c>
      <c r="AT360" s="780">
        <f t="shared" ref="AT360" si="3129">IF($AO$5&gt;$AN$5,($AO$5-$AN$5)*G541,0)</f>
        <v>2346.4496034726417</v>
      </c>
      <c r="AU360" s="780">
        <f t="shared" ref="AU360" si="3130">IF($AO$5&gt;$AN$5,($AO$5-$AN$5)*H541,0)</f>
        <v>2465.8208731027789</v>
      </c>
      <c r="AV360" s="780">
        <f t="shared" ref="AV360" si="3131">IF($AO$5&gt;$AN$5,($AO$5-$AN$5)*I541,0)</f>
        <v>2592.8220377557409</v>
      </c>
      <c r="AW360" s="781">
        <f t="shared" ref="AW360" si="3132">IF($AO$5&gt;$AN$5,($AO$5-$AN$5)*J541,0)</f>
        <v>2727.8889657926175</v>
      </c>
      <c r="AX360" s="782">
        <f t="shared" ref="AX360" si="3133">IF($AO$5&gt;$AN$5,($AO$5-$AN$5)*K541,0)</f>
        <v>2871.4756166091629</v>
      </c>
      <c r="AY360" s="780">
        <f t="shared" ref="AY360" si="3134">IF($AO$5&gt;$AN$5,($AO$5-$AN$5)*L541,0)</f>
        <v>3024.0544620924302</v>
      </c>
      <c r="AZ360" s="780">
        <f t="shared" ref="AZ360" si="3135">IF($AO$5&gt;$AN$5,($AO$5-$AN$5)*M541,0)</f>
        <v>3186.1169110768442</v>
      </c>
      <c r="BA360" s="780">
        <f t="shared" ref="BA360" si="3136">IF($AO$5&gt;$AN$5,($AO$5-$AN$5)*N541,0)</f>
        <v>3358.9807376414046</v>
      </c>
      <c r="BB360" s="780">
        <f t="shared" ref="BB360" si="3137">IF($AO$5&gt;$AN$5,($AO$5-$AN$5)*O541,0)</f>
        <v>3543.2416591361321</v>
      </c>
      <c r="BC360" s="780">
        <f t="shared" ref="BC360" si="3138">IF($AO$5&gt;$AN$5,($AO$5-$AN$5)*P541,0)</f>
        <v>3739.515514961849</v>
      </c>
      <c r="BD360" s="780">
        <f t="shared" ref="BD360" si="3139">IF($AO$5&gt;$AN$5,($AO$5-$AN$5)*Q541,0)</f>
        <v>3948.4383904349252</v>
      </c>
      <c r="BE360" s="780">
        <f t="shared" ref="BE360" si="3140">IF($AO$5&gt;$AN$5,($AO$5-$AN$5)*R541,0)</f>
        <v>4170.6667372134807</v>
      </c>
      <c r="BF360" s="780">
        <f t="shared" ref="BF360" si="3141">IF($AO$5&gt;$AN$5,($AO$5-$AN$5)*S541,0)</f>
        <v>4406.877493173627</v>
      </c>
      <c r="BG360" s="780">
        <f t="shared" ref="BG360" si="3142">IF($AO$5&gt;$AN$5,($AO$5-$AN$5)*T541,0)</f>
        <v>4657.7682048703127</v>
      </c>
      <c r="BH360" s="780">
        <f t="shared" ref="BH360" si="3143">IF($AO$5&gt;$AN$5,($AO$5-$AN$5)*U541,0)</f>
        <v>4924.0571559566215</v>
      </c>
      <c r="BI360" s="781">
        <f t="shared" ref="BI360" si="3144">IF($AO$5&gt;$AN$5,($AO$5-$AN$5)*V541,0)</f>
        <v>5206.4835051661303</v>
      </c>
    </row>
    <row r="361" spans="1:61" s="780" customFormat="1" hidden="1" outlineLevel="1">
      <c r="M361" s="781"/>
      <c r="N361" s="782"/>
      <c r="Y361" s="781"/>
      <c r="Z361" s="782"/>
      <c r="AK361" s="781"/>
      <c r="AL361" s="782"/>
      <c r="AW361" s="781"/>
      <c r="AX361" s="782"/>
      <c r="BI361" s="781"/>
    </row>
    <row r="362" spans="1:61" s="780" customFormat="1" hidden="1" outlineLevel="1">
      <c r="A362" s="780" t="s">
        <v>359</v>
      </c>
      <c r="M362" s="781"/>
      <c r="N362" s="782"/>
      <c r="Y362" s="781"/>
      <c r="Z362" s="782"/>
      <c r="AK362" s="781"/>
      <c r="AL362" s="782"/>
      <c r="AP362" s="780">
        <f>IF($AP$5&gt;$AO$5,($AP$5-$AO$5)*B535,0)</f>
        <v>0</v>
      </c>
      <c r="AQ362" s="780">
        <f t="shared" ref="AQ362" si="3145">IF($AP$5&gt;$AO$5,($AP$5-$AO$5)*C535,0)</f>
        <v>0</v>
      </c>
      <c r="AR362" s="780">
        <f t="shared" ref="AR362" si="3146">IF($AP$5&gt;$AO$5,($AP$5-$AO$5)*D535,0)</f>
        <v>0</v>
      </c>
      <c r="AS362" s="780">
        <f t="shared" ref="AS362" si="3147">IF($AP$5&gt;$AO$5,($AP$5-$AO$5)*E535,0)</f>
        <v>0</v>
      </c>
      <c r="AT362" s="780">
        <f t="shared" ref="AT362" si="3148">IF($AP$5&gt;$AO$5,($AP$5-$AO$5)*F535,0)</f>
        <v>0</v>
      </c>
      <c r="AU362" s="780">
        <f t="shared" ref="AU362" si="3149">IF($AP$5&gt;$AO$5,($AP$5-$AO$5)*G535,0)</f>
        <v>0</v>
      </c>
      <c r="AV362" s="780">
        <f t="shared" ref="AV362" si="3150">IF($AP$5&gt;$AO$5,($AP$5-$AO$5)*H535,0)</f>
        <v>0</v>
      </c>
      <c r="AW362" s="781">
        <f t="shared" ref="AW362" si="3151">IF($AP$5&gt;$AO$5,($AP$5-$AO$5)*I535,0)</f>
        <v>0</v>
      </c>
      <c r="AX362" s="782">
        <f t="shared" ref="AX362" si="3152">IF($AP$5&gt;$AO$5,($AP$5-$AO$5)*J535,0)</f>
        <v>0</v>
      </c>
      <c r="AY362" s="780">
        <f t="shared" ref="AY362" si="3153">IF($AP$5&gt;$AO$5,($AP$5-$AO$5)*K535,0)</f>
        <v>0</v>
      </c>
      <c r="AZ362" s="780">
        <f t="shared" ref="AZ362" si="3154">IF($AP$5&gt;$AO$5,($AP$5-$AO$5)*L535,0)</f>
        <v>0</v>
      </c>
      <c r="BA362" s="780">
        <f t="shared" ref="BA362" si="3155">IF($AP$5&gt;$AO$5,($AP$5-$AO$5)*M535,0)</f>
        <v>0</v>
      </c>
      <c r="BB362" s="780">
        <f t="shared" ref="BB362" si="3156">IF($AP$5&gt;$AO$5,($AP$5-$AO$5)*N535,0)</f>
        <v>0</v>
      </c>
      <c r="BC362" s="780">
        <f t="shared" ref="BC362" si="3157">IF($AP$5&gt;$AO$5,($AP$5-$AO$5)*O535,0)</f>
        <v>0</v>
      </c>
      <c r="BD362" s="780">
        <f t="shared" ref="BD362" si="3158">IF($AP$5&gt;$AO$5,($AP$5-$AO$5)*P535,0)</f>
        <v>0</v>
      </c>
      <c r="BE362" s="780">
        <f t="shared" ref="BE362" si="3159">IF($AP$5&gt;$AO$5,($AP$5-$AO$5)*Q535,0)</f>
        <v>0</v>
      </c>
      <c r="BF362" s="780">
        <f t="shared" ref="BF362" si="3160">IF($AP$5&gt;$AO$5,($AP$5-$AO$5)*R535,0)</f>
        <v>0</v>
      </c>
      <c r="BG362" s="780">
        <f t="shared" ref="BG362" si="3161">IF($AP$5&gt;$AO$5,($AP$5-$AO$5)*S535,0)</f>
        <v>0</v>
      </c>
      <c r="BH362" s="780">
        <f t="shared" ref="BH362" si="3162">IF($AP$5&gt;$AO$5,($AP$5-$AO$5)*T535,0)</f>
        <v>0</v>
      </c>
      <c r="BI362" s="781">
        <f t="shared" ref="BI362" si="3163">IF($AP$5&gt;$AO$5,($AP$5-$AO$5)*U535,0)</f>
        <v>0</v>
      </c>
    </row>
    <row r="363" spans="1:61" s="780" customFormat="1" hidden="1" outlineLevel="1">
      <c r="A363" s="780" t="str">
        <f>$A$536</f>
        <v>Leads</v>
      </c>
      <c r="M363" s="781"/>
      <c r="N363" s="782"/>
      <c r="Y363" s="781"/>
      <c r="Z363" s="782"/>
      <c r="AK363" s="781"/>
      <c r="AL363" s="782"/>
      <c r="AP363" s="780">
        <f>IF($AP$5&gt;$AO$5,($AP$5-$AO$5)*B536,0)</f>
        <v>0</v>
      </c>
      <c r="AQ363" s="780">
        <f t="shared" ref="AQ363:BI363" si="3164">IF($AP$5&gt;$AO$5,($AP$5-$AO$5)*C536,0)</f>
        <v>0</v>
      </c>
      <c r="AR363" s="780">
        <f t="shared" si="3164"/>
        <v>0</v>
      </c>
      <c r="AS363" s="780">
        <f t="shared" si="3164"/>
        <v>0</v>
      </c>
      <c r="AT363" s="780">
        <f t="shared" si="3164"/>
        <v>0</v>
      </c>
      <c r="AU363" s="780">
        <f t="shared" si="3164"/>
        <v>0</v>
      </c>
      <c r="AV363" s="780">
        <f t="shared" si="3164"/>
        <v>0</v>
      </c>
      <c r="AW363" s="781">
        <f t="shared" si="3164"/>
        <v>0</v>
      </c>
      <c r="AX363" s="782">
        <f t="shared" si="3164"/>
        <v>0</v>
      </c>
      <c r="AY363" s="780">
        <f t="shared" si="3164"/>
        <v>0</v>
      </c>
      <c r="AZ363" s="780">
        <f t="shared" si="3164"/>
        <v>0</v>
      </c>
      <c r="BA363" s="780">
        <f t="shared" si="3164"/>
        <v>0</v>
      </c>
      <c r="BB363" s="780">
        <f t="shared" si="3164"/>
        <v>0</v>
      </c>
      <c r="BC363" s="780">
        <f t="shared" si="3164"/>
        <v>0</v>
      </c>
      <c r="BD363" s="780">
        <f t="shared" si="3164"/>
        <v>0</v>
      </c>
      <c r="BE363" s="780">
        <f t="shared" si="3164"/>
        <v>0</v>
      </c>
      <c r="BF363" s="780">
        <f t="shared" si="3164"/>
        <v>0</v>
      </c>
      <c r="BG363" s="780">
        <f t="shared" si="3164"/>
        <v>0</v>
      </c>
      <c r="BH363" s="780">
        <f t="shared" si="3164"/>
        <v>0</v>
      </c>
      <c r="BI363" s="781">
        <f t="shared" si="3164"/>
        <v>0</v>
      </c>
    </row>
    <row r="364" spans="1:61" s="780" customFormat="1" hidden="1" outlineLevel="1">
      <c r="A364" s="780" t="str">
        <f>$A$537</f>
        <v>Audits</v>
      </c>
      <c r="M364" s="781"/>
      <c r="N364" s="782"/>
      <c r="Y364" s="781"/>
      <c r="Z364" s="782"/>
      <c r="AK364" s="781"/>
      <c r="AL364" s="782"/>
      <c r="AP364" s="780">
        <f t="shared" ref="AP364:BI364" si="3165">IF($AP$5&gt;$AO$5,($AP$5-$AO$5)*B537,0)</f>
        <v>0</v>
      </c>
      <c r="AQ364" s="780">
        <f t="shared" si="3165"/>
        <v>0</v>
      </c>
      <c r="AR364" s="780">
        <f t="shared" si="3165"/>
        <v>0</v>
      </c>
      <c r="AS364" s="780">
        <f t="shared" si="3165"/>
        <v>0</v>
      </c>
      <c r="AT364" s="780">
        <f t="shared" si="3165"/>
        <v>0</v>
      </c>
      <c r="AU364" s="780">
        <f t="shared" si="3165"/>
        <v>0</v>
      </c>
      <c r="AV364" s="780">
        <f t="shared" si="3165"/>
        <v>0</v>
      </c>
      <c r="AW364" s="781">
        <f t="shared" si="3165"/>
        <v>0</v>
      </c>
      <c r="AX364" s="782">
        <f t="shared" si="3165"/>
        <v>0</v>
      </c>
      <c r="AY364" s="780">
        <f t="shared" si="3165"/>
        <v>0</v>
      </c>
      <c r="AZ364" s="780">
        <f t="shared" si="3165"/>
        <v>0</v>
      </c>
      <c r="BA364" s="780">
        <f t="shared" si="3165"/>
        <v>0</v>
      </c>
      <c r="BB364" s="780">
        <f t="shared" si="3165"/>
        <v>0</v>
      </c>
      <c r="BC364" s="780">
        <f t="shared" si="3165"/>
        <v>0</v>
      </c>
      <c r="BD364" s="780">
        <f t="shared" si="3165"/>
        <v>0</v>
      </c>
      <c r="BE364" s="780">
        <f t="shared" si="3165"/>
        <v>0</v>
      </c>
      <c r="BF364" s="780">
        <f t="shared" si="3165"/>
        <v>0</v>
      </c>
      <c r="BG364" s="780">
        <f t="shared" si="3165"/>
        <v>0</v>
      </c>
      <c r="BH364" s="780">
        <f t="shared" si="3165"/>
        <v>0</v>
      </c>
      <c r="BI364" s="781">
        <f t="shared" si="3165"/>
        <v>0</v>
      </c>
    </row>
    <row r="365" spans="1:61" s="780" customFormat="1" hidden="1" outlineLevel="1">
      <c r="A365" s="780" t="str">
        <f>$A$538</f>
        <v>Retrofit</v>
      </c>
      <c r="M365" s="781"/>
      <c r="N365" s="782"/>
      <c r="Y365" s="781"/>
      <c r="Z365" s="782"/>
      <c r="AK365" s="781"/>
      <c r="AL365" s="782"/>
      <c r="AP365" s="780">
        <f t="shared" ref="AP365:BI365" si="3166">IF($AP$5&gt;$AO$5,($AP$5-$AO$5)*B538,0)</f>
        <v>0</v>
      </c>
      <c r="AQ365" s="780">
        <f t="shared" si="3166"/>
        <v>0</v>
      </c>
      <c r="AR365" s="780">
        <f t="shared" si="3166"/>
        <v>0</v>
      </c>
      <c r="AS365" s="780">
        <f t="shared" si="3166"/>
        <v>0</v>
      </c>
      <c r="AT365" s="780">
        <f t="shared" si="3166"/>
        <v>0</v>
      </c>
      <c r="AU365" s="780">
        <f t="shared" si="3166"/>
        <v>0</v>
      </c>
      <c r="AV365" s="780">
        <f t="shared" si="3166"/>
        <v>0</v>
      </c>
      <c r="AW365" s="781">
        <f t="shared" si="3166"/>
        <v>0</v>
      </c>
      <c r="AX365" s="782">
        <f t="shared" si="3166"/>
        <v>0</v>
      </c>
      <c r="AY365" s="780">
        <f t="shared" si="3166"/>
        <v>0</v>
      </c>
      <c r="AZ365" s="780">
        <f t="shared" si="3166"/>
        <v>0</v>
      </c>
      <c r="BA365" s="780">
        <f t="shared" si="3166"/>
        <v>0</v>
      </c>
      <c r="BB365" s="780">
        <f t="shared" si="3166"/>
        <v>0</v>
      </c>
      <c r="BC365" s="780">
        <f t="shared" si="3166"/>
        <v>0</v>
      </c>
      <c r="BD365" s="780">
        <f t="shared" si="3166"/>
        <v>0</v>
      </c>
      <c r="BE365" s="780">
        <f t="shared" si="3166"/>
        <v>0</v>
      </c>
      <c r="BF365" s="780">
        <f t="shared" si="3166"/>
        <v>0</v>
      </c>
      <c r="BG365" s="780">
        <f t="shared" si="3166"/>
        <v>0</v>
      </c>
      <c r="BH365" s="780">
        <f t="shared" si="3166"/>
        <v>0</v>
      </c>
      <c r="BI365" s="781">
        <f t="shared" si="3166"/>
        <v>0</v>
      </c>
    </row>
    <row r="366" spans="1:61" s="780" customFormat="1" hidden="1" outlineLevel="1">
      <c r="A366" s="780" t="str">
        <f>$A$539</f>
        <v>Revenue</v>
      </c>
      <c r="M366" s="781"/>
      <c r="N366" s="782"/>
      <c r="Y366" s="781"/>
      <c r="Z366" s="782"/>
      <c r="AK366" s="781"/>
      <c r="AL366" s="782"/>
      <c r="AP366" s="780">
        <f t="shared" ref="AP366:BI366" si="3167">IF($AP$5&gt;$AO$5,($AP$5-$AO$5)*B539,0)</f>
        <v>0</v>
      </c>
      <c r="AQ366" s="780">
        <f t="shared" si="3167"/>
        <v>0</v>
      </c>
      <c r="AR366" s="780">
        <f t="shared" si="3167"/>
        <v>0</v>
      </c>
      <c r="AS366" s="780">
        <f t="shared" si="3167"/>
        <v>0</v>
      </c>
      <c r="AT366" s="780">
        <f t="shared" si="3167"/>
        <v>0</v>
      </c>
      <c r="AU366" s="780">
        <f t="shared" si="3167"/>
        <v>0</v>
      </c>
      <c r="AV366" s="780">
        <f t="shared" si="3167"/>
        <v>0</v>
      </c>
      <c r="AW366" s="781">
        <f t="shared" si="3167"/>
        <v>0</v>
      </c>
      <c r="AX366" s="782">
        <f t="shared" si="3167"/>
        <v>0</v>
      </c>
      <c r="AY366" s="780">
        <f t="shared" si="3167"/>
        <v>0</v>
      </c>
      <c r="AZ366" s="780">
        <f t="shared" si="3167"/>
        <v>0</v>
      </c>
      <c r="BA366" s="780">
        <f t="shared" si="3167"/>
        <v>0</v>
      </c>
      <c r="BB366" s="780">
        <f t="shared" si="3167"/>
        <v>0</v>
      </c>
      <c r="BC366" s="780">
        <f t="shared" si="3167"/>
        <v>0</v>
      </c>
      <c r="BD366" s="780">
        <f t="shared" si="3167"/>
        <v>0</v>
      </c>
      <c r="BE366" s="780">
        <f t="shared" si="3167"/>
        <v>0</v>
      </c>
      <c r="BF366" s="780">
        <f t="shared" si="3167"/>
        <v>0</v>
      </c>
      <c r="BG366" s="780">
        <f t="shared" si="3167"/>
        <v>0</v>
      </c>
      <c r="BH366" s="780">
        <f t="shared" si="3167"/>
        <v>0</v>
      </c>
      <c r="BI366" s="781">
        <f t="shared" si="3167"/>
        <v>0</v>
      </c>
    </row>
    <row r="367" spans="1:61" s="780" customFormat="1" hidden="1" outlineLevel="1">
      <c r="A367" s="780" t="str">
        <f>$A$540</f>
        <v>Net Income</v>
      </c>
      <c r="M367" s="781"/>
      <c r="N367" s="782"/>
      <c r="Y367" s="781"/>
      <c r="Z367" s="782"/>
      <c r="AK367" s="781"/>
      <c r="AL367" s="782"/>
      <c r="AP367" s="780">
        <f t="shared" ref="AP367:BI367" si="3168">IF($AP$5&gt;$AO$5,($AP$5-$AO$5)*B540,0)</f>
        <v>0</v>
      </c>
      <c r="AQ367" s="780">
        <f t="shared" si="3168"/>
        <v>0</v>
      </c>
      <c r="AR367" s="780">
        <f t="shared" si="3168"/>
        <v>0</v>
      </c>
      <c r="AS367" s="780">
        <f t="shared" si="3168"/>
        <v>0</v>
      </c>
      <c r="AT367" s="780">
        <f t="shared" si="3168"/>
        <v>0</v>
      </c>
      <c r="AU367" s="780">
        <f t="shared" si="3168"/>
        <v>0</v>
      </c>
      <c r="AV367" s="780">
        <f t="shared" si="3168"/>
        <v>0</v>
      </c>
      <c r="AW367" s="781">
        <f t="shared" si="3168"/>
        <v>0</v>
      </c>
      <c r="AX367" s="782">
        <f t="shared" si="3168"/>
        <v>0</v>
      </c>
      <c r="AY367" s="780">
        <f t="shared" si="3168"/>
        <v>0</v>
      </c>
      <c r="AZ367" s="780">
        <f t="shared" si="3168"/>
        <v>0</v>
      </c>
      <c r="BA367" s="780">
        <f t="shared" si="3168"/>
        <v>0</v>
      </c>
      <c r="BB367" s="780">
        <f t="shared" si="3168"/>
        <v>0</v>
      </c>
      <c r="BC367" s="780">
        <f t="shared" si="3168"/>
        <v>0</v>
      </c>
      <c r="BD367" s="780">
        <f t="shared" si="3168"/>
        <v>0</v>
      </c>
      <c r="BE367" s="780">
        <f t="shared" si="3168"/>
        <v>0</v>
      </c>
      <c r="BF367" s="780">
        <f t="shared" si="3168"/>
        <v>0</v>
      </c>
      <c r="BG367" s="780">
        <f t="shared" si="3168"/>
        <v>0</v>
      </c>
      <c r="BH367" s="780">
        <f t="shared" si="3168"/>
        <v>0</v>
      </c>
      <c r="BI367" s="781">
        <f t="shared" si="3168"/>
        <v>0</v>
      </c>
    </row>
    <row r="368" spans="1:61" s="780" customFormat="1" hidden="1" outlineLevel="1">
      <c r="A368" s="780" t="str">
        <f>$A$541</f>
        <v>Program Revenue</v>
      </c>
      <c r="M368" s="781"/>
      <c r="N368" s="782"/>
      <c r="Y368" s="781"/>
      <c r="Z368" s="782"/>
      <c r="AK368" s="781"/>
      <c r="AL368" s="782"/>
      <c r="AP368" s="780">
        <f t="shared" ref="AP368" si="3169">IF($AP$5&gt;$AO$5,($AP$5-$AO$5)*B541,0)</f>
        <v>0</v>
      </c>
      <c r="AQ368" s="780">
        <f t="shared" ref="AQ368" si="3170">IF($AP$5&gt;$AO$5,($AP$5-$AO$5)*C541,0)</f>
        <v>0</v>
      </c>
      <c r="AR368" s="780">
        <f t="shared" ref="AR368" si="3171">IF($AP$5&gt;$AO$5,($AP$5-$AO$5)*D541,0)</f>
        <v>0</v>
      </c>
      <c r="AS368" s="780">
        <f t="shared" ref="AS368" si="3172">IF($AP$5&gt;$AO$5,($AP$5-$AO$5)*E541,0)</f>
        <v>0</v>
      </c>
      <c r="AT368" s="780">
        <f t="shared" ref="AT368" si="3173">IF($AP$5&gt;$AO$5,($AP$5-$AO$5)*F541,0)</f>
        <v>0</v>
      </c>
      <c r="AU368" s="780">
        <f t="shared" ref="AU368" si="3174">IF($AP$5&gt;$AO$5,($AP$5-$AO$5)*G541,0)</f>
        <v>0</v>
      </c>
      <c r="AV368" s="780">
        <f t="shared" ref="AV368" si="3175">IF($AP$5&gt;$AO$5,($AP$5-$AO$5)*H541,0)</f>
        <v>0</v>
      </c>
      <c r="AW368" s="781">
        <f t="shared" ref="AW368" si="3176">IF($AP$5&gt;$AO$5,($AP$5-$AO$5)*I541,0)</f>
        <v>0</v>
      </c>
      <c r="AX368" s="782">
        <f t="shared" ref="AX368" si="3177">IF($AP$5&gt;$AO$5,($AP$5-$AO$5)*J541,0)</f>
        <v>0</v>
      </c>
      <c r="AY368" s="780">
        <f t="shared" ref="AY368" si="3178">IF($AP$5&gt;$AO$5,($AP$5-$AO$5)*K541,0)</f>
        <v>0</v>
      </c>
      <c r="AZ368" s="780">
        <f t="shared" ref="AZ368" si="3179">IF($AP$5&gt;$AO$5,($AP$5-$AO$5)*L541,0)</f>
        <v>0</v>
      </c>
      <c r="BA368" s="780">
        <f t="shared" ref="BA368" si="3180">IF($AP$5&gt;$AO$5,($AP$5-$AO$5)*M541,0)</f>
        <v>0</v>
      </c>
      <c r="BB368" s="780">
        <f t="shared" ref="BB368" si="3181">IF($AP$5&gt;$AO$5,($AP$5-$AO$5)*N541,0)</f>
        <v>0</v>
      </c>
      <c r="BC368" s="780">
        <f t="shared" ref="BC368" si="3182">IF($AP$5&gt;$AO$5,($AP$5-$AO$5)*O541,0)</f>
        <v>0</v>
      </c>
      <c r="BD368" s="780">
        <f t="shared" ref="BD368" si="3183">IF($AP$5&gt;$AO$5,($AP$5-$AO$5)*P541,0)</f>
        <v>0</v>
      </c>
      <c r="BE368" s="780">
        <f t="shared" ref="BE368" si="3184">IF($AP$5&gt;$AO$5,($AP$5-$AO$5)*Q541,0)</f>
        <v>0</v>
      </c>
      <c r="BF368" s="780">
        <f t="shared" ref="BF368" si="3185">IF($AP$5&gt;$AO$5,($AP$5-$AO$5)*R541,0)</f>
        <v>0</v>
      </c>
      <c r="BG368" s="780">
        <f t="shared" ref="BG368" si="3186">IF($AP$5&gt;$AO$5,($AP$5-$AO$5)*S541,0)</f>
        <v>0</v>
      </c>
      <c r="BH368" s="780">
        <f t="shared" ref="BH368" si="3187">IF($AP$5&gt;$AO$5,($AP$5-$AO$5)*T541,0)</f>
        <v>0</v>
      </c>
      <c r="BI368" s="781">
        <f t="shared" ref="BI368" si="3188">IF($AP$5&gt;$AO$5,($AP$5-$AO$5)*U541,0)</f>
        <v>0</v>
      </c>
    </row>
    <row r="369" spans="1:61" s="780" customFormat="1" hidden="1" outlineLevel="1">
      <c r="M369" s="781"/>
      <c r="N369" s="782"/>
      <c r="Y369" s="781"/>
      <c r="Z369" s="782"/>
      <c r="AK369" s="781"/>
      <c r="AL369" s="782"/>
      <c r="AW369" s="781"/>
      <c r="AX369" s="782"/>
      <c r="BI369" s="781"/>
    </row>
    <row r="370" spans="1:61" s="780" customFormat="1" hidden="1" outlineLevel="1">
      <c r="A370" s="780" t="s">
        <v>359</v>
      </c>
      <c r="M370" s="781"/>
      <c r="N370" s="782"/>
      <c r="Y370" s="781"/>
      <c r="Z370" s="782"/>
      <c r="AK370" s="781"/>
      <c r="AL370" s="782"/>
      <c r="AQ370" s="780">
        <f>IF($AQ$5&gt;$AP$5,($AQ$5-$AP$5)*B535,0)</f>
        <v>8</v>
      </c>
      <c r="AR370" s="780">
        <f t="shared" ref="AR370" si="3189">IF($AQ$5&gt;$AP$5,($AQ$5-$AP$5)*C535,0)</f>
        <v>8.3824000000000005</v>
      </c>
      <c r="AS370" s="780">
        <f t="shared" ref="AS370" si="3190">IF($AQ$5&gt;$AP$5,($AQ$5-$AP$5)*D535,0)</f>
        <v>8.790016102400001</v>
      </c>
      <c r="AT370" s="780">
        <f t="shared" ref="AT370" si="3191">IF($AQ$5&gt;$AP$5,($AQ$5-$AP$5)*E535,0)</f>
        <v>9.2244218586677267</v>
      </c>
      <c r="AU370" s="780">
        <f t="shared" ref="AU370" si="3192">IF($AQ$5&gt;$AP$5,($AQ$5-$AP$5)*F535,0)</f>
        <v>9.6872643857899394</v>
      </c>
      <c r="AV370" s="780">
        <f t="shared" ref="AV370" si="3193">IF($AQ$5&gt;$AP$5,($AQ$5-$AP$5)*G535,0)</f>
        <v>10.180266404063699</v>
      </c>
      <c r="AW370" s="781">
        <f t="shared" ref="AW370" si="3194">IF($AQ$5&gt;$AP$5,($AQ$5-$AP$5)*H535,0)</f>
        <v>10.705228286703797</v>
      </c>
      <c r="AX370" s="782">
        <f t="shared" ref="AX370" si="3195">IF($AQ$5&gt;$AP$5,($AQ$5-$AP$5)*I535,0)</f>
        <v>11.264030122404236</v>
      </c>
      <c r="AY370" s="780">
        <f t="shared" ref="AY370" si="3196">IF($AQ$5&gt;$AP$5,($AQ$5-$AP$5)*J535,0)</f>
        <v>11.858633792363815</v>
      </c>
      <c r="AZ370" s="780">
        <f t="shared" ref="AZ370" si="3197">IF($AQ$5&gt;$AP$5,($AQ$5-$AP$5)*K535,0)</f>
        <v>12.491085063681208</v>
      </c>
      <c r="BA370" s="780">
        <f t="shared" ref="BA370" si="3198">IF($AQ$5&gt;$AP$5,($AQ$5-$AP$5)*L535,0)</f>
        <v>13.163515701442698</v>
      </c>
      <c r="BB370" s="780">
        <f t="shared" ref="BB370" si="3199">IF($AQ$5&gt;$AP$5,($AQ$5-$AP$5)*M535,0)</f>
        <v>13.878145602265221</v>
      </c>
      <c r="BC370" s="780">
        <f t="shared" ref="BC370" si="3200">IF($AQ$5&gt;$AP$5,($AQ$5-$AP$5)*N535,0)</f>
        <v>14.640802427106802</v>
      </c>
      <c r="BD370" s="780">
        <f t="shared" ref="BD370" si="3201">IF($AQ$5&gt;$AP$5,($AQ$5-$AP$5)*O535,0)</f>
        <v>15.454179973028484</v>
      </c>
      <c r="BE370" s="780">
        <f t="shared" ref="BE370" si="3202">IF($AQ$5&gt;$AP$5,($AQ$5-$AP$5)*P535,0)</f>
        <v>16.321067007803048</v>
      </c>
      <c r="BF370" s="780">
        <f t="shared" ref="BF370" si="3203">IF($AQ$5&gt;$AP$5,($AQ$5-$AP$5)*Q535,0)</f>
        <v>17.244348126107901</v>
      </c>
      <c r="BG370" s="780">
        <f t="shared" ref="BG370" si="3204">IF($AQ$5&gt;$AP$5,($AQ$5-$AP$5)*R535,0)</f>
        <v>18.227004594103096</v>
      </c>
      <c r="BH370" s="780">
        <f t="shared" ref="BH370" si="3205">IF($AQ$5&gt;$AP$5,($AQ$5-$AP$5)*S535,0)</f>
        <v>19.272115194972702</v>
      </c>
      <c r="BI370" s="781">
        <f t="shared" ref="BI370" si="3206">IF($AQ$5&gt;$AP$5,($AQ$5-$AP$5)*T535,0)</f>
        <v>20.382857089151276</v>
      </c>
    </row>
    <row r="371" spans="1:61" s="780" customFormat="1" hidden="1" outlineLevel="1">
      <c r="A371" s="780" t="str">
        <f>$A$536</f>
        <v>Leads</v>
      </c>
      <c r="M371" s="781"/>
      <c r="N371" s="782"/>
      <c r="Y371" s="781"/>
      <c r="Z371" s="782"/>
      <c r="AK371" s="781"/>
      <c r="AL371" s="782"/>
      <c r="AQ371" s="780">
        <f>IF($AQ$5&gt;$AP$5,($AQ$5-$AP$5)*B536,0)</f>
        <v>20</v>
      </c>
      <c r="AR371" s="780">
        <f t="shared" ref="AR371:BI371" si="3207">IF($AQ$5&gt;$AP$5,($AQ$5-$AP$5)*C536,0)</f>
        <v>20.8</v>
      </c>
      <c r="AS371" s="780">
        <f t="shared" si="3207"/>
        <v>21.632000000000001</v>
      </c>
      <c r="AT371" s="780">
        <f t="shared" si="3207"/>
        <v>22.497280000000003</v>
      </c>
      <c r="AU371" s="780">
        <f t="shared" si="3207"/>
        <v>23.397171200000006</v>
      </c>
      <c r="AV371" s="780">
        <f t="shared" si="3207"/>
        <v>24.333058048000009</v>
      </c>
      <c r="AW371" s="781">
        <f t="shared" si="3207"/>
        <v>25.30638036992001</v>
      </c>
      <c r="AX371" s="782">
        <f t="shared" si="3207"/>
        <v>26.318635584716812</v>
      </c>
      <c r="AY371" s="780">
        <f t="shared" si="3207"/>
        <v>27.371381008105487</v>
      </c>
      <c r="AZ371" s="780">
        <f t="shared" si="3207"/>
        <v>28.466236248429709</v>
      </c>
      <c r="BA371" s="780">
        <f t="shared" si="3207"/>
        <v>29.6048856983669</v>
      </c>
      <c r="BB371" s="780">
        <f t="shared" si="3207"/>
        <v>30.789081126301578</v>
      </c>
      <c r="BC371" s="780">
        <f t="shared" si="3207"/>
        <v>32.02064437135364</v>
      </c>
      <c r="BD371" s="780">
        <f t="shared" si="3207"/>
        <v>33.301470146207784</v>
      </c>
      <c r="BE371" s="780">
        <f t="shared" si="3207"/>
        <v>34.633528952056096</v>
      </c>
      <c r="BF371" s="780">
        <f t="shared" si="3207"/>
        <v>36.018870110138344</v>
      </c>
      <c r="BG371" s="780">
        <f t="shared" si="3207"/>
        <v>37.45962491454388</v>
      </c>
      <c r="BH371" s="780">
        <f t="shared" si="3207"/>
        <v>38.958009911125636</v>
      </c>
      <c r="BI371" s="781">
        <f t="shared" si="3207"/>
        <v>40.516330307570662</v>
      </c>
    </row>
    <row r="372" spans="1:61" s="780" customFormat="1" hidden="1" outlineLevel="1">
      <c r="A372" s="780" t="str">
        <f>$A$537</f>
        <v>Audits</v>
      </c>
      <c r="M372" s="781"/>
      <c r="N372" s="782"/>
      <c r="Y372" s="781"/>
      <c r="Z372" s="782"/>
      <c r="AK372" s="781"/>
      <c r="AL372" s="782"/>
      <c r="AQ372" s="780">
        <f t="shared" ref="AQ372:BI372" si="3208">IF($AQ$5&gt;$AP$5,($AQ$5-$AP$5)*B537,0)</f>
        <v>7.8466960352422905</v>
      </c>
      <c r="AR372" s="780">
        <f t="shared" si="3208"/>
        <v>8.1805560257268723</v>
      </c>
      <c r="AS372" s="780">
        <f t="shared" si="3208"/>
        <v>8.556158139083367</v>
      </c>
      <c r="AT372" s="780">
        <f t="shared" si="3208"/>
        <v>8.9523024684242678</v>
      </c>
      <c r="AU372" s="780">
        <f t="shared" si="3208"/>
        <v>9.3702787716763911</v>
      </c>
      <c r="AV372" s="780">
        <f t="shared" si="3208"/>
        <v>9.811453812672589</v>
      </c>
      <c r="AW372" s="781">
        <f t="shared" si="3208"/>
        <v>10.277273093546537</v>
      </c>
      <c r="AX372" s="782">
        <f t="shared" si="3208"/>
        <v>10.769262132442826</v>
      </c>
      <c r="AY372" s="780">
        <f t="shared" si="3208"/>
        <v>11.289027268145146</v>
      </c>
      <c r="AZ372" s="780">
        <f t="shared" si="3208"/>
        <v>11.838255995812663</v>
      </c>
      <c r="BA372" s="780">
        <f t="shared" si="3208"/>
        <v>12.418716863200714</v>
      </c>
      <c r="BB372" s="780">
        <f t="shared" si="3208"/>
        <v>13.032258982971491</v>
      </c>
      <c r="BC372" s="780">
        <f t="shared" si="3208"/>
        <v>13.681748513642187</v>
      </c>
      <c r="BD372" s="780">
        <f t="shared" si="3208"/>
        <v>14.367753613373562</v>
      </c>
      <c r="BE372" s="780">
        <f t="shared" si="3208"/>
        <v>15.094450719778326</v>
      </c>
      <c r="BF372" s="780">
        <f t="shared" si="3208"/>
        <v>15.864274704794562</v>
      </c>
      <c r="BG372" s="780">
        <f t="shared" si="3208"/>
        <v>16.679756380011042</v>
      </c>
      <c r="BH372" s="780">
        <f t="shared" si="3208"/>
        <v>17.543519083999907</v>
      </c>
      <c r="BI372" s="781">
        <f t="shared" si="3208"/>
        <v>18.458274953232511</v>
      </c>
    </row>
    <row r="373" spans="1:61" s="780" customFormat="1" hidden="1" outlineLevel="1">
      <c r="A373" s="780" t="str">
        <f>$A$538</f>
        <v>Retrofit</v>
      </c>
      <c r="M373" s="781"/>
      <c r="N373" s="782"/>
      <c r="Y373" s="781"/>
      <c r="Z373" s="782"/>
      <c r="AK373" s="781"/>
      <c r="AL373" s="782"/>
      <c r="AQ373" s="780">
        <f t="shared" ref="AQ373:BI373" si="3209">IF($AQ$5&gt;$AP$5,($AQ$5-$AP$5)*B538,0)</f>
        <v>3.2741145374449339</v>
      </c>
      <c r="AR373" s="780">
        <f t="shared" si="3209"/>
        <v>3.4211429613668018</v>
      </c>
      <c r="AS373" s="780">
        <f t="shared" si="3209"/>
        <v>3.6089747928733105</v>
      </c>
      <c r="AT373" s="780">
        <f t="shared" si="3209"/>
        <v>3.80943356172375</v>
      </c>
      <c r="AU373" s="780">
        <f t="shared" si="3209"/>
        <v>4.023495407635</v>
      </c>
      <c r="AV373" s="780">
        <f t="shared" si="3209"/>
        <v>4.2522035025469851</v>
      </c>
      <c r="AW373" s="781">
        <f t="shared" si="3209"/>
        <v>4.4966691121698661</v>
      </c>
      <c r="AX373" s="782">
        <f t="shared" si="3209"/>
        <v>4.7580720961942786</v>
      </c>
      <c r="AY373" s="780">
        <f t="shared" si="3209"/>
        <v>5.0376608331454982</v>
      </c>
      <c r="AZ373" s="780">
        <f t="shared" si="3209"/>
        <v>5.3367515834608863</v>
      </c>
      <c r="BA373" s="780">
        <f t="shared" si="3209"/>
        <v>5.6567273345837759</v>
      </c>
      <c r="BB373" s="780">
        <f t="shared" si="3209"/>
        <v>5.9990362027609887</v>
      </c>
      <c r="BC373" s="780">
        <f t="shared" si="3209"/>
        <v>6.3656710756275423</v>
      </c>
      <c r="BD373" s="780">
        <f t="shared" si="3209"/>
        <v>6.7527905497767229</v>
      </c>
      <c r="BE373" s="780">
        <f t="shared" si="3209"/>
        <v>7.1679946156961591</v>
      </c>
      <c r="BF373" s="780">
        <f t="shared" si="3209"/>
        <v>7.6132687220703144</v>
      </c>
      <c r="BG373" s="780">
        <f t="shared" si="3209"/>
        <v>8.0906802436821312</v>
      </c>
      <c r="BH373" s="780">
        <f t="shared" si="3209"/>
        <v>8.6023733713231554</v>
      </c>
      <c r="BI373" s="781">
        <f t="shared" si="3209"/>
        <v>9.1505635635964193</v>
      </c>
    </row>
    <row r="374" spans="1:61" s="780" customFormat="1" hidden="1" outlineLevel="1">
      <c r="A374" s="780" t="str">
        <f>$A$539</f>
        <v>Revenue</v>
      </c>
      <c r="M374" s="781"/>
      <c r="N374" s="782"/>
      <c r="Y374" s="781"/>
      <c r="Z374" s="782"/>
      <c r="AK374" s="781"/>
      <c r="AL374" s="782"/>
      <c r="AQ374" s="780">
        <f t="shared" ref="AQ374:BI374" si="3210">IF($AQ$5&gt;$AP$5,($AQ$5-$AP$5)*B539,0)</f>
        <v>20728.933920704847</v>
      </c>
      <c r="AR374" s="780">
        <f t="shared" si="3210"/>
        <v>22334.796424579898</v>
      </c>
      <c r="AS374" s="780">
        <f t="shared" si="3210"/>
        <v>24261.379157843236</v>
      </c>
      <c r="AT374" s="780">
        <f t="shared" si="3210"/>
        <v>27109.041527058151</v>
      </c>
      <c r="AU374" s="780">
        <f t="shared" si="3210"/>
        <v>29411.012063918617</v>
      </c>
      <c r="AV374" s="780">
        <f t="shared" si="3210"/>
        <v>31904.731979940196</v>
      </c>
      <c r="AW374" s="781">
        <f t="shared" si="3210"/>
        <v>34157.516935543477</v>
      </c>
      <c r="AX374" s="782">
        <f t="shared" si="3210"/>
        <v>36585.144030160183</v>
      </c>
      <c r="AY374" s="780">
        <f t="shared" si="3210"/>
        <v>39202.024549786183</v>
      </c>
      <c r="AZ374" s="780">
        <f t="shared" si="3210"/>
        <v>41489.907780370268</v>
      </c>
      <c r="BA374" s="780">
        <f t="shared" si="3210"/>
        <v>43934.936399734994</v>
      </c>
      <c r="BB374" s="780">
        <f t="shared" si="3210"/>
        <v>46547.932291314006</v>
      </c>
      <c r="BC374" s="780">
        <f t="shared" si="3210"/>
        <v>48812.622611071754</v>
      </c>
      <c r="BD374" s="780">
        <f t="shared" si="3210"/>
        <v>51746.745047763237</v>
      </c>
      <c r="BE374" s="780">
        <f t="shared" si="3210"/>
        <v>54891.491572423707</v>
      </c>
      <c r="BF374" s="780">
        <f t="shared" si="3210"/>
        <v>58261.704056497998</v>
      </c>
      <c r="BG374" s="780">
        <f t="shared" si="3210"/>
        <v>61872.837706819933</v>
      </c>
      <c r="BH374" s="780">
        <f t="shared" si="3210"/>
        <v>65740.922877654608</v>
      </c>
      <c r="BI374" s="781">
        <f t="shared" si="3210"/>
        <v>69882.52360507095</v>
      </c>
    </row>
    <row r="375" spans="1:61" s="780" customFormat="1" hidden="1" outlineLevel="1">
      <c r="A375" s="780" t="str">
        <f>$A$540</f>
        <v>Net Income</v>
      </c>
      <c r="M375" s="781"/>
      <c r="N375" s="782"/>
      <c r="Y375" s="781"/>
      <c r="Z375" s="782"/>
      <c r="AK375" s="781"/>
      <c r="AL375" s="782"/>
      <c r="AQ375" s="780">
        <f t="shared" ref="AQ375:BI375" si="3211">IF($AQ$5&gt;$AP$5,($AQ$5-$AP$5)*B540,0)</f>
        <v>-33184.964170807638</v>
      </c>
      <c r="AR375" s="780">
        <f t="shared" si="3211"/>
        <v>-14837.14568100147</v>
      </c>
      <c r="AS375" s="780">
        <f t="shared" si="3211"/>
        <v>-14268.717003781454</v>
      </c>
      <c r="AT375" s="780">
        <f t="shared" si="3211"/>
        <v>-13405.013342705901</v>
      </c>
      <c r="AU375" s="780">
        <f t="shared" si="3211"/>
        <v>-12685.072540306182</v>
      </c>
      <c r="AV375" s="780">
        <f t="shared" si="3211"/>
        <v>-17604.404805924125</v>
      </c>
      <c r="AW375" s="781">
        <f t="shared" si="3211"/>
        <v>-15156.124616524507</v>
      </c>
      <c r="AX375" s="782">
        <f t="shared" si="3211"/>
        <v>-13971.31609512752</v>
      </c>
      <c r="AY375" s="780">
        <f t="shared" si="3211"/>
        <v>-13027.555718246989</v>
      </c>
      <c r="AZ375" s="780">
        <f t="shared" si="3211"/>
        <v>-12167.444211420123</v>
      </c>
      <c r="BA375" s="780">
        <f t="shared" si="3211"/>
        <v>-11228.257793696379</v>
      </c>
      <c r="BB375" s="780">
        <f t="shared" si="3211"/>
        <v>-10203.756141625032</v>
      </c>
      <c r="BC375" s="780">
        <f t="shared" si="3211"/>
        <v>-8928.9645055486872</v>
      </c>
      <c r="BD375" s="780">
        <f t="shared" si="3211"/>
        <v>-6565.2951604608934</v>
      </c>
      <c r="BE375" s="780">
        <f t="shared" si="3211"/>
        <v>-7951.6323699894165</v>
      </c>
      <c r="BF375" s="780">
        <f t="shared" si="3211"/>
        <v>-6483.5792380389103</v>
      </c>
      <c r="BG375" s="780">
        <f t="shared" si="3211"/>
        <v>-5307.1722049655655</v>
      </c>
      <c r="BH375" s="780">
        <f t="shared" si="3211"/>
        <v>-3966.3475887754175</v>
      </c>
      <c r="BI375" s="781">
        <f t="shared" si="3211"/>
        <v>-2466.8649492429358</v>
      </c>
    </row>
    <row r="376" spans="1:61" s="780" customFormat="1" hidden="1" outlineLevel="1">
      <c r="A376" s="780" t="str">
        <f>$A$541</f>
        <v>Program Revenue</v>
      </c>
      <c r="M376" s="781"/>
      <c r="N376" s="782"/>
      <c r="Y376" s="781"/>
      <c r="Z376" s="782"/>
      <c r="AK376" s="781"/>
      <c r="AL376" s="782"/>
      <c r="AQ376" s="780">
        <f t="shared" ref="AQ376" si="3212">IF($AQ$5&gt;$AP$5,($AQ$5-$AP$5)*B541,0)</f>
        <v>1850</v>
      </c>
      <c r="AR376" s="780">
        <f t="shared" ref="AR376" si="3213">IF($AQ$5&gt;$AP$5,($AQ$5-$AP$5)*C541,0)</f>
        <v>1937.1558751999999</v>
      </c>
      <c r="AS376" s="780">
        <f t="shared" ref="AS376" si="3214">IF($AQ$5&gt;$AP$5,($AQ$5-$AP$5)*D541,0)</f>
        <v>2030.0190587848704</v>
      </c>
      <c r="AT376" s="780">
        <f t="shared" ref="AT376" si="3215">IF($AQ$5&gt;$AP$5,($AQ$5-$AP$5)*E541,0)</f>
        <v>2128.941218449359</v>
      </c>
      <c r="AU376" s="780">
        <f t="shared" ref="AU376" si="3216">IF($AQ$5&gt;$AP$5,($AQ$5-$AP$5)*F541,0)</f>
        <v>2234.2900324673633</v>
      </c>
      <c r="AV376" s="780">
        <f t="shared" ref="AV376" si="3217">IF($AQ$5&gt;$AP$5,($AQ$5-$AP$5)*G541,0)</f>
        <v>2346.4496034726417</v>
      </c>
      <c r="AW376" s="781">
        <f t="shared" ref="AW376" si="3218">IF($AQ$5&gt;$AP$5,($AQ$5-$AP$5)*H541,0)</f>
        <v>2465.8208731027789</v>
      </c>
      <c r="AX376" s="782">
        <f t="shared" ref="AX376" si="3219">IF($AQ$5&gt;$AP$5,($AQ$5-$AP$5)*I541,0)</f>
        <v>2592.8220377557409</v>
      </c>
      <c r="AY376" s="780">
        <f t="shared" ref="AY376" si="3220">IF($AQ$5&gt;$AP$5,($AQ$5-$AP$5)*J541,0)</f>
        <v>2727.8889657926175</v>
      </c>
      <c r="AZ376" s="780">
        <f t="shared" ref="AZ376" si="3221">IF($AQ$5&gt;$AP$5,($AQ$5-$AP$5)*K541,0)</f>
        <v>2871.4756166091629</v>
      </c>
      <c r="BA376" s="780">
        <f t="shared" ref="BA376" si="3222">IF($AQ$5&gt;$AP$5,($AQ$5-$AP$5)*L541,0)</f>
        <v>3024.0544620924302</v>
      </c>
      <c r="BB376" s="780">
        <f t="shared" ref="BB376" si="3223">IF($AQ$5&gt;$AP$5,($AQ$5-$AP$5)*M541,0)</f>
        <v>3186.1169110768442</v>
      </c>
      <c r="BC376" s="780">
        <f t="shared" ref="BC376" si="3224">IF($AQ$5&gt;$AP$5,($AQ$5-$AP$5)*N541,0)</f>
        <v>3358.9807376414046</v>
      </c>
      <c r="BD376" s="780">
        <f t="shared" ref="BD376" si="3225">IF($AQ$5&gt;$AP$5,($AQ$5-$AP$5)*O541,0)</f>
        <v>3543.2416591361321</v>
      </c>
      <c r="BE376" s="780">
        <f t="shared" ref="BE376" si="3226">IF($AQ$5&gt;$AP$5,($AQ$5-$AP$5)*P541,0)</f>
        <v>3739.515514961849</v>
      </c>
      <c r="BF376" s="780">
        <f t="shared" ref="BF376" si="3227">IF($AQ$5&gt;$AP$5,($AQ$5-$AP$5)*Q541,0)</f>
        <v>3948.4383904349252</v>
      </c>
      <c r="BG376" s="780">
        <f t="shared" ref="BG376" si="3228">IF($AQ$5&gt;$AP$5,($AQ$5-$AP$5)*R541,0)</f>
        <v>4170.6667372134807</v>
      </c>
      <c r="BH376" s="780">
        <f t="shared" ref="BH376" si="3229">IF($AQ$5&gt;$AP$5,($AQ$5-$AP$5)*S541,0)</f>
        <v>4406.877493173627</v>
      </c>
      <c r="BI376" s="781">
        <f t="shared" ref="BI376" si="3230">IF($AQ$5&gt;$AP$5,($AQ$5-$AP$5)*T541,0)</f>
        <v>4657.7682048703127</v>
      </c>
    </row>
    <row r="377" spans="1:61" s="780" customFormat="1" hidden="1" outlineLevel="1">
      <c r="M377" s="781"/>
      <c r="N377" s="782"/>
      <c r="Y377" s="781"/>
      <c r="Z377" s="782"/>
      <c r="AK377" s="781"/>
      <c r="AL377" s="782"/>
      <c r="AW377" s="781"/>
      <c r="AX377" s="782"/>
      <c r="BI377" s="781"/>
    </row>
    <row r="378" spans="1:61" s="780" customFormat="1" hidden="1" outlineLevel="1">
      <c r="A378" s="780" t="s">
        <v>359</v>
      </c>
      <c r="M378" s="781"/>
      <c r="N378" s="782"/>
      <c r="Y378" s="781"/>
      <c r="Z378" s="782"/>
      <c r="AK378" s="781"/>
      <c r="AL378" s="782"/>
      <c r="AR378" s="780">
        <f>IF($AR$5&gt;$AQ$5,($AR$5-$AQ$5)*B535,0)</f>
        <v>8</v>
      </c>
      <c r="AS378" s="780">
        <f t="shared" ref="AS378" si="3231">IF($AR$5&gt;$AQ$5,($AR$5-$AQ$5)*C535,0)</f>
        <v>8.3824000000000005</v>
      </c>
      <c r="AT378" s="780">
        <f t="shared" ref="AT378" si="3232">IF($AR$5&gt;$AQ$5,($AR$5-$AQ$5)*D535,0)</f>
        <v>8.790016102400001</v>
      </c>
      <c r="AU378" s="780">
        <f t="shared" ref="AU378" si="3233">IF($AR$5&gt;$AQ$5,($AR$5-$AQ$5)*E535,0)</f>
        <v>9.2244218586677267</v>
      </c>
      <c r="AV378" s="780">
        <f t="shared" ref="AV378" si="3234">IF($AR$5&gt;$AQ$5,($AR$5-$AQ$5)*F535,0)</f>
        <v>9.6872643857899394</v>
      </c>
      <c r="AW378" s="781">
        <f t="shared" ref="AW378" si="3235">IF($AR$5&gt;$AQ$5,($AR$5-$AQ$5)*G535,0)</f>
        <v>10.180266404063699</v>
      </c>
      <c r="AX378" s="782">
        <f t="shared" ref="AX378" si="3236">IF($AR$5&gt;$AQ$5,($AR$5-$AQ$5)*H535,0)</f>
        <v>10.705228286703797</v>
      </c>
      <c r="AY378" s="780">
        <f t="shared" ref="AY378" si="3237">IF($AR$5&gt;$AQ$5,($AR$5-$AQ$5)*I535,0)</f>
        <v>11.264030122404236</v>
      </c>
      <c r="AZ378" s="780">
        <f t="shared" ref="AZ378" si="3238">IF($AR$5&gt;$AQ$5,($AR$5-$AQ$5)*J535,0)</f>
        <v>11.858633792363815</v>
      </c>
      <c r="BA378" s="780">
        <f t="shared" ref="BA378" si="3239">IF($AR$5&gt;$AQ$5,($AR$5-$AQ$5)*K535,0)</f>
        <v>12.491085063681208</v>
      </c>
      <c r="BB378" s="780">
        <f t="shared" ref="BB378" si="3240">IF($AR$5&gt;$AQ$5,($AR$5-$AQ$5)*L535,0)</f>
        <v>13.163515701442698</v>
      </c>
      <c r="BC378" s="780">
        <f t="shared" ref="BC378" si="3241">IF($AR$5&gt;$AQ$5,($AR$5-$AQ$5)*M535,0)</f>
        <v>13.878145602265221</v>
      </c>
      <c r="BD378" s="780">
        <f t="shared" ref="BD378" si="3242">IF($AR$5&gt;$AQ$5,($AR$5-$AQ$5)*N535,0)</f>
        <v>14.640802427106802</v>
      </c>
      <c r="BE378" s="780">
        <f t="shared" ref="BE378" si="3243">IF($AR$5&gt;$AQ$5,($AR$5-$AQ$5)*O535,0)</f>
        <v>15.454179973028484</v>
      </c>
      <c r="BF378" s="780">
        <f t="shared" ref="BF378" si="3244">IF($AR$5&gt;$AQ$5,($AR$5-$AQ$5)*P535,0)</f>
        <v>16.321067007803048</v>
      </c>
      <c r="BG378" s="780">
        <f t="shared" ref="BG378" si="3245">IF($AR$5&gt;$AQ$5,($AR$5-$AQ$5)*Q535,0)</f>
        <v>17.244348126107901</v>
      </c>
      <c r="BH378" s="780">
        <f t="shared" ref="BH378" si="3246">IF($AR$5&gt;$AQ$5,($AR$5-$AQ$5)*R535,0)</f>
        <v>18.227004594103096</v>
      </c>
      <c r="BI378" s="781">
        <f t="shared" ref="BI378" si="3247">IF($AR$5&gt;$AQ$5,($AR$5-$AQ$5)*S535,0)</f>
        <v>19.272115194972702</v>
      </c>
    </row>
    <row r="379" spans="1:61" s="780" customFormat="1" hidden="1" outlineLevel="1">
      <c r="A379" s="780" t="str">
        <f>$A$536</f>
        <v>Leads</v>
      </c>
      <c r="M379" s="781"/>
      <c r="N379" s="782"/>
      <c r="Y379" s="781"/>
      <c r="Z379" s="782"/>
      <c r="AK379" s="781"/>
      <c r="AL379" s="782"/>
      <c r="AR379" s="780">
        <f>IF($AR$5&gt;$AQ$5,($AR$5-$AQ$5)*B536,0)</f>
        <v>20</v>
      </c>
      <c r="AS379" s="780">
        <f t="shared" ref="AS379:BI379" si="3248">IF($AR$5&gt;$AQ$5,($AR$5-$AQ$5)*C536,0)</f>
        <v>20.8</v>
      </c>
      <c r="AT379" s="780">
        <f t="shared" si="3248"/>
        <v>21.632000000000001</v>
      </c>
      <c r="AU379" s="780">
        <f t="shared" si="3248"/>
        <v>22.497280000000003</v>
      </c>
      <c r="AV379" s="780">
        <f t="shared" si="3248"/>
        <v>23.397171200000006</v>
      </c>
      <c r="AW379" s="781">
        <f t="shared" si="3248"/>
        <v>24.333058048000009</v>
      </c>
      <c r="AX379" s="782">
        <f t="shared" si="3248"/>
        <v>25.30638036992001</v>
      </c>
      <c r="AY379" s="780">
        <f t="shared" si="3248"/>
        <v>26.318635584716812</v>
      </c>
      <c r="AZ379" s="780">
        <f t="shared" si="3248"/>
        <v>27.371381008105487</v>
      </c>
      <c r="BA379" s="780">
        <f t="shared" si="3248"/>
        <v>28.466236248429709</v>
      </c>
      <c r="BB379" s="780">
        <f t="shared" si="3248"/>
        <v>29.6048856983669</v>
      </c>
      <c r="BC379" s="780">
        <f t="shared" si="3248"/>
        <v>30.789081126301578</v>
      </c>
      <c r="BD379" s="780">
        <f t="shared" si="3248"/>
        <v>32.02064437135364</v>
      </c>
      <c r="BE379" s="780">
        <f t="shared" si="3248"/>
        <v>33.301470146207784</v>
      </c>
      <c r="BF379" s="780">
        <f t="shared" si="3248"/>
        <v>34.633528952056096</v>
      </c>
      <c r="BG379" s="780">
        <f t="shared" si="3248"/>
        <v>36.018870110138344</v>
      </c>
      <c r="BH379" s="780">
        <f t="shared" si="3248"/>
        <v>37.45962491454388</v>
      </c>
      <c r="BI379" s="781">
        <f t="shared" si="3248"/>
        <v>38.958009911125636</v>
      </c>
    </row>
    <row r="380" spans="1:61" s="780" customFormat="1" hidden="1" outlineLevel="1">
      <c r="A380" s="780" t="str">
        <f>$A$537</f>
        <v>Audits</v>
      </c>
      <c r="M380" s="781"/>
      <c r="N380" s="782"/>
      <c r="Y380" s="781"/>
      <c r="Z380" s="782"/>
      <c r="AK380" s="781"/>
      <c r="AL380" s="782"/>
      <c r="AR380" s="780">
        <f t="shared" ref="AR380:BI380" si="3249">IF($AR$5&gt;$AQ$5,($AR$5-$AQ$5)*B537,0)</f>
        <v>7.8466960352422905</v>
      </c>
      <c r="AS380" s="780">
        <f t="shared" si="3249"/>
        <v>8.1805560257268723</v>
      </c>
      <c r="AT380" s="780">
        <f t="shared" si="3249"/>
        <v>8.556158139083367</v>
      </c>
      <c r="AU380" s="780">
        <f t="shared" si="3249"/>
        <v>8.9523024684242678</v>
      </c>
      <c r="AV380" s="780">
        <f t="shared" si="3249"/>
        <v>9.3702787716763911</v>
      </c>
      <c r="AW380" s="781">
        <f t="shared" si="3249"/>
        <v>9.811453812672589</v>
      </c>
      <c r="AX380" s="782">
        <f t="shared" si="3249"/>
        <v>10.277273093546537</v>
      </c>
      <c r="AY380" s="780">
        <f t="shared" si="3249"/>
        <v>10.769262132442826</v>
      </c>
      <c r="AZ380" s="780">
        <f t="shared" si="3249"/>
        <v>11.289027268145146</v>
      </c>
      <c r="BA380" s="780">
        <f t="shared" si="3249"/>
        <v>11.838255995812663</v>
      </c>
      <c r="BB380" s="780">
        <f t="shared" si="3249"/>
        <v>12.418716863200714</v>
      </c>
      <c r="BC380" s="780">
        <f t="shared" si="3249"/>
        <v>13.032258982971491</v>
      </c>
      <c r="BD380" s="780">
        <f t="shared" si="3249"/>
        <v>13.681748513642187</v>
      </c>
      <c r="BE380" s="780">
        <f t="shared" si="3249"/>
        <v>14.367753613373562</v>
      </c>
      <c r="BF380" s="780">
        <f t="shared" si="3249"/>
        <v>15.094450719778326</v>
      </c>
      <c r="BG380" s="780">
        <f t="shared" si="3249"/>
        <v>15.864274704794562</v>
      </c>
      <c r="BH380" s="780">
        <f t="shared" si="3249"/>
        <v>16.679756380011042</v>
      </c>
      <c r="BI380" s="781">
        <f t="shared" si="3249"/>
        <v>17.543519083999907</v>
      </c>
    </row>
    <row r="381" spans="1:61" s="780" customFormat="1" hidden="1" outlineLevel="1">
      <c r="A381" s="780" t="str">
        <f>$A$538</f>
        <v>Retrofit</v>
      </c>
      <c r="M381" s="781"/>
      <c r="N381" s="782"/>
      <c r="Y381" s="781"/>
      <c r="Z381" s="782"/>
      <c r="AK381" s="781"/>
      <c r="AL381" s="782"/>
      <c r="AR381" s="780">
        <f t="shared" ref="AR381:BI381" si="3250">IF($AR$5&gt;$AQ$5,($AR$5-$AQ$5)*B538,0)</f>
        <v>3.2741145374449339</v>
      </c>
      <c r="AS381" s="780">
        <f t="shared" si="3250"/>
        <v>3.4211429613668018</v>
      </c>
      <c r="AT381" s="780">
        <f t="shared" si="3250"/>
        <v>3.6089747928733105</v>
      </c>
      <c r="AU381" s="780">
        <f t="shared" si="3250"/>
        <v>3.80943356172375</v>
      </c>
      <c r="AV381" s="780">
        <f t="shared" si="3250"/>
        <v>4.023495407635</v>
      </c>
      <c r="AW381" s="781">
        <f t="shared" si="3250"/>
        <v>4.2522035025469851</v>
      </c>
      <c r="AX381" s="782">
        <f t="shared" si="3250"/>
        <v>4.4966691121698661</v>
      </c>
      <c r="AY381" s="780">
        <f t="shared" si="3250"/>
        <v>4.7580720961942786</v>
      </c>
      <c r="AZ381" s="780">
        <f t="shared" si="3250"/>
        <v>5.0376608331454982</v>
      </c>
      <c r="BA381" s="780">
        <f t="shared" si="3250"/>
        <v>5.3367515834608863</v>
      </c>
      <c r="BB381" s="780">
        <f t="shared" si="3250"/>
        <v>5.6567273345837759</v>
      </c>
      <c r="BC381" s="780">
        <f t="shared" si="3250"/>
        <v>5.9990362027609887</v>
      </c>
      <c r="BD381" s="780">
        <f t="shared" si="3250"/>
        <v>6.3656710756275423</v>
      </c>
      <c r="BE381" s="780">
        <f t="shared" si="3250"/>
        <v>6.7527905497767229</v>
      </c>
      <c r="BF381" s="780">
        <f t="shared" si="3250"/>
        <v>7.1679946156961591</v>
      </c>
      <c r="BG381" s="780">
        <f t="shared" si="3250"/>
        <v>7.6132687220703144</v>
      </c>
      <c r="BH381" s="780">
        <f t="shared" si="3250"/>
        <v>8.0906802436821312</v>
      </c>
      <c r="BI381" s="781">
        <f t="shared" si="3250"/>
        <v>8.6023733713231554</v>
      </c>
    </row>
    <row r="382" spans="1:61" s="780" customFormat="1" hidden="1" outlineLevel="1">
      <c r="A382" s="780" t="str">
        <f>$A$539</f>
        <v>Revenue</v>
      </c>
      <c r="M382" s="781"/>
      <c r="N382" s="782"/>
      <c r="Y382" s="781"/>
      <c r="Z382" s="782"/>
      <c r="AK382" s="781"/>
      <c r="AL382" s="782"/>
      <c r="AR382" s="780">
        <f t="shared" ref="AR382:BI382" si="3251">IF($AR$5&gt;$AQ$5,($AR$5-$AQ$5)*B539,0)</f>
        <v>20728.933920704847</v>
      </c>
      <c r="AS382" s="780">
        <f t="shared" si="3251"/>
        <v>22334.796424579898</v>
      </c>
      <c r="AT382" s="780">
        <f t="shared" si="3251"/>
        <v>24261.379157843236</v>
      </c>
      <c r="AU382" s="780">
        <f t="shared" si="3251"/>
        <v>27109.041527058151</v>
      </c>
      <c r="AV382" s="780">
        <f t="shared" si="3251"/>
        <v>29411.012063918617</v>
      </c>
      <c r="AW382" s="781">
        <f t="shared" si="3251"/>
        <v>31904.731979940196</v>
      </c>
      <c r="AX382" s="782">
        <f t="shared" si="3251"/>
        <v>34157.516935543477</v>
      </c>
      <c r="AY382" s="780">
        <f t="shared" si="3251"/>
        <v>36585.144030160183</v>
      </c>
      <c r="AZ382" s="780">
        <f t="shared" si="3251"/>
        <v>39202.024549786183</v>
      </c>
      <c r="BA382" s="780">
        <f t="shared" si="3251"/>
        <v>41489.907780370268</v>
      </c>
      <c r="BB382" s="780">
        <f t="shared" si="3251"/>
        <v>43934.936399734994</v>
      </c>
      <c r="BC382" s="780">
        <f t="shared" si="3251"/>
        <v>46547.932291314006</v>
      </c>
      <c r="BD382" s="780">
        <f t="shared" si="3251"/>
        <v>48812.622611071754</v>
      </c>
      <c r="BE382" s="780">
        <f t="shared" si="3251"/>
        <v>51746.745047763237</v>
      </c>
      <c r="BF382" s="780">
        <f t="shared" si="3251"/>
        <v>54891.491572423707</v>
      </c>
      <c r="BG382" s="780">
        <f t="shared" si="3251"/>
        <v>58261.704056497998</v>
      </c>
      <c r="BH382" s="780">
        <f t="shared" si="3251"/>
        <v>61872.837706819933</v>
      </c>
      <c r="BI382" s="781">
        <f t="shared" si="3251"/>
        <v>65740.922877654608</v>
      </c>
    </row>
    <row r="383" spans="1:61" s="780" customFormat="1" hidden="1" outlineLevel="1">
      <c r="A383" s="780" t="str">
        <f>$A$540</f>
        <v>Net Income</v>
      </c>
      <c r="M383" s="781"/>
      <c r="N383" s="782"/>
      <c r="Y383" s="781"/>
      <c r="Z383" s="782"/>
      <c r="AK383" s="781"/>
      <c r="AL383" s="782"/>
      <c r="AR383" s="780">
        <f t="shared" ref="AR383:BI383" si="3252">IF($AR$5&gt;$AQ$5,($AR$5-$AQ$5)*B540,0)</f>
        <v>-33184.964170807638</v>
      </c>
      <c r="AS383" s="780">
        <f t="shared" si="3252"/>
        <v>-14837.14568100147</v>
      </c>
      <c r="AT383" s="780">
        <f t="shared" si="3252"/>
        <v>-14268.717003781454</v>
      </c>
      <c r="AU383" s="780">
        <f t="shared" si="3252"/>
        <v>-13405.013342705901</v>
      </c>
      <c r="AV383" s="780">
        <f t="shared" si="3252"/>
        <v>-12685.072540306182</v>
      </c>
      <c r="AW383" s="781">
        <f t="shared" si="3252"/>
        <v>-17604.404805924125</v>
      </c>
      <c r="AX383" s="782">
        <f t="shared" si="3252"/>
        <v>-15156.124616524507</v>
      </c>
      <c r="AY383" s="780">
        <f t="shared" si="3252"/>
        <v>-13971.31609512752</v>
      </c>
      <c r="AZ383" s="780">
        <f t="shared" si="3252"/>
        <v>-13027.555718246989</v>
      </c>
      <c r="BA383" s="780">
        <f t="shared" si="3252"/>
        <v>-12167.444211420123</v>
      </c>
      <c r="BB383" s="780">
        <f t="shared" si="3252"/>
        <v>-11228.257793696379</v>
      </c>
      <c r="BC383" s="780">
        <f t="shared" si="3252"/>
        <v>-10203.756141625032</v>
      </c>
      <c r="BD383" s="780">
        <f t="shared" si="3252"/>
        <v>-8928.9645055486872</v>
      </c>
      <c r="BE383" s="780">
        <f t="shared" si="3252"/>
        <v>-6565.2951604608934</v>
      </c>
      <c r="BF383" s="780">
        <f t="shared" si="3252"/>
        <v>-7951.6323699894165</v>
      </c>
      <c r="BG383" s="780">
        <f t="shared" si="3252"/>
        <v>-6483.5792380389103</v>
      </c>
      <c r="BH383" s="780">
        <f t="shared" si="3252"/>
        <v>-5307.1722049655655</v>
      </c>
      <c r="BI383" s="781">
        <f t="shared" si="3252"/>
        <v>-3966.3475887754175</v>
      </c>
    </row>
    <row r="384" spans="1:61" s="780" customFormat="1" hidden="1" outlineLevel="1">
      <c r="A384" s="780" t="str">
        <f>$A$541</f>
        <v>Program Revenue</v>
      </c>
      <c r="M384" s="781"/>
      <c r="N384" s="782"/>
      <c r="Y384" s="781"/>
      <c r="Z384" s="782"/>
      <c r="AK384" s="781"/>
      <c r="AL384" s="782"/>
      <c r="AR384" s="780">
        <f t="shared" ref="AR384" si="3253">IF($AR$5&gt;$AQ$5,($AR$5-$AQ$5)*B541,0)</f>
        <v>1850</v>
      </c>
      <c r="AS384" s="780">
        <f t="shared" ref="AS384" si="3254">IF($AR$5&gt;$AQ$5,($AR$5-$AQ$5)*C541,0)</f>
        <v>1937.1558751999999</v>
      </c>
      <c r="AT384" s="780">
        <f t="shared" ref="AT384" si="3255">IF($AR$5&gt;$AQ$5,($AR$5-$AQ$5)*D541,0)</f>
        <v>2030.0190587848704</v>
      </c>
      <c r="AU384" s="780">
        <f t="shared" ref="AU384" si="3256">IF($AR$5&gt;$AQ$5,($AR$5-$AQ$5)*E541,0)</f>
        <v>2128.941218449359</v>
      </c>
      <c r="AV384" s="780">
        <f t="shared" ref="AV384" si="3257">IF($AR$5&gt;$AQ$5,($AR$5-$AQ$5)*F541,0)</f>
        <v>2234.2900324673633</v>
      </c>
      <c r="AW384" s="781">
        <f t="shared" ref="AW384" si="3258">IF($AR$5&gt;$AQ$5,($AR$5-$AQ$5)*G541,0)</f>
        <v>2346.4496034726417</v>
      </c>
      <c r="AX384" s="782">
        <f t="shared" ref="AX384" si="3259">IF($AR$5&gt;$AQ$5,($AR$5-$AQ$5)*H541,0)</f>
        <v>2465.8208731027789</v>
      </c>
      <c r="AY384" s="780">
        <f t="shared" ref="AY384" si="3260">IF($AR$5&gt;$AQ$5,($AR$5-$AQ$5)*I541,0)</f>
        <v>2592.8220377557409</v>
      </c>
      <c r="AZ384" s="780">
        <f t="shared" ref="AZ384" si="3261">IF($AR$5&gt;$AQ$5,($AR$5-$AQ$5)*J541,0)</f>
        <v>2727.8889657926175</v>
      </c>
      <c r="BA384" s="780">
        <f t="shared" ref="BA384" si="3262">IF($AR$5&gt;$AQ$5,($AR$5-$AQ$5)*K541,0)</f>
        <v>2871.4756166091629</v>
      </c>
      <c r="BB384" s="780">
        <f t="shared" ref="BB384" si="3263">IF($AR$5&gt;$AQ$5,($AR$5-$AQ$5)*L541,0)</f>
        <v>3024.0544620924302</v>
      </c>
      <c r="BC384" s="780">
        <f t="shared" ref="BC384" si="3264">IF($AR$5&gt;$AQ$5,($AR$5-$AQ$5)*M541,0)</f>
        <v>3186.1169110768442</v>
      </c>
      <c r="BD384" s="780">
        <f t="shared" ref="BD384" si="3265">IF($AR$5&gt;$AQ$5,($AR$5-$AQ$5)*N541,0)</f>
        <v>3358.9807376414046</v>
      </c>
      <c r="BE384" s="780">
        <f t="shared" ref="BE384" si="3266">IF($AR$5&gt;$AQ$5,($AR$5-$AQ$5)*O541,0)</f>
        <v>3543.2416591361321</v>
      </c>
      <c r="BF384" s="780">
        <f t="shared" ref="BF384" si="3267">IF($AR$5&gt;$AQ$5,($AR$5-$AQ$5)*P541,0)</f>
        <v>3739.515514961849</v>
      </c>
      <c r="BG384" s="780">
        <f t="shared" ref="BG384" si="3268">IF($AR$5&gt;$AQ$5,($AR$5-$AQ$5)*Q541,0)</f>
        <v>3948.4383904349252</v>
      </c>
      <c r="BH384" s="780">
        <f t="shared" ref="BH384" si="3269">IF($AR$5&gt;$AQ$5,($AR$5-$AQ$5)*R541,0)</f>
        <v>4170.6667372134807</v>
      </c>
      <c r="BI384" s="781">
        <f t="shared" ref="BI384" si="3270">IF($AR$5&gt;$AQ$5,($AR$5-$AQ$5)*S541,0)</f>
        <v>4406.877493173627</v>
      </c>
    </row>
    <row r="385" spans="1:61" s="780" customFormat="1" hidden="1" outlineLevel="1">
      <c r="M385" s="781"/>
      <c r="N385" s="782"/>
      <c r="Y385" s="781"/>
      <c r="Z385" s="782"/>
      <c r="AK385" s="781"/>
      <c r="AL385" s="782"/>
      <c r="AW385" s="781"/>
      <c r="AX385" s="782"/>
      <c r="BI385" s="781"/>
    </row>
    <row r="386" spans="1:61" s="780" customFormat="1" hidden="1" outlineLevel="1">
      <c r="A386" s="780" t="s">
        <v>359</v>
      </c>
      <c r="M386" s="781"/>
      <c r="N386" s="782"/>
      <c r="Y386" s="781"/>
      <c r="Z386" s="782"/>
      <c r="AK386" s="781"/>
      <c r="AL386" s="782"/>
      <c r="AS386" s="780">
        <f>IF($AS$5&gt;$AR$5,($AS$5-$AR$5)*B535,0)</f>
        <v>0</v>
      </c>
      <c r="AT386" s="780">
        <f t="shared" ref="AT386" si="3271">IF($AS$5&gt;$AR$5,($AS$5-$AR$5)*C535,0)</f>
        <v>0</v>
      </c>
      <c r="AU386" s="780">
        <f t="shared" ref="AU386" si="3272">IF($AS$5&gt;$AR$5,($AS$5-$AR$5)*D535,0)</f>
        <v>0</v>
      </c>
      <c r="AV386" s="780">
        <f t="shared" ref="AV386" si="3273">IF($AS$5&gt;$AR$5,($AS$5-$AR$5)*E535,0)</f>
        <v>0</v>
      </c>
      <c r="AW386" s="781">
        <f t="shared" ref="AW386" si="3274">IF($AS$5&gt;$AR$5,($AS$5-$AR$5)*F535,0)</f>
        <v>0</v>
      </c>
      <c r="AX386" s="782">
        <f t="shared" ref="AX386" si="3275">IF($AS$5&gt;$AR$5,($AS$5-$AR$5)*G535,0)</f>
        <v>0</v>
      </c>
      <c r="AY386" s="780">
        <f t="shared" ref="AY386" si="3276">IF($AS$5&gt;$AR$5,($AS$5-$AR$5)*H535,0)</f>
        <v>0</v>
      </c>
      <c r="AZ386" s="780">
        <f t="shared" ref="AZ386" si="3277">IF($AS$5&gt;$AR$5,($AS$5-$AR$5)*I535,0)</f>
        <v>0</v>
      </c>
      <c r="BA386" s="780">
        <f t="shared" ref="BA386" si="3278">IF($AS$5&gt;$AR$5,($AS$5-$AR$5)*J535,0)</f>
        <v>0</v>
      </c>
      <c r="BB386" s="780">
        <f t="shared" ref="BB386" si="3279">IF($AS$5&gt;$AR$5,($AS$5-$AR$5)*K535,0)</f>
        <v>0</v>
      </c>
      <c r="BC386" s="780">
        <f t="shared" ref="BC386" si="3280">IF($AS$5&gt;$AR$5,($AS$5-$AR$5)*L535,0)</f>
        <v>0</v>
      </c>
      <c r="BD386" s="780">
        <f t="shared" ref="BD386" si="3281">IF($AS$5&gt;$AR$5,($AS$5-$AR$5)*M535,0)</f>
        <v>0</v>
      </c>
      <c r="BE386" s="780">
        <f t="shared" ref="BE386" si="3282">IF($AS$5&gt;$AR$5,($AS$5-$AR$5)*N535,0)</f>
        <v>0</v>
      </c>
      <c r="BF386" s="780">
        <f t="shared" ref="BF386" si="3283">IF($AS$5&gt;$AR$5,($AS$5-$AR$5)*O535,0)</f>
        <v>0</v>
      </c>
      <c r="BG386" s="780">
        <f t="shared" ref="BG386" si="3284">IF($AS$5&gt;$AR$5,($AS$5-$AR$5)*P535,0)</f>
        <v>0</v>
      </c>
      <c r="BH386" s="780">
        <f t="shared" ref="BH386" si="3285">IF($AS$5&gt;$AR$5,($AS$5-$AR$5)*Q535,0)</f>
        <v>0</v>
      </c>
      <c r="BI386" s="781">
        <f t="shared" ref="BI386" si="3286">IF($AS$5&gt;$AR$5,($AS$5-$AR$5)*R535,0)</f>
        <v>0</v>
      </c>
    </row>
    <row r="387" spans="1:61" s="780" customFormat="1" hidden="1" outlineLevel="1">
      <c r="A387" s="780" t="str">
        <f>$A$536</f>
        <v>Leads</v>
      </c>
      <c r="M387" s="781"/>
      <c r="N387" s="782"/>
      <c r="Y387" s="781"/>
      <c r="Z387" s="782"/>
      <c r="AK387" s="781"/>
      <c r="AL387" s="782"/>
      <c r="AS387" s="780">
        <f>IF($AS$5&gt;$AR$5,($AS$5-$AR$5)*B536,0)</f>
        <v>0</v>
      </c>
      <c r="AT387" s="780">
        <f t="shared" ref="AT387:BI387" si="3287">IF($AS$5&gt;$AR$5,($AS$5-$AR$5)*C536,0)</f>
        <v>0</v>
      </c>
      <c r="AU387" s="780">
        <f t="shared" si="3287"/>
        <v>0</v>
      </c>
      <c r="AV387" s="780">
        <f t="shared" si="3287"/>
        <v>0</v>
      </c>
      <c r="AW387" s="781">
        <f t="shared" si="3287"/>
        <v>0</v>
      </c>
      <c r="AX387" s="782">
        <f t="shared" si="3287"/>
        <v>0</v>
      </c>
      <c r="AY387" s="780">
        <f t="shared" si="3287"/>
        <v>0</v>
      </c>
      <c r="AZ387" s="780">
        <f t="shared" si="3287"/>
        <v>0</v>
      </c>
      <c r="BA387" s="780">
        <f t="shared" si="3287"/>
        <v>0</v>
      </c>
      <c r="BB387" s="780">
        <f t="shared" si="3287"/>
        <v>0</v>
      </c>
      <c r="BC387" s="780">
        <f t="shared" si="3287"/>
        <v>0</v>
      </c>
      <c r="BD387" s="780">
        <f t="shared" si="3287"/>
        <v>0</v>
      </c>
      <c r="BE387" s="780">
        <f t="shared" si="3287"/>
        <v>0</v>
      </c>
      <c r="BF387" s="780">
        <f t="shared" si="3287"/>
        <v>0</v>
      </c>
      <c r="BG387" s="780">
        <f t="shared" si="3287"/>
        <v>0</v>
      </c>
      <c r="BH387" s="780">
        <f t="shared" si="3287"/>
        <v>0</v>
      </c>
      <c r="BI387" s="781">
        <f t="shared" si="3287"/>
        <v>0</v>
      </c>
    </row>
    <row r="388" spans="1:61" s="780" customFormat="1" hidden="1" outlineLevel="1">
      <c r="A388" s="780" t="str">
        <f>$A$537</f>
        <v>Audits</v>
      </c>
      <c r="M388" s="781"/>
      <c r="N388" s="782"/>
      <c r="Y388" s="781"/>
      <c r="Z388" s="782"/>
      <c r="AK388" s="781"/>
      <c r="AL388" s="782"/>
      <c r="AS388" s="780">
        <f t="shared" ref="AS388:BI388" si="3288">IF($AS$5&gt;$AR$5,($AS$5-$AR$5)*B537,0)</f>
        <v>0</v>
      </c>
      <c r="AT388" s="780">
        <f t="shared" si="3288"/>
        <v>0</v>
      </c>
      <c r="AU388" s="780">
        <f t="shared" si="3288"/>
        <v>0</v>
      </c>
      <c r="AV388" s="780">
        <f t="shared" si="3288"/>
        <v>0</v>
      </c>
      <c r="AW388" s="781">
        <f t="shared" si="3288"/>
        <v>0</v>
      </c>
      <c r="AX388" s="782">
        <f t="shared" si="3288"/>
        <v>0</v>
      </c>
      <c r="AY388" s="780">
        <f t="shared" si="3288"/>
        <v>0</v>
      </c>
      <c r="AZ388" s="780">
        <f t="shared" si="3288"/>
        <v>0</v>
      </c>
      <c r="BA388" s="780">
        <f t="shared" si="3288"/>
        <v>0</v>
      </c>
      <c r="BB388" s="780">
        <f t="shared" si="3288"/>
        <v>0</v>
      </c>
      <c r="BC388" s="780">
        <f t="shared" si="3288"/>
        <v>0</v>
      </c>
      <c r="BD388" s="780">
        <f t="shared" si="3288"/>
        <v>0</v>
      </c>
      <c r="BE388" s="780">
        <f t="shared" si="3288"/>
        <v>0</v>
      </c>
      <c r="BF388" s="780">
        <f t="shared" si="3288"/>
        <v>0</v>
      </c>
      <c r="BG388" s="780">
        <f t="shared" si="3288"/>
        <v>0</v>
      </c>
      <c r="BH388" s="780">
        <f t="shared" si="3288"/>
        <v>0</v>
      </c>
      <c r="BI388" s="781">
        <f t="shared" si="3288"/>
        <v>0</v>
      </c>
    </row>
    <row r="389" spans="1:61" s="780" customFormat="1" hidden="1" outlineLevel="1">
      <c r="A389" s="780" t="str">
        <f>$A$538</f>
        <v>Retrofit</v>
      </c>
      <c r="M389" s="781"/>
      <c r="N389" s="782"/>
      <c r="Y389" s="781"/>
      <c r="Z389" s="782"/>
      <c r="AK389" s="781"/>
      <c r="AL389" s="782"/>
      <c r="AS389" s="780">
        <f t="shared" ref="AS389:BI389" si="3289">IF($AS$5&gt;$AR$5,($AS$5-$AR$5)*B538,0)</f>
        <v>0</v>
      </c>
      <c r="AT389" s="780">
        <f t="shared" si="3289"/>
        <v>0</v>
      </c>
      <c r="AU389" s="780">
        <f t="shared" si="3289"/>
        <v>0</v>
      </c>
      <c r="AV389" s="780">
        <f t="shared" si="3289"/>
        <v>0</v>
      </c>
      <c r="AW389" s="781">
        <f t="shared" si="3289"/>
        <v>0</v>
      </c>
      <c r="AX389" s="782">
        <f t="shared" si="3289"/>
        <v>0</v>
      </c>
      <c r="AY389" s="780">
        <f t="shared" si="3289"/>
        <v>0</v>
      </c>
      <c r="AZ389" s="780">
        <f t="shared" si="3289"/>
        <v>0</v>
      </c>
      <c r="BA389" s="780">
        <f t="shared" si="3289"/>
        <v>0</v>
      </c>
      <c r="BB389" s="780">
        <f t="shared" si="3289"/>
        <v>0</v>
      </c>
      <c r="BC389" s="780">
        <f t="shared" si="3289"/>
        <v>0</v>
      </c>
      <c r="BD389" s="780">
        <f t="shared" si="3289"/>
        <v>0</v>
      </c>
      <c r="BE389" s="780">
        <f t="shared" si="3289"/>
        <v>0</v>
      </c>
      <c r="BF389" s="780">
        <f t="shared" si="3289"/>
        <v>0</v>
      </c>
      <c r="BG389" s="780">
        <f t="shared" si="3289"/>
        <v>0</v>
      </c>
      <c r="BH389" s="780">
        <f t="shared" si="3289"/>
        <v>0</v>
      </c>
      <c r="BI389" s="781">
        <f t="shared" si="3289"/>
        <v>0</v>
      </c>
    </row>
    <row r="390" spans="1:61" s="780" customFormat="1" hidden="1" outlineLevel="1">
      <c r="A390" s="780" t="str">
        <f>$A$539</f>
        <v>Revenue</v>
      </c>
      <c r="M390" s="781"/>
      <c r="N390" s="782"/>
      <c r="Y390" s="781"/>
      <c r="Z390" s="782"/>
      <c r="AK390" s="781"/>
      <c r="AL390" s="782"/>
      <c r="AS390" s="780">
        <f t="shared" ref="AS390:BI390" si="3290">IF($AS$5&gt;$AR$5,($AS$5-$AR$5)*B539,0)</f>
        <v>0</v>
      </c>
      <c r="AT390" s="780">
        <f t="shared" si="3290"/>
        <v>0</v>
      </c>
      <c r="AU390" s="780">
        <f t="shared" si="3290"/>
        <v>0</v>
      </c>
      <c r="AV390" s="780">
        <f t="shared" si="3290"/>
        <v>0</v>
      </c>
      <c r="AW390" s="781">
        <f t="shared" si="3290"/>
        <v>0</v>
      </c>
      <c r="AX390" s="782">
        <f t="shared" si="3290"/>
        <v>0</v>
      </c>
      <c r="AY390" s="780">
        <f t="shared" si="3290"/>
        <v>0</v>
      </c>
      <c r="AZ390" s="780">
        <f t="shared" si="3290"/>
        <v>0</v>
      </c>
      <c r="BA390" s="780">
        <f t="shared" si="3290"/>
        <v>0</v>
      </c>
      <c r="BB390" s="780">
        <f t="shared" si="3290"/>
        <v>0</v>
      </c>
      <c r="BC390" s="780">
        <f t="shared" si="3290"/>
        <v>0</v>
      </c>
      <c r="BD390" s="780">
        <f t="shared" si="3290"/>
        <v>0</v>
      </c>
      <c r="BE390" s="780">
        <f t="shared" si="3290"/>
        <v>0</v>
      </c>
      <c r="BF390" s="780">
        <f t="shared" si="3290"/>
        <v>0</v>
      </c>
      <c r="BG390" s="780">
        <f t="shared" si="3290"/>
        <v>0</v>
      </c>
      <c r="BH390" s="780">
        <f t="shared" si="3290"/>
        <v>0</v>
      </c>
      <c r="BI390" s="781">
        <f t="shared" si="3290"/>
        <v>0</v>
      </c>
    </row>
    <row r="391" spans="1:61" s="780" customFormat="1" hidden="1" outlineLevel="1">
      <c r="A391" s="780" t="str">
        <f>$A$540</f>
        <v>Net Income</v>
      </c>
      <c r="M391" s="781"/>
      <c r="N391" s="782"/>
      <c r="Y391" s="781"/>
      <c r="Z391" s="782"/>
      <c r="AK391" s="781"/>
      <c r="AL391" s="782"/>
      <c r="AS391" s="780">
        <f t="shared" ref="AS391:BI391" si="3291">IF($AS$5&gt;$AR$5,($AS$5-$AR$5)*B540,0)</f>
        <v>0</v>
      </c>
      <c r="AT391" s="780">
        <f t="shared" si="3291"/>
        <v>0</v>
      </c>
      <c r="AU391" s="780">
        <f t="shared" si="3291"/>
        <v>0</v>
      </c>
      <c r="AV391" s="780">
        <f t="shared" si="3291"/>
        <v>0</v>
      </c>
      <c r="AW391" s="781">
        <f t="shared" si="3291"/>
        <v>0</v>
      </c>
      <c r="AX391" s="782">
        <f t="shared" si="3291"/>
        <v>0</v>
      </c>
      <c r="AY391" s="780">
        <f t="shared" si="3291"/>
        <v>0</v>
      </c>
      <c r="AZ391" s="780">
        <f t="shared" si="3291"/>
        <v>0</v>
      </c>
      <c r="BA391" s="780">
        <f t="shared" si="3291"/>
        <v>0</v>
      </c>
      <c r="BB391" s="780">
        <f t="shared" si="3291"/>
        <v>0</v>
      </c>
      <c r="BC391" s="780">
        <f t="shared" si="3291"/>
        <v>0</v>
      </c>
      <c r="BD391" s="780">
        <f t="shared" si="3291"/>
        <v>0</v>
      </c>
      <c r="BE391" s="780">
        <f t="shared" si="3291"/>
        <v>0</v>
      </c>
      <c r="BF391" s="780">
        <f t="shared" si="3291"/>
        <v>0</v>
      </c>
      <c r="BG391" s="780">
        <f t="shared" si="3291"/>
        <v>0</v>
      </c>
      <c r="BH391" s="780">
        <f t="shared" si="3291"/>
        <v>0</v>
      </c>
      <c r="BI391" s="781">
        <f t="shared" si="3291"/>
        <v>0</v>
      </c>
    </row>
    <row r="392" spans="1:61" s="780" customFormat="1" hidden="1" outlineLevel="1">
      <c r="A392" s="780" t="str">
        <f>$A$541</f>
        <v>Program Revenue</v>
      </c>
      <c r="M392" s="781"/>
      <c r="N392" s="782"/>
      <c r="Y392" s="781"/>
      <c r="Z392" s="782"/>
      <c r="AK392" s="781"/>
      <c r="AL392" s="782"/>
      <c r="AS392" s="780">
        <f t="shared" ref="AS392" si="3292">IF($AS$5&gt;$AR$5,($AS$5-$AR$5)*B541,0)</f>
        <v>0</v>
      </c>
      <c r="AT392" s="780">
        <f t="shared" ref="AT392" si="3293">IF($AS$5&gt;$AR$5,($AS$5-$AR$5)*C541,0)</f>
        <v>0</v>
      </c>
      <c r="AU392" s="780">
        <f t="shared" ref="AU392" si="3294">IF($AS$5&gt;$AR$5,($AS$5-$AR$5)*D541,0)</f>
        <v>0</v>
      </c>
      <c r="AV392" s="780">
        <f t="shared" ref="AV392" si="3295">IF($AS$5&gt;$AR$5,($AS$5-$AR$5)*E541,0)</f>
        <v>0</v>
      </c>
      <c r="AW392" s="781">
        <f t="shared" ref="AW392" si="3296">IF($AS$5&gt;$AR$5,($AS$5-$AR$5)*F541,0)</f>
        <v>0</v>
      </c>
      <c r="AX392" s="782">
        <f t="shared" ref="AX392" si="3297">IF($AS$5&gt;$AR$5,($AS$5-$AR$5)*G541,0)</f>
        <v>0</v>
      </c>
      <c r="AY392" s="780">
        <f t="shared" ref="AY392" si="3298">IF($AS$5&gt;$AR$5,($AS$5-$AR$5)*H541,0)</f>
        <v>0</v>
      </c>
      <c r="AZ392" s="780">
        <f t="shared" ref="AZ392" si="3299">IF($AS$5&gt;$AR$5,($AS$5-$AR$5)*I541,0)</f>
        <v>0</v>
      </c>
      <c r="BA392" s="780">
        <f t="shared" ref="BA392" si="3300">IF($AS$5&gt;$AR$5,($AS$5-$AR$5)*J541,0)</f>
        <v>0</v>
      </c>
      <c r="BB392" s="780">
        <f t="shared" ref="BB392" si="3301">IF($AS$5&gt;$AR$5,($AS$5-$AR$5)*K541,0)</f>
        <v>0</v>
      </c>
      <c r="BC392" s="780">
        <f t="shared" ref="BC392" si="3302">IF($AS$5&gt;$AR$5,($AS$5-$AR$5)*L541,0)</f>
        <v>0</v>
      </c>
      <c r="BD392" s="780">
        <f t="shared" ref="BD392" si="3303">IF($AS$5&gt;$AR$5,($AS$5-$AR$5)*M541,0)</f>
        <v>0</v>
      </c>
      <c r="BE392" s="780">
        <f t="shared" ref="BE392" si="3304">IF($AS$5&gt;$AR$5,($AS$5-$AR$5)*N541,0)</f>
        <v>0</v>
      </c>
      <c r="BF392" s="780">
        <f t="shared" ref="BF392" si="3305">IF($AS$5&gt;$AR$5,($AS$5-$AR$5)*O541,0)</f>
        <v>0</v>
      </c>
      <c r="BG392" s="780">
        <f t="shared" ref="BG392" si="3306">IF($AS$5&gt;$AR$5,($AS$5-$AR$5)*P541,0)</f>
        <v>0</v>
      </c>
      <c r="BH392" s="780">
        <f t="shared" ref="BH392" si="3307">IF($AS$5&gt;$AR$5,($AS$5-$AR$5)*Q541,0)</f>
        <v>0</v>
      </c>
      <c r="BI392" s="781">
        <f t="shared" ref="BI392" si="3308">IF($AS$5&gt;$AR$5,($AS$5-$AR$5)*R541,0)</f>
        <v>0</v>
      </c>
    </row>
    <row r="393" spans="1:61" s="780" customFormat="1" hidden="1" outlineLevel="1">
      <c r="M393" s="781"/>
      <c r="N393" s="782"/>
      <c r="Y393" s="781"/>
      <c r="Z393" s="782"/>
      <c r="AK393" s="781"/>
      <c r="AL393" s="782"/>
      <c r="AW393" s="781"/>
      <c r="AX393" s="782"/>
      <c r="BI393" s="781"/>
    </row>
    <row r="394" spans="1:61" s="780" customFormat="1" hidden="1" outlineLevel="1">
      <c r="A394" s="780" t="s">
        <v>359</v>
      </c>
      <c r="M394" s="781"/>
      <c r="N394" s="782"/>
      <c r="Y394" s="781"/>
      <c r="Z394" s="782"/>
      <c r="AK394" s="781"/>
      <c r="AL394" s="782"/>
      <c r="AT394" s="780">
        <f>IF($AT$5&gt;$AS$5,($AT$5-$AS$5)*B535,0)</f>
        <v>8</v>
      </c>
      <c r="AU394" s="780">
        <f t="shared" ref="AU394" si="3309">IF($AT$5&gt;$AS$5,($AT$5-$AS$5)*C535,0)</f>
        <v>8.3824000000000005</v>
      </c>
      <c r="AV394" s="780">
        <f t="shared" ref="AV394" si="3310">IF($AT$5&gt;$AS$5,($AT$5-$AS$5)*D535,0)</f>
        <v>8.790016102400001</v>
      </c>
      <c r="AW394" s="781">
        <f t="shared" ref="AW394" si="3311">IF($AT$5&gt;$AS$5,($AT$5-$AS$5)*E535,0)</f>
        <v>9.2244218586677267</v>
      </c>
      <c r="AX394" s="782">
        <f t="shared" ref="AX394" si="3312">IF($AT$5&gt;$AS$5,($AT$5-$AS$5)*F535,0)</f>
        <v>9.6872643857899394</v>
      </c>
      <c r="AY394" s="780">
        <f t="shared" ref="AY394" si="3313">IF($AT$5&gt;$AS$5,($AT$5-$AS$5)*G535,0)</f>
        <v>10.180266404063699</v>
      </c>
      <c r="AZ394" s="780">
        <f t="shared" ref="AZ394" si="3314">IF($AT$5&gt;$AS$5,($AT$5-$AS$5)*H535,0)</f>
        <v>10.705228286703797</v>
      </c>
      <c r="BA394" s="780">
        <f t="shared" ref="BA394" si="3315">IF($AT$5&gt;$AS$5,($AT$5-$AS$5)*I535,0)</f>
        <v>11.264030122404236</v>
      </c>
      <c r="BB394" s="780">
        <f t="shared" ref="BB394" si="3316">IF($AT$5&gt;$AS$5,($AT$5-$AS$5)*J535,0)</f>
        <v>11.858633792363815</v>
      </c>
      <c r="BC394" s="780">
        <f t="shared" ref="BC394" si="3317">IF($AT$5&gt;$AS$5,($AT$5-$AS$5)*K535,0)</f>
        <v>12.491085063681208</v>
      </c>
      <c r="BD394" s="780">
        <f t="shared" ref="BD394" si="3318">IF($AT$5&gt;$AS$5,($AT$5-$AS$5)*L535,0)</f>
        <v>13.163515701442698</v>
      </c>
      <c r="BE394" s="780">
        <f t="shared" ref="BE394" si="3319">IF($AT$5&gt;$AS$5,($AT$5-$AS$5)*M535,0)</f>
        <v>13.878145602265221</v>
      </c>
      <c r="BF394" s="780">
        <f t="shared" ref="BF394" si="3320">IF($AT$5&gt;$AS$5,($AT$5-$AS$5)*N535,0)</f>
        <v>14.640802427106802</v>
      </c>
      <c r="BG394" s="780">
        <f t="shared" ref="BG394" si="3321">IF($AT$5&gt;$AS$5,($AT$5-$AS$5)*O535,0)</f>
        <v>15.454179973028484</v>
      </c>
      <c r="BH394" s="780">
        <f t="shared" ref="BH394" si="3322">IF($AT$5&gt;$AS$5,($AT$5-$AS$5)*P535,0)</f>
        <v>16.321067007803048</v>
      </c>
      <c r="BI394" s="781">
        <f t="shared" ref="BI394" si="3323">IF($AT$5&gt;$AS$5,($AT$5-$AS$5)*Q535,0)</f>
        <v>17.244348126107901</v>
      </c>
    </row>
    <row r="395" spans="1:61" s="780" customFormat="1" hidden="1" outlineLevel="1">
      <c r="A395" s="780" t="str">
        <f>$A$536</f>
        <v>Leads</v>
      </c>
      <c r="M395" s="781"/>
      <c r="N395" s="782"/>
      <c r="Y395" s="781"/>
      <c r="Z395" s="782"/>
      <c r="AK395" s="781"/>
      <c r="AL395" s="782"/>
      <c r="AT395" s="780">
        <f>IF($AT$5&gt;$AS$5,($AT$5-$AS$5)*B536,0)</f>
        <v>20</v>
      </c>
      <c r="AU395" s="780">
        <f t="shared" ref="AU395:BI395" si="3324">IF($AT$5&gt;$AS$5,($AT$5-$AS$5)*C536,0)</f>
        <v>20.8</v>
      </c>
      <c r="AV395" s="780">
        <f t="shared" si="3324"/>
        <v>21.632000000000001</v>
      </c>
      <c r="AW395" s="781">
        <f t="shared" si="3324"/>
        <v>22.497280000000003</v>
      </c>
      <c r="AX395" s="782">
        <f t="shared" si="3324"/>
        <v>23.397171200000006</v>
      </c>
      <c r="AY395" s="780">
        <f t="shared" si="3324"/>
        <v>24.333058048000009</v>
      </c>
      <c r="AZ395" s="780">
        <f t="shared" si="3324"/>
        <v>25.30638036992001</v>
      </c>
      <c r="BA395" s="780">
        <f t="shared" si="3324"/>
        <v>26.318635584716812</v>
      </c>
      <c r="BB395" s="780">
        <f t="shared" si="3324"/>
        <v>27.371381008105487</v>
      </c>
      <c r="BC395" s="780">
        <f t="shared" si="3324"/>
        <v>28.466236248429709</v>
      </c>
      <c r="BD395" s="780">
        <f t="shared" si="3324"/>
        <v>29.6048856983669</v>
      </c>
      <c r="BE395" s="780">
        <f t="shared" si="3324"/>
        <v>30.789081126301578</v>
      </c>
      <c r="BF395" s="780">
        <f t="shared" si="3324"/>
        <v>32.02064437135364</v>
      </c>
      <c r="BG395" s="780">
        <f t="shared" si="3324"/>
        <v>33.301470146207784</v>
      </c>
      <c r="BH395" s="780">
        <f t="shared" si="3324"/>
        <v>34.633528952056096</v>
      </c>
      <c r="BI395" s="781">
        <f t="shared" si="3324"/>
        <v>36.018870110138344</v>
      </c>
    </row>
    <row r="396" spans="1:61" s="780" customFormat="1" hidden="1" outlineLevel="1">
      <c r="A396" s="780" t="str">
        <f>$A$537</f>
        <v>Audits</v>
      </c>
      <c r="M396" s="781"/>
      <c r="N396" s="782"/>
      <c r="Y396" s="781"/>
      <c r="Z396" s="782"/>
      <c r="AK396" s="781"/>
      <c r="AL396" s="782"/>
      <c r="AT396" s="780">
        <f t="shared" ref="AT396:BI396" si="3325">IF($AT$5&gt;$AS$5,($AT$5-$AS$5)*B537,0)</f>
        <v>7.8466960352422905</v>
      </c>
      <c r="AU396" s="780">
        <f t="shared" si="3325"/>
        <v>8.1805560257268723</v>
      </c>
      <c r="AV396" s="780">
        <f t="shared" si="3325"/>
        <v>8.556158139083367</v>
      </c>
      <c r="AW396" s="781">
        <f t="shared" si="3325"/>
        <v>8.9523024684242678</v>
      </c>
      <c r="AX396" s="782">
        <f t="shared" si="3325"/>
        <v>9.3702787716763911</v>
      </c>
      <c r="AY396" s="780">
        <f t="shared" si="3325"/>
        <v>9.811453812672589</v>
      </c>
      <c r="AZ396" s="780">
        <f t="shared" si="3325"/>
        <v>10.277273093546537</v>
      </c>
      <c r="BA396" s="780">
        <f t="shared" si="3325"/>
        <v>10.769262132442826</v>
      </c>
      <c r="BB396" s="780">
        <f t="shared" si="3325"/>
        <v>11.289027268145146</v>
      </c>
      <c r="BC396" s="780">
        <f t="shared" si="3325"/>
        <v>11.838255995812663</v>
      </c>
      <c r="BD396" s="780">
        <f t="shared" si="3325"/>
        <v>12.418716863200714</v>
      </c>
      <c r="BE396" s="780">
        <f t="shared" si="3325"/>
        <v>13.032258982971491</v>
      </c>
      <c r="BF396" s="780">
        <f t="shared" si="3325"/>
        <v>13.681748513642187</v>
      </c>
      <c r="BG396" s="780">
        <f t="shared" si="3325"/>
        <v>14.367753613373562</v>
      </c>
      <c r="BH396" s="780">
        <f t="shared" si="3325"/>
        <v>15.094450719778326</v>
      </c>
      <c r="BI396" s="781">
        <f t="shared" si="3325"/>
        <v>15.864274704794562</v>
      </c>
    </row>
    <row r="397" spans="1:61" s="780" customFormat="1" hidden="1" outlineLevel="1">
      <c r="A397" s="780" t="str">
        <f>$A$538</f>
        <v>Retrofit</v>
      </c>
      <c r="M397" s="781"/>
      <c r="N397" s="782"/>
      <c r="Y397" s="781"/>
      <c r="Z397" s="782"/>
      <c r="AK397" s="781"/>
      <c r="AL397" s="782"/>
      <c r="AT397" s="780">
        <f t="shared" ref="AT397:BI397" si="3326">IF($AT$5&gt;$AS$5,($AT$5-$AS$5)*B538,0)</f>
        <v>3.2741145374449339</v>
      </c>
      <c r="AU397" s="780">
        <f t="shared" si="3326"/>
        <v>3.4211429613668018</v>
      </c>
      <c r="AV397" s="780">
        <f t="shared" si="3326"/>
        <v>3.6089747928733105</v>
      </c>
      <c r="AW397" s="781">
        <f t="shared" si="3326"/>
        <v>3.80943356172375</v>
      </c>
      <c r="AX397" s="782">
        <f t="shared" si="3326"/>
        <v>4.023495407635</v>
      </c>
      <c r="AY397" s="780">
        <f t="shared" si="3326"/>
        <v>4.2522035025469851</v>
      </c>
      <c r="AZ397" s="780">
        <f t="shared" si="3326"/>
        <v>4.4966691121698661</v>
      </c>
      <c r="BA397" s="780">
        <f t="shared" si="3326"/>
        <v>4.7580720961942786</v>
      </c>
      <c r="BB397" s="780">
        <f t="shared" si="3326"/>
        <v>5.0376608331454982</v>
      </c>
      <c r="BC397" s="780">
        <f t="shared" si="3326"/>
        <v>5.3367515834608863</v>
      </c>
      <c r="BD397" s="780">
        <f t="shared" si="3326"/>
        <v>5.6567273345837759</v>
      </c>
      <c r="BE397" s="780">
        <f t="shared" si="3326"/>
        <v>5.9990362027609887</v>
      </c>
      <c r="BF397" s="780">
        <f t="shared" si="3326"/>
        <v>6.3656710756275423</v>
      </c>
      <c r="BG397" s="780">
        <f t="shared" si="3326"/>
        <v>6.7527905497767229</v>
      </c>
      <c r="BH397" s="780">
        <f t="shared" si="3326"/>
        <v>7.1679946156961591</v>
      </c>
      <c r="BI397" s="781">
        <f t="shared" si="3326"/>
        <v>7.6132687220703144</v>
      </c>
    </row>
    <row r="398" spans="1:61" s="780" customFormat="1" hidden="1" outlineLevel="1">
      <c r="A398" s="780" t="str">
        <f>$A$539</f>
        <v>Revenue</v>
      </c>
      <c r="M398" s="781"/>
      <c r="N398" s="782"/>
      <c r="Y398" s="781"/>
      <c r="Z398" s="782"/>
      <c r="AK398" s="781"/>
      <c r="AL398" s="782"/>
      <c r="AT398" s="780">
        <f t="shared" ref="AT398:BI398" si="3327">IF($AT$5&gt;$AS$5,($AT$5-$AS$5)*B539,0)</f>
        <v>20728.933920704847</v>
      </c>
      <c r="AU398" s="780">
        <f t="shared" si="3327"/>
        <v>22334.796424579898</v>
      </c>
      <c r="AV398" s="780">
        <f t="shared" si="3327"/>
        <v>24261.379157843236</v>
      </c>
      <c r="AW398" s="781">
        <f t="shared" si="3327"/>
        <v>27109.041527058151</v>
      </c>
      <c r="AX398" s="782">
        <f t="shared" si="3327"/>
        <v>29411.012063918617</v>
      </c>
      <c r="AY398" s="780">
        <f t="shared" si="3327"/>
        <v>31904.731979940196</v>
      </c>
      <c r="AZ398" s="780">
        <f t="shared" si="3327"/>
        <v>34157.516935543477</v>
      </c>
      <c r="BA398" s="780">
        <f t="shared" si="3327"/>
        <v>36585.144030160183</v>
      </c>
      <c r="BB398" s="780">
        <f t="shared" si="3327"/>
        <v>39202.024549786183</v>
      </c>
      <c r="BC398" s="780">
        <f t="shared" si="3327"/>
        <v>41489.907780370268</v>
      </c>
      <c r="BD398" s="780">
        <f t="shared" si="3327"/>
        <v>43934.936399734994</v>
      </c>
      <c r="BE398" s="780">
        <f t="shared" si="3327"/>
        <v>46547.932291314006</v>
      </c>
      <c r="BF398" s="780">
        <f t="shared" si="3327"/>
        <v>48812.622611071754</v>
      </c>
      <c r="BG398" s="780">
        <f t="shared" si="3327"/>
        <v>51746.745047763237</v>
      </c>
      <c r="BH398" s="780">
        <f t="shared" si="3327"/>
        <v>54891.491572423707</v>
      </c>
      <c r="BI398" s="781">
        <f t="shared" si="3327"/>
        <v>58261.704056497998</v>
      </c>
    </row>
    <row r="399" spans="1:61" s="780" customFormat="1" hidden="1" outlineLevel="1">
      <c r="A399" s="780" t="str">
        <f>$A$540</f>
        <v>Net Income</v>
      </c>
      <c r="M399" s="781"/>
      <c r="N399" s="782"/>
      <c r="Y399" s="781"/>
      <c r="Z399" s="782"/>
      <c r="AK399" s="781"/>
      <c r="AL399" s="782"/>
      <c r="AT399" s="780">
        <f t="shared" ref="AT399:BI399" si="3328">IF($AT$5&gt;$AS$5,($AT$5-$AS$5)*B540,0)</f>
        <v>-33184.964170807638</v>
      </c>
      <c r="AU399" s="780">
        <f t="shared" si="3328"/>
        <v>-14837.14568100147</v>
      </c>
      <c r="AV399" s="780">
        <f t="shared" si="3328"/>
        <v>-14268.717003781454</v>
      </c>
      <c r="AW399" s="781">
        <f t="shared" si="3328"/>
        <v>-13405.013342705901</v>
      </c>
      <c r="AX399" s="782">
        <f t="shared" si="3328"/>
        <v>-12685.072540306182</v>
      </c>
      <c r="AY399" s="780">
        <f t="shared" si="3328"/>
        <v>-17604.404805924125</v>
      </c>
      <c r="AZ399" s="780">
        <f t="shared" si="3328"/>
        <v>-15156.124616524507</v>
      </c>
      <c r="BA399" s="780">
        <f t="shared" si="3328"/>
        <v>-13971.31609512752</v>
      </c>
      <c r="BB399" s="780">
        <f t="shared" si="3328"/>
        <v>-13027.555718246989</v>
      </c>
      <c r="BC399" s="780">
        <f t="shared" si="3328"/>
        <v>-12167.444211420123</v>
      </c>
      <c r="BD399" s="780">
        <f t="shared" si="3328"/>
        <v>-11228.257793696379</v>
      </c>
      <c r="BE399" s="780">
        <f t="shared" si="3328"/>
        <v>-10203.756141625032</v>
      </c>
      <c r="BF399" s="780">
        <f t="shared" si="3328"/>
        <v>-8928.9645055486872</v>
      </c>
      <c r="BG399" s="780">
        <f t="shared" si="3328"/>
        <v>-6565.2951604608934</v>
      </c>
      <c r="BH399" s="780">
        <f t="shared" si="3328"/>
        <v>-7951.6323699894165</v>
      </c>
      <c r="BI399" s="781">
        <f t="shared" si="3328"/>
        <v>-6483.5792380389103</v>
      </c>
    </row>
    <row r="400" spans="1:61" s="780" customFormat="1" hidden="1" outlineLevel="1">
      <c r="A400" s="780" t="str">
        <f>$A$541</f>
        <v>Program Revenue</v>
      </c>
      <c r="M400" s="781"/>
      <c r="N400" s="782"/>
      <c r="Y400" s="781"/>
      <c r="Z400" s="782"/>
      <c r="AK400" s="781"/>
      <c r="AL400" s="782"/>
      <c r="AT400" s="780">
        <f t="shared" ref="AT400" si="3329">IF($AT$5&gt;$AS$5,($AT$5-$AS$5)*B541,0)</f>
        <v>1850</v>
      </c>
      <c r="AU400" s="780">
        <f t="shared" ref="AU400" si="3330">IF($AT$5&gt;$AS$5,($AT$5-$AS$5)*C541,0)</f>
        <v>1937.1558751999999</v>
      </c>
      <c r="AV400" s="780">
        <f t="shared" ref="AV400" si="3331">IF($AT$5&gt;$AS$5,($AT$5-$AS$5)*D541,0)</f>
        <v>2030.0190587848704</v>
      </c>
      <c r="AW400" s="781">
        <f t="shared" ref="AW400" si="3332">IF($AT$5&gt;$AS$5,($AT$5-$AS$5)*E541,0)</f>
        <v>2128.941218449359</v>
      </c>
      <c r="AX400" s="782">
        <f t="shared" ref="AX400" si="3333">IF($AT$5&gt;$AS$5,($AT$5-$AS$5)*F541,0)</f>
        <v>2234.2900324673633</v>
      </c>
      <c r="AY400" s="780">
        <f t="shared" ref="AY400" si="3334">IF($AT$5&gt;$AS$5,($AT$5-$AS$5)*G541,0)</f>
        <v>2346.4496034726417</v>
      </c>
      <c r="AZ400" s="780">
        <f t="shared" ref="AZ400" si="3335">IF($AT$5&gt;$AS$5,($AT$5-$AS$5)*H541,0)</f>
        <v>2465.8208731027789</v>
      </c>
      <c r="BA400" s="780">
        <f t="shared" ref="BA400" si="3336">IF($AT$5&gt;$AS$5,($AT$5-$AS$5)*I541,0)</f>
        <v>2592.8220377557409</v>
      </c>
      <c r="BB400" s="780">
        <f t="shared" ref="BB400" si="3337">IF($AT$5&gt;$AS$5,($AT$5-$AS$5)*J541,0)</f>
        <v>2727.8889657926175</v>
      </c>
      <c r="BC400" s="780">
        <f t="shared" ref="BC400" si="3338">IF($AT$5&gt;$AS$5,($AT$5-$AS$5)*K541,0)</f>
        <v>2871.4756166091629</v>
      </c>
      <c r="BD400" s="780">
        <f t="shared" ref="BD400" si="3339">IF($AT$5&gt;$AS$5,($AT$5-$AS$5)*L541,0)</f>
        <v>3024.0544620924302</v>
      </c>
      <c r="BE400" s="780">
        <f t="shared" ref="BE400" si="3340">IF($AT$5&gt;$AS$5,($AT$5-$AS$5)*M541,0)</f>
        <v>3186.1169110768442</v>
      </c>
      <c r="BF400" s="780">
        <f t="shared" ref="BF400" si="3341">IF($AT$5&gt;$AS$5,($AT$5-$AS$5)*N541,0)</f>
        <v>3358.9807376414046</v>
      </c>
      <c r="BG400" s="780">
        <f t="shared" ref="BG400" si="3342">IF($AT$5&gt;$AS$5,($AT$5-$AS$5)*O541,0)</f>
        <v>3543.2416591361321</v>
      </c>
      <c r="BH400" s="780">
        <f t="shared" ref="BH400" si="3343">IF($AT$5&gt;$AS$5,($AT$5-$AS$5)*P541,0)</f>
        <v>3739.515514961849</v>
      </c>
      <c r="BI400" s="781">
        <f t="shared" ref="BI400" si="3344">IF($AT$5&gt;$AS$5,($AT$5-$AS$5)*Q541,0)</f>
        <v>3948.4383904349252</v>
      </c>
    </row>
    <row r="401" spans="1:61" s="780" customFormat="1" hidden="1" outlineLevel="1">
      <c r="M401" s="781"/>
      <c r="N401" s="782"/>
      <c r="Y401" s="781"/>
      <c r="Z401" s="782"/>
      <c r="AK401" s="781"/>
      <c r="AL401" s="782"/>
      <c r="AW401" s="781"/>
      <c r="AX401" s="782"/>
      <c r="BI401" s="781"/>
    </row>
    <row r="402" spans="1:61" s="780" customFormat="1" hidden="1" outlineLevel="1">
      <c r="A402" s="780" t="s">
        <v>359</v>
      </c>
      <c r="M402" s="781"/>
      <c r="N402" s="782"/>
      <c r="Y402" s="781"/>
      <c r="Z402" s="782"/>
      <c r="AK402" s="781"/>
      <c r="AL402" s="782"/>
      <c r="AU402" s="780">
        <f>IF($AU$5&gt;$AT$5,($AU$5-$AT$5)*B535,0)</f>
        <v>8</v>
      </c>
      <c r="AV402" s="780">
        <f t="shared" ref="AV402" si="3345">IF($AU$5&gt;$AT$5,($AU$5-$AT$5)*C535,0)</f>
        <v>8.3824000000000005</v>
      </c>
      <c r="AW402" s="781">
        <f t="shared" ref="AW402" si="3346">IF($AU$5&gt;$AT$5,($AU$5-$AT$5)*D535,0)</f>
        <v>8.790016102400001</v>
      </c>
      <c r="AX402" s="782">
        <f t="shared" ref="AX402" si="3347">IF($AU$5&gt;$AT$5,($AU$5-$AT$5)*E535,0)</f>
        <v>9.2244218586677267</v>
      </c>
      <c r="AY402" s="780">
        <f t="shared" ref="AY402" si="3348">IF($AU$5&gt;$AT$5,($AU$5-$AT$5)*F535,0)</f>
        <v>9.6872643857899394</v>
      </c>
      <c r="AZ402" s="780">
        <f t="shared" ref="AZ402" si="3349">IF($AU$5&gt;$AT$5,($AU$5-$AT$5)*G535,0)</f>
        <v>10.180266404063699</v>
      </c>
      <c r="BA402" s="780">
        <f t="shared" ref="BA402" si="3350">IF($AU$5&gt;$AT$5,($AU$5-$AT$5)*H535,0)</f>
        <v>10.705228286703797</v>
      </c>
      <c r="BB402" s="780">
        <f t="shared" ref="BB402" si="3351">IF($AU$5&gt;$AT$5,($AU$5-$AT$5)*I535,0)</f>
        <v>11.264030122404236</v>
      </c>
      <c r="BC402" s="780">
        <f t="shared" ref="BC402" si="3352">IF($AU$5&gt;$AT$5,($AU$5-$AT$5)*J535,0)</f>
        <v>11.858633792363815</v>
      </c>
      <c r="BD402" s="780">
        <f t="shared" ref="BD402" si="3353">IF($AU$5&gt;$AT$5,($AU$5-$AT$5)*K535,0)</f>
        <v>12.491085063681208</v>
      </c>
      <c r="BE402" s="780">
        <f t="shared" ref="BE402" si="3354">IF($AU$5&gt;$AT$5,($AU$5-$AT$5)*L535,0)</f>
        <v>13.163515701442698</v>
      </c>
      <c r="BF402" s="780">
        <f t="shared" ref="BF402" si="3355">IF($AU$5&gt;$AT$5,($AU$5-$AT$5)*M535,0)</f>
        <v>13.878145602265221</v>
      </c>
      <c r="BG402" s="780">
        <f t="shared" ref="BG402" si="3356">IF($AU$5&gt;$AT$5,($AU$5-$AT$5)*N535,0)</f>
        <v>14.640802427106802</v>
      </c>
      <c r="BH402" s="780">
        <f t="shared" ref="BH402" si="3357">IF($AU$5&gt;$AT$5,($AU$5-$AT$5)*O535,0)</f>
        <v>15.454179973028484</v>
      </c>
      <c r="BI402" s="781">
        <f t="shared" ref="BI402" si="3358">IF($AU$5&gt;$AT$5,($AU$5-$AT$5)*P535,0)</f>
        <v>16.321067007803048</v>
      </c>
    </row>
    <row r="403" spans="1:61" s="780" customFormat="1" hidden="1" outlineLevel="1">
      <c r="A403" s="780" t="str">
        <f>$A$536</f>
        <v>Leads</v>
      </c>
      <c r="M403" s="781"/>
      <c r="N403" s="782"/>
      <c r="Y403" s="781"/>
      <c r="Z403" s="782"/>
      <c r="AK403" s="781"/>
      <c r="AL403" s="782"/>
      <c r="AU403" s="780">
        <f>IF($AU$5&gt;$AT$5,($AU$5-$AT$5)*B536,0)</f>
        <v>20</v>
      </c>
      <c r="AV403" s="780">
        <f t="shared" ref="AV403:BI403" si="3359">IF($AU$5&gt;$AT$5,($AU$5-$AT$5)*C536,0)</f>
        <v>20.8</v>
      </c>
      <c r="AW403" s="781">
        <f t="shared" si="3359"/>
        <v>21.632000000000001</v>
      </c>
      <c r="AX403" s="782">
        <f t="shared" si="3359"/>
        <v>22.497280000000003</v>
      </c>
      <c r="AY403" s="780">
        <f t="shared" si="3359"/>
        <v>23.397171200000006</v>
      </c>
      <c r="AZ403" s="780">
        <f t="shared" si="3359"/>
        <v>24.333058048000009</v>
      </c>
      <c r="BA403" s="780">
        <f t="shared" si="3359"/>
        <v>25.30638036992001</v>
      </c>
      <c r="BB403" s="780">
        <f t="shared" si="3359"/>
        <v>26.318635584716812</v>
      </c>
      <c r="BC403" s="780">
        <f t="shared" si="3359"/>
        <v>27.371381008105487</v>
      </c>
      <c r="BD403" s="780">
        <f t="shared" si="3359"/>
        <v>28.466236248429709</v>
      </c>
      <c r="BE403" s="780">
        <f t="shared" si="3359"/>
        <v>29.6048856983669</v>
      </c>
      <c r="BF403" s="780">
        <f t="shared" si="3359"/>
        <v>30.789081126301578</v>
      </c>
      <c r="BG403" s="780">
        <f t="shared" si="3359"/>
        <v>32.02064437135364</v>
      </c>
      <c r="BH403" s="780">
        <f t="shared" si="3359"/>
        <v>33.301470146207784</v>
      </c>
      <c r="BI403" s="781">
        <f t="shared" si="3359"/>
        <v>34.633528952056096</v>
      </c>
    </row>
    <row r="404" spans="1:61" s="780" customFormat="1" hidden="1" outlineLevel="1">
      <c r="A404" s="780" t="str">
        <f>$A$537</f>
        <v>Audits</v>
      </c>
      <c r="M404" s="781"/>
      <c r="N404" s="782"/>
      <c r="Y404" s="781"/>
      <c r="Z404" s="782"/>
      <c r="AK404" s="781"/>
      <c r="AL404" s="782"/>
      <c r="AU404" s="780">
        <f t="shared" ref="AU404:BI404" si="3360">IF($AU$5&gt;$AT$5,($AU$5-$AT$5)*B537,0)</f>
        <v>7.8466960352422905</v>
      </c>
      <c r="AV404" s="780">
        <f t="shared" si="3360"/>
        <v>8.1805560257268723</v>
      </c>
      <c r="AW404" s="781">
        <f t="shared" si="3360"/>
        <v>8.556158139083367</v>
      </c>
      <c r="AX404" s="782">
        <f t="shared" si="3360"/>
        <v>8.9523024684242678</v>
      </c>
      <c r="AY404" s="780">
        <f t="shared" si="3360"/>
        <v>9.3702787716763911</v>
      </c>
      <c r="AZ404" s="780">
        <f t="shared" si="3360"/>
        <v>9.811453812672589</v>
      </c>
      <c r="BA404" s="780">
        <f t="shared" si="3360"/>
        <v>10.277273093546537</v>
      </c>
      <c r="BB404" s="780">
        <f t="shared" si="3360"/>
        <v>10.769262132442826</v>
      </c>
      <c r="BC404" s="780">
        <f t="shared" si="3360"/>
        <v>11.289027268145146</v>
      </c>
      <c r="BD404" s="780">
        <f t="shared" si="3360"/>
        <v>11.838255995812663</v>
      </c>
      <c r="BE404" s="780">
        <f t="shared" si="3360"/>
        <v>12.418716863200714</v>
      </c>
      <c r="BF404" s="780">
        <f t="shared" si="3360"/>
        <v>13.032258982971491</v>
      </c>
      <c r="BG404" s="780">
        <f t="shared" si="3360"/>
        <v>13.681748513642187</v>
      </c>
      <c r="BH404" s="780">
        <f t="shared" si="3360"/>
        <v>14.367753613373562</v>
      </c>
      <c r="BI404" s="781">
        <f t="shared" si="3360"/>
        <v>15.094450719778326</v>
      </c>
    </row>
    <row r="405" spans="1:61" s="780" customFormat="1" hidden="1" outlineLevel="1">
      <c r="A405" s="780" t="str">
        <f>$A$538</f>
        <v>Retrofit</v>
      </c>
      <c r="M405" s="781"/>
      <c r="N405" s="782"/>
      <c r="Y405" s="781"/>
      <c r="Z405" s="782"/>
      <c r="AK405" s="781"/>
      <c r="AL405" s="782"/>
      <c r="AU405" s="780">
        <f t="shared" ref="AU405:BI405" si="3361">IF($AU$5&gt;$AT$5,($AU$5-$AT$5)*B538,0)</f>
        <v>3.2741145374449339</v>
      </c>
      <c r="AV405" s="780">
        <f t="shared" si="3361"/>
        <v>3.4211429613668018</v>
      </c>
      <c r="AW405" s="781">
        <f t="shared" si="3361"/>
        <v>3.6089747928733105</v>
      </c>
      <c r="AX405" s="782">
        <f t="shared" si="3361"/>
        <v>3.80943356172375</v>
      </c>
      <c r="AY405" s="780">
        <f t="shared" si="3361"/>
        <v>4.023495407635</v>
      </c>
      <c r="AZ405" s="780">
        <f t="shared" si="3361"/>
        <v>4.2522035025469851</v>
      </c>
      <c r="BA405" s="780">
        <f t="shared" si="3361"/>
        <v>4.4966691121698661</v>
      </c>
      <c r="BB405" s="780">
        <f t="shared" si="3361"/>
        <v>4.7580720961942786</v>
      </c>
      <c r="BC405" s="780">
        <f t="shared" si="3361"/>
        <v>5.0376608331454982</v>
      </c>
      <c r="BD405" s="780">
        <f t="shared" si="3361"/>
        <v>5.3367515834608863</v>
      </c>
      <c r="BE405" s="780">
        <f t="shared" si="3361"/>
        <v>5.6567273345837759</v>
      </c>
      <c r="BF405" s="780">
        <f t="shared" si="3361"/>
        <v>5.9990362027609887</v>
      </c>
      <c r="BG405" s="780">
        <f t="shared" si="3361"/>
        <v>6.3656710756275423</v>
      </c>
      <c r="BH405" s="780">
        <f t="shared" si="3361"/>
        <v>6.7527905497767229</v>
      </c>
      <c r="BI405" s="781">
        <f t="shared" si="3361"/>
        <v>7.1679946156961591</v>
      </c>
    </row>
    <row r="406" spans="1:61" s="780" customFormat="1" hidden="1" outlineLevel="1">
      <c r="A406" s="780" t="str">
        <f>$A$539</f>
        <v>Revenue</v>
      </c>
      <c r="M406" s="781"/>
      <c r="N406" s="782"/>
      <c r="Y406" s="781"/>
      <c r="Z406" s="782"/>
      <c r="AK406" s="781"/>
      <c r="AL406" s="782"/>
      <c r="AU406" s="780">
        <f t="shared" ref="AU406:BI406" si="3362">IF($AU$5&gt;$AT$5,($AU$5-$AT$5)*B539,0)</f>
        <v>20728.933920704847</v>
      </c>
      <c r="AV406" s="780">
        <f t="shared" si="3362"/>
        <v>22334.796424579898</v>
      </c>
      <c r="AW406" s="781">
        <f t="shared" si="3362"/>
        <v>24261.379157843236</v>
      </c>
      <c r="AX406" s="782">
        <f t="shared" si="3362"/>
        <v>27109.041527058151</v>
      </c>
      <c r="AY406" s="780">
        <f t="shared" si="3362"/>
        <v>29411.012063918617</v>
      </c>
      <c r="AZ406" s="780">
        <f t="shared" si="3362"/>
        <v>31904.731979940196</v>
      </c>
      <c r="BA406" s="780">
        <f t="shared" si="3362"/>
        <v>34157.516935543477</v>
      </c>
      <c r="BB406" s="780">
        <f t="shared" si="3362"/>
        <v>36585.144030160183</v>
      </c>
      <c r="BC406" s="780">
        <f t="shared" si="3362"/>
        <v>39202.024549786183</v>
      </c>
      <c r="BD406" s="780">
        <f t="shared" si="3362"/>
        <v>41489.907780370268</v>
      </c>
      <c r="BE406" s="780">
        <f t="shared" si="3362"/>
        <v>43934.936399734994</v>
      </c>
      <c r="BF406" s="780">
        <f t="shared" si="3362"/>
        <v>46547.932291314006</v>
      </c>
      <c r="BG406" s="780">
        <f t="shared" si="3362"/>
        <v>48812.622611071754</v>
      </c>
      <c r="BH406" s="780">
        <f t="shared" si="3362"/>
        <v>51746.745047763237</v>
      </c>
      <c r="BI406" s="781">
        <f t="shared" si="3362"/>
        <v>54891.491572423707</v>
      </c>
    </row>
    <row r="407" spans="1:61" s="780" customFormat="1" hidden="1" outlineLevel="1">
      <c r="A407" s="780" t="str">
        <f>$A$540</f>
        <v>Net Income</v>
      </c>
      <c r="M407" s="781"/>
      <c r="N407" s="782"/>
      <c r="Y407" s="781"/>
      <c r="Z407" s="782"/>
      <c r="AK407" s="781"/>
      <c r="AL407" s="782"/>
      <c r="AU407" s="780">
        <f t="shared" ref="AU407:BI407" si="3363">IF($AU$5&gt;$AT$5,($AU$5-$AT$5)*B540,0)</f>
        <v>-33184.964170807638</v>
      </c>
      <c r="AV407" s="780">
        <f t="shared" si="3363"/>
        <v>-14837.14568100147</v>
      </c>
      <c r="AW407" s="781">
        <f t="shared" si="3363"/>
        <v>-14268.717003781454</v>
      </c>
      <c r="AX407" s="782">
        <f t="shared" si="3363"/>
        <v>-13405.013342705901</v>
      </c>
      <c r="AY407" s="780">
        <f t="shared" si="3363"/>
        <v>-12685.072540306182</v>
      </c>
      <c r="AZ407" s="780">
        <f t="shared" si="3363"/>
        <v>-17604.404805924125</v>
      </c>
      <c r="BA407" s="780">
        <f t="shared" si="3363"/>
        <v>-15156.124616524507</v>
      </c>
      <c r="BB407" s="780">
        <f t="shared" si="3363"/>
        <v>-13971.31609512752</v>
      </c>
      <c r="BC407" s="780">
        <f t="shared" si="3363"/>
        <v>-13027.555718246989</v>
      </c>
      <c r="BD407" s="780">
        <f t="shared" si="3363"/>
        <v>-12167.444211420123</v>
      </c>
      <c r="BE407" s="780">
        <f t="shared" si="3363"/>
        <v>-11228.257793696379</v>
      </c>
      <c r="BF407" s="780">
        <f t="shared" si="3363"/>
        <v>-10203.756141625032</v>
      </c>
      <c r="BG407" s="780">
        <f t="shared" si="3363"/>
        <v>-8928.9645055486872</v>
      </c>
      <c r="BH407" s="780">
        <f t="shared" si="3363"/>
        <v>-6565.2951604608934</v>
      </c>
      <c r="BI407" s="781">
        <f t="shared" si="3363"/>
        <v>-7951.6323699894165</v>
      </c>
    </row>
    <row r="408" spans="1:61" s="780" customFormat="1" hidden="1" outlineLevel="1">
      <c r="A408" s="780" t="str">
        <f>$A$541</f>
        <v>Program Revenue</v>
      </c>
      <c r="M408" s="781"/>
      <c r="N408" s="782"/>
      <c r="Y408" s="781"/>
      <c r="Z408" s="782"/>
      <c r="AK408" s="781"/>
      <c r="AL408" s="782"/>
      <c r="AU408" s="780">
        <f t="shared" ref="AU408" si="3364">IF($AU$5&gt;$AT$5,($AU$5-$AT$5)*B541,0)</f>
        <v>1850</v>
      </c>
      <c r="AV408" s="780">
        <f t="shared" ref="AV408" si="3365">IF($AU$5&gt;$AT$5,($AU$5-$AT$5)*C541,0)</f>
        <v>1937.1558751999999</v>
      </c>
      <c r="AW408" s="781">
        <f t="shared" ref="AW408" si="3366">IF($AU$5&gt;$AT$5,($AU$5-$AT$5)*D541,0)</f>
        <v>2030.0190587848704</v>
      </c>
      <c r="AX408" s="782">
        <f t="shared" ref="AX408" si="3367">IF($AU$5&gt;$AT$5,($AU$5-$AT$5)*E541,0)</f>
        <v>2128.941218449359</v>
      </c>
      <c r="AY408" s="780">
        <f t="shared" ref="AY408" si="3368">IF($AU$5&gt;$AT$5,($AU$5-$AT$5)*F541,0)</f>
        <v>2234.2900324673633</v>
      </c>
      <c r="AZ408" s="780">
        <f t="shared" ref="AZ408" si="3369">IF($AU$5&gt;$AT$5,($AU$5-$AT$5)*G541,0)</f>
        <v>2346.4496034726417</v>
      </c>
      <c r="BA408" s="780">
        <f t="shared" ref="BA408" si="3370">IF($AU$5&gt;$AT$5,($AU$5-$AT$5)*H541,0)</f>
        <v>2465.8208731027789</v>
      </c>
      <c r="BB408" s="780">
        <f t="shared" ref="BB408" si="3371">IF($AU$5&gt;$AT$5,($AU$5-$AT$5)*I541,0)</f>
        <v>2592.8220377557409</v>
      </c>
      <c r="BC408" s="780">
        <f t="shared" ref="BC408" si="3372">IF($AU$5&gt;$AT$5,($AU$5-$AT$5)*J541,0)</f>
        <v>2727.8889657926175</v>
      </c>
      <c r="BD408" s="780">
        <f t="shared" ref="BD408" si="3373">IF($AU$5&gt;$AT$5,($AU$5-$AT$5)*K541,0)</f>
        <v>2871.4756166091629</v>
      </c>
      <c r="BE408" s="780">
        <f t="shared" ref="BE408" si="3374">IF($AU$5&gt;$AT$5,($AU$5-$AT$5)*L541,0)</f>
        <v>3024.0544620924302</v>
      </c>
      <c r="BF408" s="780">
        <f t="shared" ref="BF408" si="3375">IF($AU$5&gt;$AT$5,($AU$5-$AT$5)*M541,0)</f>
        <v>3186.1169110768442</v>
      </c>
      <c r="BG408" s="780">
        <f t="shared" ref="BG408" si="3376">IF($AU$5&gt;$AT$5,($AU$5-$AT$5)*N541,0)</f>
        <v>3358.9807376414046</v>
      </c>
      <c r="BH408" s="780">
        <f t="shared" ref="BH408" si="3377">IF($AU$5&gt;$AT$5,($AU$5-$AT$5)*O541,0)</f>
        <v>3543.2416591361321</v>
      </c>
      <c r="BI408" s="781">
        <f t="shared" ref="BI408" si="3378">IF($AU$5&gt;$AT$5,($AU$5-$AT$5)*P541,0)</f>
        <v>3739.515514961849</v>
      </c>
    </row>
    <row r="409" spans="1:61" s="780" customFormat="1" hidden="1" outlineLevel="1">
      <c r="M409" s="781"/>
      <c r="N409" s="782"/>
      <c r="Y409" s="781"/>
      <c r="Z409" s="782"/>
      <c r="AK409" s="781"/>
      <c r="AL409" s="782"/>
      <c r="AW409" s="781"/>
      <c r="AX409" s="782"/>
      <c r="BI409" s="781"/>
    </row>
    <row r="410" spans="1:61" s="780" customFormat="1" hidden="1" outlineLevel="1">
      <c r="A410" s="780" t="s">
        <v>359</v>
      </c>
      <c r="M410" s="781"/>
      <c r="N410" s="782"/>
      <c r="Y410" s="781"/>
      <c r="Z410" s="782"/>
      <c r="AK410" s="781"/>
      <c r="AL410" s="782"/>
      <c r="AV410" s="780">
        <f>IF($AV$5&gt;$AU$5,($AV$5-$AU$5)*B535,0)</f>
        <v>0</v>
      </c>
      <c r="AW410" s="781">
        <f t="shared" ref="AW410" si="3379">IF($AV$5&gt;$AU$5,($AV$5-$AU$5)*C535,0)</f>
        <v>0</v>
      </c>
      <c r="AX410" s="782">
        <f t="shared" ref="AX410" si="3380">IF($AV$5&gt;$AU$5,($AV$5-$AU$5)*D535,0)</f>
        <v>0</v>
      </c>
      <c r="AY410" s="780">
        <f t="shared" ref="AY410" si="3381">IF($AV$5&gt;$AU$5,($AV$5-$AU$5)*E535,0)</f>
        <v>0</v>
      </c>
      <c r="AZ410" s="780">
        <f t="shared" ref="AZ410" si="3382">IF($AV$5&gt;$AU$5,($AV$5-$AU$5)*F535,0)</f>
        <v>0</v>
      </c>
      <c r="BA410" s="780">
        <f t="shared" ref="BA410" si="3383">IF($AV$5&gt;$AU$5,($AV$5-$AU$5)*G535,0)</f>
        <v>0</v>
      </c>
      <c r="BB410" s="780">
        <f t="shared" ref="BB410" si="3384">IF($AV$5&gt;$AU$5,($AV$5-$AU$5)*H535,0)</f>
        <v>0</v>
      </c>
      <c r="BC410" s="780">
        <f t="shared" ref="BC410" si="3385">IF($AV$5&gt;$AU$5,($AV$5-$AU$5)*I535,0)</f>
        <v>0</v>
      </c>
      <c r="BD410" s="780">
        <f t="shared" ref="BD410" si="3386">IF($AV$5&gt;$AU$5,($AV$5-$AU$5)*J535,0)</f>
        <v>0</v>
      </c>
      <c r="BE410" s="780">
        <f t="shared" ref="BE410" si="3387">IF($AV$5&gt;$AU$5,($AV$5-$AU$5)*K535,0)</f>
        <v>0</v>
      </c>
      <c r="BF410" s="780">
        <f t="shared" ref="BF410" si="3388">IF($AV$5&gt;$AU$5,($AV$5-$AU$5)*L535,0)</f>
        <v>0</v>
      </c>
      <c r="BG410" s="780">
        <f t="shared" ref="BG410" si="3389">IF($AV$5&gt;$AU$5,($AV$5-$AU$5)*M535,0)</f>
        <v>0</v>
      </c>
      <c r="BH410" s="780">
        <f t="shared" ref="BH410" si="3390">IF($AV$5&gt;$AU$5,($AV$5-$AU$5)*N535,0)</f>
        <v>0</v>
      </c>
      <c r="BI410" s="781">
        <f t="shared" ref="BI410" si="3391">IF($AV$5&gt;$AU$5,($AV$5-$AU$5)*O535,0)</f>
        <v>0</v>
      </c>
    </row>
    <row r="411" spans="1:61" s="780" customFormat="1" hidden="1" outlineLevel="1">
      <c r="A411" s="780" t="str">
        <f>$A$536</f>
        <v>Leads</v>
      </c>
      <c r="M411" s="781"/>
      <c r="N411" s="782"/>
      <c r="Y411" s="781"/>
      <c r="Z411" s="782"/>
      <c r="AK411" s="781"/>
      <c r="AL411" s="782"/>
      <c r="AV411" s="780">
        <f>IF($AV$5&gt;$AU$5,($AV$5-$AU$5)*B536,0)</f>
        <v>0</v>
      </c>
      <c r="AW411" s="781">
        <f t="shared" ref="AW411:BI411" si="3392">IF($AV$5&gt;$AU$5,($AV$5-$AU$5)*C536,0)</f>
        <v>0</v>
      </c>
      <c r="AX411" s="782">
        <f t="shared" si="3392"/>
        <v>0</v>
      </c>
      <c r="AY411" s="780">
        <f t="shared" si="3392"/>
        <v>0</v>
      </c>
      <c r="AZ411" s="780">
        <f t="shared" si="3392"/>
        <v>0</v>
      </c>
      <c r="BA411" s="780">
        <f t="shared" si="3392"/>
        <v>0</v>
      </c>
      <c r="BB411" s="780">
        <f t="shared" si="3392"/>
        <v>0</v>
      </c>
      <c r="BC411" s="780">
        <f t="shared" si="3392"/>
        <v>0</v>
      </c>
      <c r="BD411" s="780">
        <f t="shared" si="3392"/>
        <v>0</v>
      </c>
      <c r="BE411" s="780">
        <f t="shared" si="3392"/>
        <v>0</v>
      </c>
      <c r="BF411" s="780">
        <f t="shared" si="3392"/>
        <v>0</v>
      </c>
      <c r="BG411" s="780">
        <f t="shared" si="3392"/>
        <v>0</v>
      </c>
      <c r="BH411" s="780">
        <f t="shared" si="3392"/>
        <v>0</v>
      </c>
      <c r="BI411" s="781">
        <f t="shared" si="3392"/>
        <v>0</v>
      </c>
    </row>
    <row r="412" spans="1:61" s="780" customFormat="1" hidden="1" outlineLevel="1">
      <c r="A412" s="780" t="str">
        <f>$A$537</f>
        <v>Audits</v>
      </c>
      <c r="M412" s="781"/>
      <c r="N412" s="782"/>
      <c r="Y412" s="781"/>
      <c r="Z412" s="782"/>
      <c r="AK412" s="781"/>
      <c r="AL412" s="782"/>
      <c r="AV412" s="780">
        <f t="shared" ref="AV412:BI412" si="3393">IF($AV$5&gt;$AU$5,($AV$5-$AU$5)*B537,0)</f>
        <v>0</v>
      </c>
      <c r="AW412" s="781">
        <f t="shared" si="3393"/>
        <v>0</v>
      </c>
      <c r="AX412" s="782">
        <f t="shared" si="3393"/>
        <v>0</v>
      </c>
      <c r="AY412" s="780">
        <f t="shared" si="3393"/>
        <v>0</v>
      </c>
      <c r="AZ412" s="780">
        <f t="shared" si="3393"/>
        <v>0</v>
      </c>
      <c r="BA412" s="780">
        <f t="shared" si="3393"/>
        <v>0</v>
      </c>
      <c r="BB412" s="780">
        <f t="shared" si="3393"/>
        <v>0</v>
      </c>
      <c r="BC412" s="780">
        <f t="shared" si="3393"/>
        <v>0</v>
      </c>
      <c r="BD412" s="780">
        <f t="shared" si="3393"/>
        <v>0</v>
      </c>
      <c r="BE412" s="780">
        <f t="shared" si="3393"/>
        <v>0</v>
      </c>
      <c r="BF412" s="780">
        <f t="shared" si="3393"/>
        <v>0</v>
      </c>
      <c r="BG412" s="780">
        <f t="shared" si="3393"/>
        <v>0</v>
      </c>
      <c r="BH412" s="780">
        <f t="shared" si="3393"/>
        <v>0</v>
      </c>
      <c r="BI412" s="781">
        <f t="shared" si="3393"/>
        <v>0</v>
      </c>
    </row>
    <row r="413" spans="1:61" s="780" customFormat="1" hidden="1" outlineLevel="1">
      <c r="A413" s="780" t="str">
        <f>$A$538</f>
        <v>Retrofit</v>
      </c>
      <c r="M413" s="781"/>
      <c r="N413" s="782"/>
      <c r="Y413" s="781"/>
      <c r="Z413" s="782"/>
      <c r="AK413" s="781"/>
      <c r="AL413" s="782"/>
      <c r="AV413" s="780">
        <f t="shared" ref="AV413:BI413" si="3394">IF($AV$5&gt;$AU$5,($AV$5-$AU$5)*B538,0)</f>
        <v>0</v>
      </c>
      <c r="AW413" s="781">
        <f t="shared" si="3394"/>
        <v>0</v>
      </c>
      <c r="AX413" s="782">
        <f t="shared" si="3394"/>
        <v>0</v>
      </c>
      <c r="AY413" s="780">
        <f t="shared" si="3394"/>
        <v>0</v>
      </c>
      <c r="AZ413" s="780">
        <f t="shared" si="3394"/>
        <v>0</v>
      </c>
      <c r="BA413" s="780">
        <f t="shared" si="3394"/>
        <v>0</v>
      </c>
      <c r="BB413" s="780">
        <f t="shared" si="3394"/>
        <v>0</v>
      </c>
      <c r="BC413" s="780">
        <f t="shared" si="3394"/>
        <v>0</v>
      </c>
      <c r="BD413" s="780">
        <f t="shared" si="3394"/>
        <v>0</v>
      </c>
      <c r="BE413" s="780">
        <f t="shared" si="3394"/>
        <v>0</v>
      </c>
      <c r="BF413" s="780">
        <f t="shared" si="3394"/>
        <v>0</v>
      </c>
      <c r="BG413" s="780">
        <f t="shared" si="3394"/>
        <v>0</v>
      </c>
      <c r="BH413" s="780">
        <f t="shared" si="3394"/>
        <v>0</v>
      </c>
      <c r="BI413" s="781">
        <f t="shared" si="3394"/>
        <v>0</v>
      </c>
    </row>
    <row r="414" spans="1:61" s="780" customFormat="1" hidden="1" outlineLevel="1">
      <c r="A414" s="780" t="str">
        <f>$A$539</f>
        <v>Revenue</v>
      </c>
      <c r="M414" s="781"/>
      <c r="N414" s="782"/>
      <c r="Y414" s="781"/>
      <c r="Z414" s="782"/>
      <c r="AK414" s="781"/>
      <c r="AL414" s="782"/>
      <c r="AV414" s="780">
        <f t="shared" ref="AV414:BI414" si="3395">IF($AV$5&gt;$AU$5,($AV$5-$AU$5)*B539,0)</f>
        <v>0</v>
      </c>
      <c r="AW414" s="781">
        <f t="shared" si="3395"/>
        <v>0</v>
      </c>
      <c r="AX414" s="782">
        <f t="shared" si="3395"/>
        <v>0</v>
      </c>
      <c r="AY414" s="780">
        <f t="shared" si="3395"/>
        <v>0</v>
      </c>
      <c r="AZ414" s="780">
        <f t="shared" si="3395"/>
        <v>0</v>
      </c>
      <c r="BA414" s="780">
        <f t="shared" si="3395"/>
        <v>0</v>
      </c>
      <c r="BB414" s="780">
        <f t="shared" si="3395"/>
        <v>0</v>
      </c>
      <c r="BC414" s="780">
        <f t="shared" si="3395"/>
        <v>0</v>
      </c>
      <c r="BD414" s="780">
        <f t="shared" si="3395"/>
        <v>0</v>
      </c>
      <c r="BE414" s="780">
        <f t="shared" si="3395"/>
        <v>0</v>
      </c>
      <c r="BF414" s="780">
        <f t="shared" si="3395"/>
        <v>0</v>
      </c>
      <c r="BG414" s="780">
        <f t="shared" si="3395"/>
        <v>0</v>
      </c>
      <c r="BH414" s="780">
        <f t="shared" si="3395"/>
        <v>0</v>
      </c>
      <c r="BI414" s="781">
        <f t="shared" si="3395"/>
        <v>0</v>
      </c>
    </row>
    <row r="415" spans="1:61" s="780" customFormat="1" hidden="1" outlineLevel="1">
      <c r="A415" s="780" t="str">
        <f>$A$540</f>
        <v>Net Income</v>
      </c>
      <c r="M415" s="781"/>
      <c r="N415" s="782"/>
      <c r="Y415" s="781"/>
      <c r="Z415" s="782"/>
      <c r="AK415" s="781"/>
      <c r="AL415" s="782"/>
      <c r="AV415" s="780">
        <f t="shared" ref="AV415:BI415" si="3396">IF($AV$5&gt;$AU$5,($AV$5-$AU$5)*B540,0)</f>
        <v>0</v>
      </c>
      <c r="AW415" s="781">
        <f t="shared" si="3396"/>
        <v>0</v>
      </c>
      <c r="AX415" s="782">
        <f t="shared" si="3396"/>
        <v>0</v>
      </c>
      <c r="AY415" s="780">
        <f t="shared" si="3396"/>
        <v>0</v>
      </c>
      <c r="AZ415" s="780">
        <f t="shared" si="3396"/>
        <v>0</v>
      </c>
      <c r="BA415" s="780">
        <f t="shared" si="3396"/>
        <v>0</v>
      </c>
      <c r="BB415" s="780">
        <f t="shared" si="3396"/>
        <v>0</v>
      </c>
      <c r="BC415" s="780">
        <f t="shared" si="3396"/>
        <v>0</v>
      </c>
      <c r="BD415" s="780">
        <f t="shared" si="3396"/>
        <v>0</v>
      </c>
      <c r="BE415" s="780">
        <f t="shared" si="3396"/>
        <v>0</v>
      </c>
      <c r="BF415" s="780">
        <f t="shared" si="3396"/>
        <v>0</v>
      </c>
      <c r="BG415" s="780">
        <f t="shared" si="3396"/>
        <v>0</v>
      </c>
      <c r="BH415" s="780">
        <f t="shared" si="3396"/>
        <v>0</v>
      </c>
      <c r="BI415" s="781">
        <f t="shared" si="3396"/>
        <v>0</v>
      </c>
    </row>
    <row r="416" spans="1:61" s="780" customFormat="1" hidden="1" outlineLevel="1">
      <c r="A416" s="780" t="str">
        <f>$A$541</f>
        <v>Program Revenue</v>
      </c>
      <c r="M416" s="781"/>
      <c r="N416" s="782"/>
      <c r="Y416" s="781"/>
      <c r="Z416" s="782"/>
      <c r="AK416" s="781"/>
      <c r="AL416" s="782"/>
      <c r="AV416" s="780">
        <f t="shared" ref="AV416" si="3397">IF($AV$5&gt;$AU$5,($AV$5-$AU$5)*B541,0)</f>
        <v>0</v>
      </c>
      <c r="AW416" s="781">
        <f t="shared" ref="AW416" si="3398">IF($AV$5&gt;$AU$5,($AV$5-$AU$5)*C541,0)</f>
        <v>0</v>
      </c>
      <c r="AX416" s="782">
        <f t="shared" ref="AX416" si="3399">IF($AV$5&gt;$AU$5,($AV$5-$AU$5)*D541,0)</f>
        <v>0</v>
      </c>
      <c r="AY416" s="780">
        <f t="shared" ref="AY416" si="3400">IF($AV$5&gt;$AU$5,($AV$5-$AU$5)*E541,0)</f>
        <v>0</v>
      </c>
      <c r="AZ416" s="780">
        <f t="shared" ref="AZ416" si="3401">IF($AV$5&gt;$AU$5,($AV$5-$AU$5)*F541,0)</f>
        <v>0</v>
      </c>
      <c r="BA416" s="780">
        <f t="shared" ref="BA416" si="3402">IF($AV$5&gt;$AU$5,($AV$5-$AU$5)*G541,0)</f>
        <v>0</v>
      </c>
      <c r="BB416" s="780">
        <f t="shared" ref="BB416" si="3403">IF($AV$5&gt;$AU$5,($AV$5-$AU$5)*H541,0)</f>
        <v>0</v>
      </c>
      <c r="BC416" s="780">
        <f t="shared" ref="BC416" si="3404">IF($AV$5&gt;$AU$5,($AV$5-$AU$5)*I541,0)</f>
        <v>0</v>
      </c>
      <c r="BD416" s="780">
        <f t="shared" ref="BD416" si="3405">IF($AV$5&gt;$AU$5,($AV$5-$AU$5)*J541,0)</f>
        <v>0</v>
      </c>
      <c r="BE416" s="780">
        <f t="shared" ref="BE416" si="3406">IF($AV$5&gt;$AU$5,($AV$5-$AU$5)*K541,0)</f>
        <v>0</v>
      </c>
      <c r="BF416" s="780">
        <f t="shared" ref="BF416" si="3407">IF($AV$5&gt;$AU$5,($AV$5-$AU$5)*L541,0)</f>
        <v>0</v>
      </c>
      <c r="BG416" s="780">
        <f t="shared" ref="BG416" si="3408">IF($AV$5&gt;$AU$5,($AV$5-$AU$5)*M541,0)</f>
        <v>0</v>
      </c>
      <c r="BH416" s="780">
        <f t="shared" ref="BH416" si="3409">IF($AV$5&gt;$AU$5,($AV$5-$AU$5)*N541,0)</f>
        <v>0</v>
      </c>
      <c r="BI416" s="781">
        <f t="shared" ref="BI416" si="3410">IF($AV$5&gt;$AU$5,($AV$5-$AU$5)*O541,0)</f>
        <v>0</v>
      </c>
    </row>
    <row r="417" spans="1:61" s="780" customFormat="1" hidden="1" outlineLevel="1">
      <c r="M417" s="781"/>
      <c r="N417" s="782"/>
      <c r="Y417" s="781"/>
      <c r="Z417" s="782"/>
      <c r="AK417" s="781"/>
      <c r="AL417" s="782"/>
      <c r="AW417" s="781"/>
      <c r="AX417" s="782"/>
      <c r="BI417" s="781"/>
    </row>
    <row r="418" spans="1:61" s="780" customFormat="1" hidden="1" outlineLevel="1">
      <c r="A418" s="780" t="s">
        <v>359</v>
      </c>
      <c r="M418" s="781"/>
      <c r="N418" s="782"/>
      <c r="Y418" s="781"/>
      <c r="Z418" s="782"/>
      <c r="AK418" s="781"/>
      <c r="AL418" s="782"/>
      <c r="AW418" s="781">
        <f>IF($AW$5&gt;$AV$5,($AW$5-$AV$5)*B535,0)</f>
        <v>8</v>
      </c>
      <c r="AX418" s="782">
        <f t="shared" ref="AX418" si="3411">IF($AW$5&gt;$AV$5,($AW$5-$AV$5)*C535,0)</f>
        <v>8.3824000000000005</v>
      </c>
      <c r="AY418" s="780">
        <f t="shared" ref="AY418" si="3412">IF($AW$5&gt;$AV$5,($AW$5-$AV$5)*D535,0)</f>
        <v>8.790016102400001</v>
      </c>
      <c r="AZ418" s="780">
        <f t="shared" ref="AZ418" si="3413">IF($AW$5&gt;$AV$5,($AW$5-$AV$5)*E535,0)</f>
        <v>9.2244218586677267</v>
      </c>
      <c r="BA418" s="780">
        <f t="shared" ref="BA418" si="3414">IF($AW$5&gt;$AV$5,($AW$5-$AV$5)*F535,0)</f>
        <v>9.6872643857899394</v>
      </c>
      <c r="BB418" s="780">
        <f t="shared" ref="BB418" si="3415">IF($AW$5&gt;$AV$5,($AW$5-$AV$5)*G535,0)</f>
        <v>10.180266404063699</v>
      </c>
      <c r="BC418" s="780">
        <f t="shared" ref="BC418" si="3416">IF($AW$5&gt;$AV$5,($AW$5-$AV$5)*H535,0)</f>
        <v>10.705228286703797</v>
      </c>
      <c r="BD418" s="780">
        <f t="shared" ref="BD418" si="3417">IF($AW$5&gt;$AV$5,($AW$5-$AV$5)*I535,0)</f>
        <v>11.264030122404236</v>
      </c>
      <c r="BE418" s="780">
        <f t="shared" ref="BE418" si="3418">IF($AW$5&gt;$AV$5,($AW$5-$AV$5)*J535,0)</f>
        <v>11.858633792363815</v>
      </c>
      <c r="BF418" s="780">
        <f t="shared" ref="BF418" si="3419">IF($AW$5&gt;$AV$5,($AW$5-$AV$5)*K535,0)</f>
        <v>12.491085063681208</v>
      </c>
      <c r="BG418" s="780">
        <f t="shared" ref="BG418" si="3420">IF($AW$5&gt;$AV$5,($AW$5-$AV$5)*L535,0)</f>
        <v>13.163515701442698</v>
      </c>
      <c r="BH418" s="780">
        <f t="shared" ref="BH418" si="3421">IF($AW$5&gt;$AV$5,($AW$5-$AV$5)*M535,0)</f>
        <v>13.878145602265221</v>
      </c>
      <c r="BI418" s="781">
        <f t="shared" ref="BI418" si="3422">IF($AW$5&gt;$AV$5,($AW$5-$AV$5)*N535,0)</f>
        <v>14.640802427106802</v>
      </c>
    </row>
    <row r="419" spans="1:61" s="780" customFormat="1" hidden="1" outlineLevel="1">
      <c r="A419" s="780" t="str">
        <f>$A$536</f>
        <v>Leads</v>
      </c>
      <c r="M419" s="781"/>
      <c r="N419" s="782"/>
      <c r="Y419" s="781"/>
      <c r="Z419" s="782"/>
      <c r="AK419" s="781"/>
      <c r="AL419" s="782"/>
      <c r="AW419" s="781">
        <f>IF($AW$5&gt;$AV$5,($AW$5-$AV$5)*B536,0)</f>
        <v>20</v>
      </c>
      <c r="AX419" s="782">
        <f t="shared" ref="AX419:BI419" si="3423">IF($AW$5&gt;$AV$5,($AW$5-$AV$5)*C536,0)</f>
        <v>20.8</v>
      </c>
      <c r="AY419" s="780">
        <f t="shared" si="3423"/>
        <v>21.632000000000001</v>
      </c>
      <c r="AZ419" s="780">
        <f t="shared" si="3423"/>
        <v>22.497280000000003</v>
      </c>
      <c r="BA419" s="780">
        <f t="shared" si="3423"/>
        <v>23.397171200000006</v>
      </c>
      <c r="BB419" s="780">
        <f t="shared" si="3423"/>
        <v>24.333058048000009</v>
      </c>
      <c r="BC419" s="780">
        <f t="shared" si="3423"/>
        <v>25.30638036992001</v>
      </c>
      <c r="BD419" s="780">
        <f t="shared" si="3423"/>
        <v>26.318635584716812</v>
      </c>
      <c r="BE419" s="780">
        <f t="shared" si="3423"/>
        <v>27.371381008105487</v>
      </c>
      <c r="BF419" s="780">
        <f t="shared" si="3423"/>
        <v>28.466236248429709</v>
      </c>
      <c r="BG419" s="780">
        <f t="shared" si="3423"/>
        <v>29.6048856983669</v>
      </c>
      <c r="BH419" s="780">
        <f t="shared" si="3423"/>
        <v>30.789081126301578</v>
      </c>
      <c r="BI419" s="781">
        <f t="shared" si="3423"/>
        <v>32.02064437135364</v>
      </c>
    </row>
    <row r="420" spans="1:61" s="780" customFormat="1" hidden="1" outlineLevel="1">
      <c r="A420" s="780" t="str">
        <f>$A$537</f>
        <v>Audits</v>
      </c>
      <c r="M420" s="781"/>
      <c r="N420" s="782"/>
      <c r="Y420" s="781"/>
      <c r="Z420" s="782"/>
      <c r="AK420" s="781"/>
      <c r="AL420" s="782"/>
      <c r="AW420" s="781">
        <f t="shared" ref="AW420:BI420" si="3424">IF($AW$5&gt;$AV$5,($AW$5-$AV$5)*B537,0)</f>
        <v>7.8466960352422905</v>
      </c>
      <c r="AX420" s="782">
        <f t="shared" si="3424"/>
        <v>8.1805560257268723</v>
      </c>
      <c r="AY420" s="780">
        <f t="shared" si="3424"/>
        <v>8.556158139083367</v>
      </c>
      <c r="AZ420" s="780">
        <f t="shared" si="3424"/>
        <v>8.9523024684242678</v>
      </c>
      <c r="BA420" s="780">
        <f t="shared" si="3424"/>
        <v>9.3702787716763911</v>
      </c>
      <c r="BB420" s="780">
        <f t="shared" si="3424"/>
        <v>9.811453812672589</v>
      </c>
      <c r="BC420" s="780">
        <f t="shared" si="3424"/>
        <v>10.277273093546537</v>
      </c>
      <c r="BD420" s="780">
        <f t="shared" si="3424"/>
        <v>10.769262132442826</v>
      </c>
      <c r="BE420" s="780">
        <f t="shared" si="3424"/>
        <v>11.289027268145146</v>
      </c>
      <c r="BF420" s="780">
        <f t="shared" si="3424"/>
        <v>11.838255995812663</v>
      </c>
      <c r="BG420" s="780">
        <f t="shared" si="3424"/>
        <v>12.418716863200714</v>
      </c>
      <c r="BH420" s="780">
        <f t="shared" si="3424"/>
        <v>13.032258982971491</v>
      </c>
      <c r="BI420" s="781">
        <f t="shared" si="3424"/>
        <v>13.681748513642187</v>
      </c>
    </row>
    <row r="421" spans="1:61" s="780" customFormat="1" hidden="1" outlineLevel="1">
      <c r="A421" s="780" t="str">
        <f>$A$538</f>
        <v>Retrofit</v>
      </c>
      <c r="M421" s="781"/>
      <c r="N421" s="782"/>
      <c r="Y421" s="781"/>
      <c r="Z421" s="782"/>
      <c r="AK421" s="781"/>
      <c r="AL421" s="782"/>
      <c r="AW421" s="781">
        <f t="shared" ref="AW421:BI421" si="3425">IF($AW$5&gt;$AV$5,($AW$5-$AV$5)*B538,0)</f>
        <v>3.2741145374449339</v>
      </c>
      <c r="AX421" s="782">
        <f t="shared" si="3425"/>
        <v>3.4211429613668018</v>
      </c>
      <c r="AY421" s="780">
        <f t="shared" si="3425"/>
        <v>3.6089747928733105</v>
      </c>
      <c r="AZ421" s="780">
        <f t="shared" si="3425"/>
        <v>3.80943356172375</v>
      </c>
      <c r="BA421" s="780">
        <f t="shared" si="3425"/>
        <v>4.023495407635</v>
      </c>
      <c r="BB421" s="780">
        <f t="shared" si="3425"/>
        <v>4.2522035025469851</v>
      </c>
      <c r="BC421" s="780">
        <f t="shared" si="3425"/>
        <v>4.4966691121698661</v>
      </c>
      <c r="BD421" s="780">
        <f t="shared" si="3425"/>
        <v>4.7580720961942786</v>
      </c>
      <c r="BE421" s="780">
        <f t="shared" si="3425"/>
        <v>5.0376608331454982</v>
      </c>
      <c r="BF421" s="780">
        <f t="shared" si="3425"/>
        <v>5.3367515834608863</v>
      </c>
      <c r="BG421" s="780">
        <f t="shared" si="3425"/>
        <v>5.6567273345837759</v>
      </c>
      <c r="BH421" s="780">
        <f t="shared" si="3425"/>
        <v>5.9990362027609887</v>
      </c>
      <c r="BI421" s="781">
        <f t="shared" si="3425"/>
        <v>6.3656710756275423</v>
      </c>
    </row>
    <row r="422" spans="1:61" s="780" customFormat="1" hidden="1" outlineLevel="1">
      <c r="A422" s="780" t="str">
        <f>$A$539</f>
        <v>Revenue</v>
      </c>
      <c r="M422" s="781"/>
      <c r="N422" s="782"/>
      <c r="Y422" s="781"/>
      <c r="Z422" s="782"/>
      <c r="AK422" s="781"/>
      <c r="AL422" s="782"/>
      <c r="AW422" s="781">
        <f t="shared" ref="AW422:BI422" si="3426">IF($AW$5&gt;$AV$5,($AW$5-$AV$5)*B539,0)</f>
        <v>20728.933920704847</v>
      </c>
      <c r="AX422" s="782">
        <f t="shared" si="3426"/>
        <v>22334.796424579898</v>
      </c>
      <c r="AY422" s="780">
        <f t="shared" si="3426"/>
        <v>24261.379157843236</v>
      </c>
      <c r="AZ422" s="780">
        <f t="shared" si="3426"/>
        <v>27109.041527058151</v>
      </c>
      <c r="BA422" s="780">
        <f t="shared" si="3426"/>
        <v>29411.012063918617</v>
      </c>
      <c r="BB422" s="780">
        <f t="shared" si="3426"/>
        <v>31904.731979940196</v>
      </c>
      <c r="BC422" s="780">
        <f t="shared" si="3426"/>
        <v>34157.516935543477</v>
      </c>
      <c r="BD422" s="780">
        <f t="shared" si="3426"/>
        <v>36585.144030160183</v>
      </c>
      <c r="BE422" s="780">
        <f t="shared" si="3426"/>
        <v>39202.024549786183</v>
      </c>
      <c r="BF422" s="780">
        <f t="shared" si="3426"/>
        <v>41489.907780370268</v>
      </c>
      <c r="BG422" s="780">
        <f t="shared" si="3426"/>
        <v>43934.936399734994</v>
      </c>
      <c r="BH422" s="780">
        <f t="shared" si="3426"/>
        <v>46547.932291314006</v>
      </c>
      <c r="BI422" s="781">
        <f t="shared" si="3426"/>
        <v>48812.622611071754</v>
      </c>
    </row>
    <row r="423" spans="1:61" s="780" customFormat="1" hidden="1" outlineLevel="1">
      <c r="A423" s="780" t="str">
        <f>$A$540</f>
        <v>Net Income</v>
      </c>
      <c r="M423" s="781"/>
      <c r="N423" s="782"/>
      <c r="Y423" s="781"/>
      <c r="Z423" s="782"/>
      <c r="AK423" s="781"/>
      <c r="AL423" s="782"/>
      <c r="AW423" s="781">
        <f t="shared" ref="AW423:BI423" si="3427">IF($AW$5&gt;$AV$5,($AW$5-$AV$5)*B540,0)</f>
        <v>-33184.964170807638</v>
      </c>
      <c r="AX423" s="782">
        <f t="shared" si="3427"/>
        <v>-14837.14568100147</v>
      </c>
      <c r="AY423" s="780">
        <f t="shared" si="3427"/>
        <v>-14268.717003781454</v>
      </c>
      <c r="AZ423" s="780">
        <f t="shared" si="3427"/>
        <v>-13405.013342705901</v>
      </c>
      <c r="BA423" s="780">
        <f t="shared" si="3427"/>
        <v>-12685.072540306182</v>
      </c>
      <c r="BB423" s="780">
        <f t="shared" si="3427"/>
        <v>-17604.404805924125</v>
      </c>
      <c r="BC423" s="780">
        <f t="shared" si="3427"/>
        <v>-15156.124616524507</v>
      </c>
      <c r="BD423" s="780">
        <f t="shared" si="3427"/>
        <v>-13971.31609512752</v>
      </c>
      <c r="BE423" s="780">
        <f t="shared" si="3427"/>
        <v>-13027.555718246989</v>
      </c>
      <c r="BF423" s="780">
        <f t="shared" si="3427"/>
        <v>-12167.444211420123</v>
      </c>
      <c r="BG423" s="780">
        <f t="shared" si="3427"/>
        <v>-11228.257793696379</v>
      </c>
      <c r="BH423" s="780">
        <f t="shared" si="3427"/>
        <v>-10203.756141625032</v>
      </c>
      <c r="BI423" s="781">
        <f t="shared" si="3427"/>
        <v>-8928.9645055486872</v>
      </c>
    </row>
    <row r="424" spans="1:61" s="780" customFormat="1" hidden="1" outlineLevel="1">
      <c r="A424" s="780" t="str">
        <f>$A$541</f>
        <v>Program Revenue</v>
      </c>
      <c r="M424" s="781"/>
      <c r="N424" s="782"/>
      <c r="Y424" s="781"/>
      <c r="Z424" s="782"/>
      <c r="AK424" s="781"/>
      <c r="AL424" s="782"/>
      <c r="AW424" s="781">
        <f t="shared" ref="AW424" si="3428">IF($AW$5&gt;$AV$5,($AW$5-$AV$5)*B541,0)</f>
        <v>1850</v>
      </c>
      <c r="AX424" s="782">
        <f t="shared" ref="AX424" si="3429">IF($AW$5&gt;$AV$5,($AW$5-$AV$5)*C541,0)</f>
        <v>1937.1558751999999</v>
      </c>
      <c r="AY424" s="780">
        <f t="shared" ref="AY424" si="3430">IF($AW$5&gt;$AV$5,($AW$5-$AV$5)*D541,0)</f>
        <v>2030.0190587848704</v>
      </c>
      <c r="AZ424" s="780">
        <f t="shared" ref="AZ424" si="3431">IF($AW$5&gt;$AV$5,($AW$5-$AV$5)*E541,0)</f>
        <v>2128.941218449359</v>
      </c>
      <c r="BA424" s="780">
        <f t="shared" ref="BA424" si="3432">IF($AW$5&gt;$AV$5,($AW$5-$AV$5)*F541,0)</f>
        <v>2234.2900324673633</v>
      </c>
      <c r="BB424" s="780">
        <f t="shared" ref="BB424" si="3433">IF($AW$5&gt;$AV$5,($AW$5-$AV$5)*G541,0)</f>
        <v>2346.4496034726417</v>
      </c>
      <c r="BC424" s="780">
        <f t="shared" ref="BC424" si="3434">IF($AW$5&gt;$AV$5,($AW$5-$AV$5)*H541,0)</f>
        <v>2465.8208731027789</v>
      </c>
      <c r="BD424" s="780">
        <f t="shared" ref="BD424" si="3435">IF($AW$5&gt;$AV$5,($AW$5-$AV$5)*I541,0)</f>
        <v>2592.8220377557409</v>
      </c>
      <c r="BE424" s="780">
        <f t="shared" ref="BE424" si="3436">IF($AW$5&gt;$AV$5,($AW$5-$AV$5)*J541,0)</f>
        <v>2727.8889657926175</v>
      </c>
      <c r="BF424" s="780">
        <f t="shared" ref="BF424" si="3437">IF($AW$5&gt;$AV$5,($AW$5-$AV$5)*K541,0)</f>
        <v>2871.4756166091629</v>
      </c>
      <c r="BG424" s="780">
        <f t="shared" ref="BG424" si="3438">IF($AW$5&gt;$AV$5,($AW$5-$AV$5)*L541,0)</f>
        <v>3024.0544620924302</v>
      </c>
      <c r="BH424" s="780">
        <f t="shared" ref="BH424" si="3439">IF($AW$5&gt;$AV$5,($AW$5-$AV$5)*M541,0)</f>
        <v>3186.1169110768442</v>
      </c>
      <c r="BI424" s="781">
        <f t="shared" ref="BI424" si="3440">IF($AW$5&gt;$AV$5,($AW$5-$AV$5)*N541,0)</f>
        <v>3358.9807376414046</v>
      </c>
    </row>
    <row r="425" spans="1:61" s="780" customFormat="1" hidden="1" outlineLevel="1">
      <c r="M425" s="781"/>
      <c r="N425" s="782"/>
      <c r="Y425" s="781"/>
      <c r="Z425" s="782"/>
      <c r="AK425" s="781"/>
      <c r="AL425" s="782"/>
      <c r="AW425" s="781"/>
      <c r="AX425" s="782"/>
      <c r="BI425" s="781"/>
    </row>
    <row r="426" spans="1:61" s="780" customFormat="1" hidden="1" outlineLevel="1">
      <c r="A426" s="780" t="s">
        <v>359</v>
      </c>
      <c r="M426" s="781"/>
      <c r="N426" s="782"/>
      <c r="Y426" s="781"/>
      <c r="Z426" s="782"/>
      <c r="AK426" s="781"/>
      <c r="AL426" s="782"/>
      <c r="AW426" s="781"/>
      <c r="AX426" s="782">
        <f>IF($AX$5&gt;$AW$5,($AX$5-$AW$5)*B535,0)</f>
        <v>8</v>
      </c>
      <c r="AY426" s="780">
        <f t="shared" ref="AY426" si="3441">IF($AX$5&gt;$AW$5,($AX$5-$AW$5)*C535,0)</f>
        <v>8.3824000000000005</v>
      </c>
      <c r="AZ426" s="780">
        <f t="shared" ref="AZ426" si="3442">IF($AX$5&gt;$AW$5,($AX$5-$AW$5)*D535,0)</f>
        <v>8.790016102400001</v>
      </c>
      <c r="BA426" s="780">
        <f t="shared" ref="BA426" si="3443">IF($AX$5&gt;$AW$5,($AX$5-$AW$5)*E535,0)</f>
        <v>9.2244218586677267</v>
      </c>
      <c r="BB426" s="780">
        <f t="shared" ref="BB426" si="3444">IF($AX$5&gt;$AW$5,($AX$5-$AW$5)*F535,0)</f>
        <v>9.6872643857899394</v>
      </c>
      <c r="BC426" s="780">
        <f t="shared" ref="BC426" si="3445">IF($AX$5&gt;$AW$5,($AX$5-$AW$5)*G535,0)</f>
        <v>10.180266404063699</v>
      </c>
      <c r="BD426" s="780">
        <f t="shared" ref="BD426" si="3446">IF($AX$5&gt;$AW$5,($AX$5-$AW$5)*H535,0)</f>
        <v>10.705228286703797</v>
      </c>
      <c r="BE426" s="780">
        <f t="shared" ref="BE426" si="3447">IF($AX$5&gt;$AW$5,($AX$5-$AW$5)*I535,0)</f>
        <v>11.264030122404236</v>
      </c>
      <c r="BF426" s="780">
        <f t="shared" ref="BF426" si="3448">IF($AX$5&gt;$AW$5,($AX$5-$AW$5)*J535,0)</f>
        <v>11.858633792363815</v>
      </c>
      <c r="BG426" s="780">
        <f t="shared" ref="BG426" si="3449">IF($AX$5&gt;$AW$5,($AX$5-$AW$5)*K535,0)</f>
        <v>12.491085063681208</v>
      </c>
      <c r="BH426" s="780">
        <f t="shared" ref="BH426" si="3450">IF($AX$5&gt;$AW$5,($AX$5-$AW$5)*L535,0)</f>
        <v>13.163515701442698</v>
      </c>
      <c r="BI426" s="781">
        <f t="shared" ref="BI426" si="3451">IF($AX$5&gt;$AW$5,($AX$5-$AW$5)*M535,0)</f>
        <v>13.878145602265221</v>
      </c>
    </row>
    <row r="427" spans="1:61" s="780" customFormat="1" hidden="1" outlineLevel="1">
      <c r="A427" s="780" t="str">
        <f>$A$536</f>
        <v>Leads</v>
      </c>
      <c r="M427" s="781"/>
      <c r="N427" s="782"/>
      <c r="Y427" s="781"/>
      <c r="Z427" s="782"/>
      <c r="AK427" s="781"/>
      <c r="AL427" s="782"/>
      <c r="AW427" s="781"/>
      <c r="AX427" s="782">
        <f>IF($AX$5&gt;$AW$5,($AX$5-$AW$5)*B536,0)</f>
        <v>20</v>
      </c>
      <c r="AY427" s="780">
        <f t="shared" ref="AY427:BI427" si="3452">IF($AX$5&gt;$AW$5,($AX$5-$AW$5)*C536,0)</f>
        <v>20.8</v>
      </c>
      <c r="AZ427" s="780">
        <f t="shared" si="3452"/>
        <v>21.632000000000001</v>
      </c>
      <c r="BA427" s="780">
        <f t="shared" si="3452"/>
        <v>22.497280000000003</v>
      </c>
      <c r="BB427" s="780">
        <f t="shared" si="3452"/>
        <v>23.397171200000006</v>
      </c>
      <c r="BC427" s="780">
        <f t="shared" si="3452"/>
        <v>24.333058048000009</v>
      </c>
      <c r="BD427" s="780">
        <f t="shared" si="3452"/>
        <v>25.30638036992001</v>
      </c>
      <c r="BE427" s="780">
        <f t="shared" si="3452"/>
        <v>26.318635584716812</v>
      </c>
      <c r="BF427" s="780">
        <f t="shared" si="3452"/>
        <v>27.371381008105487</v>
      </c>
      <c r="BG427" s="780">
        <f t="shared" si="3452"/>
        <v>28.466236248429709</v>
      </c>
      <c r="BH427" s="780">
        <f t="shared" si="3452"/>
        <v>29.6048856983669</v>
      </c>
      <c r="BI427" s="781">
        <f t="shared" si="3452"/>
        <v>30.789081126301578</v>
      </c>
    </row>
    <row r="428" spans="1:61" s="780" customFormat="1" hidden="1" outlineLevel="1">
      <c r="A428" s="780" t="str">
        <f>$A$537</f>
        <v>Audits</v>
      </c>
      <c r="M428" s="781"/>
      <c r="N428" s="782"/>
      <c r="Y428" s="781"/>
      <c r="Z428" s="782"/>
      <c r="AK428" s="781"/>
      <c r="AL428" s="782"/>
      <c r="AW428" s="781"/>
      <c r="AX428" s="782">
        <f t="shared" ref="AX428:BI428" si="3453">IF($AX$5&gt;$AW$5,($AX$5-$AW$5)*B537,0)</f>
        <v>7.8466960352422905</v>
      </c>
      <c r="AY428" s="780">
        <f t="shared" si="3453"/>
        <v>8.1805560257268723</v>
      </c>
      <c r="AZ428" s="780">
        <f t="shared" si="3453"/>
        <v>8.556158139083367</v>
      </c>
      <c r="BA428" s="780">
        <f t="shared" si="3453"/>
        <v>8.9523024684242678</v>
      </c>
      <c r="BB428" s="780">
        <f t="shared" si="3453"/>
        <v>9.3702787716763911</v>
      </c>
      <c r="BC428" s="780">
        <f t="shared" si="3453"/>
        <v>9.811453812672589</v>
      </c>
      <c r="BD428" s="780">
        <f t="shared" si="3453"/>
        <v>10.277273093546537</v>
      </c>
      <c r="BE428" s="780">
        <f t="shared" si="3453"/>
        <v>10.769262132442826</v>
      </c>
      <c r="BF428" s="780">
        <f t="shared" si="3453"/>
        <v>11.289027268145146</v>
      </c>
      <c r="BG428" s="780">
        <f t="shared" si="3453"/>
        <v>11.838255995812663</v>
      </c>
      <c r="BH428" s="780">
        <f t="shared" si="3453"/>
        <v>12.418716863200714</v>
      </c>
      <c r="BI428" s="781">
        <f t="shared" si="3453"/>
        <v>13.032258982971491</v>
      </c>
    </row>
    <row r="429" spans="1:61" s="780" customFormat="1" hidden="1" outlineLevel="1">
      <c r="A429" s="780" t="str">
        <f>$A$538</f>
        <v>Retrofit</v>
      </c>
      <c r="M429" s="781"/>
      <c r="N429" s="782"/>
      <c r="Y429" s="781"/>
      <c r="Z429" s="782"/>
      <c r="AK429" s="781"/>
      <c r="AL429" s="782"/>
      <c r="AW429" s="781"/>
      <c r="AX429" s="782">
        <f t="shared" ref="AX429:BI429" si="3454">IF($AX$5&gt;$AW$5,($AX$5-$AW$5)*B538,0)</f>
        <v>3.2741145374449339</v>
      </c>
      <c r="AY429" s="780">
        <f t="shared" si="3454"/>
        <v>3.4211429613668018</v>
      </c>
      <c r="AZ429" s="780">
        <f t="shared" si="3454"/>
        <v>3.6089747928733105</v>
      </c>
      <c r="BA429" s="780">
        <f t="shared" si="3454"/>
        <v>3.80943356172375</v>
      </c>
      <c r="BB429" s="780">
        <f t="shared" si="3454"/>
        <v>4.023495407635</v>
      </c>
      <c r="BC429" s="780">
        <f t="shared" si="3454"/>
        <v>4.2522035025469851</v>
      </c>
      <c r="BD429" s="780">
        <f t="shared" si="3454"/>
        <v>4.4966691121698661</v>
      </c>
      <c r="BE429" s="780">
        <f t="shared" si="3454"/>
        <v>4.7580720961942786</v>
      </c>
      <c r="BF429" s="780">
        <f t="shared" si="3454"/>
        <v>5.0376608331454982</v>
      </c>
      <c r="BG429" s="780">
        <f t="shared" si="3454"/>
        <v>5.3367515834608863</v>
      </c>
      <c r="BH429" s="780">
        <f t="shared" si="3454"/>
        <v>5.6567273345837759</v>
      </c>
      <c r="BI429" s="781">
        <f t="shared" si="3454"/>
        <v>5.9990362027609887</v>
      </c>
    </row>
    <row r="430" spans="1:61" s="780" customFormat="1" hidden="1" outlineLevel="1">
      <c r="A430" s="780" t="str">
        <f>$A$539</f>
        <v>Revenue</v>
      </c>
      <c r="M430" s="781"/>
      <c r="N430" s="782"/>
      <c r="Y430" s="781"/>
      <c r="Z430" s="782"/>
      <c r="AK430" s="781"/>
      <c r="AL430" s="782"/>
      <c r="AW430" s="781"/>
      <c r="AX430" s="782">
        <f t="shared" ref="AX430:BI430" si="3455">IF($AX$5&gt;$AW$5,($AX$5-$AW$5)*B539,0)</f>
        <v>20728.933920704847</v>
      </c>
      <c r="AY430" s="780">
        <f t="shared" si="3455"/>
        <v>22334.796424579898</v>
      </c>
      <c r="AZ430" s="780">
        <f t="shared" si="3455"/>
        <v>24261.379157843236</v>
      </c>
      <c r="BA430" s="780">
        <f t="shared" si="3455"/>
        <v>27109.041527058151</v>
      </c>
      <c r="BB430" s="780">
        <f t="shared" si="3455"/>
        <v>29411.012063918617</v>
      </c>
      <c r="BC430" s="780">
        <f t="shared" si="3455"/>
        <v>31904.731979940196</v>
      </c>
      <c r="BD430" s="780">
        <f t="shared" si="3455"/>
        <v>34157.516935543477</v>
      </c>
      <c r="BE430" s="780">
        <f t="shared" si="3455"/>
        <v>36585.144030160183</v>
      </c>
      <c r="BF430" s="780">
        <f t="shared" si="3455"/>
        <v>39202.024549786183</v>
      </c>
      <c r="BG430" s="780">
        <f t="shared" si="3455"/>
        <v>41489.907780370268</v>
      </c>
      <c r="BH430" s="780">
        <f t="shared" si="3455"/>
        <v>43934.936399734994</v>
      </c>
      <c r="BI430" s="781">
        <f t="shared" si="3455"/>
        <v>46547.932291314006</v>
      </c>
    </row>
    <row r="431" spans="1:61" s="780" customFormat="1" hidden="1" outlineLevel="1">
      <c r="A431" s="780" t="str">
        <f>$A$540</f>
        <v>Net Income</v>
      </c>
      <c r="M431" s="781"/>
      <c r="N431" s="782"/>
      <c r="Y431" s="781"/>
      <c r="Z431" s="782"/>
      <c r="AK431" s="781"/>
      <c r="AL431" s="782"/>
      <c r="AW431" s="781"/>
      <c r="AX431" s="782">
        <f t="shared" ref="AX431:BI431" si="3456">IF($AX$5&gt;$AW$5,($AX$5-$AW$5)*B540,0)</f>
        <v>-33184.964170807638</v>
      </c>
      <c r="AY431" s="780">
        <f t="shared" si="3456"/>
        <v>-14837.14568100147</v>
      </c>
      <c r="AZ431" s="780">
        <f t="shared" si="3456"/>
        <v>-14268.717003781454</v>
      </c>
      <c r="BA431" s="780">
        <f t="shared" si="3456"/>
        <v>-13405.013342705901</v>
      </c>
      <c r="BB431" s="780">
        <f t="shared" si="3456"/>
        <v>-12685.072540306182</v>
      </c>
      <c r="BC431" s="780">
        <f t="shared" si="3456"/>
        <v>-17604.404805924125</v>
      </c>
      <c r="BD431" s="780">
        <f t="shared" si="3456"/>
        <v>-15156.124616524507</v>
      </c>
      <c r="BE431" s="780">
        <f t="shared" si="3456"/>
        <v>-13971.31609512752</v>
      </c>
      <c r="BF431" s="780">
        <f t="shared" si="3456"/>
        <v>-13027.555718246989</v>
      </c>
      <c r="BG431" s="780">
        <f t="shared" si="3456"/>
        <v>-12167.444211420123</v>
      </c>
      <c r="BH431" s="780">
        <f t="shared" si="3456"/>
        <v>-11228.257793696379</v>
      </c>
      <c r="BI431" s="781">
        <f t="shared" si="3456"/>
        <v>-10203.756141625032</v>
      </c>
    </row>
    <row r="432" spans="1:61" s="780" customFormat="1" hidden="1" outlineLevel="1">
      <c r="A432" s="780" t="str">
        <f>$A$541</f>
        <v>Program Revenue</v>
      </c>
      <c r="M432" s="781"/>
      <c r="N432" s="782"/>
      <c r="Y432" s="781"/>
      <c r="Z432" s="782"/>
      <c r="AK432" s="781"/>
      <c r="AL432" s="782"/>
      <c r="AW432" s="781"/>
      <c r="AX432" s="782">
        <f t="shared" ref="AX432" si="3457">IF($AX$5&gt;$AW$5,($AX$5-$AW$5)*B541,0)</f>
        <v>1850</v>
      </c>
      <c r="AY432" s="780">
        <f t="shared" ref="AY432" si="3458">IF($AX$5&gt;$AW$5,($AX$5-$AW$5)*C541,0)</f>
        <v>1937.1558751999999</v>
      </c>
      <c r="AZ432" s="780">
        <f t="shared" ref="AZ432" si="3459">IF($AX$5&gt;$AW$5,($AX$5-$AW$5)*D541,0)</f>
        <v>2030.0190587848704</v>
      </c>
      <c r="BA432" s="780">
        <f t="shared" ref="BA432" si="3460">IF($AX$5&gt;$AW$5,($AX$5-$AW$5)*E541,0)</f>
        <v>2128.941218449359</v>
      </c>
      <c r="BB432" s="780">
        <f t="shared" ref="BB432" si="3461">IF($AX$5&gt;$AW$5,($AX$5-$AW$5)*F541,0)</f>
        <v>2234.2900324673633</v>
      </c>
      <c r="BC432" s="780">
        <f t="shared" ref="BC432" si="3462">IF($AX$5&gt;$AW$5,($AX$5-$AW$5)*G541,0)</f>
        <v>2346.4496034726417</v>
      </c>
      <c r="BD432" s="780">
        <f t="shared" ref="BD432" si="3463">IF($AX$5&gt;$AW$5,($AX$5-$AW$5)*H541,0)</f>
        <v>2465.8208731027789</v>
      </c>
      <c r="BE432" s="780">
        <f t="shared" ref="BE432" si="3464">IF($AX$5&gt;$AW$5,($AX$5-$AW$5)*I541,0)</f>
        <v>2592.8220377557409</v>
      </c>
      <c r="BF432" s="780">
        <f t="shared" ref="BF432" si="3465">IF($AX$5&gt;$AW$5,($AX$5-$AW$5)*J541,0)</f>
        <v>2727.8889657926175</v>
      </c>
      <c r="BG432" s="780">
        <f t="shared" ref="BG432" si="3466">IF($AX$5&gt;$AW$5,($AX$5-$AW$5)*K541,0)</f>
        <v>2871.4756166091629</v>
      </c>
      <c r="BH432" s="780">
        <f t="shared" ref="BH432" si="3467">IF($AX$5&gt;$AW$5,($AX$5-$AW$5)*L541,0)</f>
        <v>3024.0544620924302</v>
      </c>
      <c r="BI432" s="781">
        <f t="shared" ref="BI432" si="3468">IF($AX$5&gt;$AW$5,($AX$5-$AW$5)*M541,0)</f>
        <v>3186.1169110768442</v>
      </c>
    </row>
    <row r="433" spans="1:61" s="780" customFormat="1" hidden="1" outlineLevel="1">
      <c r="M433" s="781"/>
      <c r="N433" s="782"/>
      <c r="Y433" s="781"/>
      <c r="Z433" s="782"/>
      <c r="AK433" s="781"/>
      <c r="AL433" s="782"/>
      <c r="AW433" s="781"/>
      <c r="AX433" s="782"/>
      <c r="BI433" s="781"/>
    </row>
    <row r="434" spans="1:61" s="780" customFormat="1" hidden="1" outlineLevel="1">
      <c r="A434" s="780" t="s">
        <v>359</v>
      </c>
      <c r="M434" s="781"/>
      <c r="N434" s="782"/>
      <c r="Y434" s="781"/>
      <c r="Z434" s="782"/>
      <c r="AK434" s="781"/>
      <c r="AL434" s="782"/>
      <c r="AW434" s="781"/>
      <c r="AX434" s="782"/>
      <c r="AY434" s="780">
        <f>IF($AY$5&gt;$AX$5,($AY$5-$AX$5)*B535,0)</f>
        <v>0</v>
      </c>
      <c r="AZ434" s="780">
        <f t="shared" ref="AZ434" si="3469">IF($AY$5&gt;$AX$5,($AY$5-$AX$5)*C535,0)</f>
        <v>0</v>
      </c>
      <c r="BA434" s="780">
        <f t="shared" ref="BA434" si="3470">IF($AY$5&gt;$AX$5,($AY$5-$AX$5)*D535,0)</f>
        <v>0</v>
      </c>
      <c r="BB434" s="780">
        <f t="shared" ref="BB434" si="3471">IF($AY$5&gt;$AX$5,($AY$5-$AX$5)*E535,0)</f>
        <v>0</v>
      </c>
      <c r="BC434" s="780">
        <f t="shared" ref="BC434" si="3472">IF($AY$5&gt;$AX$5,($AY$5-$AX$5)*F535,0)</f>
        <v>0</v>
      </c>
      <c r="BD434" s="780">
        <f t="shared" ref="BD434" si="3473">IF($AY$5&gt;$AX$5,($AY$5-$AX$5)*G535,0)</f>
        <v>0</v>
      </c>
      <c r="BE434" s="780">
        <f t="shared" ref="BE434" si="3474">IF($AY$5&gt;$AX$5,($AY$5-$AX$5)*H535,0)</f>
        <v>0</v>
      </c>
      <c r="BF434" s="780">
        <f t="shared" ref="BF434" si="3475">IF($AY$5&gt;$AX$5,($AY$5-$AX$5)*I535,0)</f>
        <v>0</v>
      </c>
      <c r="BG434" s="780">
        <f t="shared" ref="BG434" si="3476">IF($AY$5&gt;$AX$5,($AY$5-$AX$5)*J535,0)</f>
        <v>0</v>
      </c>
      <c r="BH434" s="780">
        <f t="shared" ref="BH434" si="3477">IF($AY$5&gt;$AX$5,($AY$5-$AX$5)*K535,0)</f>
        <v>0</v>
      </c>
      <c r="BI434" s="781">
        <f t="shared" ref="BI434" si="3478">IF($AY$5&gt;$AX$5,($AY$5-$AX$5)*L535,0)</f>
        <v>0</v>
      </c>
    </row>
    <row r="435" spans="1:61" s="780" customFormat="1" hidden="1" outlineLevel="1">
      <c r="A435" s="780" t="str">
        <f>$A$536</f>
        <v>Leads</v>
      </c>
      <c r="M435" s="781"/>
      <c r="N435" s="782"/>
      <c r="Y435" s="781"/>
      <c r="Z435" s="782"/>
      <c r="AK435" s="781"/>
      <c r="AL435" s="782"/>
      <c r="AW435" s="781"/>
      <c r="AX435" s="782"/>
      <c r="AY435" s="780">
        <f>IF($AY$5&gt;$AX$5,($AY$5-$AX$5)*B536,0)</f>
        <v>0</v>
      </c>
      <c r="AZ435" s="780">
        <f t="shared" ref="AZ435:BI435" si="3479">IF($AY$5&gt;$AX$5,($AY$5-$AX$5)*C536,0)</f>
        <v>0</v>
      </c>
      <c r="BA435" s="780">
        <f t="shared" si="3479"/>
        <v>0</v>
      </c>
      <c r="BB435" s="780">
        <f t="shared" si="3479"/>
        <v>0</v>
      </c>
      <c r="BC435" s="780">
        <f t="shared" si="3479"/>
        <v>0</v>
      </c>
      <c r="BD435" s="780">
        <f t="shared" si="3479"/>
        <v>0</v>
      </c>
      <c r="BE435" s="780">
        <f t="shared" si="3479"/>
        <v>0</v>
      </c>
      <c r="BF435" s="780">
        <f t="shared" si="3479"/>
        <v>0</v>
      </c>
      <c r="BG435" s="780">
        <f t="shared" si="3479"/>
        <v>0</v>
      </c>
      <c r="BH435" s="780">
        <f t="shared" si="3479"/>
        <v>0</v>
      </c>
      <c r="BI435" s="781">
        <f t="shared" si="3479"/>
        <v>0</v>
      </c>
    </row>
    <row r="436" spans="1:61" s="780" customFormat="1" hidden="1" outlineLevel="1">
      <c r="A436" s="780" t="str">
        <f>$A$537</f>
        <v>Audits</v>
      </c>
      <c r="M436" s="781"/>
      <c r="N436" s="782"/>
      <c r="Y436" s="781"/>
      <c r="Z436" s="782"/>
      <c r="AK436" s="781"/>
      <c r="AL436" s="782"/>
      <c r="AW436" s="781"/>
      <c r="AX436" s="782"/>
      <c r="AY436" s="780">
        <f t="shared" ref="AY436:BI436" si="3480">IF($AY$5&gt;$AX$5,($AY$5-$AX$5)*B537,0)</f>
        <v>0</v>
      </c>
      <c r="AZ436" s="780">
        <f t="shared" si="3480"/>
        <v>0</v>
      </c>
      <c r="BA436" s="780">
        <f t="shared" si="3480"/>
        <v>0</v>
      </c>
      <c r="BB436" s="780">
        <f t="shared" si="3480"/>
        <v>0</v>
      </c>
      <c r="BC436" s="780">
        <f t="shared" si="3480"/>
        <v>0</v>
      </c>
      <c r="BD436" s="780">
        <f t="shared" si="3480"/>
        <v>0</v>
      </c>
      <c r="BE436" s="780">
        <f t="shared" si="3480"/>
        <v>0</v>
      </c>
      <c r="BF436" s="780">
        <f t="shared" si="3480"/>
        <v>0</v>
      </c>
      <c r="BG436" s="780">
        <f t="shared" si="3480"/>
        <v>0</v>
      </c>
      <c r="BH436" s="780">
        <f t="shared" si="3480"/>
        <v>0</v>
      </c>
      <c r="BI436" s="781">
        <f t="shared" si="3480"/>
        <v>0</v>
      </c>
    </row>
    <row r="437" spans="1:61" s="780" customFormat="1" hidden="1" outlineLevel="1">
      <c r="A437" s="780" t="str">
        <f>$A$538</f>
        <v>Retrofit</v>
      </c>
      <c r="M437" s="781"/>
      <c r="N437" s="782"/>
      <c r="Y437" s="781"/>
      <c r="Z437" s="782"/>
      <c r="AK437" s="781"/>
      <c r="AL437" s="782"/>
      <c r="AW437" s="781"/>
      <c r="AX437" s="782"/>
      <c r="AY437" s="780">
        <f t="shared" ref="AY437:BI437" si="3481">IF($AY$5&gt;$AX$5,($AY$5-$AX$5)*B538,0)</f>
        <v>0</v>
      </c>
      <c r="AZ437" s="780">
        <f t="shared" si="3481"/>
        <v>0</v>
      </c>
      <c r="BA437" s="780">
        <f t="shared" si="3481"/>
        <v>0</v>
      </c>
      <c r="BB437" s="780">
        <f t="shared" si="3481"/>
        <v>0</v>
      </c>
      <c r="BC437" s="780">
        <f t="shared" si="3481"/>
        <v>0</v>
      </c>
      <c r="BD437" s="780">
        <f t="shared" si="3481"/>
        <v>0</v>
      </c>
      <c r="BE437" s="780">
        <f t="shared" si="3481"/>
        <v>0</v>
      </c>
      <c r="BF437" s="780">
        <f t="shared" si="3481"/>
        <v>0</v>
      </c>
      <c r="BG437" s="780">
        <f t="shared" si="3481"/>
        <v>0</v>
      </c>
      <c r="BH437" s="780">
        <f t="shared" si="3481"/>
        <v>0</v>
      </c>
      <c r="BI437" s="781">
        <f t="shared" si="3481"/>
        <v>0</v>
      </c>
    </row>
    <row r="438" spans="1:61" s="780" customFormat="1" hidden="1" outlineLevel="1">
      <c r="A438" s="780" t="str">
        <f>$A$539</f>
        <v>Revenue</v>
      </c>
      <c r="M438" s="781"/>
      <c r="N438" s="782"/>
      <c r="Y438" s="781"/>
      <c r="Z438" s="782"/>
      <c r="AK438" s="781"/>
      <c r="AL438" s="782"/>
      <c r="AW438" s="781"/>
      <c r="AX438" s="782"/>
      <c r="AY438" s="780">
        <f t="shared" ref="AY438:BI438" si="3482">IF($AY$5&gt;$AX$5,($AY$5-$AX$5)*B539,0)</f>
        <v>0</v>
      </c>
      <c r="AZ438" s="780">
        <f t="shared" si="3482"/>
        <v>0</v>
      </c>
      <c r="BA438" s="780">
        <f t="shared" si="3482"/>
        <v>0</v>
      </c>
      <c r="BB438" s="780">
        <f t="shared" si="3482"/>
        <v>0</v>
      </c>
      <c r="BC438" s="780">
        <f t="shared" si="3482"/>
        <v>0</v>
      </c>
      <c r="BD438" s="780">
        <f t="shared" si="3482"/>
        <v>0</v>
      </c>
      <c r="BE438" s="780">
        <f t="shared" si="3482"/>
        <v>0</v>
      </c>
      <c r="BF438" s="780">
        <f t="shared" si="3482"/>
        <v>0</v>
      </c>
      <c r="BG438" s="780">
        <f t="shared" si="3482"/>
        <v>0</v>
      </c>
      <c r="BH438" s="780">
        <f t="shared" si="3482"/>
        <v>0</v>
      </c>
      <c r="BI438" s="781">
        <f t="shared" si="3482"/>
        <v>0</v>
      </c>
    </row>
    <row r="439" spans="1:61" s="780" customFormat="1" hidden="1" outlineLevel="1">
      <c r="A439" s="780" t="str">
        <f>$A$540</f>
        <v>Net Income</v>
      </c>
      <c r="M439" s="781"/>
      <c r="N439" s="782"/>
      <c r="Y439" s="781"/>
      <c r="Z439" s="782"/>
      <c r="AK439" s="781"/>
      <c r="AL439" s="782"/>
      <c r="AW439" s="781"/>
      <c r="AX439" s="782"/>
      <c r="AY439" s="780">
        <f t="shared" ref="AY439:BI439" si="3483">IF($AY$5&gt;$AX$5,($AY$5-$AX$5)*B540,0)</f>
        <v>0</v>
      </c>
      <c r="AZ439" s="780">
        <f t="shared" si="3483"/>
        <v>0</v>
      </c>
      <c r="BA439" s="780">
        <f t="shared" si="3483"/>
        <v>0</v>
      </c>
      <c r="BB439" s="780">
        <f t="shared" si="3483"/>
        <v>0</v>
      </c>
      <c r="BC439" s="780">
        <f t="shared" si="3483"/>
        <v>0</v>
      </c>
      <c r="BD439" s="780">
        <f t="shared" si="3483"/>
        <v>0</v>
      </c>
      <c r="BE439" s="780">
        <f t="shared" si="3483"/>
        <v>0</v>
      </c>
      <c r="BF439" s="780">
        <f t="shared" si="3483"/>
        <v>0</v>
      </c>
      <c r="BG439" s="780">
        <f t="shared" si="3483"/>
        <v>0</v>
      </c>
      <c r="BH439" s="780">
        <f t="shared" si="3483"/>
        <v>0</v>
      </c>
      <c r="BI439" s="781">
        <f t="shared" si="3483"/>
        <v>0</v>
      </c>
    </row>
    <row r="440" spans="1:61" s="780" customFormat="1" hidden="1" outlineLevel="1">
      <c r="A440" s="780" t="str">
        <f>$A$541</f>
        <v>Program Revenue</v>
      </c>
      <c r="M440" s="781"/>
      <c r="N440" s="782"/>
      <c r="Y440" s="781"/>
      <c r="Z440" s="782"/>
      <c r="AK440" s="781"/>
      <c r="AL440" s="782"/>
      <c r="AW440" s="781"/>
      <c r="AX440" s="782"/>
      <c r="AY440" s="780">
        <f t="shared" ref="AY440" si="3484">IF($AY$5&gt;$AX$5,($AY$5-$AX$5)*B541,0)</f>
        <v>0</v>
      </c>
      <c r="AZ440" s="780">
        <f t="shared" ref="AZ440" si="3485">IF($AY$5&gt;$AX$5,($AY$5-$AX$5)*C541,0)</f>
        <v>0</v>
      </c>
      <c r="BA440" s="780">
        <f t="shared" ref="BA440" si="3486">IF($AY$5&gt;$AX$5,($AY$5-$AX$5)*D541,0)</f>
        <v>0</v>
      </c>
      <c r="BB440" s="780">
        <f t="shared" ref="BB440" si="3487">IF($AY$5&gt;$AX$5,($AY$5-$AX$5)*E541,0)</f>
        <v>0</v>
      </c>
      <c r="BC440" s="780">
        <f t="shared" ref="BC440" si="3488">IF($AY$5&gt;$AX$5,($AY$5-$AX$5)*F541,0)</f>
        <v>0</v>
      </c>
      <c r="BD440" s="780">
        <f t="shared" ref="BD440" si="3489">IF($AY$5&gt;$AX$5,($AY$5-$AX$5)*G541,0)</f>
        <v>0</v>
      </c>
      <c r="BE440" s="780">
        <f t="shared" ref="BE440" si="3490">IF($AY$5&gt;$AX$5,($AY$5-$AX$5)*H541,0)</f>
        <v>0</v>
      </c>
      <c r="BF440" s="780">
        <f t="shared" ref="BF440" si="3491">IF($AY$5&gt;$AX$5,($AY$5-$AX$5)*I541,0)</f>
        <v>0</v>
      </c>
      <c r="BG440" s="780">
        <f t="shared" ref="BG440" si="3492">IF($AY$5&gt;$AX$5,($AY$5-$AX$5)*J541,0)</f>
        <v>0</v>
      </c>
      <c r="BH440" s="780">
        <f t="shared" ref="BH440" si="3493">IF($AY$5&gt;$AX$5,($AY$5-$AX$5)*K541,0)</f>
        <v>0</v>
      </c>
      <c r="BI440" s="781">
        <f t="shared" ref="BI440" si="3494">IF($AY$5&gt;$AX$5,($AY$5-$AX$5)*L541,0)</f>
        <v>0</v>
      </c>
    </row>
    <row r="441" spans="1:61" s="780" customFormat="1" hidden="1" outlineLevel="1">
      <c r="M441" s="781"/>
      <c r="N441" s="782"/>
      <c r="Y441" s="781"/>
      <c r="Z441" s="782"/>
      <c r="AK441" s="781"/>
      <c r="AL441" s="782"/>
      <c r="AW441" s="781"/>
      <c r="AX441" s="782"/>
      <c r="BI441" s="781"/>
    </row>
    <row r="442" spans="1:61" s="780" customFormat="1" hidden="1" outlineLevel="1">
      <c r="A442" s="780" t="s">
        <v>359</v>
      </c>
      <c r="M442" s="781"/>
      <c r="N442" s="782"/>
      <c r="Y442" s="781"/>
      <c r="Z442" s="782"/>
      <c r="AK442" s="781"/>
      <c r="AL442" s="782"/>
      <c r="AW442" s="781"/>
      <c r="AX442" s="782"/>
      <c r="AZ442" s="780">
        <f>IF($AZ$5&gt;$AY$5,($AZ$5-$AY$5)*B535,0)</f>
        <v>8</v>
      </c>
      <c r="BA442" s="780">
        <f t="shared" ref="BA442" si="3495">IF($AZ$5&gt;$AY$5,($AZ$5-$AY$5)*C535,0)</f>
        <v>8.3824000000000005</v>
      </c>
      <c r="BB442" s="780">
        <f t="shared" ref="BB442" si="3496">IF($AZ$5&gt;$AY$5,($AZ$5-$AY$5)*D535,0)</f>
        <v>8.790016102400001</v>
      </c>
      <c r="BC442" s="780">
        <f t="shared" ref="BC442" si="3497">IF($AZ$5&gt;$AY$5,($AZ$5-$AY$5)*E535,0)</f>
        <v>9.2244218586677267</v>
      </c>
      <c r="BD442" s="780">
        <f t="shared" ref="BD442" si="3498">IF($AZ$5&gt;$AY$5,($AZ$5-$AY$5)*F535,0)</f>
        <v>9.6872643857899394</v>
      </c>
      <c r="BE442" s="780">
        <f t="shared" ref="BE442" si="3499">IF($AZ$5&gt;$AY$5,($AZ$5-$AY$5)*G535,0)</f>
        <v>10.180266404063699</v>
      </c>
      <c r="BF442" s="780">
        <f t="shared" ref="BF442" si="3500">IF($AZ$5&gt;$AY$5,($AZ$5-$AY$5)*H535,0)</f>
        <v>10.705228286703797</v>
      </c>
      <c r="BG442" s="780">
        <f t="shared" ref="BG442" si="3501">IF($AZ$5&gt;$AY$5,($AZ$5-$AY$5)*I535,0)</f>
        <v>11.264030122404236</v>
      </c>
      <c r="BH442" s="780">
        <f t="shared" ref="BH442" si="3502">IF($AZ$5&gt;$AY$5,($AZ$5-$AY$5)*J535,0)</f>
        <v>11.858633792363815</v>
      </c>
      <c r="BI442" s="781">
        <f t="shared" ref="BI442" si="3503">IF($AZ$5&gt;$AY$5,($AZ$5-$AY$5)*K535,0)</f>
        <v>12.491085063681208</v>
      </c>
    </row>
    <row r="443" spans="1:61" s="780" customFormat="1" hidden="1" outlineLevel="1">
      <c r="A443" s="780" t="str">
        <f>$A$536</f>
        <v>Leads</v>
      </c>
      <c r="M443" s="781"/>
      <c r="N443" s="782"/>
      <c r="Y443" s="781"/>
      <c r="Z443" s="782"/>
      <c r="AK443" s="781"/>
      <c r="AL443" s="782"/>
      <c r="AW443" s="781"/>
      <c r="AX443" s="782"/>
      <c r="AZ443" s="780">
        <f>IF($AZ$5&gt;$AY$5,($AZ$5-$AY$5)*B536,0)</f>
        <v>20</v>
      </c>
      <c r="BA443" s="780">
        <f t="shared" ref="BA443:BI443" si="3504">IF($AZ$5&gt;$AY$5,($AZ$5-$AY$5)*C536,0)</f>
        <v>20.8</v>
      </c>
      <c r="BB443" s="780">
        <f t="shared" si="3504"/>
        <v>21.632000000000001</v>
      </c>
      <c r="BC443" s="780">
        <f t="shared" si="3504"/>
        <v>22.497280000000003</v>
      </c>
      <c r="BD443" s="780">
        <f t="shared" si="3504"/>
        <v>23.397171200000006</v>
      </c>
      <c r="BE443" s="780">
        <f t="shared" si="3504"/>
        <v>24.333058048000009</v>
      </c>
      <c r="BF443" s="780">
        <f t="shared" si="3504"/>
        <v>25.30638036992001</v>
      </c>
      <c r="BG443" s="780">
        <f t="shared" si="3504"/>
        <v>26.318635584716812</v>
      </c>
      <c r="BH443" s="780">
        <f t="shared" si="3504"/>
        <v>27.371381008105487</v>
      </c>
      <c r="BI443" s="781">
        <f t="shared" si="3504"/>
        <v>28.466236248429709</v>
      </c>
    </row>
    <row r="444" spans="1:61" s="780" customFormat="1" hidden="1" outlineLevel="1">
      <c r="A444" s="780" t="str">
        <f>$A$537</f>
        <v>Audits</v>
      </c>
      <c r="M444" s="781"/>
      <c r="N444" s="782"/>
      <c r="Y444" s="781"/>
      <c r="Z444" s="782"/>
      <c r="AK444" s="781"/>
      <c r="AL444" s="782"/>
      <c r="AW444" s="781"/>
      <c r="AX444" s="782"/>
      <c r="AZ444" s="780">
        <f t="shared" ref="AZ444:BI444" si="3505">IF($AZ$5&gt;$AY$5,($AZ$5-$AY$5)*B537,0)</f>
        <v>7.8466960352422905</v>
      </c>
      <c r="BA444" s="780">
        <f t="shared" si="3505"/>
        <v>8.1805560257268723</v>
      </c>
      <c r="BB444" s="780">
        <f t="shared" si="3505"/>
        <v>8.556158139083367</v>
      </c>
      <c r="BC444" s="780">
        <f t="shared" si="3505"/>
        <v>8.9523024684242678</v>
      </c>
      <c r="BD444" s="780">
        <f t="shared" si="3505"/>
        <v>9.3702787716763911</v>
      </c>
      <c r="BE444" s="780">
        <f t="shared" si="3505"/>
        <v>9.811453812672589</v>
      </c>
      <c r="BF444" s="780">
        <f t="shared" si="3505"/>
        <v>10.277273093546537</v>
      </c>
      <c r="BG444" s="780">
        <f t="shared" si="3505"/>
        <v>10.769262132442826</v>
      </c>
      <c r="BH444" s="780">
        <f t="shared" si="3505"/>
        <v>11.289027268145146</v>
      </c>
      <c r="BI444" s="781">
        <f t="shared" si="3505"/>
        <v>11.838255995812663</v>
      </c>
    </row>
    <row r="445" spans="1:61" s="780" customFormat="1" hidden="1" outlineLevel="1">
      <c r="A445" s="780" t="str">
        <f>$A$538</f>
        <v>Retrofit</v>
      </c>
      <c r="M445" s="781"/>
      <c r="N445" s="782"/>
      <c r="Y445" s="781"/>
      <c r="Z445" s="782"/>
      <c r="AK445" s="781"/>
      <c r="AL445" s="782"/>
      <c r="AW445" s="781"/>
      <c r="AX445" s="782"/>
      <c r="AZ445" s="780">
        <f t="shared" ref="AZ445:BI445" si="3506">IF($AZ$5&gt;$AY$5,($AZ$5-$AY$5)*B538,0)</f>
        <v>3.2741145374449339</v>
      </c>
      <c r="BA445" s="780">
        <f t="shared" si="3506"/>
        <v>3.4211429613668018</v>
      </c>
      <c r="BB445" s="780">
        <f t="shared" si="3506"/>
        <v>3.6089747928733105</v>
      </c>
      <c r="BC445" s="780">
        <f t="shared" si="3506"/>
        <v>3.80943356172375</v>
      </c>
      <c r="BD445" s="780">
        <f t="shared" si="3506"/>
        <v>4.023495407635</v>
      </c>
      <c r="BE445" s="780">
        <f t="shared" si="3506"/>
        <v>4.2522035025469851</v>
      </c>
      <c r="BF445" s="780">
        <f t="shared" si="3506"/>
        <v>4.4966691121698661</v>
      </c>
      <c r="BG445" s="780">
        <f t="shared" si="3506"/>
        <v>4.7580720961942786</v>
      </c>
      <c r="BH445" s="780">
        <f t="shared" si="3506"/>
        <v>5.0376608331454982</v>
      </c>
      <c r="BI445" s="781">
        <f t="shared" si="3506"/>
        <v>5.3367515834608863</v>
      </c>
    </row>
    <row r="446" spans="1:61" s="780" customFormat="1" hidden="1" outlineLevel="1">
      <c r="A446" s="780" t="str">
        <f>$A$539</f>
        <v>Revenue</v>
      </c>
      <c r="M446" s="781"/>
      <c r="N446" s="782"/>
      <c r="Y446" s="781"/>
      <c r="Z446" s="782"/>
      <c r="AK446" s="781"/>
      <c r="AL446" s="782"/>
      <c r="AW446" s="781"/>
      <c r="AX446" s="782"/>
      <c r="AZ446" s="780">
        <f t="shared" ref="AZ446:BI446" si="3507">IF($AZ$5&gt;$AY$5,($AZ$5-$AY$5)*B539,0)</f>
        <v>20728.933920704847</v>
      </c>
      <c r="BA446" s="780">
        <f t="shared" si="3507"/>
        <v>22334.796424579898</v>
      </c>
      <c r="BB446" s="780">
        <f t="shared" si="3507"/>
        <v>24261.379157843236</v>
      </c>
      <c r="BC446" s="780">
        <f t="shared" si="3507"/>
        <v>27109.041527058151</v>
      </c>
      <c r="BD446" s="780">
        <f t="shared" si="3507"/>
        <v>29411.012063918617</v>
      </c>
      <c r="BE446" s="780">
        <f t="shared" si="3507"/>
        <v>31904.731979940196</v>
      </c>
      <c r="BF446" s="780">
        <f t="shared" si="3507"/>
        <v>34157.516935543477</v>
      </c>
      <c r="BG446" s="780">
        <f t="shared" si="3507"/>
        <v>36585.144030160183</v>
      </c>
      <c r="BH446" s="780">
        <f t="shared" si="3507"/>
        <v>39202.024549786183</v>
      </c>
      <c r="BI446" s="781">
        <f t="shared" si="3507"/>
        <v>41489.907780370268</v>
      </c>
    </row>
    <row r="447" spans="1:61" s="780" customFormat="1" hidden="1" outlineLevel="1">
      <c r="A447" s="780" t="str">
        <f>$A$540</f>
        <v>Net Income</v>
      </c>
      <c r="M447" s="781"/>
      <c r="N447" s="782"/>
      <c r="Y447" s="781"/>
      <c r="Z447" s="782"/>
      <c r="AK447" s="781"/>
      <c r="AL447" s="782"/>
      <c r="AW447" s="781"/>
      <c r="AX447" s="782"/>
      <c r="AZ447" s="780">
        <f t="shared" ref="AZ447:BI447" si="3508">IF($AZ$5&gt;$AY$5,($AZ$5-$AY$5)*B540,0)</f>
        <v>-33184.964170807638</v>
      </c>
      <c r="BA447" s="780">
        <f t="shared" si="3508"/>
        <v>-14837.14568100147</v>
      </c>
      <c r="BB447" s="780">
        <f t="shared" si="3508"/>
        <v>-14268.717003781454</v>
      </c>
      <c r="BC447" s="780">
        <f t="shared" si="3508"/>
        <v>-13405.013342705901</v>
      </c>
      <c r="BD447" s="780">
        <f t="shared" si="3508"/>
        <v>-12685.072540306182</v>
      </c>
      <c r="BE447" s="780">
        <f t="shared" si="3508"/>
        <v>-17604.404805924125</v>
      </c>
      <c r="BF447" s="780">
        <f t="shared" si="3508"/>
        <v>-15156.124616524507</v>
      </c>
      <c r="BG447" s="780">
        <f t="shared" si="3508"/>
        <v>-13971.31609512752</v>
      </c>
      <c r="BH447" s="780">
        <f t="shared" si="3508"/>
        <v>-13027.555718246989</v>
      </c>
      <c r="BI447" s="781">
        <f t="shared" si="3508"/>
        <v>-12167.444211420123</v>
      </c>
    </row>
    <row r="448" spans="1:61" s="780" customFormat="1" hidden="1" outlineLevel="1">
      <c r="A448" s="780" t="str">
        <f>$A$541</f>
        <v>Program Revenue</v>
      </c>
      <c r="M448" s="781"/>
      <c r="N448" s="782"/>
      <c r="Y448" s="781"/>
      <c r="Z448" s="782"/>
      <c r="AK448" s="781"/>
      <c r="AL448" s="782"/>
      <c r="AW448" s="781"/>
      <c r="AX448" s="782"/>
      <c r="AZ448" s="780">
        <f t="shared" ref="AZ448" si="3509">IF($AZ$5&gt;$AY$5,($AZ$5-$AY$5)*B541,0)</f>
        <v>1850</v>
      </c>
      <c r="BA448" s="780">
        <f t="shared" ref="BA448" si="3510">IF($AZ$5&gt;$AY$5,($AZ$5-$AY$5)*C541,0)</f>
        <v>1937.1558751999999</v>
      </c>
      <c r="BB448" s="780">
        <f t="shared" ref="BB448" si="3511">IF($AZ$5&gt;$AY$5,($AZ$5-$AY$5)*D541,0)</f>
        <v>2030.0190587848704</v>
      </c>
      <c r="BC448" s="780">
        <f t="shared" ref="BC448" si="3512">IF($AZ$5&gt;$AY$5,($AZ$5-$AY$5)*E541,0)</f>
        <v>2128.941218449359</v>
      </c>
      <c r="BD448" s="780">
        <f t="shared" ref="BD448" si="3513">IF($AZ$5&gt;$AY$5,($AZ$5-$AY$5)*F541,0)</f>
        <v>2234.2900324673633</v>
      </c>
      <c r="BE448" s="780">
        <f t="shared" ref="BE448" si="3514">IF($AZ$5&gt;$AY$5,($AZ$5-$AY$5)*G541,0)</f>
        <v>2346.4496034726417</v>
      </c>
      <c r="BF448" s="780">
        <f t="shared" ref="BF448" si="3515">IF($AZ$5&gt;$AY$5,($AZ$5-$AY$5)*H541,0)</f>
        <v>2465.8208731027789</v>
      </c>
      <c r="BG448" s="780">
        <f t="shared" ref="BG448" si="3516">IF($AZ$5&gt;$AY$5,($AZ$5-$AY$5)*I541,0)</f>
        <v>2592.8220377557409</v>
      </c>
      <c r="BH448" s="780">
        <f t="shared" ref="BH448" si="3517">IF($AZ$5&gt;$AY$5,($AZ$5-$AY$5)*J541,0)</f>
        <v>2727.8889657926175</v>
      </c>
      <c r="BI448" s="781">
        <f t="shared" ref="BI448" si="3518">IF($AZ$5&gt;$AY$5,($AZ$5-$AY$5)*K541,0)</f>
        <v>2871.4756166091629</v>
      </c>
    </row>
    <row r="449" spans="1:61" s="780" customFormat="1" hidden="1" outlineLevel="1">
      <c r="M449" s="781"/>
      <c r="N449" s="782"/>
      <c r="Y449" s="781"/>
      <c r="Z449" s="782"/>
      <c r="AK449" s="781"/>
      <c r="AL449" s="782"/>
      <c r="AW449" s="781"/>
      <c r="AX449" s="782"/>
      <c r="BI449" s="781"/>
    </row>
    <row r="450" spans="1:61" s="780" customFormat="1" hidden="1" outlineLevel="1">
      <c r="A450" s="780" t="s">
        <v>359</v>
      </c>
      <c r="M450" s="781"/>
      <c r="N450" s="782"/>
      <c r="Y450" s="781"/>
      <c r="Z450" s="782"/>
      <c r="AK450" s="781"/>
      <c r="AL450" s="782"/>
      <c r="AW450" s="781"/>
      <c r="AX450" s="782"/>
      <c r="BA450" s="780">
        <f>IF($BA$5&gt;$AZ$5,($BA$5-$AZ$5)*B535,0)</f>
        <v>8</v>
      </c>
      <c r="BB450" s="780">
        <f t="shared" ref="BB450" si="3519">IF($BA$5&gt;$AZ$5,($BA$5-$AZ$5)*C535,0)</f>
        <v>8.3824000000000005</v>
      </c>
      <c r="BC450" s="780">
        <f t="shared" ref="BC450" si="3520">IF($BA$5&gt;$AZ$5,($BA$5-$AZ$5)*D535,0)</f>
        <v>8.790016102400001</v>
      </c>
      <c r="BD450" s="780">
        <f t="shared" ref="BD450" si="3521">IF($BA$5&gt;$AZ$5,($BA$5-$AZ$5)*E535,0)</f>
        <v>9.2244218586677267</v>
      </c>
      <c r="BE450" s="780">
        <f t="shared" ref="BE450" si="3522">IF($BA$5&gt;$AZ$5,($BA$5-$AZ$5)*F535,0)</f>
        <v>9.6872643857899394</v>
      </c>
      <c r="BF450" s="780">
        <f t="shared" ref="BF450" si="3523">IF($BA$5&gt;$AZ$5,($BA$5-$AZ$5)*G535,0)</f>
        <v>10.180266404063699</v>
      </c>
      <c r="BG450" s="780">
        <f t="shared" ref="BG450" si="3524">IF($BA$5&gt;$AZ$5,($BA$5-$AZ$5)*H535,0)</f>
        <v>10.705228286703797</v>
      </c>
      <c r="BH450" s="780">
        <f t="shared" ref="BH450" si="3525">IF($BA$5&gt;$AZ$5,($BA$5-$AZ$5)*I535,0)</f>
        <v>11.264030122404236</v>
      </c>
      <c r="BI450" s="781">
        <f t="shared" ref="BI450" si="3526">IF($BA$5&gt;$AZ$5,($BA$5-$AZ$5)*J535,0)</f>
        <v>11.858633792363815</v>
      </c>
    </row>
    <row r="451" spans="1:61" s="780" customFormat="1" hidden="1" outlineLevel="1">
      <c r="A451" s="780" t="str">
        <f>$A$536</f>
        <v>Leads</v>
      </c>
      <c r="M451" s="781"/>
      <c r="N451" s="782"/>
      <c r="Y451" s="781"/>
      <c r="Z451" s="782"/>
      <c r="AK451" s="781"/>
      <c r="AL451" s="782"/>
      <c r="AW451" s="781"/>
      <c r="AX451" s="782"/>
      <c r="BA451" s="780">
        <f>IF($BA$5&gt;$AZ$5,($BA$5-$AZ$5)*B536,0)</f>
        <v>20</v>
      </c>
      <c r="BB451" s="780">
        <f t="shared" ref="BB451:BI451" si="3527">IF($BA$5&gt;$AZ$5,($BA$5-$AZ$5)*C536,0)</f>
        <v>20.8</v>
      </c>
      <c r="BC451" s="780">
        <f t="shared" si="3527"/>
        <v>21.632000000000001</v>
      </c>
      <c r="BD451" s="780">
        <f t="shared" si="3527"/>
        <v>22.497280000000003</v>
      </c>
      <c r="BE451" s="780">
        <f t="shared" si="3527"/>
        <v>23.397171200000006</v>
      </c>
      <c r="BF451" s="780">
        <f t="shared" si="3527"/>
        <v>24.333058048000009</v>
      </c>
      <c r="BG451" s="780">
        <f t="shared" si="3527"/>
        <v>25.30638036992001</v>
      </c>
      <c r="BH451" s="780">
        <f t="shared" si="3527"/>
        <v>26.318635584716812</v>
      </c>
      <c r="BI451" s="781">
        <f t="shared" si="3527"/>
        <v>27.371381008105487</v>
      </c>
    </row>
    <row r="452" spans="1:61" s="780" customFormat="1" hidden="1" outlineLevel="1">
      <c r="A452" s="780" t="str">
        <f>$A$537</f>
        <v>Audits</v>
      </c>
      <c r="M452" s="781"/>
      <c r="N452" s="782"/>
      <c r="Y452" s="781"/>
      <c r="Z452" s="782"/>
      <c r="AK452" s="781"/>
      <c r="AL452" s="782"/>
      <c r="AW452" s="781"/>
      <c r="AX452" s="782"/>
      <c r="BA452" s="780">
        <f t="shared" ref="BA452:BI452" si="3528">IF($BA$5&gt;$AZ$5,($BA$5-$AZ$5)*B537,0)</f>
        <v>7.8466960352422905</v>
      </c>
      <c r="BB452" s="780">
        <f t="shared" si="3528"/>
        <v>8.1805560257268723</v>
      </c>
      <c r="BC452" s="780">
        <f t="shared" si="3528"/>
        <v>8.556158139083367</v>
      </c>
      <c r="BD452" s="780">
        <f t="shared" si="3528"/>
        <v>8.9523024684242678</v>
      </c>
      <c r="BE452" s="780">
        <f t="shared" si="3528"/>
        <v>9.3702787716763911</v>
      </c>
      <c r="BF452" s="780">
        <f t="shared" si="3528"/>
        <v>9.811453812672589</v>
      </c>
      <c r="BG452" s="780">
        <f t="shared" si="3528"/>
        <v>10.277273093546537</v>
      </c>
      <c r="BH452" s="780">
        <f t="shared" si="3528"/>
        <v>10.769262132442826</v>
      </c>
      <c r="BI452" s="781">
        <f t="shared" si="3528"/>
        <v>11.289027268145146</v>
      </c>
    </row>
    <row r="453" spans="1:61" s="780" customFormat="1" hidden="1" outlineLevel="1">
      <c r="A453" s="780" t="str">
        <f>$A$538</f>
        <v>Retrofit</v>
      </c>
      <c r="M453" s="781"/>
      <c r="N453" s="782"/>
      <c r="Y453" s="781"/>
      <c r="Z453" s="782"/>
      <c r="AK453" s="781"/>
      <c r="AL453" s="782"/>
      <c r="AW453" s="781"/>
      <c r="AX453" s="782"/>
      <c r="BA453" s="780">
        <f t="shared" ref="BA453:BI453" si="3529">IF($BA$5&gt;$AZ$5,($BA$5-$AZ$5)*B538,0)</f>
        <v>3.2741145374449339</v>
      </c>
      <c r="BB453" s="780">
        <f t="shared" si="3529"/>
        <v>3.4211429613668018</v>
      </c>
      <c r="BC453" s="780">
        <f t="shared" si="3529"/>
        <v>3.6089747928733105</v>
      </c>
      <c r="BD453" s="780">
        <f t="shared" si="3529"/>
        <v>3.80943356172375</v>
      </c>
      <c r="BE453" s="780">
        <f t="shared" si="3529"/>
        <v>4.023495407635</v>
      </c>
      <c r="BF453" s="780">
        <f t="shared" si="3529"/>
        <v>4.2522035025469851</v>
      </c>
      <c r="BG453" s="780">
        <f t="shared" si="3529"/>
        <v>4.4966691121698661</v>
      </c>
      <c r="BH453" s="780">
        <f t="shared" si="3529"/>
        <v>4.7580720961942786</v>
      </c>
      <c r="BI453" s="781">
        <f t="shared" si="3529"/>
        <v>5.0376608331454982</v>
      </c>
    </row>
    <row r="454" spans="1:61" s="780" customFormat="1" hidden="1" outlineLevel="1">
      <c r="A454" s="780" t="str">
        <f>$A$539</f>
        <v>Revenue</v>
      </c>
      <c r="M454" s="781"/>
      <c r="N454" s="782"/>
      <c r="Y454" s="781"/>
      <c r="Z454" s="782"/>
      <c r="AK454" s="781"/>
      <c r="AL454" s="782"/>
      <c r="AW454" s="781"/>
      <c r="AX454" s="782"/>
      <c r="BA454" s="780">
        <f t="shared" ref="BA454:BI454" si="3530">IF($BA$5&gt;$AZ$5,($BA$5-$AZ$5)*B539,0)</f>
        <v>20728.933920704847</v>
      </c>
      <c r="BB454" s="780">
        <f t="shared" si="3530"/>
        <v>22334.796424579898</v>
      </c>
      <c r="BC454" s="780">
        <f t="shared" si="3530"/>
        <v>24261.379157843236</v>
      </c>
      <c r="BD454" s="780">
        <f t="shared" si="3530"/>
        <v>27109.041527058151</v>
      </c>
      <c r="BE454" s="780">
        <f t="shared" si="3530"/>
        <v>29411.012063918617</v>
      </c>
      <c r="BF454" s="780">
        <f t="shared" si="3530"/>
        <v>31904.731979940196</v>
      </c>
      <c r="BG454" s="780">
        <f t="shared" si="3530"/>
        <v>34157.516935543477</v>
      </c>
      <c r="BH454" s="780">
        <f t="shared" si="3530"/>
        <v>36585.144030160183</v>
      </c>
      <c r="BI454" s="781">
        <f t="shared" si="3530"/>
        <v>39202.024549786183</v>
      </c>
    </row>
    <row r="455" spans="1:61" s="780" customFormat="1" hidden="1" outlineLevel="1">
      <c r="A455" s="780" t="str">
        <f>$A$540</f>
        <v>Net Income</v>
      </c>
      <c r="M455" s="781"/>
      <c r="N455" s="782"/>
      <c r="Y455" s="781"/>
      <c r="Z455" s="782"/>
      <c r="AK455" s="781"/>
      <c r="AL455" s="782"/>
      <c r="AW455" s="781"/>
      <c r="AX455" s="782"/>
      <c r="BA455" s="780">
        <f t="shared" ref="BA455:BI455" si="3531">IF($BA$5&gt;$AZ$5,($BA$5-$AZ$5)*B540,0)</f>
        <v>-33184.964170807638</v>
      </c>
      <c r="BB455" s="780">
        <f t="shared" si="3531"/>
        <v>-14837.14568100147</v>
      </c>
      <c r="BC455" s="780">
        <f t="shared" si="3531"/>
        <v>-14268.717003781454</v>
      </c>
      <c r="BD455" s="780">
        <f t="shared" si="3531"/>
        <v>-13405.013342705901</v>
      </c>
      <c r="BE455" s="780">
        <f t="shared" si="3531"/>
        <v>-12685.072540306182</v>
      </c>
      <c r="BF455" s="780">
        <f t="shared" si="3531"/>
        <v>-17604.404805924125</v>
      </c>
      <c r="BG455" s="780">
        <f t="shared" si="3531"/>
        <v>-15156.124616524507</v>
      </c>
      <c r="BH455" s="780">
        <f t="shared" si="3531"/>
        <v>-13971.31609512752</v>
      </c>
      <c r="BI455" s="781">
        <f t="shared" si="3531"/>
        <v>-13027.555718246989</v>
      </c>
    </row>
    <row r="456" spans="1:61" s="780" customFormat="1" hidden="1" outlineLevel="1">
      <c r="A456" s="780" t="str">
        <f>$A$541</f>
        <v>Program Revenue</v>
      </c>
      <c r="M456" s="781"/>
      <c r="N456" s="782"/>
      <c r="Y456" s="781"/>
      <c r="Z456" s="782"/>
      <c r="AK456" s="781"/>
      <c r="AL456" s="782"/>
      <c r="AW456" s="781"/>
      <c r="AX456" s="782"/>
      <c r="BA456" s="780">
        <f t="shared" ref="BA456" si="3532">IF($BA$5&gt;$AZ$5,($BA$5-$AZ$5)*B541,0)</f>
        <v>1850</v>
      </c>
      <c r="BB456" s="780">
        <f t="shared" ref="BB456" si="3533">IF($BA$5&gt;$AZ$5,($BA$5-$AZ$5)*C541,0)</f>
        <v>1937.1558751999999</v>
      </c>
      <c r="BC456" s="780">
        <f t="shared" ref="BC456" si="3534">IF($BA$5&gt;$AZ$5,($BA$5-$AZ$5)*D541,0)</f>
        <v>2030.0190587848704</v>
      </c>
      <c r="BD456" s="780">
        <f t="shared" ref="BD456" si="3535">IF($BA$5&gt;$AZ$5,($BA$5-$AZ$5)*E541,0)</f>
        <v>2128.941218449359</v>
      </c>
      <c r="BE456" s="780">
        <f t="shared" ref="BE456" si="3536">IF($BA$5&gt;$AZ$5,($BA$5-$AZ$5)*F541,0)</f>
        <v>2234.2900324673633</v>
      </c>
      <c r="BF456" s="780">
        <f t="shared" ref="BF456" si="3537">IF($BA$5&gt;$AZ$5,($BA$5-$AZ$5)*G541,0)</f>
        <v>2346.4496034726417</v>
      </c>
      <c r="BG456" s="780">
        <f t="shared" ref="BG456" si="3538">IF($BA$5&gt;$AZ$5,($BA$5-$AZ$5)*H541,0)</f>
        <v>2465.8208731027789</v>
      </c>
      <c r="BH456" s="780">
        <f t="shared" ref="BH456" si="3539">IF($BA$5&gt;$AZ$5,($BA$5-$AZ$5)*I541,0)</f>
        <v>2592.8220377557409</v>
      </c>
      <c r="BI456" s="781">
        <f t="shared" ref="BI456" si="3540">IF($BA$5&gt;$AZ$5,($BA$5-$AZ$5)*J541,0)</f>
        <v>2727.8889657926175</v>
      </c>
    </row>
    <row r="457" spans="1:61" s="780" customFormat="1" hidden="1" outlineLevel="1">
      <c r="M457" s="781"/>
      <c r="N457" s="782"/>
      <c r="Y457" s="781"/>
      <c r="Z457" s="782"/>
      <c r="AK457" s="781"/>
      <c r="AL457" s="782"/>
      <c r="AW457" s="781"/>
      <c r="AX457" s="782"/>
      <c r="BI457" s="781"/>
    </row>
    <row r="458" spans="1:61" s="780" customFormat="1" hidden="1" outlineLevel="1">
      <c r="A458" s="780" t="s">
        <v>359</v>
      </c>
      <c r="M458" s="781"/>
      <c r="N458" s="782"/>
      <c r="Y458" s="781"/>
      <c r="Z458" s="782"/>
      <c r="AK458" s="781"/>
      <c r="AL458" s="782"/>
      <c r="AW458" s="781"/>
      <c r="AX458" s="782"/>
      <c r="BB458" s="780">
        <f>IF($BB$5&gt;$BA$5,($BB$5-$BA$5)*B535,0)</f>
        <v>0</v>
      </c>
      <c r="BC458" s="780">
        <f t="shared" ref="BC458" si="3541">IF($BB$5&gt;$BA$5,($BB$5-$BA$5)*C535,0)</f>
        <v>0</v>
      </c>
      <c r="BD458" s="780">
        <f t="shared" ref="BD458" si="3542">IF($BB$5&gt;$BA$5,($BB$5-$BA$5)*D535,0)</f>
        <v>0</v>
      </c>
      <c r="BE458" s="780">
        <f t="shared" ref="BE458" si="3543">IF($BB$5&gt;$BA$5,($BB$5-$BA$5)*E535,0)</f>
        <v>0</v>
      </c>
      <c r="BF458" s="780">
        <f t="shared" ref="BF458" si="3544">IF($BB$5&gt;$BA$5,($BB$5-$BA$5)*F535,0)</f>
        <v>0</v>
      </c>
      <c r="BG458" s="780">
        <f t="shared" ref="BG458" si="3545">IF($BB$5&gt;$BA$5,($BB$5-$BA$5)*G535,0)</f>
        <v>0</v>
      </c>
      <c r="BH458" s="780">
        <f t="shared" ref="BH458" si="3546">IF($BB$5&gt;$BA$5,($BB$5-$BA$5)*H535,0)</f>
        <v>0</v>
      </c>
      <c r="BI458" s="781">
        <f t="shared" ref="BI458" si="3547">IF($BB$5&gt;$BA$5,($BB$5-$BA$5)*I535,0)</f>
        <v>0</v>
      </c>
    </row>
    <row r="459" spans="1:61" s="780" customFormat="1" hidden="1" outlineLevel="1">
      <c r="A459" s="780" t="str">
        <f>$A$536</f>
        <v>Leads</v>
      </c>
      <c r="M459" s="781"/>
      <c r="N459" s="782"/>
      <c r="Y459" s="781"/>
      <c r="Z459" s="782"/>
      <c r="AK459" s="781"/>
      <c r="AL459" s="782"/>
      <c r="AW459" s="781"/>
      <c r="AX459" s="782"/>
      <c r="BB459" s="780">
        <f>IF($BB$5&gt;$BA$5,($BB$5-$BA$5)*B536,0)</f>
        <v>0</v>
      </c>
      <c r="BC459" s="780">
        <f t="shared" ref="BC459:BI459" si="3548">IF($BB$5&gt;$BA$5,($BB$5-$BA$5)*C536,0)</f>
        <v>0</v>
      </c>
      <c r="BD459" s="780">
        <f t="shared" si="3548"/>
        <v>0</v>
      </c>
      <c r="BE459" s="780">
        <f t="shared" si="3548"/>
        <v>0</v>
      </c>
      <c r="BF459" s="780">
        <f t="shared" si="3548"/>
        <v>0</v>
      </c>
      <c r="BG459" s="780">
        <f t="shared" si="3548"/>
        <v>0</v>
      </c>
      <c r="BH459" s="780">
        <f t="shared" si="3548"/>
        <v>0</v>
      </c>
      <c r="BI459" s="781">
        <f t="shared" si="3548"/>
        <v>0</v>
      </c>
    </row>
    <row r="460" spans="1:61" s="780" customFormat="1" hidden="1" outlineLevel="1">
      <c r="A460" s="780" t="str">
        <f>$A$537</f>
        <v>Audits</v>
      </c>
      <c r="M460" s="781"/>
      <c r="N460" s="782"/>
      <c r="Y460" s="781"/>
      <c r="Z460" s="782"/>
      <c r="AK460" s="781"/>
      <c r="AL460" s="782"/>
      <c r="AW460" s="781"/>
      <c r="AX460" s="782"/>
      <c r="BB460" s="780">
        <f t="shared" ref="BB460:BI460" si="3549">IF($BB$5&gt;$BA$5,($BB$5-$BA$5)*B537,0)</f>
        <v>0</v>
      </c>
      <c r="BC460" s="780">
        <f t="shared" si="3549"/>
        <v>0</v>
      </c>
      <c r="BD460" s="780">
        <f t="shared" si="3549"/>
        <v>0</v>
      </c>
      <c r="BE460" s="780">
        <f t="shared" si="3549"/>
        <v>0</v>
      </c>
      <c r="BF460" s="780">
        <f t="shared" si="3549"/>
        <v>0</v>
      </c>
      <c r="BG460" s="780">
        <f t="shared" si="3549"/>
        <v>0</v>
      </c>
      <c r="BH460" s="780">
        <f t="shared" si="3549"/>
        <v>0</v>
      </c>
      <c r="BI460" s="781">
        <f t="shared" si="3549"/>
        <v>0</v>
      </c>
    </row>
    <row r="461" spans="1:61" s="780" customFormat="1" hidden="1" outlineLevel="1">
      <c r="A461" s="780" t="str">
        <f>$A$538</f>
        <v>Retrofit</v>
      </c>
      <c r="M461" s="781"/>
      <c r="N461" s="782"/>
      <c r="Y461" s="781"/>
      <c r="Z461" s="782"/>
      <c r="AK461" s="781"/>
      <c r="AL461" s="782"/>
      <c r="AW461" s="781"/>
      <c r="AX461" s="782"/>
      <c r="BB461" s="780">
        <f t="shared" ref="BB461:BI461" si="3550">IF($BB$5&gt;$BA$5,($BB$5-$BA$5)*B538,0)</f>
        <v>0</v>
      </c>
      <c r="BC461" s="780">
        <f t="shared" si="3550"/>
        <v>0</v>
      </c>
      <c r="BD461" s="780">
        <f t="shared" si="3550"/>
        <v>0</v>
      </c>
      <c r="BE461" s="780">
        <f t="shared" si="3550"/>
        <v>0</v>
      </c>
      <c r="BF461" s="780">
        <f t="shared" si="3550"/>
        <v>0</v>
      </c>
      <c r="BG461" s="780">
        <f t="shared" si="3550"/>
        <v>0</v>
      </c>
      <c r="BH461" s="780">
        <f t="shared" si="3550"/>
        <v>0</v>
      </c>
      <c r="BI461" s="781">
        <f t="shared" si="3550"/>
        <v>0</v>
      </c>
    </row>
    <row r="462" spans="1:61" s="780" customFormat="1" hidden="1" outlineLevel="1">
      <c r="A462" s="780" t="str">
        <f>$A$539</f>
        <v>Revenue</v>
      </c>
      <c r="M462" s="781"/>
      <c r="N462" s="782"/>
      <c r="Y462" s="781"/>
      <c r="Z462" s="782"/>
      <c r="AK462" s="781"/>
      <c r="AL462" s="782"/>
      <c r="AW462" s="781"/>
      <c r="AX462" s="782"/>
      <c r="BB462" s="780">
        <f t="shared" ref="BB462:BI462" si="3551">IF($BB$5&gt;$BA$5,($BB$5-$BA$5)*B539,0)</f>
        <v>0</v>
      </c>
      <c r="BC462" s="780">
        <f t="shared" si="3551"/>
        <v>0</v>
      </c>
      <c r="BD462" s="780">
        <f t="shared" si="3551"/>
        <v>0</v>
      </c>
      <c r="BE462" s="780">
        <f t="shared" si="3551"/>
        <v>0</v>
      </c>
      <c r="BF462" s="780">
        <f t="shared" si="3551"/>
        <v>0</v>
      </c>
      <c r="BG462" s="780">
        <f t="shared" si="3551"/>
        <v>0</v>
      </c>
      <c r="BH462" s="780">
        <f t="shared" si="3551"/>
        <v>0</v>
      </c>
      <c r="BI462" s="781">
        <f t="shared" si="3551"/>
        <v>0</v>
      </c>
    </row>
    <row r="463" spans="1:61" s="780" customFormat="1" hidden="1" outlineLevel="1">
      <c r="A463" s="780" t="str">
        <f>$A$540</f>
        <v>Net Income</v>
      </c>
      <c r="M463" s="781"/>
      <c r="N463" s="782"/>
      <c r="Y463" s="781"/>
      <c r="Z463" s="782"/>
      <c r="AK463" s="781"/>
      <c r="AL463" s="782"/>
      <c r="AW463" s="781"/>
      <c r="AX463" s="782"/>
      <c r="BB463" s="780">
        <f t="shared" ref="BB463:BI463" si="3552">IF($BB$5&gt;$BA$5,($BB$5-$BA$5)*B540,0)</f>
        <v>0</v>
      </c>
      <c r="BC463" s="780">
        <f t="shared" si="3552"/>
        <v>0</v>
      </c>
      <c r="BD463" s="780">
        <f t="shared" si="3552"/>
        <v>0</v>
      </c>
      <c r="BE463" s="780">
        <f t="shared" si="3552"/>
        <v>0</v>
      </c>
      <c r="BF463" s="780">
        <f t="shared" si="3552"/>
        <v>0</v>
      </c>
      <c r="BG463" s="780">
        <f t="shared" si="3552"/>
        <v>0</v>
      </c>
      <c r="BH463" s="780">
        <f t="shared" si="3552"/>
        <v>0</v>
      </c>
      <c r="BI463" s="781">
        <f t="shared" si="3552"/>
        <v>0</v>
      </c>
    </row>
    <row r="464" spans="1:61" s="780" customFormat="1" hidden="1" outlineLevel="1">
      <c r="A464" s="780" t="str">
        <f>$A$541</f>
        <v>Program Revenue</v>
      </c>
      <c r="M464" s="781"/>
      <c r="N464" s="782"/>
      <c r="Y464" s="781"/>
      <c r="Z464" s="782"/>
      <c r="AK464" s="781"/>
      <c r="AL464" s="782"/>
      <c r="AW464" s="781"/>
      <c r="AX464" s="782"/>
      <c r="BB464" s="780">
        <f t="shared" ref="BB464" si="3553">IF($BB$5&gt;$BA$5,($BB$5-$BA$5)*B541,0)</f>
        <v>0</v>
      </c>
      <c r="BC464" s="780">
        <f t="shared" ref="BC464" si="3554">IF($BB$5&gt;$BA$5,($BB$5-$BA$5)*C541,0)</f>
        <v>0</v>
      </c>
      <c r="BD464" s="780">
        <f t="shared" ref="BD464" si="3555">IF($BB$5&gt;$BA$5,($BB$5-$BA$5)*D541,0)</f>
        <v>0</v>
      </c>
      <c r="BE464" s="780">
        <f t="shared" ref="BE464" si="3556">IF($BB$5&gt;$BA$5,($BB$5-$BA$5)*E541,0)</f>
        <v>0</v>
      </c>
      <c r="BF464" s="780">
        <f t="shared" ref="BF464" si="3557">IF($BB$5&gt;$BA$5,($BB$5-$BA$5)*F541,0)</f>
        <v>0</v>
      </c>
      <c r="BG464" s="780">
        <f t="shared" ref="BG464" si="3558">IF($BB$5&gt;$BA$5,($BB$5-$BA$5)*G541,0)</f>
        <v>0</v>
      </c>
      <c r="BH464" s="780">
        <f t="shared" ref="BH464" si="3559">IF($BB$5&gt;$BA$5,($BB$5-$BA$5)*H541,0)</f>
        <v>0</v>
      </c>
      <c r="BI464" s="781">
        <f t="shared" ref="BI464" si="3560">IF($BB$5&gt;$BA$5,($BB$5-$BA$5)*I541,0)</f>
        <v>0</v>
      </c>
    </row>
    <row r="465" spans="1:61" s="780" customFormat="1" hidden="1" outlineLevel="1">
      <c r="M465" s="781"/>
      <c r="N465" s="782"/>
      <c r="Y465" s="781"/>
      <c r="Z465" s="782"/>
      <c r="AK465" s="781"/>
      <c r="AL465" s="782"/>
      <c r="AW465" s="781"/>
      <c r="AX465" s="782"/>
      <c r="BI465" s="781"/>
    </row>
    <row r="466" spans="1:61" s="780" customFormat="1" hidden="1" outlineLevel="1">
      <c r="A466" s="780" t="s">
        <v>359</v>
      </c>
      <c r="M466" s="781"/>
      <c r="N466" s="782"/>
      <c r="Y466" s="781"/>
      <c r="Z466" s="782"/>
      <c r="AK466" s="781"/>
      <c r="AL466" s="782"/>
      <c r="AW466" s="781"/>
      <c r="AX466" s="782"/>
      <c r="BC466" s="780">
        <f>IF($BC$5&gt;$BB$5,($BC$5-$BB$5)*B535,0)</f>
        <v>0</v>
      </c>
      <c r="BD466" s="780">
        <f t="shared" ref="BD466" si="3561">IF($BC$5&gt;$BB$5,($BC$5-$BB$5)*C535,0)</f>
        <v>0</v>
      </c>
      <c r="BE466" s="780">
        <f t="shared" ref="BE466" si="3562">IF($BC$5&gt;$BB$5,($BC$5-$BB$5)*D535,0)</f>
        <v>0</v>
      </c>
      <c r="BF466" s="780">
        <f t="shared" ref="BF466" si="3563">IF($BC$5&gt;$BB$5,($BC$5-$BB$5)*E535,0)</f>
        <v>0</v>
      </c>
      <c r="BG466" s="780">
        <f t="shared" ref="BG466" si="3564">IF($BC$5&gt;$BB$5,($BC$5-$BB$5)*F535,0)</f>
        <v>0</v>
      </c>
      <c r="BH466" s="780">
        <f t="shared" ref="BH466" si="3565">IF($BC$5&gt;$BB$5,($BC$5-$BB$5)*G535,0)</f>
        <v>0</v>
      </c>
      <c r="BI466" s="781">
        <f t="shared" ref="BI466" si="3566">IF($BC$5&gt;$BB$5,($BC$5-$BB$5)*H535,0)</f>
        <v>0</v>
      </c>
    </row>
    <row r="467" spans="1:61" s="780" customFormat="1" hidden="1" outlineLevel="1">
      <c r="A467" s="780" t="str">
        <f>$A$536</f>
        <v>Leads</v>
      </c>
      <c r="M467" s="781"/>
      <c r="N467" s="782"/>
      <c r="Y467" s="781"/>
      <c r="Z467" s="782"/>
      <c r="AK467" s="781"/>
      <c r="AL467" s="782"/>
      <c r="AW467" s="781"/>
      <c r="AX467" s="782"/>
      <c r="BC467" s="780">
        <f>IF($BC$5&gt;$BB$5,($BC$5-$BB$5)*B536,0)</f>
        <v>0</v>
      </c>
      <c r="BD467" s="780">
        <f t="shared" ref="BD467:BI467" si="3567">IF($BC$5&gt;$BB$5,($BC$5-$BB$5)*C536,0)</f>
        <v>0</v>
      </c>
      <c r="BE467" s="780">
        <f t="shared" si="3567"/>
        <v>0</v>
      </c>
      <c r="BF467" s="780">
        <f t="shared" si="3567"/>
        <v>0</v>
      </c>
      <c r="BG467" s="780">
        <f t="shared" si="3567"/>
        <v>0</v>
      </c>
      <c r="BH467" s="780">
        <f t="shared" si="3567"/>
        <v>0</v>
      </c>
      <c r="BI467" s="781">
        <f t="shared" si="3567"/>
        <v>0</v>
      </c>
    </row>
    <row r="468" spans="1:61" s="780" customFormat="1" hidden="1" outlineLevel="1">
      <c r="A468" s="780" t="str">
        <f>$A$537</f>
        <v>Audits</v>
      </c>
      <c r="M468" s="781"/>
      <c r="N468" s="782"/>
      <c r="Y468" s="781"/>
      <c r="Z468" s="782"/>
      <c r="AK468" s="781"/>
      <c r="AL468" s="782"/>
      <c r="AW468" s="781"/>
      <c r="AX468" s="782"/>
      <c r="BC468" s="780">
        <f t="shared" ref="BC468:BI468" si="3568">IF($BC$5&gt;$BB$5,($BC$5-$BB$5)*B537,0)</f>
        <v>0</v>
      </c>
      <c r="BD468" s="780">
        <f t="shared" si="3568"/>
        <v>0</v>
      </c>
      <c r="BE468" s="780">
        <f t="shared" si="3568"/>
        <v>0</v>
      </c>
      <c r="BF468" s="780">
        <f t="shared" si="3568"/>
        <v>0</v>
      </c>
      <c r="BG468" s="780">
        <f t="shared" si="3568"/>
        <v>0</v>
      </c>
      <c r="BH468" s="780">
        <f t="shared" si="3568"/>
        <v>0</v>
      </c>
      <c r="BI468" s="781">
        <f t="shared" si="3568"/>
        <v>0</v>
      </c>
    </row>
    <row r="469" spans="1:61" s="780" customFormat="1" hidden="1" outlineLevel="1">
      <c r="A469" s="780" t="str">
        <f>$A$538</f>
        <v>Retrofit</v>
      </c>
      <c r="M469" s="781"/>
      <c r="N469" s="782"/>
      <c r="Y469" s="781"/>
      <c r="Z469" s="782"/>
      <c r="AK469" s="781"/>
      <c r="AL469" s="782"/>
      <c r="AW469" s="781"/>
      <c r="AX469" s="782"/>
      <c r="BC469" s="780">
        <f t="shared" ref="BC469:BI469" si="3569">IF($BC$5&gt;$BB$5,($BC$5-$BB$5)*B538,0)</f>
        <v>0</v>
      </c>
      <c r="BD469" s="780">
        <f t="shared" si="3569"/>
        <v>0</v>
      </c>
      <c r="BE469" s="780">
        <f t="shared" si="3569"/>
        <v>0</v>
      </c>
      <c r="BF469" s="780">
        <f t="shared" si="3569"/>
        <v>0</v>
      </c>
      <c r="BG469" s="780">
        <f t="shared" si="3569"/>
        <v>0</v>
      </c>
      <c r="BH469" s="780">
        <f t="shared" si="3569"/>
        <v>0</v>
      </c>
      <c r="BI469" s="781">
        <f t="shared" si="3569"/>
        <v>0</v>
      </c>
    </row>
    <row r="470" spans="1:61" s="780" customFormat="1" hidden="1" outlineLevel="1">
      <c r="A470" s="780" t="str">
        <f>$A$539</f>
        <v>Revenue</v>
      </c>
      <c r="M470" s="781"/>
      <c r="N470" s="782"/>
      <c r="Y470" s="781"/>
      <c r="Z470" s="782"/>
      <c r="AK470" s="781"/>
      <c r="AL470" s="782"/>
      <c r="AW470" s="781"/>
      <c r="AX470" s="782"/>
      <c r="BC470" s="780">
        <f t="shared" ref="BC470:BI470" si="3570">IF($BC$5&gt;$BB$5,($BC$5-$BB$5)*B539,0)</f>
        <v>0</v>
      </c>
      <c r="BD470" s="780">
        <f t="shared" si="3570"/>
        <v>0</v>
      </c>
      <c r="BE470" s="780">
        <f t="shared" si="3570"/>
        <v>0</v>
      </c>
      <c r="BF470" s="780">
        <f t="shared" si="3570"/>
        <v>0</v>
      </c>
      <c r="BG470" s="780">
        <f t="shared" si="3570"/>
        <v>0</v>
      </c>
      <c r="BH470" s="780">
        <f t="shared" si="3570"/>
        <v>0</v>
      </c>
      <c r="BI470" s="781">
        <f t="shared" si="3570"/>
        <v>0</v>
      </c>
    </row>
    <row r="471" spans="1:61" s="780" customFormat="1" hidden="1" outlineLevel="1">
      <c r="A471" s="780" t="str">
        <f>$A$540</f>
        <v>Net Income</v>
      </c>
      <c r="M471" s="781"/>
      <c r="N471" s="782"/>
      <c r="Y471" s="781"/>
      <c r="Z471" s="782"/>
      <c r="AK471" s="781"/>
      <c r="AL471" s="782"/>
      <c r="AW471" s="781"/>
      <c r="AX471" s="782"/>
      <c r="BC471" s="780">
        <f t="shared" ref="BC471:BI471" si="3571">IF($BC$5&gt;$BB$5,($BC$5-$BB$5)*B540,0)</f>
        <v>0</v>
      </c>
      <c r="BD471" s="780">
        <f t="shared" si="3571"/>
        <v>0</v>
      </c>
      <c r="BE471" s="780">
        <f t="shared" si="3571"/>
        <v>0</v>
      </c>
      <c r="BF471" s="780">
        <f t="shared" si="3571"/>
        <v>0</v>
      </c>
      <c r="BG471" s="780">
        <f t="shared" si="3571"/>
        <v>0</v>
      </c>
      <c r="BH471" s="780">
        <f t="shared" si="3571"/>
        <v>0</v>
      </c>
      <c r="BI471" s="781">
        <f t="shared" si="3571"/>
        <v>0</v>
      </c>
    </row>
    <row r="472" spans="1:61" s="780" customFormat="1" hidden="1" outlineLevel="1">
      <c r="A472" s="780" t="str">
        <f>$A$541</f>
        <v>Program Revenue</v>
      </c>
      <c r="M472" s="781"/>
      <c r="N472" s="782"/>
      <c r="Y472" s="781"/>
      <c r="Z472" s="782"/>
      <c r="AK472" s="781"/>
      <c r="AL472" s="782"/>
      <c r="AW472" s="781"/>
      <c r="AX472" s="782"/>
      <c r="BC472" s="780">
        <f t="shared" ref="BC472" si="3572">IF($BC$5&gt;$BB$5,($BC$5-$BB$5)*B541,0)</f>
        <v>0</v>
      </c>
      <c r="BD472" s="780">
        <f t="shared" ref="BD472" si="3573">IF($BC$5&gt;$BB$5,($BC$5-$BB$5)*C541,0)</f>
        <v>0</v>
      </c>
      <c r="BE472" s="780">
        <f t="shared" ref="BE472" si="3574">IF($BC$5&gt;$BB$5,($BC$5-$BB$5)*D541,0)</f>
        <v>0</v>
      </c>
      <c r="BF472" s="780">
        <f t="shared" ref="BF472" si="3575">IF($BC$5&gt;$BB$5,($BC$5-$BB$5)*E541,0)</f>
        <v>0</v>
      </c>
      <c r="BG472" s="780">
        <f t="shared" ref="BG472" si="3576">IF($BC$5&gt;$BB$5,($BC$5-$BB$5)*F541,0)</f>
        <v>0</v>
      </c>
      <c r="BH472" s="780">
        <f t="shared" ref="BH472" si="3577">IF($BC$5&gt;$BB$5,($BC$5-$BB$5)*G541,0)</f>
        <v>0</v>
      </c>
      <c r="BI472" s="781">
        <f t="shared" ref="BI472" si="3578">IF($BC$5&gt;$BB$5,($BC$5-$BB$5)*H541,0)</f>
        <v>0</v>
      </c>
    </row>
    <row r="473" spans="1:61" s="780" customFormat="1" hidden="1" outlineLevel="1">
      <c r="M473" s="781"/>
      <c r="N473" s="782"/>
      <c r="Y473" s="781"/>
      <c r="Z473" s="782"/>
      <c r="AK473" s="781"/>
      <c r="AL473" s="782"/>
      <c r="AW473" s="781"/>
      <c r="AX473" s="782"/>
      <c r="BI473" s="781"/>
    </row>
    <row r="474" spans="1:61" s="780" customFormat="1" hidden="1" outlineLevel="1">
      <c r="A474" s="780" t="s">
        <v>359</v>
      </c>
      <c r="M474" s="781"/>
      <c r="N474" s="782"/>
      <c r="Y474" s="781"/>
      <c r="Z474" s="782"/>
      <c r="AK474" s="781"/>
      <c r="AL474" s="782"/>
      <c r="AW474" s="781"/>
      <c r="AX474" s="782"/>
      <c r="BD474" s="780">
        <f>IF($BD$5&gt;$BC$5,($BD$5-$BC$5)*B535,0)</f>
        <v>8</v>
      </c>
      <c r="BE474" s="780">
        <f t="shared" ref="BE474" si="3579">IF($BD$5&gt;$BC$5,($BD$5-$BC$5)*C535,0)</f>
        <v>8.3824000000000005</v>
      </c>
      <c r="BF474" s="780">
        <f t="shared" ref="BF474" si="3580">IF($BD$5&gt;$BC$5,($BD$5-$BC$5)*D535,0)</f>
        <v>8.790016102400001</v>
      </c>
      <c r="BG474" s="780">
        <f t="shared" ref="BG474" si="3581">IF($BD$5&gt;$BC$5,($BD$5-$BC$5)*E535,0)</f>
        <v>9.2244218586677267</v>
      </c>
      <c r="BH474" s="780">
        <f t="shared" ref="BH474" si="3582">IF($BD$5&gt;$BC$5,($BD$5-$BC$5)*F535,0)</f>
        <v>9.6872643857899394</v>
      </c>
      <c r="BI474" s="781">
        <f t="shared" ref="BI474" si="3583">IF($BD$5&gt;$BC$5,($BD$5-$BC$5)*G535,0)</f>
        <v>10.180266404063699</v>
      </c>
    </row>
    <row r="475" spans="1:61" s="780" customFormat="1" hidden="1" outlineLevel="1">
      <c r="A475" s="780" t="str">
        <f>$A$536</f>
        <v>Leads</v>
      </c>
      <c r="M475" s="781"/>
      <c r="N475" s="782"/>
      <c r="Y475" s="781"/>
      <c r="Z475" s="782"/>
      <c r="AK475" s="781"/>
      <c r="AL475" s="782"/>
      <c r="AW475" s="781"/>
      <c r="AX475" s="782"/>
      <c r="BD475" s="780">
        <f>IF($BD$5&gt;$BC$5,($BD$5-$BC$5)*B536,0)</f>
        <v>20</v>
      </c>
      <c r="BE475" s="780">
        <f t="shared" ref="BE475:BI475" si="3584">IF($BD$5&gt;$BC$5,($BD$5-$BC$5)*C536,0)</f>
        <v>20.8</v>
      </c>
      <c r="BF475" s="780">
        <f t="shared" si="3584"/>
        <v>21.632000000000001</v>
      </c>
      <c r="BG475" s="780">
        <f t="shared" si="3584"/>
        <v>22.497280000000003</v>
      </c>
      <c r="BH475" s="780">
        <f t="shared" si="3584"/>
        <v>23.397171200000006</v>
      </c>
      <c r="BI475" s="781">
        <f t="shared" si="3584"/>
        <v>24.333058048000009</v>
      </c>
    </row>
    <row r="476" spans="1:61" s="780" customFormat="1" hidden="1" outlineLevel="1">
      <c r="A476" s="780" t="str">
        <f>$A$537</f>
        <v>Audits</v>
      </c>
      <c r="M476" s="781"/>
      <c r="N476" s="782"/>
      <c r="Y476" s="781"/>
      <c r="Z476" s="782"/>
      <c r="AK476" s="781"/>
      <c r="AL476" s="782"/>
      <c r="AW476" s="781"/>
      <c r="AX476" s="782"/>
      <c r="BD476" s="780">
        <f t="shared" ref="BD476:BI476" si="3585">IF($BD$5&gt;$BC$5,($BD$5-$BC$5)*B537,0)</f>
        <v>7.8466960352422905</v>
      </c>
      <c r="BE476" s="780">
        <f t="shared" si="3585"/>
        <v>8.1805560257268723</v>
      </c>
      <c r="BF476" s="780">
        <f t="shared" si="3585"/>
        <v>8.556158139083367</v>
      </c>
      <c r="BG476" s="780">
        <f t="shared" si="3585"/>
        <v>8.9523024684242678</v>
      </c>
      <c r="BH476" s="780">
        <f t="shared" si="3585"/>
        <v>9.3702787716763911</v>
      </c>
      <c r="BI476" s="781">
        <f t="shared" si="3585"/>
        <v>9.811453812672589</v>
      </c>
    </row>
    <row r="477" spans="1:61" s="780" customFormat="1" hidden="1" outlineLevel="1">
      <c r="A477" s="780" t="str">
        <f>$A$538</f>
        <v>Retrofit</v>
      </c>
      <c r="M477" s="781"/>
      <c r="N477" s="782"/>
      <c r="Y477" s="781"/>
      <c r="Z477" s="782"/>
      <c r="AK477" s="781"/>
      <c r="AL477" s="782"/>
      <c r="AW477" s="781"/>
      <c r="AX477" s="782"/>
      <c r="BD477" s="780">
        <f t="shared" ref="BD477:BI477" si="3586">IF($BD$5&gt;$BC$5,($BD$5-$BC$5)*B538,0)</f>
        <v>3.2741145374449339</v>
      </c>
      <c r="BE477" s="780">
        <f t="shared" si="3586"/>
        <v>3.4211429613668018</v>
      </c>
      <c r="BF477" s="780">
        <f t="shared" si="3586"/>
        <v>3.6089747928733105</v>
      </c>
      <c r="BG477" s="780">
        <f t="shared" si="3586"/>
        <v>3.80943356172375</v>
      </c>
      <c r="BH477" s="780">
        <f t="shared" si="3586"/>
        <v>4.023495407635</v>
      </c>
      <c r="BI477" s="781">
        <f t="shared" si="3586"/>
        <v>4.2522035025469851</v>
      </c>
    </row>
    <row r="478" spans="1:61" s="780" customFormat="1" hidden="1" outlineLevel="1">
      <c r="A478" s="780" t="str">
        <f>$A$539</f>
        <v>Revenue</v>
      </c>
      <c r="M478" s="781"/>
      <c r="N478" s="782"/>
      <c r="Y478" s="781"/>
      <c r="Z478" s="782"/>
      <c r="AK478" s="781"/>
      <c r="AL478" s="782"/>
      <c r="AW478" s="781"/>
      <c r="AX478" s="782"/>
      <c r="BD478" s="780">
        <f t="shared" ref="BD478:BI478" si="3587">IF($BD$5&gt;$BC$5,($BD$5-$BC$5)*B539,0)</f>
        <v>20728.933920704847</v>
      </c>
      <c r="BE478" s="780">
        <f t="shared" si="3587"/>
        <v>22334.796424579898</v>
      </c>
      <c r="BF478" s="780">
        <f t="shared" si="3587"/>
        <v>24261.379157843236</v>
      </c>
      <c r="BG478" s="780">
        <f t="shared" si="3587"/>
        <v>27109.041527058151</v>
      </c>
      <c r="BH478" s="780">
        <f t="shared" si="3587"/>
        <v>29411.012063918617</v>
      </c>
      <c r="BI478" s="781">
        <f t="shared" si="3587"/>
        <v>31904.731979940196</v>
      </c>
    </row>
    <row r="479" spans="1:61" s="780" customFormat="1" hidden="1" outlineLevel="1">
      <c r="A479" s="780" t="str">
        <f>$A$540</f>
        <v>Net Income</v>
      </c>
      <c r="M479" s="781"/>
      <c r="N479" s="782"/>
      <c r="Y479" s="781"/>
      <c r="Z479" s="782"/>
      <c r="AK479" s="781"/>
      <c r="AL479" s="782"/>
      <c r="AW479" s="781"/>
      <c r="AX479" s="782"/>
      <c r="BD479" s="780">
        <f t="shared" ref="BD479:BI479" si="3588">IF($BD$5&gt;$BC$5,($BD$5-$BC$5)*B540,0)</f>
        <v>-33184.964170807638</v>
      </c>
      <c r="BE479" s="780">
        <f t="shared" si="3588"/>
        <v>-14837.14568100147</v>
      </c>
      <c r="BF479" s="780">
        <f t="shared" si="3588"/>
        <v>-14268.717003781454</v>
      </c>
      <c r="BG479" s="780">
        <f t="shared" si="3588"/>
        <v>-13405.013342705901</v>
      </c>
      <c r="BH479" s="780">
        <f t="shared" si="3588"/>
        <v>-12685.072540306182</v>
      </c>
      <c r="BI479" s="781">
        <f t="shared" si="3588"/>
        <v>-17604.404805924125</v>
      </c>
    </row>
    <row r="480" spans="1:61" s="780" customFormat="1" hidden="1" outlineLevel="1">
      <c r="A480" s="780" t="str">
        <f>$A$541</f>
        <v>Program Revenue</v>
      </c>
      <c r="M480" s="781"/>
      <c r="N480" s="782"/>
      <c r="Y480" s="781"/>
      <c r="Z480" s="782"/>
      <c r="AK480" s="781"/>
      <c r="AL480" s="782"/>
      <c r="AW480" s="781"/>
      <c r="AX480" s="782"/>
      <c r="BD480" s="780">
        <f t="shared" ref="BD480" si="3589">IF($BD$5&gt;$BC$5,($BD$5-$BC$5)*B541,0)</f>
        <v>1850</v>
      </c>
      <c r="BE480" s="780">
        <f t="shared" ref="BE480" si="3590">IF($BD$5&gt;$BC$5,($BD$5-$BC$5)*C541,0)</f>
        <v>1937.1558751999999</v>
      </c>
      <c r="BF480" s="780">
        <f t="shared" ref="BF480" si="3591">IF($BD$5&gt;$BC$5,($BD$5-$BC$5)*D541,0)</f>
        <v>2030.0190587848704</v>
      </c>
      <c r="BG480" s="780">
        <f t="shared" ref="BG480" si="3592">IF($BD$5&gt;$BC$5,($BD$5-$BC$5)*E541,0)</f>
        <v>2128.941218449359</v>
      </c>
      <c r="BH480" s="780">
        <f t="shared" ref="BH480" si="3593">IF($BD$5&gt;$BC$5,($BD$5-$BC$5)*F541,0)</f>
        <v>2234.2900324673633</v>
      </c>
      <c r="BI480" s="781">
        <f t="shared" ref="BI480" si="3594">IF($BD$5&gt;$BC$5,($BD$5-$BC$5)*G541,0)</f>
        <v>2346.4496034726417</v>
      </c>
    </row>
    <row r="481" spans="1:61" s="780" customFormat="1" hidden="1" outlineLevel="1">
      <c r="M481" s="781"/>
      <c r="N481" s="782"/>
      <c r="Y481" s="781"/>
      <c r="Z481" s="782"/>
      <c r="AK481" s="781"/>
      <c r="AL481" s="782"/>
      <c r="AW481" s="781"/>
      <c r="AX481" s="782"/>
      <c r="BI481" s="781"/>
    </row>
    <row r="482" spans="1:61" s="780" customFormat="1" hidden="1" outlineLevel="1">
      <c r="A482" s="780" t="s">
        <v>359</v>
      </c>
      <c r="M482" s="781"/>
      <c r="N482" s="782"/>
      <c r="Y482" s="781"/>
      <c r="Z482" s="782"/>
      <c r="AK482" s="781"/>
      <c r="AL482" s="782"/>
      <c r="AW482" s="781"/>
      <c r="AX482" s="782"/>
      <c r="BE482" s="780">
        <f>IF($BE$5&gt;$BD$5,($BE$5-$BD$5)*B535,0)</f>
        <v>0</v>
      </c>
      <c r="BF482" s="780">
        <f t="shared" ref="BF482" si="3595">IF($BE$5&gt;$BD$5,($BE$5-$BD$5)*C535,0)</f>
        <v>0</v>
      </c>
      <c r="BG482" s="780">
        <f t="shared" ref="BG482" si="3596">IF($BE$5&gt;$BD$5,($BE$5-$BD$5)*D535,0)</f>
        <v>0</v>
      </c>
      <c r="BH482" s="780">
        <f t="shared" ref="BH482" si="3597">IF($BE$5&gt;$BD$5,($BE$5-$BD$5)*E535,0)</f>
        <v>0</v>
      </c>
      <c r="BI482" s="781">
        <f t="shared" ref="BI482" si="3598">IF($BE$5&gt;$BD$5,($BE$5-$BD$5)*F535,0)</f>
        <v>0</v>
      </c>
    </row>
    <row r="483" spans="1:61" s="780" customFormat="1" hidden="1" outlineLevel="1">
      <c r="A483" s="780" t="str">
        <f>$A$536</f>
        <v>Leads</v>
      </c>
      <c r="M483" s="781"/>
      <c r="N483" s="782"/>
      <c r="Y483" s="781"/>
      <c r="Z483" s="782"/>
      <c r="AK483" s="781"/>
      <c r="AL483" s="782"/>
      <c r="AW483" s="781"/>
      <c r="AX483" s="782"/>
      <c r="BE483" s="780">
        <f>IF($BE$5&gt;$BD$5,($BE$5-$BD$5)*B536,0)</f>
        <v>0</v>
      </c>
      <c r="BF483" s="780">
        <f t="shared" ref="BF483:BI483" si="3599">IF($BE$5&gt;$BD$5,($BE$5-$BD$5)*C536,0)</f>
        <v>0</v>
      </c>
      <c r="BG483" s="780">
        <f t="shared" si="3599"/>
        <v>0</v>
      </c>
      <c r="BH483" s="780">
        <f t="shared" si="3599"/>
        <v>0</v>
      </c>
      <c r="BI483" s="781">
        <f t="shared" si="3599"/>
        <v>0</v>
      </c>
    </row>
    <row r="484" spans="1:61" s="780" customFormat="1" hidden="1" outlineLevel="1">
      <c r="A484" s="780" t="str">
        <f>$A$537</f>
        <v>Audits</v>
      </c>
      <c r="M484" s="781"/>
      <c r="N484" s="782"/>
      <c r="Y484" s="781"/>
      <c r="Z484" s="782"/>
      <c r="AK484" s="781"/>
      <c r="AL484" s="782"/>
      <c r="AW484" s="781"/>
      <c r="AX484" s="782"/>
      <c r="BE484" s="780">
        <f t="shared" ref="BE484:BI484" si="3600">IF($BE$5&gt;$BD$5,($BE$5-$BD$5)*B537,0)</f>
        <v>0</v>
      </c>
      <c r="BF484" s="780">
        <f t="shared" si="3600"/>
        <v>0</v>
      </c>
      <c r="BG484" s="780">
        <f t="shared" si="3600"/>
        <v>0</v>
      </c>
      <c r="BH484" s="780">
        <f t="shared" si="3600"/>
        <v>0</v>
      </c>
      <c r="BI484" s="781">
        <f t="shared" si="3600"/>
        <v>0</v>
      </c>
    </row>
    <row r="485" spans="1:61" s="780" customFormat="1" hidden="1" outlineLevel="1">
      <c r="A485" s="780" t="str">
        <f>$A$538</f>
        <v>Retrofit</v>
      </c>
      <c r="M485" s="781"/>
      <c r="N485" s="782"/>
      <c r="Y485" s="781"/>
      <c r="Z485" s="782"/>
      <c r="AK485" s="781"/>
      <c r="AL485" s="782"/>
      <c r="AW485" s="781"/>
      <c r="AX485" s="782"/>
      <c r="BE485" s="780">
        <f t="shared" ref="BE485:BI485" si="3601">IF($BE$5&gt;$BD$5,($BE$5-$BD$5)*B538,0)</f>
        <v>0</v>
      </c>
      <c r="BF485" s="780">
        <f t="shared" si="3601"/>
        <v>0</v>
      </c>
      <c r="BG485" s="780">
        <f t="shared" si="3601"/>
        <v>0</v>
      </c>
      <c r="BH485" s="780">
        <f t="shared" si="3601"/>
        <v>0</v>
      </c>
      <c r="BI485" s="781">
        <f t="shared" si="3601"/>
        <v>0</v>
      </c>
    </row>
    <row r="486" spans="1:61" s="780" customFormat="1" hidden="1" outlineLevel="1">
      <c r="A486" s="780" t="str">
        <f>$A$539</f>
        <v>Revenue</v>
      </c>
      <c r="M486" s="781"/>
      <c r="N486" s="782"/>
      <c r="Y486" s="781"/>
      <c r="Z486" s="782"/>
      <c r="AK486" s="781"/>
      <c r="AL486" s="782"/>
      <c r="AW486" s="781"/>
      <c r="AX486" s="782"/>
      <c r="BE486" s="780">
        <f t="shared" ref="BE486:BI486" si="3602">IF($BE$5&gt;$BD$5,($BE$5-$BD$5)*B539,0)</f>
        <v>0</v>
      </c>
      <c r="BF486" s="780">
        <f t="shared" si="3602"/>
        <v>0</v>
      </c>
      <c r="BG486" s="780">
        <f t="shared" si="3602"/>
        <v>0</v>
      </c>
      <c r="BH486" s="780">
        <f t="shared" si="3602"/>
        <v>0</v>
      </c>
      <c r="BI486" s="781">
        <f t="shared" si="3602"/>
        <v>0</v>
      </c>
    </row>
    <row r="487" spans="1:61" s="780" customFormat="1" hidden="1" outlineLevel="1">
      <c r="A487" s="780" t="str">
        <f>$A$540</f>
        <v>Net Income</v>
      </c>
      <c r="M487" s="781"/>
      <c r="N487" s="782"/>
      <c r="Y487" s="781"/>
      <c r="Z487" s="782"/>
      <c r="AK487" s="781"/>
      <c r="AL487" s="782"/>
      <c r="AW487" s="781"/>
      <c r="AX487" s="782"/>
      <c r="BE487" s="780">
        <f t="shared" ref="BE487:BI487" si="3603">IF($BE$5&gt;$BD$5,($BE$5-$BD$5)*B540,0)</f>
        <v>0</v>
      </c>
      <c r="BF487" s="780">
        <f t="shared" si="3603"/>
        <v>0</v>
      </c>
      <c r="BG487" s="780">
        <f t="shared" si="3603"/>
        <v>0</v>
      </c>
      <c r="BH487" s="780">
        <f t="shared" si="3603"/>
        <v>0</v>
      </c>
      <c r="BI487" s="781">
        <f t="shared" si="3603"/>
        <v>0</v>
      </c>
    </row>
    <row r="488" spans="1:61" s="780" customFormat="1" hidden="1" outlineLevel="1">
      <c r="A488" s="780" t="str">
        <f>$A$541</f>
        <v>Program Revenue</v>
      </c>
      <c r="M488" s="781"/>
      <c r="N488" s="782"/>
      <c r="Y488" s="781"/>
      <c r="Z488" s="782"/>
      <c r="AK488" s="781"/>
      <c r="AL488" s="782"/>
      <c r="AW488" s="781"/>
      <c r="AX488" s="782"/>
      <c r="BE488" s="780">
        <f t="shared" ref="BE488" si="3604">IF($BE$5&gt;$BD$5,($BE$5-$BD$5)*B541,0)</f>
        <v>0</v>
      </c>
      <c r="BF488" s="780">
        <f t="shared" ref="BF488" si="3605">IF($BE$5&gt;$BD$5,($BE$5-$BD$5)*C541,0)</f>
        <v>0</v>
      </c>
      <c r="BG488" s="780">
        <f t="shared" ref="BG488" si="3606">IF($BE$5&gt;$BD$5,($BE$5-$BD$5)*D541,0)</f>
        <v>0</v>
      </c>
      <c r="BH488" s="780">
        <f t="shared" ref="BH488" si="3607">IF($BE$5&gt;$BD$5,($BE$5-$BD$5)*E541,0)</f>
        <v>0</v>
      </c>
      <c r="BI488" s="781">
        <f t="shared" ref="BI488" si="3608">IF($BE$5&gt;$BD$5,($BE$5-$BD$5)*F541,0)</f>
        <v>0</v>
      </c>
    </row>
    <row r="489" spans="1:61" s="780" customFormat="1" hidden="1" outlineLevel="1">
      <c r="M489" s="781"/>
      <c r="N489" s="782"/>
      <c r="Y489" s="781"/>
      <c r="Z489" s="782"/>
      <c r="AK489" s="781"/>
      <c r="AL489" s="782"/>
      <c r="AW489" s="781"/>
      <c r="AX489" s="782"/>
      <c r="BI489" s="781"/>
    </row>
    <row r="490" spans="1:61" s="780" customFormat="1" hidden="1" outlineLevel="1">
      <c r="A490" s="780" t="s">
        <v>359</v>
      </c>
      <c r="M490" s="781"/>
      <c r="N490" s="782"/>
      <c r="Y490" s="781"/>
      <c r="Z490" s="782"/>
      <c r="AK490" s="781"/>
      <c r="AL490" s="782"/>
      <c r="AW490" s="781"/>
      <c r="AX490" s="782"/>
      <c r="BF490" s="780">
        <f>IF($BF$5&gt;$BE$5,($BF$5-$BE$5)*B535,0)</f>
        <v>0</v>
      </c>
      <c r="BG490" s="780">
        <f t="shared" ref="BG490" si="3609">IF($BF$5&gt;$BE$5,($BF$5-$BE$5)*C535,0)</f>
        <v>0</v>
      </c>
      <c r="BH490" s="780">
        <f t="shared" ref="BH490" si="3610">IF($BF$5&gt;$BE$5,($BF$5-$BE$5)*D535,0)</f>
        <v>0</v>
      </c>
      <c r="BI490" s="781">
        <f t="shared" ref="BI490" si="3611">IF($BF$5&gt;$BE$5,($BF$5-$BE$5)*E535,0)</f>
        <v>0</v>
      </c>
    </row>
    <row r="491" spans="1:61" s="780" customFormat="1" hidden="1" outlineLevel="1">
      <c r="A491" s="780" t="str">
        <f>$A$536</f>
        <v>Leads</v>
      </c>
      <c r="M491" s="781"/>
      <c r="N491" s="782"/>
      <c r="Y491" s="781"/>
      <c r="Z491" s="782"/>
      <c r="AK491" s="781"/>
      <c r="AL491" s="782"/>
      <c r="AW491" s="781"/>
      <c r="AX491" s="782"/>
      <c r="BF491" s="780">
        <f>IF($BF$5&gt;$BE$5,($BF$5-$BE$5)*B536,0)</f>
        <v>0</v>
      </c>
      <c r="BG491" s="780">
        <f t="shared" ref="BG491:BI491" si="3612">IF($BF$5&gt;$BE$5,($BF$5-$BE$5)*C536,0)</f>
        <v>0</v>
      </c>
      <c r="BH491" s="780">
        <f t="shared" si="3612"/>
        <v>0</v>
      </c>
      <c r="BI491" s="781">
        <f t="shared" si="3612"/>
        <v>0</v>
      </c>
    </row>
    <row r="492" spans="1:61" s="780" customFormat="1" hidden="1" outlineLevel="1">
      <c r="A492" s="780" t="str">
        <f>$A$537</f>
        <v>Audits</v>
      </c>
      <c r="M492" s="781"/>
      <c r="N492" s="782"/>
      <c r="Y492" s="781"/>
      <c r="Z492" s="782"/>
      <c r="AK492" s="781"/>
      <c r="AL492" s="782"/>
      <c r="AW492" s="781"/>
      <c r="AX492" s="782"/>
      <c r="BF492" s="780">
        <f t="shared" ref="BF492:BI492" si="3613">IF($BF$5&gt;$BE$5,($BF$5-$BE$5)*B537,0)</f>
        <v>0</v>
      </c>
      <c r="BG492" s="780">
        <f t="shared" si="3613"/>
        <v>0</v>
      </c>
      <c r="BH492" s="780">
        <f t="shared" si="3613"/>
        <v>0</v>
      </c>
      <c r="BI492" s="781">
        <f t="shared" si="3613"/>
        <v>0</v>
      </c>
    </row>
    <row r="493" spans="1:61" s="780" customFormat="1" hidden="1" outlineLevel="1">
      <c r="A493" s="780" t="str">
        <f>$A$538</f>
        <v>Retrofit</v>
      </c>
      <c r="M493" s="781"/>
      <c r="N493" s="782"/>
      <c r="Y493" s="781"/>
      <c r="Z493" s="782"/>
      <c r="AK493" s="781"/>
      <c r="AL493" s="782"/>
      <c r="AW493" s="781"/>
      <c r="AX493" s="782"/>
      <c r="BF493" s="780">
        <f t="shared" ref="BF493:BI493" si="3614">IF($BF$5&gt;$BE$5,($BF$5-$BE$5)*B538,0)</f>
        <v>0</v>
      </c>
      <c r="BG493" s="780">
        <f t="shared" si="3614"/>
        <v>0</v>
      </c>
      <c r="BH493" s="780">
        <f t="shared" si="3614"/>
        <v>0</v>
      </c>
      <c r="BI493" s="781">
        <f t="shared" si="3614"/>
        <v>0</v>
      </c>
    </row>
    <row r="494" spans="1:61" s="780" customFormat="1" hidden="1" outlineLevel="1">
      <c r="A494" s="780" t="str">
        <f>$A$539</f>
        <v>Revenue</v>
      </c>
      <c r="M494" s="781"/>
      <c r="N494" s="782"/>
      <c r="Y494" s="781"/>
      <c r="Z494" s="782"/>
      <c r="AK494" s="781"/>
      <c r="AL494" s="782"/>
      <c r="AW494" s="781"/>
      <c r="AX494" s="782"/>
      <c r="BF494" s="780">
        <f t="shared" ref="BF494:BI494" si="3615">IF($BF$5&gt;$BE$5,($BF$5-$BE$5)*B539,0)</f>
        <v>0</v>
      </c>
      <c r="BG494" s="780">
        <f t="shared" si="3615"/>
        <v>0</v>
      </c>
      <c r="BH494" s="780">
        <f t="shared" si="3615"/>
        <v>0</v>
      </c>
      <c r="BI494" s="781">
        <f t="shared" si="3615"/>
        <v>0</v>
      </c>
    </row>
    <row r="495" spans="1:61" s="780" customFormat="1" hidden="1" outlineLevel="1">
      <c r="A495" s="780" t="str">
        <f>$A$540</f>
        <v>Net Income</v>
      </c>
      <c r="M495" s="781"/>
      <c r="N495" s="782"/>
      <c r="Y495" s="781"/>
      <c r="Z495" s="782"/>
      <c r="AK495" s="781"/>
      <c r="AL495" s="782"/>
      <c r="AW495" s="781"/>
      <c r="AX495" s="782"/>
      <c r="BF495" s="780">
        <f t="shared" ref="BF495:BI495" si="3616">IF($BF$5&gt;$BE$5,($BF$5-$BE$5)*B540,0)</f>
        <v>0</v>
      </c>
      <c r="BG495" s="780">
        <f t="shared" si="3616"/>
        <v>0</v>
      </c>
      <c r="BH495" s="780">
        <f t="shared" si="3616"/>
        <v>0</v>
      </c>
      <c r="BI495" s="781">
        <f t="shared" si="3616"/>
        <v>0</v>
      </c>
    </row>
    <row r="496" spans="1:61" s="780" customFormat="1" hidden="1" outlineLevel="1">
      <c r="A496" s="780" t="str">
        <f>$A$541</f>
        <v>Program Revenue</v>
      </c>
      <c r="M496" s="781"/>
      <c r="N496" s="782"/>
      <c r="Y496" s="781"/>
      <c r="Z496" s="782"/>
      <c r="AK496" s="781"/>
      <c r="AL496" s="782"/>
      <c r="AW496" s="781"/>
      <c r="AX496" s="782"/>
      <c r="BF496" s="780">
        <f t="shared" ref="BF496" si="3617">IF($BF$5&gt;$BE$5,($BF$5-$BE$5)*B541,0)</f>
        <v>0</v>
      </c>
      <c r="BG496" s="780">
        <f t="shared" ref="BG496" si="3618">IF($BF$5&gt;$BE$5,($BF$5-$BE$5)*C541,0)</f>
        <v>0</v>
      </c>
      <c r="BH496" s="780">
        <f t="shared" ref="BH496" si="3619">IF($BF$5&gt;$BE$5,($BF$5-$BE$5)*D541,0)</f>
        <v>0</v>
      </c>
      <c r="BI496" s="781">
        <f t="shared" ref="BI496" si="3620">IF($BF$5&gt;$BE$5,($BF$5-$BE$5)*E541,0)</f>
        <v>0</v>
      </c>
    </row>
    <row r="497" spans="1:61" s="780" customFormat="1" hidden="1" outlineLevel="1">
      <c r="M497" s="781"/>
      <c r="N497" s="782"/>
      <c r="Y497" s="781"/>
      <c r="Z497" s="782"/>
      <c r="AK497" s="781"/>
      <c r="AL497" s="782"/>
      <c r="AW497" s="781"/>
      <c r="AX497" s="782"/>
      <c r="BI497" s="781"/>
    </row>
    <row r="498" spans="1:61" s="780" customFormat="1" hidden="1" outlineLevel="1">
      <c r="A498" s="780" t="s">
        <v>359</v>
      </c>
      <c r="M498" s="781"/>
      <c r="N498" s="782"/>
      <c r="Y498" s="781"/>
      <c r="Z498" s="782"/>
      <c r="AK498" s="781"/>
      <c r="AL498" s="782"/>
      <c r="AW498" s="781"/>
      <c r="AX498" s="782"/>
      <c r="BG498" s="780">
        <f>IF($BG$5&gt;$BF$5,($BG$5-$BF$5)*B535,0)</f>
        <v>8</v>
      </c>
      <c r="BH498" s="780">
        <f t="shared" ref="BH498" si="3621">IF($BG$5&gt;$BF$5,($BG$5-$BF$5)*C535,0)</f>
        <v>8.3824000000000005</v>
      </c>
      <c r="BI498" s="781">
        <f t="shared" ref="BI498" si="3622">IF($BG$5&gt;$BF$5,($BG$5-$BF$5)*D535,0)</f>
        <v>8.790016102400001</v>
      </c>
    </row>
    <row r="499" spans="1:61" s="780" customFormat="1" hidden="1" outlineLevel="1">
      <c r="A499" s="780" t="str">
        <f>$A$536</f>
        <v>Leads</v>
      </c>
      <c r="M499" s="781"/>
      <c r="N499" s="782"/>
      <c r="Y499" s="781"/>
      <c r="Z499" s="782"/>
      <c r="AK499" s="781"/>
      <c r="AL499" s="782"/>
      <c r="AW499" s="781"/>
      <c r="AX499" s="782"/>
      <c r="BG499" s="780">
        <f>IF($BG$5&gt;$BF$5,($BG$5-$BF$5)*B536,0)</f>
        <v>20</v>
      </c>
      <c r="BH499" s="780">
        <f t="shared" ref="BH499:BI499" si="3623">IF($BG$5&gt;$BF$5,($BG$5-$BF$5)*C536,0)</f>
        <v>20.8</v>
      </c>
      <c r="BI499" s="781">
        <f t="shared" si="3623"/>
        <v>21.632000000000001</v>
      </c>
    </row>
    <row r="500" spans="1:61" s="780" customFormat="1" hidden="1" outlineLevel="1">
      <c r="A500" s="780" t="str">
        <f>$A$537</f>
        <v>Audits</v>
      </c>
      <c r="M500" s="781"/>
      <c r="N500" s="782"/>
      <c r="Y500" s="781"/>
      <c r="Z500" s="782"/>
      <c r="AK500" s="781"/>
      <c r="AL500" s="782"/>
      <c r="AW500" s="781"/>
      <c r="AX500" s="782"/>
      <c r="BG500" s="780">
        <f t="shared" ref="BG500:BI500" si="3624">IF($BG$5&gt;$BF$5,($BG$5-$BF$5)*B537,0)</f>
        <v>7.8466960352422905</v>
      </c>
      <c r="BH500" s="780">
        <f t="shared" si="3624"/>
        <v>8.1805560257268723</v>
      </c>
      <c r="BI500" s="781">
        <f t="shared" si="3624"/>
        <v>8.556158139083367</v>
      </c>
    </row>
    <row r="501" spans="1:61" s="780" customFormat="1" hidden="1" outlineLevel="1">
      <c r="A501" s="780" t="str">
        <f>$A$538</f>
        <v>Retrofit</v>
      </c>
      <c r="M501" s="781"/>
      <c r="N501" s="782"/>
      <c r="Y501" s="781"/>
      <c r="Z501" s="782"/>
      <c r="AK501" s="781"/>
      <c r="AL501" s="782"/>
      <c r="AW501" s="781"/>
      <c r="AX501" s="782"/>
      <c r="BG501" s="780">
        <f t="shared" ref="BG501:BI501" si="3625">IF($BG$5&gt;$BF$5,($BG$5-$BF$5)*B538,0)</f>
        <v>3.2741145374449339</v>
      </c>
      <c r="BH501" s="780">
        <f t="shared" si="3625"/>
        <v>3.4211429613668018</v>
      </c>
      <c r="BI501" s="781">
        <f t="shared" si="3625"/>
        <v>3.6089747928733105</v>
      </c>
    </row>
    <row r="502" spans="1:61" s="780" customFormat="1" hidden="1" outlineLevel="1">
      <c r="A502" s="780" t="str">
        <f>$A$539</f>
        <v>Revenue</v>
      </c>
      <c r="M502" s="781"/>
      <c r="N502" s="782"/>
      <c r="Y502" s="781"/>
      <c r="Z502" s="782"/>
      <c r="AK502" s="781"/>
      <c r="AL502" s="782"/>
      <c r="AW502" s="781"/>
      <c r="AX502" s="782"/>
      <c r="BG502" s="780">
        <f t="shared" ref="BG502:BI502" si="3626">IF($BG$5&gt;$BF$5,($BG$5-$BF$5)*B539,0)</f>
        <v>20728.933920704847</v>
      </c>
      <c r="BH502" s="780">
        <f t="shared" si="3626"/>
        <v>22334.796424579898</v>
      </c>
      <c r="BI502" s="781">
        <f t="shared" si="3626"/>
        <v>24261.379157843236</v>
      </c>
    </row>
    <row r="503" spans="1:61" s="780" customFormat="1" hidden="1" outlineLevel="1">
      <c r="A503" s="780" t="str">
        <f>$A$540</f>
        <v>Net Income</v>
      </c>
      <c r="M503" s="781"/>
      <c r="N503" s="782"/>
      <c r="Y503" s="781"/>
      <c r="Z503" s="782"/>
      <c r="AK503" s="781"/>
      <c r="AL503" s="782"/>
      <c r="AW503" s="781"/>
      <c r="AX503" s="782"/>
      <c r="BG503" s="780">
        <f t="shared" ref="BG503:BI503" si="3627">IF($BG$5&gt;$BF$5,($BG$5-$BF$5)*B540,0)</f>
        <v>-33184.964170807638</v>
      </c>
      <c r="BH503" s="780">
        <f t="shared" si="3627"/>
        <v>-14837.14568100147</v>
      </c>
      <c r="BI503" s="781">
        <f t="shared" si="3627"/>
        <v>-14268.717003781454</v>
      </c>
    </row>
    <row r="504" spans="1:61" s="780" customFormat="1" hidden="1" outlineLevel="1">
      <c r="A504" s="780" t="str">
        <f>$A$541</f>
        <v>Program Revenue</v>
      </c>
      <c r="M504" s="781"/>
      <c r="N504" s="782"/>
      <c r="Y504" s="781"/>
      <c r="Z504" s="782"/>
      <c r="AK504" s="781"/>
      <c r="AL504" s="782"/>
      <c r="AW504" s="781"/>
      <c r="AX504" s="782"/>
      <c r="BG504" s="780">
        <f t="shared" ref="BG504" si="3628">IF($BG$5&gt;$BF$5,($BG$5-$BF$5)*B541,0)</f>
        <v>1850</v>
      </c>
      <c r="BH504" s="780">
        <f t="shared" ref="BH504" si="3629">IF($BG$5&gt;$BF$5,($BG$5-$BF$5)*C541,0)</f>
        <v>1937.1558751999999</v>
      </c>
      <c r="BI504" s="781">
        <f t="shared" ref="BI504" si="3630">IF($BG$5&gt;$BF$5,($BG$5-$BF$5)*D541,0)</f>
        <v>2030.0190587848704</v>
      </c>
    </row>
    <row r="505" spans="1:61" s="780" customFormat="1" hidden="1" outlineLevel="1">
      <c r="M505" s="781"/>
      <c r="N505" s="782"/>
      <c r="Y505" s="781"/>
      <c r="Z505" s="782"/>
      <c r="AK505" s="781"/>
      <c r="AL505" s="782"/>
      <c r="AW505" s="781"/>
      <c r="AX505" s="782"/>
      <c r="BI505" s="781"/>
    </row>
    <row r="506" spans="1:61" s="780" customFormat="1" hidden="1" outlineLevel="1">
      <c r="A506" s="780" t="s">
        <v>360</v>
      </c>
      <c r="M506" s="781"/>
      <c r="N506" s="782"/>
      <c r="Y506" s="781"/>
      <c r="Z506" s="782"/>
      <c r="AK506" s="781"/>
      <c r="AL506" s="782"/>
      <c r="AW506" s="781"/>
      <c r="AX506" s="782"/>
      <c r="BH506" s="780">
        <f>IF($BH$5&gt;$BG$5,($BH$5-$BG$5)*B535,0)</f>
        <v>0</v>
      </c>
      <c r="BI506" s="781">
        <f t="shared" ref="BI506" si="3631">IF($BH$5&gt;$BG$5,($BH$5-$BG$5)*C535,0)</f>
        <v>0</v>
      </c>
    </row>
    <row r="507" spans="1:61" s="780" customFormat="1" hidden="1" outlineLevel="1">
      <c r="A507" s="780" t="str">
        <f>$A$536</f>
        <v>Leads</v>
      </c>
      <c r="M507" s="781"/>
      <c r="N507" s="782"/>
      <c r="Y507" s="781"/>
      <c r="Z507" s="782"/>
      <c r="AK507" s="781"/>
      <c r="AL507" s="782"/>
      <c r="AW507" s="781"/>
      <c r="AX507" s="782"/>
      <c r="BH507" s="780">
        <f>IF($BH$5&gt;$BG$5,($BH$5-$BG$5)*B536,0)</f>
        <v>0</v>
      </c>
      <c r="BI507" s="781">
        <f t="shared" ref="BI507:BI511" si="3632">IF($BH$5&gt;$BG$5,($BH$5-$BG$5)*C536,0)</f>
        <v>0</v>
      </c>
    </row>
    <row r="508" spans="1:61" s="780" customFormat="1" hidden="1" outlineLevel="1">
      <c r="A508" s="780" t="str">
        <f>$A$537</f>
        <v>Audits</v>
      </c>
      <c r="M508" s="781"/>
      <c r="N508" s="782"/>
      <c r="Y508" s="781"/>
      <c r="Z508" s="782"/>
      <c r="AK508" s="781"/>
      <c r="AL508" s="782"/>
      <c r="AW508" s="781"/>
      <c r="AX508" s="782"/>
      <c r="BH508" s="780">
        <f t="shared" ref="BH508:BH511" si="3633">IF($BH$5&gt;$BG$5,($BH$5-$BG$5)*B537,0)</f>
        <v>0</v>
      </c>
      <c r="BI508" s="781">
        <f t="shared" si="3632"/>
        <v>0</v>
      </c>
    </row>
    <row r="509" spans="1:61" s="780" customFormat="1" hidden="1" outlineLevel="1">
      <c r="A509" s="780" t="str">
        <f>$A$538</f>
        <v>Retrofit</v>
      </c>
      <c r="M509" s="781"/>
      <c r="N509" s="782"/>
      <c r="Y509" s="781"/>
      <c r="Z509" s="782"/>
      <c r="AK509" s="781"/>
      <c r="AL509" s="782"/>
      <c r="AW509" s="781"/>
      <c r="AX509" s="782"/>
      <c r="BH509" s="780">
        <f t="shared" si="3633"/>
        <v>0</v>
      </c>
      <c r="BI509" s="781">
        <f t="shared" si="3632"/>
        <v>0</v>
      </c>
    </row>
    <row r="510" spans="1:61" s="780" customFormat="1" hidden="1" outlineLevel="1">
      <c r="A510" s="780" t="str">
        <f>$A$539</f>
        <v>Revenue</v>
      </c>
      <c r="M510" s="781"/>
      <c r="N510" s="782"/>
      <c r="Y510" s="781"/>
      <c r="Z510" s="782"/>
      <c r="AK510" s="781"/>
      <c r="AL510" s="782"/>
      <c r="AW510" s="781"/>
      <c r="AX510" s="782"/>
      <c r="BH510" s="780">
        <f t="shared" si="3633"/>
        <v>0</v>
      </c>
      <c r="BI510" s="781">
        <f t="shared" si="3632"/>
        <v>0</v>
      </c>
    </row>
    <row r="511" spans="1:61" s="780" customFormat="1" hidden="1" outlineLevel="1">
      <c r="A511" s="780" t="str">
        <f>$A$540</f>
        <v>Net Income</v>
      </c>
      <c r="M511" s="781"/>
      <c r="N511" s="782"/>
      <c r="Y511" s="781"/>
      <c r="Z511" s="782"/>
      <c r="AK511" s="781"/>
      <c r="AL511" s="782"/>
      <c r="AW511" s="781"/>
      <c r="AX511" s="782"/>
      <c r="BH511" s="780">
        <f t="shared" si="3633"/>
        <v>0</v>
      </c>
      <c r="BI511" s="781">
        <f t="shared" si="3632"/>
        <v>0</v>
      </c>
    </row>
    <row r="512" spans="1:61" s="780" customFormat="1" hidden="1" outlineLevel="1">
      <c r="A512" s="780" t="str">
        <f>$A$541</f>
        <v>Program Revenue</v>
      </c>
      <c r="M512" s="781"/>
      <c r="N512" s="782"/>
      <c r="Y512" s="781"/>
      <c r="Z512" s="782"/>
      <c r="AK512" s="781"/>
      <c r="AL512" s="782"/>
      <c r="AW512" s="781"/>
      <c r="AX512" s="782"/>
      <c r="BH512" s="780">
        <f t="shared" ref="BH512" si="3634">IF($BH$5&gt;$BG$5,($BH$5-$BG$5)*B541,0)</f>
        <v>0</v>
      </c>
      <c r="BI512" s="781">
        <f t="shared" ref="BI512" si="3635">IF($BH$5&gt;$BG$5,($BH$5-$BG$5)*C541,0)</f>
        <v>0</v>
      </c>
    </row>
    <row r="513" spans="1:61" s="780" customFormat="1" hidden="1" outlineLevel="1">
      <c r="M513" s="781"/>
      <c r="N513" s="782"/>
      <c r="Y513" s="781"/>
      <c r="Z513" s="782"/>
      <c r="AK513" s="781"/>
      <c r="AL513" s="782"/>
      <c r="AW513" s="781"/>
      <c r="AX513" s="782"/>
      <c r="BI513" s="781"/>
    </row>
    <row r="514" spans="1:61" s="780" customFormat="1" hidden="1" outlineLevel="1">
      <c r="A514" s="780" t="s">
        <v>359</v>
      </c>
      <c r="M514" s="781"/>
      <c r="N514" s="782"/>
      <c r="Y514" s="781"/>
      <c r="Z514" s="782"/>
      <c r="AK514" s="781"/>
      <c r="AL514" s="782"/>
      <c r="AW514" s="781"/>
      <c r="AX514" s="782"/>
      <c r="BI514" s="781">
        <f t="shared" ref="BI514" si="3636">IF($BI$5&gt;$BH$5,($BI$5-$BH$5)*B535,0)</f>
        <v>8</v>
      </c>
    </row>
    <row r="515" spans="1:61" s="780" customFormat="1" hidden="1" outlineLevel="1">
      <c r="A515" s="780" t="str">
        <f>$A$536</f>
        <v>Leads</v>
      </c>
      <c r="M515" s="781"/>
      <c r="N515" s="782"/>
      <c r="Y515" s="781"/>
      <c r="Z515" s="782"/>
      <c r="AK515" s="781"/>
      <c r="AL515" s="782"/>
      <c r="AW515" s="781"/>
      <c r="AX515" s="782"/>
      <c r="BI515" s="781">
        <f t="shared" ref="BI515:BI520" si="3637">IF($BI$5&gt;$BH$5,($BI$5-$BH$5)*B536,0)</f>
        <v>20</v>
      </c>
    </row>
    <row r="516" spans="1:61" s="780" customFormat="1" hidden="1" outlineLevel="1">
      <c r="A516" s="780" t="str">
        <f>$A$537</f>
        <v>Audits</v>
      </c>
      <c r="M516" s="781"/>
      <c r="N516" s="782"/>
      <c r="Y516" s="781"/>
      <c r="Z516" s="782"/>
      <c r="AK516" s="781"/>
      <c r="AL516" s="782"/>
      <c r="AW516" s="781"/>
      <c r="AX516" s="782"/>
      <c r="BI516" s="781">
        <f t="shared" si="3637"/>
        <v>7.8466960352422905</v>
      </c>
    </row>
    <row r="517" spans="1:61" s="780" customFormat="1" hidden="1" outlineLevel="1">
      <c r="A517" s="780" t="str">
        <f>$A$538</f>
        <v>Retrofit</v>
      </c>
      <c r="M517" s="781"/>
      <c r="N517" s="782"/>
      <c r="Y517" s="781"/>
      <c r="Z517" s="782"/>
      <c r="AK517" s="781"/>
      <c r="AL517" s="782"/>
      <c r="AW517" s="781"/>
      <c r="AX517" s="782"/>
      <c r="BI517" s="781">
        <f t="shared" si="3637"/>
        <v>3.2741145374449339</v>
      </c>
    </row>
    <row r="518" spans="1:61" s="780" customFormat="1" hidden="1" outlineLevel="1">
      <c r="A518" s="780" t="str">
        <f>$A$539</f>
        <v>Revenue</v>
      </c>
      <c r="M518" s="781"/>
      <c r="N518" s="782"/>
      <c r="Y518" s="781"/>
      <c r="Z518" s="782"/>
      <c r="AK518" s="781"/>
      <c r="AL518" s="782"/>
      <c r="AW518" s="781"/>
      <c r="AX518" s="782"/>
      <c r="BI518" s="781">
        <f t="shared" si="3637"/>
        <v>20728.933920704847</v>
      </c>
    </row>
    <row r="519" spans="1:61" s="780" customFormat="1" hidden="1" outlineLevel="1">
      <c r="A519" s="780" t="str">
        <f>$A$540</f>
        <v>Net Income</v>
      </c>
      <c r="M519" s="781"/>
      <c r="N519" s="782"/>
      <c r="Y519" s="781"/>
      <c r="Z519" s="782"/>
      <c r="AK519" s="781"/>
      <c r="AL519" s="782"/>
      <c r="AW519" s="781"/>
      <c r="AX519" s="782"/>
      <c r="BI519" s="781">
        <f t="shared" si="3637"/>
        <v>-33184.964170807638</v>
      </c>
    </row>
    <row r="520" spans="1:61" s="780" customFormat="1" hidden="1" outlineLevel="1">
      <c r="A520" s="780" t="str">
        <f>$A$541</f>
        <v>Program Revenue</v>
      </c>
      <c r="M520" s="781"/>
      <c r="N520" s="782"/>
      <c r="Y520" s="781"/>
      <c r="Z520" s="782"/>
      <c r="AK520" s="781"/>
      <c r="AL520" s="782"/>
      <c r="AW520" s="781"/>
      <c r="AX520" s="782"/>
      <c r="BI520" s="781">
        <f t="shared" si="3637"/>
        <v>1850</v>
      </c>
    </row>
    <row r="521" spans="1:61" s="57" customFormat="1" hidden="1" outlineLevel="1">
      <c r="M521" s="531"/>
      <c r="N521" s="532"/>
      <c r="Y521" s="531"/>
      <c r="Z521" s="532"/>
      <c r="AK521" s="531"/>
      <c r="AL521" s="532"/>
      <c r="AW521" s="531"/>
      <c r="AX521" s="532"/>
      <c r="BI521" s="531"/>
    </row>
    <row r="522" spans="1:61" s="57" customFormat="1" hidden="1" outlineLevel="1">
      <c r="M522" s="531"/>
      <c r="N522" s="532"/>
      <c r="Y522" s="531"/>
      <c r="Z522" s="532"/>
      <c r="AK522" s="531"/>
      <c r="AL522" s="532"/>
      <c r="AW522" s="531"/>
      <c r="AX522" s="532"/>
      <c r="BI522" s="531"/>
    </row>
    <row r="523" spans="1:61" s="57" customFormat="1" hidden="1" outlineLevel="1">
      <c r="M523" s="531"/>
      <c r="N523" s="532"/>
      <c r="Y523" s="531"/>
      <c r="Z523" s="532"/>
      <c r="AK523" s="531"/>
      <c r="AL523" s="532"/>
      <c r="AW523" s="531"/>
      <c r="AX523" s="532"/>
      <c r="BI523" s="531"/>
    </row>
    <row r="524" spans="1:61" s="57" customFormat="1" hidden="1" outlineLevel="1">
      <c r="M524" s="531"/>
      <c r="N524" s="532"/>
      <c r="Y524" s="531"/>
      <c r="Z524" s="532"/>
      <c r="AK524" s="531"/>
      <c r="AL524" s="532"/>
      <c r="AW524" s="531"/>
      <c r="AX524" s="532"/>
      <c r="BI524" s="531"/>
    </row>
    <row r="525" spans="1:61" s="57" customFormat="1" hidden="1" outlineLevel="1">
      <c r="M525" s="531"/>
      <c r="N525" s="532"/>
      <c r="Y525" s="531"/>
      <c r="Z525" s="532"/>
      <c r="AK525" s="531"/>
      <c r="AL525" s="532"/>
      <c r="AW525" s="531"/>
      <c r="AX525" s="532"/>
      <c r="BI525" s="531"/>
    </row>
    <row r="526" spans="1:61" s="57" customFormat="1" hidden="1" outlineLevel="1">
      <c r="M526" s="531"/>
      <c r="N526" s="532"/>
      <c r="Y526" s="531"/>
      <c r="Z526" s="532"/>
      <c r="AK526" s="531"/>
      <c r="AL526" s="532"/>
      <c r="AW526" s="531"/>
      <c r="AX526" s="532"/>
      <c r="BI526" s="531"/>
    </row>
    <row r="527" spans="1:61" s="57" customFormat="1" hidden="1" outlineLevel="1">
      <c r="M527" s="531"/>
      <c r="N527" s="532"/>
      <c r="Y527" s="531"/>
      <c r="Z527" s="532"/>
      <c r="AK527" s="531"/>
      <c r="AL527" s="532"/>
      <c r="AW527" s="531"/>
      <c r="AX527" s="532"/>
      <c r="BI527" s="531"/>
    </row>
    <row r="528" spans="1:61" s="57" customFormat="1" hidden="1" outlineLevel="1">
      <c r="M528" s="531"/>
      <c r="N528" s="532"/>
      <c r="Y528" s="531"/>
      <c r="Z528" s="532"/>
      <c r="AK528" s="531"/>
      <c r="AL528" s="532"/>
      <c r="AW528" s="531"/>
      <c r="AX528" s="532"/>
      <c r="BI528" s="531"/>
    </row>
    <row r="529" spans="1:61" s="57" customFormat="1" hidden="1" outlineLevel="1">
      <c r="M529" s="531"/>
      <c r="N529" s="532"/>
      <c r="Y529" s="531"/>
      <c r="Z529" s="532"/>
      <c r="AK529" s="531"/>
      <c r="AL529" s="532"/>
      <c r="AW529" s="531"/>
      <c r="AX529" s="532"/>
      <c r="BI529" s="531"/>
    </row>
    <row r="530" spans="1:61" s="57" customFormat="1" hidden="1" outlineLevel="1">
      <c r="M530" s="531"/>
      <c r="N530" s="532"/>
      <c r="Y530" s="531"/>
      <c r="Z530" s="532"/>
      <c r="AK530" s="531"/>
      <c r="AL530" s="532"/>
      <c r="AW530" s="531"/>
      <c r="AX530" s="532"/>
      <c r="BI530" s="531"/>
    </row>
    <row r="531" spans="1:61" s="57" customFormat="1" hidden="1" outlineLevel="1">
      <c r="M531" s="531"/>
      <c r="N531" s="532"/>
      <c r="Y531" s="531"/>
      <c r="Z531" s="532"/>
      <c r="AK531" s="531"/>
      <c r="AL531" s="532"/>
      <c r="AW531" s="531"/>
      <c r="AX531" s="532"/>
      <c r="BI531" s="531"/>
    </row>
    <row r="532" spans="1:61" s="59" customFormat="1" ht="22.5" hidden="1" customHeight="1" outlineLevel="1">
      <c r="B532" s="1282" t="s">
        <v>189</v>
      </c>
      <c r="C532" s="1282"/>
      <c r="D532" s="1282"/>
      <c r="E532" s="1282"/>
      <c r="F532" s="1282"/>
      <c r="G532" s="1282"/>
      <c r="H532" s="1282"/>
      <c r="I532" s="1282"/>
      <c r="J532" s="1282"/>
      <c r="K532" s="1282"/>
      <c r="L532" s="1282"/>
      <c r="M532" s="1282"/>
      <c r="N532" s="1283" t="s">
        <v>190</v>
      </c>
      <c r="O532" s="1284"/>
      <c r="P532" s="1284"/>
      <c r="Q532" s="1284"/>
      <c r="R532" s="1284"/>
      <c r="S532" s="1284"/>
      <c r="T532" s="1284"/>
      <c r="U532" s="1284"/>
      <c r="V532" s="1284"/>
      <c r="W532" s="1284"/>
      <c r="X532" s="1284"/>
      <c r="Y532" s="1284"/>
      <c r="Z532" s="1283" t="s">
        <v>191</v>
      </c>
      <c r="AA532" s="1284"/>
      <c r="AB532" s="1284"/>
      <c r="AC532" s="1284"/>
      <c r="AD532" s="1284"/>
      <c r="AE532" s="1284"/>
      <c r="AF532" s="1284"/>
      <c r="AG532" s="1284"/>
      <c r="AH532" s="1284"/>
      <c r="AI532" s="1284"/>
      <c r="AJ532" s="1284"/>
      <c r="AK532" s="1284"/>
      <c r="AL532" s="1283" t="s">
        <v>192</v>
      </c>
      <c r="AM532" s="1284"/>
      <c r="AN532" s="1284"/>
      <c r="AO532" s="1284"/>
      <c r="AP532" s="1284"/>
      <c r="AQ532" s="1284"/>
      <c r="AR532" s="1284"/>
      <c r="AS532" s="1284"/>
      <c r="AT532" s="1284"/>
      <c r="AU532" s="1284"/>
      <c r="AV532" s="1284"/>
      <c r="AW532" s="1284"/>
      <c r="AX532" s="1283" t="s">
        <v>193</v>
      </c>
      <c r="AY532" s="1284"/>
      <c r="AZ532" s="1284"/>
      <c r="BA532" s="1284"/>
      <c r="BB532" s="1284"/>
      <c r="BC532" s="1284"/>
      <c r="BD532" s="1284"/>
      <c r="BE532" s="1284"/>
      <c r="BF532" s="1284"/>
      <c r="BG532" s="1284"/>
      <c r="BH532" s="1284"/>
      <c r="BI532" s="1285"/>
    </row>
    <row r="533" spans="1:61" s="57" customFormat="1" hidden="1" outlineLevel="1">
      <c r="A533" s="496" t="s">
        <v>158</v>
      </c>
      <c r="B533" s="57" t="s">
        <v>157</v>
      </c>
      <c r="C533" s="57" t="s">
        <v>156</v>
      </c>
      <c r="D533" s="57" t="s">
        <v>155</v>
      </c>
      <c r="E533" s="57" t="s">
        <v>154</v>
      </c>
      <c r="F533" s="57" t="s">
        <v>153</v>
      </c>
      <c r="G533" s="57" t="s">
        <v>152</v>
      </c>
      <c r="H533" s="57" t="s">
        <v>151</v>
      </c>
      <c r="I533" s="57" t="s">
        <v>150</v>
      </c>
      <c r="J533" s="57" t="s">
        <v>149</v>
      </c>
      <c r="K533" s="57" t="s">
        <v>148</v>
      </c>
      <c r="L533" s="57" t="s">
        <v>147</v>
      </c>
      <c r="M533" s="531" t="s">
        <v>146</v>
      </c>
      <c r="N533" s="532"/>
      <c r="O533" s="532"/>
      <c r="P533" s="532"/>
      <c r="Q533" s="532"/>
      <c r="R533" s="532"/>
      <c r="S533" s="532"/>
      <c r="T533" s="532"/>
      <c r="U533" s="532"/>
      <c r="V533" s="532"/>
      <c r="W533" s="532"/>
      <c r="X533" s="532"/>
      <c r="Y533" s="531"/>
      <c r="Z533" s="532"/>
      <c r="AA533" s="532"/>
      <c r="AB533" s="532"/>
      <c r="AC533" s="532"/>
      <c r="AD533" s="532"/>
      <c r="AE533" s="532"/>
      <c r="AF533" s="532"/>
      <c r="AG533" s="532"/>
      <c r="AH533" s="532"/>
      <c r="AI533" s="532"/>
      <c r="AJ533" s="532"/>
      <c r="AK533" s="531"/>
      <c r="AL533" s="532"/>
      <c r="AM533" s="532"/>
      <c r="AN533" s="532"/>
      <c r="AO533" s="532"/>
      <c r="AP533" s="532"/>
      <c r="AQ533" s="532"/>
      <c r="AR533" s="532"/>
      <c r="AS533" s="532"/>
      <c r="AT533" s="532"/>
      <c r="AU533" s="532"/>
      <c r="AV533" s="532"/>
      <c r="AW533" s="531"/>
      <c r="AX533" s="532"/>
      <c r="AY533" s="532"/>
      <c r="AZ533" s="532"/>
      <c r="BA533" s="532"/>
      <c r="BB533" s="532"/>
      <c r="BC533" s="532"/>
      <c r="BD533" s="532"/>
      <c r="BE533" s="532"/>
      <c r="BF533" s="532"/>
      <c r="BG533" s="532"/>
      <c r="BH533" s="532"/>
      <c r="BI533" s="531"/>
    </row>
    <row r="534" spans="1:61" s="554" customFormat="1" ht="15.75" hidden="1" outlineLevel="1">
      <c r="A534" s="551"/>
      <c r="B534" s="552" t="s">
        <v>1</v>
      </c>
      <c r="C534" s="552" t="s">
        <v>2</v>
      </c>
      <c r="D534" s="552" t="s">
        <v>159</v>
      </c>
      <c r="E534" s="552" t="s">
        <v>160</v>
      </c>
      <c r="F534" s="552" t="s">
        <v>5</v>
      </c>
      <c r="G534" s="552" t="s">
        <v>161</v>
      </c>
      <c r="H534" s="552" t="s">
        <v>145</v>
      </c>
      <c r="I534" s="552" t="s">
        <v>8</v>
      </c>
      <c r="J534" s="552" t="s">
        <v>9</v>
      </c>
      <c r="K534" s="552" t="s">
        <v>10</v>
      </c>
      <c r="L534" s="552" t="s">
        <v>11</v>
      </c>
      <c r="M534" s="553" t="s">
        <v>12</v>
      </c>
      <c r="N534" s="552" t="s">
        <v>1</v>
      </c>
      <c r="O534" s="552" t="s">
        <v>2</v>
      </c>
      <c r="P534" s="552" t="s">
        <v>159</v>
      </c>
      <c r="Q534" s="552" t="s">
        <v>160</v>
      </c>
      <c r="R534" s="552" t="s">
        <v>5</v>
      </c>
      <c r="S534" s="552" t="s">
        <v>161</v>
      </c>
      <c r="T534" s="552" t="s">
        <v>145</v>
      </c>
      <c r="U534" s="552" t="s">
        <v>8</v>
      </c>
      <c r="V534" s="552" t="s">
        <v>9</v>
      </c>
      <c r="W534" s="552" t="s">
        <v>10</v>
      </c>
      <c r="X534" s="552" t="s">
        <v>11</v>
      </c>
      <c r="Y534" s="553" t="s">
        <v>12</v>
      </c>
      <c r="Z534" s="552" t="s">
        <v>1</v>
      </c>
      <c r="AA534" s="552" t="s">
        <v>2</v>
      </c>
      <c r="AB534" s="552" t="s">
        <v>159</v>
      </c>
      <c r="AC534" s="552" t="s">
        <v>160</v>
      </c>
      <c r="AD534" s="552" t="s">
        <v>5</v>
      </c>
      <c r="AE534" s="552" t="s">
        <v>161</v>
      </c>
      <c r="AF534" s="552" t="s">
        <v>145</v>
      </c>
      <c r="AG534" s="552" t="s">
        <v>8</v>
      </c>
      <c r="AH534" s="552" t="s">
        <v>9</v>
      </c>
      <c r="AI534" s="552" t="s">
        <v>10</v>
      </c>
      <c r="AJ534" s="552" t="s">
        <v>11</v>
      </c>
      <c r="AK534" s="553" t="s">
        <v>12</v>
      </c>
      <c r="AL534" s="552" t="s">
        <v>1</v>
      </c>
      <c r="AM534" s="552" t="s">
        <v>2</v>
      </c>
      <c r="AN534" s="552" t="s">
        <v>159</v>
      </c>
      <c r="AO534" s="552" t="s">
        <v>160</v>
      </c>
      <c r="AP534" s="552" t="s">
        <v>5</v>
      </c>
      <c r="AQ534" s="552" t="s">
        <v>161</v>
      </c>
      <c r="AR534" s="552" t="s">
        <v>145</v>
      </c>
      <c r="AS534" s="552" t="s">
        <v>8</v>
      </c>
      <c r="AT534" s="552" t="s">
        <v>9</v>
      </c>
      <c r="AU534" s="552" t="s">
        <v>10</v>
      </c>
      <c r="AV534" s="552" t="s">
        <v>11</v>
      </c>
      <c r="AW534" s="553" t="s">
        <v>12</v>
      </c>
      <c r="AX534" s="552" t="s">
        <v>1</v>
      </c>
      <c r="AY534" s="552" t="s">
        <v>2</v>
      </c>
      <c r="AZ534" s="552" t="s">
        <v>159</v>
      </c>
      <c r="BA534" s="552" t="s">
        <v>160</v>
      </c>
      <c r="BB534" s="552" t="s">
        <v>5</v>
      </c>
      <c r="BC534" s="552" t="s">
        <v>161</v>
      </c>
      <c r="BD534" s="552" t="s">
        <v>145</v>
      </c>
      <c r="BE534" s="552" t="s">
        <v>8</v>
      </c>
      <c r="BF534" s="552" t="s">
        <v>9</v>
      </c>
      <c r="BG534" s="552" t="s">
        <v>10</v>
      </c>
      <c r="BH534" s="552" t="s">
        <v>11</v>
      </c>
      <c r="BI534" s="553" t="s">
        <v>12</v>
      </c>
    </row>
    <row r="535" spans="1:61" s="554" customFormat="1" ht="15.75" hidden="1" outlineLevel="1">
      <c r="A535" s="780" t="s">
        <v>359</v>
      </c>
      <c r="B535" s="783">
        <f>'Contractor Model'!B68</f>
        <v>8</v>
      </c>
      <c r="C535" s="784">
        <f>'Contractor Model'!C68</f>
        <v>8.3824000000000005</v>
      </c>
      <c r="D535" s="784">
        <f>'Contractor Model'!D68</f>
        <v>8.790016102400001</v>
      </c>
      <c r="E535" s="784">
        <f>'Contractor Model'!E68</f>
        <v>9.2244218586677267</v>
      </c>
      <c r="F535" s="784">
        <f>'Contractor Model'!F68</f>
        <v>9.6872643857899394</v>
      </c>
      <c r="G535" s="784">
        <f>'Contractor Model'!G68</f>
        <v>10.180266404063699</v>
      </c>
      <c r="H535" s="784">
        <f>'Contractor Model'!H68</f>
        <v>10.705228286703797</v>
      </c>
      <c r="I535" s="784">
        <f>'Contractor Model'!I68</f>
        <v>11.264030122404236</v>
      </c>
      <c r="J535" s="784">
        <f>'Contractor Model'!J68</f>
        <v>11.858633792363815</v>
      </c>
      <c r="K535" s="784">
        <f>'Contractor Model'!K68</f>
        <v>12.491085063681208</v>
      </c>
      <c r="L535" s="784">
        <f>'Contractor Model'!L68</f>
        <v>13.163515701442698</v>
      </c>
      <c r="M535" s="785">
        <f>'Contractor Model'!M68</f>
        <v>13.878145602265221</v>
      </c>
      <c r="N535" s="784">
        <f>'Contractor Model'!N68</f>
        <v>14.640802427106802</v>
      </c>
      <c r="O535" s="784">
        <f>'Contractor Model'!O68</f>
        <v>15.454179973028484</v>
      </c>
      <c r="P535" s="784">
        <f>'Contractor Model'!P68</f>
        <v>16.321067007803048</v>
      </c>
      <c r="Q535" s="784">
        <f>'Contractor Model'!Q68</f>
        <v>17.244348126107901</v>
      </c>
      <c r="R535" s="784">
        <f>'Contractor Model'!R68</f>
        <v>18.227004594103096</v>
      </c>
      <c r="S535" s="784">
        <f>'Contractor Model'!S68</f>
        <v>19.272115194972702</v>
      </c>
      <c r="T535" s="784">
        <f>'Contractor Model'!T68</f>
        <v>20.382857089151276</v>
      </c>
      <c r="U535" s="784">
        <f>'Contractor Model'!U68</f>
        <v>21.56250670407784</v>
      </c>
      <c r="V535" s="784">
        <f>'Contractor Model'!V68</f>
        <v>22.814440669410335</v>
      </c>
      <c r="W535" s="784">
        <f>'Contractor Model'!W68</f>
        <v>24.142136814686012</v>
      </c>
      <c r="X535" s="784">
        <f>'Contractor Model'!X68</f>
        <v>25.549175247421399</v>
      </c>
      <c r="Y535" s="785">
        <f>'Contractor Model'!Y68</f>
        <v>27.039239530601542</v>
      </c>
      <c r="Z535" s="784">
        <f>'Contractor Model'!Z68</f>
        <v>28.620747034243404</v>
      </c>
      <c r="AA535" s="784">
        <f>'Contractor Model'!AA68</f>
        <v>30.297832899152603</v>
      </c>
      <c r="AB535" s="784">
        <f>'Contractor Model'!AB68</f>
        <v>32.074721942842451</v>
      </c>
      <c r="AC535" s="784">
        <f>'Contractor Model'!AC68</f>
        <v>33.955728473829772</v>
      </c>
      <c r="AD535" s="784">
        <f>'Contractor Model'!AD68</f>
        <v>35.945256397317038</v>
      </c>
      <c r="AE535" s="784">
        <f>'Contractor Model'!AE68</f>
        <v>38.047799652671507</v>
      </c>
      <c r="AF535" s="784">
        <f>'Contractor Model'!AF68</f>
        <v>40.267943023083284</v>
      </c>
      <c r="AG535" s="784">
        <f>'Contractor Model'!AG68</f>
        <v>42.61036335749322</v>
      </c>
      <c r="AH535" s="784">
        <f>'Contractor Model'!AH68</f>
        <v>45.079831244328588</v>
      </c>
      <c r="AI535" s="784">
        <f>'Contractor Model'!AI68</f>
        <v>47.68121317577463</v>
      </c>
      <c r="AJ535" s="784">
        <f>'Contractor Model'!AJ68</f>
        <v>50.419474240248832</v>
      </c>
      <c r="AK535" s="785">
        <f>'Contractor Model'!AK68</f>
        <v>53.299681379443584</v>
      </c>
      <c r="AL535" s="784">
        <f>'Contractor Model'!AL68</f>
        <v>56.327007244772894</v>
      </c>
      <c r="AM535" s="784">
        <f>'Contractor Model'!AM68</f>
        <v>59.506734686316534</v>
      </c>
      <c r="AN535" s="784">
        <f>'Contractor Model'!AN68</f>
        <v>62.844261905417305</v>
      </c>
      <c r="AO535" s="784">
        <f>'Contractor Model'!AO68</f>
        <v>66.345108299975465</v>
      </c>
      <c r="AP535" s="784">
        <f>'Contractor Model'!AP68</f>
        <v>70.014921029220602</v>
      </c>
      <c r="AQ535" s="784">
        <f>'Contractor Model'!AQ68</f>
        <v>73.859482322350189</v>
      </c>
      <c r="AR535" s="784">
        <f>'Contractor Model'!AR68</f>
        <v>77.884717552932145</v>
      </c>
      <c r="AS535" s="784">
        <f>'Contractor Model'!AS68</f>
        <v>82.096704098404587</v>
      </c>
      <c r="AT535" s="784">
        <f>'Contractor Model'!AT68</f>
        <v>86.50168100139652</v>
      </c>
      <c r="AU535" s="784">
        <f>'Contractor Model'!AU68</f>
        <v>91.106059446971614</v>
      </c>
      <c r="AV535" s="784">
        <f>'Contractor Model'!AV68</f>
        <v>95.916434067290723</v>
      </c>
      <c r="AW535" s="785">
        <f>'Contractor Model'!AW68</f>
        <v>100.93959508263039</v>
      </c>
      <c r="AX535" s="784">
        <f>'Contractor Model'!AX68</f>
        <v>106.18254128521424</v>
      </c>
      <c r="AY535" s="784">
        <f>'Contractor Model'!AY68</f>
        <v>111.652493869941</v>
      </c>
      <c r="AZ535" s="784">
        <f>'Contractor Model'!AZ68</f>
        <v>117.35691111385803</v>
      </c>
      <c r="BA535" s="784">
        <f>'Contractor Model'!BA68</f>
        <v>123.30350390415934</v>
      </c>
      <c r="BB535" s="784">
        <f>'Contractor Model'!BB68</f>
        <v>129.50025211260953</v>
      </c>
      <c r="BC535" s="784">
        <f>'Contractor Model'!BC68</f>
        <v>135.95542181263551</v>
      </c>
      <c r="BD535" s="784">
        <f>'Contractor Model'!BD68</f>
        <v>142.6775833339081</v>
      </c>
      <c r="BE535" s="784">
        <f>'Contractor Model'!BE68</f>
        <v>149.67563014807735</v>
      </c>
      <c r="BF535" s="784">
        <f>'Contractor Model'!BF68</f>
        <v>156.95879857844696</v>
      </c>
      <c r="BG535" s="784">
        <f>'Contractor Model'!BG68</f>
        <v>164.53668832579072</v>
      </c>
      <c r="BH535" s="784">
        <f>'Contractor Model'!BH68</f>
        <v>172.4192838022386</v>
      </c>
      <c r="BI535" s="785">
        <f>'Contractor Model'!BI68</f>
        <v>180.61697626520458</v>
      </c>
    </row>
    <row r="536" spans="1:61" s="780" customFormat="1" hidden="1" outlineLevel="1">
      <c r="A536" s="780" t="str">
        <f>'Contractor Model'!A69</f>
        <v>Leads</v>
      </c>
      <c r="B536" s="780">
        <f>'Contractor Model'!B69</f>
        <v>20</v>
      </c>
      <c r="C536" s="780">
        <f>'Contractor Model'!C69</f>
        <v>20.8</v>
      </c>
      <c r="D536" s="780">
        <f>'Contractor Model'!D69</f>
        <v>21.632000000000001</v>
      </c>
      <c r="E536" s="780">
        <f>'Contractor Model'!E69</f>
        <v>22.497280000000003</v>
      </c>
      <c r="F536" s="780">
        <f>'Contractor Model'!F69</f>
        <v>23.397171200000006</v>
      </c>
      <c r="G536" s="780">
        <f>'Contractor Model'!G69</f>
        <v>24.333058048000009</v>
      </c>
      <c r="H536" s="780">
        <f>'Contractor Model'!H69</f>
        <v>25.30638036992001</v>
      </c>
      <c r="I536" s="780">
        <f>'Contractor Model'!I69</f>
        <v>26.318635584716812</v>
      </c>
      <c r="J536" s="780">
        <f>'Contractor Model'!J69</f>
        <v>27.371381008105487</v>
      </c>
      <c r="K536" s="780">
        <f>'Contractor Model'!K69</f>
        <v>28.466236248429709</v>
      </c>
      <c r="L536" s="780">
        <f>'Contractor Model'!L69</f>
        <v>29.6048856983669</v>
      </c>
      <c r="M536" s="781">
        <f>'Contractor Model'!M69</f>
        <v>30.789081126301578</v>
      </c>
      <c r="N536" s="782">
        <f>'Contractor Model'!N69</f>
        <v>32.02064437135364</v>
      </c>
      <c r="O536" s="780">
        <f>'Contractor Model'!O69</f>
        <v>33.301470146207784</v>
      </c>
      <c r="P536" s="780">
        <f>'Contractor Model'!P69</f>
        <v>34.633528952056096</v>
      </c>
      <c r="Q536" s="780">
        <f>'Contractor Model'!Q69</f>
        <v>36.018870110138344</v>
      </c>
      <c r="R536" s="780">
        <f>'Contractor Model'!R69</f>
        <v>37.45962491454388</v>
      </c>
      <c r="S536" s="780">
        <f>'Contractor Model'!S69</f>
        <v>38.958009911125636</v>
      </c>
      <c r="T536" s="780">
        <f>'Contractor Model'!T69</f>
        <v>40.516330307570662</v>
      </c>
      <c r="U536" s="780">
        <f>'Contractor Model'!U69</f>
        <v>42.136983519873489</v>
      </c>
      <c r="V536" s="780">
        <f>'Contractor Model'!V69</f>
        <v>43.822462860668423</v>
      </c>
      <c r="W536" s="780">
        <f>'Contractor Model'!W69</f>
        <v>45.57536137509517</v>
      </c>
      <c r="X536" s="780">
        <f>'Contractor Model'!X69</f>
        <v>47.398375830098978</v>
      </c>
      <c r="Y536" s="781">
        <f>'Contractor Model'!Y69</f>
        <v>49.29431086330294</v>
      </c>
      <c r="Z536" s="782">
        <f>'Contractor Model'!Z69</f>
        <v>51.26608329783506</v>
      </c>
      <c r="AA536" s="780">
        <f>'Contractor Model'!AA69</f>
        <v>53.316726629748466</v>
      </c>
      <c r="AB536" s="780">
        <f>'Contractor Model'!AB69</f>
        <v>55.44939569493841</v>
      </c>
      <c r="AC536" s="780">
        <f>'Contractor Model'!AC69</f>
        <v>57.667371522735948</v>
      </c>
      <c r="AD536" s="780">
        <f>'Contractor Model'!AD69</f>
        <v>59.974066383645386</v>
      </c>
      <c r="AE536" s="780">
        <f>'Contractor Model'!AE69</f>
        <v>62.373029038991206</v>
      </c>
      <c r="AF536" s="780">
        <f>'Contractor Model'!AF69</f>
        <v>64.867950200550851</v>
      </c>
      <c r="AG536" s="780">
        <f>'Contractor Model'!AG69</f>
        <v>67.462668208572893</v>
      </c>
      <c r="AH536" s="780">
        <f>'Contractor Model'!AH69</f>
        <v>70.161174936915813</v>
      </c>
      <c r="AI536" s="780">
        <f>'Contractor Model'!AI69</f>
        <v>72.967621934392454</v>
      </c>
      <c r="AJ536" s="780">
        <f>'Contractor Model'!AJ69</f>
        <v>75.886326811768157</v>
      </c>
      <c r="AK536" s="781">
        <f>'Contractor Model'!AK69</f>
        <v>78.921779884238887</v>
      </c>
      <c r="AL536" s="782">
        <f>'Contractor Model'!AL69</f>
        <v>82.078651079608449</v>
      </c>
      <c r="AM536" s="780">
        <f>'Contractor Model'!AM69</f>
        <v>85.361797122792794</v>
      </c>
      <c r="AN536" s="780">
        <f>'Contractor Model'!AN69</f>
        <v>88.776269007704514</v>
      </c>
      <c r="AO536" s="780">
        <f>'Contractor Model'!AO69</f>
        <v>92.3273197680127</v>
      </c>
      <c r="AP536" s="780">
        <f>'Contractor Model'!AP69</f>
        <v>96.020412558733199</v>
      </c>
      <c r="AQ536" s="780">
        <f>'Contractor Model'!AQ69</f>
        <v>99.86122906108254</v>
      </c>
      <c r="AR536" s="780">
        <f>'Contractor Model'!AR69</f>
        <v>103.85567822352584</v>
      </c>
      <c r="AS536" s="780">
        <f>'Contractor Model'!AS69</f>
        <v>108.00990535246689</v>
      </c>
      <c r="AT536" s="780">
        <f>'Contractor Model'!AT69</f>
        <v>112.33030156656557</v>
      </c>
      <c r="AU536" s="780">
        <f>'Contractor Model'!AU69</f>
        <v>116.82351362922816</v>
      </c>
      <c r="AV536" s="780">
        <f>'Contractor Model'!AV69</f>
        <v>121.4964541743973</v>
      </c>
      <c r="AW536" s="781">
        <f>'Contractor Model'!AW69</f>
        <v>126.3563123413732</v>
      </c>
      <c r="AX536" s="782">
        <f>'Contractor Model'!AX69</f>
        <v>131.41056483502814</v>
      </c>
      <c r="AY536" s="780">
        <f>'Contractor Model'!AY69</f>
        <v>136.66698742842928</v>
      </c>
      <c r="AZ536" s="780">
        <f>'Contractor Model'!AZ69</f>
        <v>142.13366692556644</v>
      </c>
      <c r="BA536" s="780">
        <f>'Contractor Model'!BA69</f>
        <v>147.81901360258911</v>
      </c>
      <c r="BB536" s="780">
        <f>'Contractor Model'!BB69</f>
        <v>153.73177414669269</v>
      </c>
      <c r="BC536" s="780">
        <f>'Contractor Model'!BC69</f>
        <v>159.8810451125604</v>
      </c>
      <c r="BD536" s="780">
        <f>'Contractor Model'!BD69</f>
        <v>166.27628691706283</v>
      </c>
      <c r="BE536" s="780">
        <f>'Contractor Model'!BE69</f>
        <v>172.92733839374537</v>
      </c>
      <c r="BF536" s="780">
        <f>'Contractor Model'!BF69</f>
        <v>179.84443192949519</v>
      </c>
      <c r="BG536" s="780">
        <f>'Contractor Model'!BG69</f>
        <v>187.03820920667494</v>
      </c>
      <c r="BH536" s="780">
        <f>'Contractor Model'!BH69</f>
        <v>194.51973757494193</v>
      </c>
      <c r="BI536" s="781">
        <f>'Contractor Model'!BI69</f>
        <v>202.30052707793965</v>
      </c>
    </row>
    <row r="537" spans="1:61" s="780" customFormat="1" hidden="1" outlineLevel="1">
      <c r="A537" s="780" t="str">
        <f>'Contractor Model'!A70</f>
        <v>Audits</v>
      </c>
      <c r="B537" s="780">
        <f>'Contractor Model'!B70</f>
        <v>7.8466960352422905</v>
      </c>
      <c r="C537" s="780">
        <f>'Contractor Model'!C70</f>
        <v>8.1805560257268723</v>
      </c>
      <c r="D537" s="780">
        <f>'Contractor Model'!D70</f>
        <v>8.556158139083367</v>
      </c>
      <c r="E537" s="780">
        <f>'Contractor Model'!E70</f>
        <v>8.9523024684242678</v>
      </c>
      <c r="F537" s="780">
        <f>'Contractor Model'!F70</f>
        <v>9.3702787716763911</v>
      </c>
      <c r="G537" s="780">
        <f>'Contractor Model'!G70</f>
        <v>9.811453812672589</v>
      </c>
      <c r="H537" s="780">
        <f>'Contractor Model'!H70</f>
        <v>10.277273093546537</v>
      </c>
      <c r="I537" s="780">
        <f>'Contractor Model'!I70</f>
        <v>10.769262132442826</v>
      </c>
      <c r="J537" s="780">
        <f>'Contractor Model'!J70</f>
        <v>11.289027268145146</v>
      </c>
      <c r="K537" s="780">
        <f>'Contractor Model'!K70</f>
        <v>11.838255995812663</v>
      </c>
      <c r="L537" s="780">
        <f>'Contractor Model'!L70</f>
        <v>12.418716863200714</v>
      </c>
      <c r="M537" s="781">
        <f>'Contractor Model'!M70</f>
        <v>13.032258982971491</v>
      </c>
      <c r="N537" s="782">
        <f>'Contractor Model'!N70</f>
        <v>13.681748513642187</v>
      </c>
      <c r="O537" s="780">
        <f>'Contractor Model'!O70</f>
        <v>14.367753613373562</v>
      </c>
      <c r="P537" s="780">
        <f>'Contractor Model'!P70</f>
        <v>15.094450719778326</v>
      </c>
      <c r="Q537" s="780">
        <f>'Contractor Model'!Q70</f>
        <v>15.864274704794562</v>
      </c>
      <c r="R537" s="780">
        <f>'Contractor Model'!R70</f>
        <v>16.679756380011042</v>
      </c>
      <c r="S537" s="780">
        <f>'Contractor Model'!S70</f>
        <v>17.543519083999907</v>
      </c>
      <c r="T537" s="780">
        <f>'Contractor Model'!T70</f>
        <v>18.458274953232511</v>
      </c>
      <c r="U537" s="780">
        <f>'Contractor Model'!U70</f>
        <v>19.426821075192013</v>
      </c>
      <c r="V537" s="780">
        <f>'Contractor Model'!V70</f>
        <v>20.452035738521069</v>
      </c>
      <c r="W537" s="780">
        <f>'Contractor Model'!W70</f>
        <v>21.536874999893016</v>
      </c>
      <c r="X537" s="780">
        <f>'Contractor Model'!X70</f>
        <v>22.68436978011453</v>
      </c>
      <c r="Y537" s="781">
        <f>'Contractor Model'!Y70</f>
        <v>23.897623683136111</v>
      </c>
      <c r="Z537" s="782">
        <f>'Contractor Model'!Z70</f>
        <v>25.181305860088621</v>
      </c>
      <c r="AA537" s="780">
        <f>'Contractor Model'!AA70</f>
        <v>26.509539923847804</v>
      </c>
      <c r="AB537" s="780">
        <f>'Contractor Model'!AB70</f>
        <v>27.911267150389076</v>
      </c>
      <c r="AC537" s="780">
        <f>'Contractor Model'!AC70</f>
        <v>29.389855755030599</v>
      </c>
      <c r="AD537" s="780">
        <f>'Contractor Model'!AD70</f>
        <v>30.948754132327405</v>
      </c>
      <c r="AE537" s="780">
        <f>'Contractor Model'!AE70</f>
        <v>32.591491812026852</v>
      </c>
      <c r="AF537" s="780">
        <f>'Contractor Model'!AF70</f>
        <v>34.321681088998503</v>
      </c>
      <c r="AG537" s="780">
        <f>'Contractor Model'!AG70</f>
        <v>36.143019351142293</v>
      </c>
      <c r="AH537" s="780">
        <f>'Contractor Model'!AH70</f>
        <v>38.059292115999952</v>
      </c>
      <c r="AI537" s="780">
        <f>'Contractor Model'!AI70</f>
        <v>40.074376775040108</v>
      </c>
      <c r="AJ537" s="780">
        <f>'Contractor Model'!AJ70</f>
        <v>42.192247034738458</v>
      </c>
      <c r="AK537" s="781">
        <f>'Contractor Model'!AK70</f>
        <v>44.416978035864261</v>
      </c>
      <c r="AL537" s="782">
        <f>'Contractor Model'!AL70</f>
        <v>46.752752126886328</v>
      </c>
      <c r="AM537" s="780">
        <f>'Contractor Model'!AM70</f>
        <v>49.082921316266599</v>
      </c>
      <c r="AN537" s="780">
        <f>'Contractor Model'!AN70</f>
        <v>51.522543979321924</v>
      </c>
      <c r="AO537" s="780">
        <f>'Contractor Model'!AO70</f>
        <v>54.075800070640085</v>
      </c>
      <c r="AP537" s="780">
        <f>'Contractor Model'!AP70</f>
        <v>56.746994933802739</v>
      </c>
      <c r="AQ537" s="780">
        <f>'Contractor Model'!AQ70</f>
        <v>59.54056513100376</v>
      </c>
      <c r="AR537" s="780">
        <f>'Contractor Model'!AR70</f>
        <v>62.461084744125536</v>
      </c>
      <c r="AS537" s="780">
        <f>'Contractor Model'!AS70</f>
        <v>65.513272160718657</v>
      </c>
      <c r="AT537" s="780">
        <f>'Contractor Model'!AT70</f>
        <v>68.701997357177731</v>
      </c>
      <c r="AU537" s="780">
        <f>'Contractor Model'!AU70</f>
        <v>72.032289690276642</v>
      </c>
      <c r="AV537" s="780">
        <f>'Contractor Model'!AV70</f>
        <v>75.509346207129425</v>
      </c>
      <c r="AW537" s="781">
        <f>'Contractor Model'!AW70</f>
        <v>79.138540482595928</v>
      </c>
      <c r="AX537" s="782">
        <f>'Contractor Model'!AX70</f>
        <v>82.925431992167518</v>
      </c>
      <c r="AY537" s="780">
        <f>'Contractor Model'!AY70</f>
        <v>86.935804010940174</v>
      </c>
      <c r="AZ537" s="780">
        <f>'Contractor Model'!AZ70</f>
        <v>91.123783284069106</v>
      </c>
      <c r="BA537" s="780">
        <f>'Contractor Model'!BA70</f>
        <v>95.496160724226385</v>
      </c>
      <c r="BB537" s="780">
        <f>'Contractor Model'!BB70</f>
        <v>100.05998218264438</v>
      </c>
      <c r="BC537" s="780">
        <f>'Contractor Model'!BC70</f>
        <v>104.82256133405527</v>
      </c>
      <c r="BD537" s="780">
        <f>'Contractor Model'!BD70</f>
        <v>109.79149321021407</v>
      </c>
      <c r="BE537" s="780">
        <f>'Contractor Model'!BE70</f>
        <v>114.97466839244403</v>
      </c>
      <c r="BF537" s="780">
        <f>'Contractor Model'!BF70</f>
        <v>120.38028787332333</v>
      </c>
      <c r="BG537" s="780">
        <f>'Contractor Model'!BG70</f>
        <v>126.01687859744271</v>
      </c>
      <c r="BH537" s="780">
        <f>'Contractor Model'!BH70</f>
        <v>131.89330969112427</v>
      </c>
      <c r="BI537" s="781">
        <f>'Contractor Model'!BI70</f>
        <v>138.01880939110256</v>
      </c>
    </row>
    <row r="538" spans="1:61" s="780" customFormat="1" hidden="1" outlineLevel="1">
      <c r="A538" s="780" t="str">
        <f>'Contractor Model'!A71</f>
        <v>Retrofit</v>
      </c>
      <c r="B538" s="780">
        <f>'Contractor Model'!B71</f>
        <v>3.2741145374449339</v>
      </c>
      <c r="C538" s="780">
        <f>'Contractor Model'!C71</f>
        <v>3.4211429613668018</v>
      </c>
      <c r="D538" s="780">
        <f>'Contractor Model'!D71</f>
        <v>3.6089747928733105</v>
      </c>
      <c r="E538" s="780">
        <f>'Contractor Model'!E71</f>
        <v>3.80943356172375</v>
      </c>
      <c r="F538" s="780">
        <f>'Contractor Model'!F71</f>
        <v>4.023495407635</v>
      </c>
      <c r="G538" s="780">
        <f>'Contractor Model'!G71</f>
        <v>4.2522035025469851</v>
      </c>
      <c r="H538" s="780">
        <f>'Contractor Model'!H71</f>
        <v>4.4966691121698661</v>
      </c>
      <c r="I538" s="780">
        <f>'Contractor Model'!I71</f>
        <v>4.7580720961942786</v>
      </c>
      <c r="J538" s="780">
        <f>'Contractor Model'!J71</f>
        <v>5.0376608331454982</v>
      </c>
      <c r="K538" s="780">
        <f>'Contractor Model'!K71</f>
        <v>5.3367515834608863</v>
      </c>
      <c r="L538" s="780">
        <f>'Contractor Model'!L71</f>
        <v>5.6567273345837759</v>
      </c>
      <c r="M538" s="781">
        <f>'Contractor Model'!M71</f>
        <v>5.9990362027609887</v>
      </c>
      <c r="N538" s="782">
        <f>'Contractor Model'!N71</f>
        <v>6.3656710756275423</v>
      </c>
      <c r="O538" s="780">
        <f>'Contractor Model'!O71</f>
        <v>6.7527905497767229</v>
      </c>
      <c r="P538" s="780">
        <f>'Contractor Model'!P71</f>
        <v>7.1679946156961591</v>
      </c>
      <c r="Q538" s="780">
        <f>'Contractor Model'!Q71</f>
        <v>7.6132687220703144</v>
      </c>
      <c r="R538" s="780">
        <f>'Contractor Model'!R71</f>
        <v>8.0906802436821312</v>
      </c>
      <c r="S538" s="780">
        <f>'Contractor Model'!S71</f>
        <v>8.6023733713231554</v>
      </c>
      <c r="T538" s="780">
        <f>'Contractor Model'!T71</f>
        <v>9.1505635635964193</v>
      </c>
      <c r="U538" s="780">
        <f>'Contractor Model'!U71</f>
        <v>9.7375318038296879</v>
      </c>
      <c r="V538" s="780">
        <f>'Contractor Model'!V71</f>
        <v>10.365618926205418</v>
      </c>
      <c r="W538" s="780">
        <f>'Contractor Model'!W71</f>
        <v>11.037220281947453</v>
      </c>
      <c r="X538" s="780">
        <f>'Contractor Model'!X71</f>
        <v>11.754781008099396</v>
      </c>
      <c r="Y538" s="781">
        <f>'Contractor Model'!Y71</f>
        <v>12.520792138493604</v>
      </c>
      <c r="Z538" s="782">
        <f>'Contractor Model'!Z71</f>
        <v>13.338724403473293</v>
      </c>
      <c r="AA538" s="780">
        <f>'Contractor Model'!AA71</f>
        <v>14.173899457244383</v>
      </c>
      <c r="AB538" s="780">
        <f>'Contractor Model'!AB71</f>
        <v>15.06160093928195</v>
      </c>
      <c r="AC538" s="780">
        <f>'Contractor Model'!AC71</f>
        <v>16.004396182835173</v>
      </c>
      <c r="AD538" s="780">
        <f>'Contractor Model'!AD71</f>
        <v>17.004903510314108</v>
      </c>
      <c r="AE538" s="780">
        <f>'Contractor Model'!AE71</f>
        <v>18.065792108500531</v>
      </c>
      <c r="AF538" s="780">
        <f>'Contractor Model'!AF71</f>
        <v>19.189782637475492</v>
      </c>
      <c r="AG538" s="780">
        <f>'Contractor Model'!AG71</f>
        <v>20.379648596658086</v>
      </c>
      <c r="AH538" s="780">
        <f>'Contractor Model'!AH71</f>
        <v>21.638218454438508</v>
      </c>
      <c r="AI538" s="780">
        <f>'Contractor Model'!AI71</f>
        <v>22.968378532837651</v>
      </c>
      <c r="AJ538" s="780">
        <f>'Contractor Model'!AJ71</f>
        <v>24.373076625940293</v>
      </c>
      <c r="AK538" s="781">
        <f>'Contractor Model'!AK71</f>
        <v>25.855326320842856</v>
      </c>
      <c r="AL538" s="782">
        <f>'Contractor Model'!AL71</f>
        <v>27.418211982649215</v>
      </c>
      <c r="AM538" s="780">
        <f>'Contractor Model'!AM71</f>
        <v>28.912823637439345</v>
      </c>
      <c r="AN538" s="780">
        <f>'Contractor Model'!AN71</f>
        <v>30.481264211401022</v>
      </c>
      <c r="AO538" s="780">
        <f>'Contractor Model'!AO71</f>
        <v>32.126375520474461</v>
      </c>
      <c r="AP538" s="780">
        <f>'Contractor Model'!AP71</f>
        <v>33.851080131654975</v>
      </c>
      <c r="AQ538" s="780">
        <f>'Contractor Model'!AQ71</f>
        <v>35.658385333026132</v>
      </c>
      <c r="AR538" s="780">
        <f>'Contractor Model'!AR71</f>
        <v>37.551387467022387</v>
      </c>
      <c r="AS538" s="780">
        <f>'Contractor Model'!AS71</f>
        <v>39.533276635822467</v>
      </c>
      <c r="AT538" s="780">
        <f>'Contractor Model'!AT71</f>
        <v>41.60734178665394</v>
      </c>
      <c r="AU538" s="780">
        <f>'Contractor Model'!AU71</f>
        <v>43.776976183702011</v>
      </c>
      <c r="AV538" s="780">
        <f>'Contractor Model'!AV71</f>
        <v>46.045683272271312</v>
      </c>
      <c r="AW538" s="781">
        <f>'Contractor Model'!AW71</f>
        <v>48.41708293986165</v>
      </c>
      <c r="AX538" s="782">
        <f>'Contractor Model'!AX71</f>
        <v>50.89491817790028</v>
      </c>
      <c r="AY538" s="780">
        <f>'Contractor Model'!AY71</f>
        <v>53.556983193725586</v>
      </c>
      <c r="AZ538" s="780">
        <f>'Contractor Model'!AZ71</f>
        <v>56.343717835443009</v>
      </c>
      <c r="BA538" s="780">
        <f>'Contractor Model'!BA71</f>
        <v>59.260074497857936</v>
      </c>
      <c r="BB538" s="780">
        <f>'Contractor Model'!BB71</f>
        <v>62.311194953542106</v>
      </c>
      <c r="BC538" s="780">
        <f>'Contractor Model'!BC71</f>
        <v>65.502420125122512</v>
      </c>
      <c r="BD538" s="780">
        <f>'Contractor Model'!BD71</f>
        <v>68.839300373543765</v>
      </c>
      <c r="BE538" s="780">
        <f>'Contractor Model'!BE71</f>
        <v>72.327606311310603</v>
      </c>
      <c r="BF538" s="780">
        <f>'Contractor Model'!BF71</f>
        <v>75.973340149399419</v>
      </c>
      <c r="BG538" s="780">
        <f>'Contractor Model'!BG71</f>
        <v>79.782747586318379</v>
      </c>
      <c r="BH538" s="780">
        <f>'Contractor Model'!BH71</f>
        <v>83.762330247704412</v>
      </c>
      <c r="BI538" s="781">
        <f>'Contractor Model'!BI71</f>
        <v>87.918858684880291</v>
      </c>
    </row>
    <row r="539" spans="1:61" s="780" customFormat="1" hidden="1" outlineLevel="1">
      <c r="A539" s="780" t="str">
        <f>'Contractor Model'!A72</f>
        <v>Revenue</v>
      </c>
      <c r="B539" s="780">
        <f>'Contractor Model'!B72</f>
        <v>20728.933920704847</v>
      </c>
      <c r="C539" s="780">
        <f>'Contractor Model'!C72</f>
        <v>22334.796424579898</v>
      </c>
      <c r="D539" s="780">
        <f>'Contractor Model'!D72</f>
        <v>24261.379157843236</v>
      </c>
      <c r="E539" s="780">
        <f>'Contractor Model'!E72</f>
        <v>27109.041527058151</v>
      </c>
      <c r="F539" s="780">
        <f>'Contractor Model'!F72</f>
        <v>29411.012063918617</v>
      </c>
      <c r="G539" s="780">
        <f>'Contractor Model'!G72</f>
        <v>31904.731979940196</v>
      </c>
      <c r="H539" s="780">
        <f>'Contractor Model'!H72</f>
        <v>34157.516935543477</v>
      </c>
      <c r="I539" s="780">
        <f>'Contractor Model'!I72</f>
        <v>36585.144030160183</v>
      </c>
      <c r="J539" s="780">
        <f>'Contractor Model'!J72</f>
        <v>39202.024549786183</v>
      </c>
      <c r="K539" s="780">
        <f>'Contractor Model'!K72</f>
        <v>41489.907780370268</v>
      </c>
      <c r="L539" s="780">
        <f>'Contractor Model'!L72</f>
        <v>43934.936399734994</v>
      </c>
      <c r="M539" s="781">
        <f>'Contractor Model'!M72</f>
        <v>46547.932291314006</v>
      </c>
      <c r="N539" s="782">
        <f>'Contractor Model'!N72</f>
        <v>48812.622611071754</v>
      </c>
      <c r="O539" s="780">
        <f>'Contractor Model'!O72</f>
        <v>51746.745047763237</v>
      </c>
      <c r="P539" s="780">
        <f>'Contractor Model'!P72</f>
        <v>54891.491572423707</v>
      </c>
      <c r="Q539" s="780">
        <f>'Contractor Model'!Q72</f>
        <v>58261.704056497998</v>
      </c>
      <c r="R539" s="780">
        <f>'Contractor Model'!R72</f>
        <v>61872.837706819933</v>
      </c>
      <c r="S539" s="780">
        <f>'Contractor Model'!S72</f>
        <v>65740.922877654608</v>
      </c>
      <c r="T539" s="780">
        <f>'Contractor Model'!T72</f>
        <v>69882.52360507095</v>
      </c>
      <c r="U539" s="780">
        <f>'Contractor Model'!U72</f>
        <v>74314.694687467563</v>
      </c>
      <c r="V539" s="780">
        <f>'Contractor Model'!V72</f>
        <v>79054.939292696072</v>
      </c>
      <c r="W539" s="780">
        <f>'Contractor Model'!W72</f>
        <v>84121.169122674793</v>
      </c>
      <c r="X539" s="780">
        <f>'Contractor Model'!X72</f>
        <v>89531.669104034416</v>
      </c>
      <c r="Y539" s="781">
        <f>'Contractor Model'!Y72</f>
        <v>95305.068401244935</v>
      </c>
      <c r="Z539" s="782">
        <f>'Contractor Model'!Z72</f>
        <v>101467.05911812153</v>
      </c>
      <c r="AA539" s="780">
        <f>'Contractor Model'!AA72</f>
        <v>107757.45533319093</v>
      </c>
      <c r="AB539" s="780">
        <f>'Contractor Model'!AB72</f>
        <v>114440.84237520174</v>
      </c>
      <c r="AC539" s="780">
        <f>'Contractor Model'!AC72</f>
        <v>121536.40957263115</v>
      </c>
      <c r="AD539" s="780">
        <f>'Contractor Model'!AD72</f>
        <v>129063.73094559579</v>
      </c>
      <c r="AE539" s="780">
        <f>'Contractor Model'!AE72</f>
        <v>137042.76458890198</v>
      </c>
      <c r="AF539" s="780">
        <f>'Contractor Model'!AF72</f>
        <v>145493.85755130055</v>
      </c>
      <c r="AG539" s="780">
        <f>'Contractor Model'!AG72</f>
        <v>154437.75638435522</v>
      </c>
      <c r="AH539" s="780">
        <f>'Contractor Model'!AH72</f>
        <v>163895.6234075159</v>
      </c>
      <c r="AI539" s="780">
        <f>'Contractor Model'!AI72</f>
        <v>173889.05862314338</v>
      </c>
      <c r="AJ539" s="780">
        <f>'Contractor Model'!AJ72</f>
        <v>184440.12712015139</v>
      </c>
      <c r="AK539" s="781">
        <f>'Contractor Model'!AK72</f>
        <v>195571.39172995961</v>
      </c>
      <c r="AL539" s="782">
        <f>'Contractor Model'!AL72</f>
        <v>207305.95064449144</v>
      </c>
      <c r="AM539" s="780">
        <f>'Contractor Model'!AM72</f>
        <v>218526.82830504962</v>
      </c>
      <c r="AN539" s="780">
        <f>'Contractor Model'!AN72</f>
        <v>230299.88241457404</v>
      </c>
      <c r="AO539" s="780">
        <f>'Contractor Model'!AO72</f>
        <v>242646.40643380623</v>
      </c>
      <c r="AP539" s="780">
        <f>'Contractor Model'!AP72</f>
        <v>255588.30467884589</v>
      </c>
      <c r="AQ539" s="780">
        <f>'Contractor Model'!AQ72</f>
        <v>269148.12221054058</v>
      </c>
      <c r="AR539" s="780">
        <f>'Contractor Model'!AR72</f>
        <v>283349.07742205792</v>
      </c>
      <c r="AS539" s="780">
        <f>'Contractor Model'!AS72</f>
        <v>298215.09739075514</v>
      </c>
      <c r="AT539" s="780">
        <f>'Contractor Model'!AT72</f>
        <v>313770.85605224856</v>
      </c>
      <c r="AU539" s="780">
        <f>'Contractor Model'!AU72</f>
        <v>330041.81524662836</v>
      </c>
      <c r="AV539" s="780">
        <f>'Contractor Model'!AV72</f>
        <v>347054.26867913263</v>
      </c>
      <c r="AW539" s="781">
        <f>'Contractor Model'!AW72</f>
        <v>364835.38883039018</v>
      </c>
      <c r="AX539" s="782">
        <f>'Contractor Model'!AX72</f>
        <v>383413.276844654</v>
      </c>
      <c r="AY539" s="780">
        <f>'Contractor Model'!AY72</f>
        <v>403371.48329652392</v>
      </c>
      <c r="AZ539" s="780">
        <f>'Contractor Model'!AZ72</f>
        <v>424263.29435980099</v>
      </c>
      <c r="BA539" s="780">
        <f>'Contractor Model'!BA72</f>
        <v>446125.89776019694</v>
      </c>
      <c r="BB539" s="780">
        <f>'Contractor Model'!BB72</f>
        <v>468997.90641248098</v>
      </c>
      <c r="BC539" s="780">
        <f>'Contractor Model'!BC72</f>
        <v>492919.43151605618</v>
      </c>
      <c r="BD539" s="780">
        <f>'Contractor Model'!BD72</f>
        <v>517932.15949957783</v>
      </c>
      <c r="BE539" s="780">
        <f>'Contractor Model'!BE72</f>
        <v>544079.43288376636</v>
      </c>
      <c r="BF539" s="780">
        <f>'Contractor Model'!BF72</f>
        <v>571406.3351293155</v>
      </c>
      <c r="BG539" s="780">
        <f>'Contractor Model'!BG72</f>
        <v>599959.77953534888</v>
      </c>
      <c r="BH539" s="780">
        <f>'Contractor Model'!BH72</f>
        <v>629788.60225328954</v>
      </c>
      <c r="BI539" s="781">
        <f>'Contractor Model'!BI72</f>
        <v>660943.65948135941</v>
      </c>
    </row>
    <row r="540" spans="1:61" s="57" customFormat="1" hidden="1" outlineLevel="1">
      <c r="A540" s="57" t="str">
        <f>'Contractor Model'!A73</f>
        <v>Net Income</v>
      </c>
      <c r="B540" s="57">
        <f>'Contractor Model'!B73</f>
        <v>-33184.964170807638</v>
      </c>
      <c r="C540" s="57">
        <f>'Contractor Model'!C73</f>
        <v>-14837.14568100147</v>
      </c>
      <c r="D540" s="57">
        <f>'Contractor Model'!D73</f>
        <v>-14268.717003781454</v>
      </c>
      <c r="E540" s="57">
        <f>'Contractor Model'!E73</f>
        <v>-13405.013342705901</v>
      </c>
      <c r="F540" s="57">
        <f>'Contractor Model'!F73</f>
        <v>-12685.072540306182</v>
      </c>
      <c r="G540" s="57">
        <f>'Contractor Model'!G73</f>
        <v>-17604.404805924125</v>
      </c>
      <c r="H540" s="57">
        <f>'Contractor Model'!H73</f>
        <v>-15156.124616524507</v>
      </c>
      <c r="I540" s="57">
        <f>'Contractor Model'!I73</f>
        <v>-13971.31609512752</v>
      </c>
      <c r="J540" s="57">
        <f>'Contractor Model'!J73</f>
        <v>-13027.555718246989</v>
      </c>
      <c r="K540" s="57">
        <f>'Contractor Model'!K73</f>
        <v>-12167.444211420123</v>
      </c>
      <c r="L540" s="57">
        <f>'Contractor Model'!L73</f>
        <v>-11228.257793696379</v>
      </c>
      <c r="M540" s="531">
        <f>'Contractor Model'!M73</f>
        <v>-10203.756141625032</v>
      </c>
      <c r="N540" s="532">
        <f>'Contractor Model'!N73</f>
        <v>-8928.9645055486872</v>
      </c>
      <c r="O540" s="57">
        <f>'Contractor Model'!O73</f>
        <v>-6565.2951604608934</v>
      </c>
      <c r="P540" s="57">
        <f>'Contractor Model'!P73</f>
        <v>-7951.6323699894165</v>
      </c>
      <c r="Q540" s="57">
        <f>'Contractor Model'!Q73</f>
        <v>-6483.5792380389103</v>
      </c>
      <c r="R540" s="57">
        <f>'Contractor Model'!R73</f>
        <v>-5307.1722049655655</v>
      </c>
      <c r="S540" s="57">
        <f>'Contractor Model'!S73</f>
        <v>-3966.3475887754175</v>
      </c>
      <c r="T540" s="57">
        <f>'Contractor Model'!T73</f>
        <v>-2466.8649492429358</v>
      </c>
      <c r="U540" s="57">
        <f>'Contractor Model'!U73</f>
        <v>-826.64406907309967</v>
      </c>
      <c r="V540" s="57">
        <f>'Contractor Model'!V73</f>
        <v>-10770.241509529737</v>
      </c>
      <c r="W540" s="57">
        <f>'Contractor Model'!W73</f>
        <v>-19174.962642260827</v>
      </c>
      <c r="X540" s="57">
        <f>'Contractor Model'!X73</f>
        <v>-16925.443971653156</v>
      </c>
      <c r="Y540" s="531">
        <f>'Contractor Model'!Y73</f>
        <v>-25696.207513260568</v>
      </c>
      <c r="Z540" s="532">
        <f>'Contractor Model'!Z73</f>
        <v>-30466.524333613874</v>
      </c>
      <c r="AA540" s="57">
        <f>'Contractor Model'!AA73</f>
        <v>-30644.209260269774</v>
      </c>
      <c r="AB540" s="57">
        <f>'Contractor Model'!AB73</f>
        <v>-25743.81021126837</v>
      </c>
      <c r="AC540" s="57">
        <f>'Contractor Model'!AC73</f>
        <v>-25374.965354328699</v>
      </c>
      <c r="AD540" s="57">
        <f>'Contractor Model'!AD73</f>
        <v>-21685.632709168298</v>
      </c>
      <c r="AE540" s="57">
        <f>'Contractor Model'!AE73</f>
        <v>-17735.699053003482</v>
      </c>
      <c r="AF540" s="57">
        <f>'Contractor Model'!AF73</f>
        <v>-25824.517795504849</v>
      </c>
      <c r="AG540" s="57">
        <f>'Contractor Model'!AG73</f>
        <v>-13812.381476188923</v>
      </c>
      <c r="AH540" s="57">
        <f>'Contractor Model'!AH73</f>
        <v>-15733.807969274916</v>
      </c>
      <c r="AI540" s="57">
        <f>'Contractor Model'!AI73</f>
        <v>-12981.108202038886</v>
      </c>
      <c r="AJ540" s="57">
        <f>'Contractor Model'!AJ73</f>
        <v>-27659.485752690453</v>
      </c>
      <c r="AK540" s="531">
        <f>'Contractor Model'!AK73</f>
        <v>-14368.892474155029</v>
      </c>
      <c r="AL540" s="532">
        <f>'Contractor Model'!AL73</f>
        <v>-16222.784178653252</v>
      </c>
      <c r="AM540" s="57">
        <f>'Contractor Model'!AM73</f>
        <v>-10757.412118790759</v>
      </c>
      <c r="AN540" s="57">
        <f>'Contractor Model'!AN73</f>
        <v>-7276.3573668028694</v>
      </c>
      <c r="AO540" s="57">
        <f>'Contractor Model'!AO73</f>
        <v>-728.33143403028953</v>
      </c>
      <c r="AP540" s="57">
        <f>'Contractor Model'!AP73</f>
        <v>-6343.9301669844717</v>
      </c>
      <c r="AQ540" s="57">
        <f>'Contractor Model'!AQ73</f>
        <v>2806.545093130655</v>
      </c>
      <c r="AR540" s="57">
        <f>'Contractor Model'!AR73</f>
        <v>10443.101931745798</v>
      </c>
      <c r="AS540" s="57">
        <f>'Contractor Model'!AS73</f>
        <v>4256.0741498096177</v>
      </c>
      <c r="AT540" s="57">
        <f>'Contractor Model'!AT73</f>
        <v>-243.85907681621029</v>
      </c>
      <c r="AU540" s="57">
        <f>'Contractor Model'!AU73</f>
        <v>8404.3480662194488</v>
      </c>
      <c r="AV540" s="57">
        <f>'Contractor Model'!AV73</f>
        <v>10505.464546137853</v>
      </c>
      <c r="AW540" s="531">
        <f>'Contractor Model'!AW73</f>
        <v>5996.34105228525</v>
      </c>
      <c r="AX540" s="532">
        <f>'Contractor Model'!AX73</f>
        <v>31887.180861373214</v>
      </c>
      <c r="AY540" s="57">
        <f>'Contractor Model'!AY73</f>
        <v>30001.697847926363</v>
      </c>
      <c r="AZ540" s="57">
        <f>'Contractor Model'!AZ73</f>
        <v>46776.772437808642</v>
      </c>
      <c r="BA540" s="57">
        <f>'Contractor Model'!BA73</f>
        <v>56453.023504686862</v>
      </c>
      <c r="BB540" s="57">
        <f>'Contractor Model'!BB73</f>
        <v>34612.048960618442</v>
      </c>
      <c r="BC540" s="57">
        <f>'Contractor Model'!BC73</f>
        <v>50152.012728689035</v>
      </c>
      <c r="BD540" s="57">
        <f>'Contractor Model'!BD73</f>
        <v>53675.159443150013</v>
      </c>
      <c r="BE540" s="57">
        <f>'Contractor Model'!BE73</f>
        <v>65097.243003978132</v>
      </c>
      <c r="BF540" s="57">
        <f>'Contractor Model'!BF73</f>
        <v>64026.27428619354</v>
      </c>
      <c r="BG540" s="57">
        <f>'Contractor Model'!BG73</f>
        <v>86851.848491002631</v>
      </c>
      <c r="BH540" s="57">
        <f>'Contractor Model'!BH73</f>
        <v>91885.359055585635</v>
      </c>
      <c r="BI540" s="531">
        <f>'Contractor Model'!BI73</f>
        <v>103791.23160800259</v>
      </c>
    </row>
    <row r="541" spans="1:61" s="57" customFormat="1" hidden="1" outlineLevel="1">
      <c r="A541" s="57" t="s">
        <v>288</v>
      </c>
      <c r="B541" s="257">
        <f>Expenses!I91</f>
        <v>1850</v>
      </c>
      <c r="C541" s="257">
        <f>Expenses!J91</f>
        <v>1937.1558751999999</v>
      </c>
      <c r="D541" s="257">
        <f>Expenses!K91</f>
        <v>2030.0190587848704</v>
      </c>
      <c r="E541" s="257">
        <f>Expenses!L91</f>
        <v>2128.941218449359</v>
      </c>
      <c r="F541" s="257">
        <f>Expenses!M91</f>
        <v>2234.2900324673633</v>
      </c>
      <c r="G541" s="257">
        <f>Expenses!N91</f>
        <v>2346.4496034726417</v>
      </c>
      <c r="H541" s="257">
        <f>Expenses!O91</f>
        <v>2465.8208731027789</v>
      </c>
      <c r="I541" s="257">
        <f>Expenses!P91</f>
        <v>2592.8220377557409</v>
      </c>
      <c r="J541" s="257">
        <f>Expenses!Q91</f>
        <v>2727.8889657926175</v>
      </c>
      <c r="K541" s="257">
        <f>Expenses!R91</f>
        <v>2871.4756166091629</v>
      </c>
      <c r="L541" s="257">
        <f>Expenses!S91</f>
        <v>3024.0544620924302</v>
      </c>
      <c r="M541" s="786">
        <f>Expenses!T91</f>
        <v>3186.1169110768442</v>
      </c>
      <c r="N541" s="787">
        <f>Expenses!U91</f>
        <v>3358.9807376414046</v>
      </c>
      <c r="O541" s="257">
        <f>Expenses!V91</f>
        <v>3543.2416591361321</v>
      </c>
      <c r="P541" s="257">
        <f>Expenses!W91</f>
        <v>3739.515514961849</v>
      </c>
      <c r="Q541" s="257">
        <f>Expenses!X91</f>
        <v>3948.4383904349252</v>
      </c>
      <c r="R541" s="257">
        <f>Expenses!Y91</f>
        <v>4170.6667372134807</v>
      </c>
      <c r="S541" s="257">
        <f>Expenses!Z91</f>
        <v>4406.877493173627</v>
      </c>
      <c r="T541" s="257">
        <f>Expenses!AA91</f>
        <v>4657.7682048703127</v>
      </c>
      <c r="U541" s="257">
        <f>Expenses!AB91</f>
        <v>4924.0571559566215</v>
      </c>
      <c r="V541" s="257">
        <f>Expenses!AC91</f>
        <v>5206.4835051661303</v>
      </c>
      <c r="W541" s="257">
        <f>Expenses!AD91</f>
        <v>5505.8074376836603</v>
      </c>
      <c r="X541" s="257">
        <f>Expenses!AE91</f>
        <v>5822.8103339388172</v>
      </c>
      <c r="Y541" s="786">
        <f>Expenses!AF91</f>
        <v>6158.2949600526208</v>
      </c>
      <c r="Z541" s="787">
        <f>Expenses!AG91</f>
        <v>6514.1392664878649</v>
      </c>
      <c r="AA541" s="257">
        <f>Expenses!AH91</f>
        <v>6891.2420929122554</v>
      </c>
      <c r="AB541" s="257">
        <f>Expenses!AI91</f>
        <v>7290.5201481641989</v>
      </c>
      <c r="AC541" s="257">
        <f>Expenses!AJ91</f>
        <v>7712.9078999165331</v>
      </c>
      <c r="AD541" s="257">
        <f>Expenses!AK91</f>
        <v>8159.357530652579</v>
      </c>
      <c r="AE541" s="257">
        <f>Expenses!AL91</f>
        <v>8630.8389688113039</v>
      </c>
      <c r="AF541" s="257">
        <f>Expenses!AM91</f>
        <v>9128.3400039027438</v>
      </c>
      <c r="AG541" s="257">
        <f>Expenses!AN91</f>
        <v>9652.8664942797932</v>
      </c>
      <c r="AH541" s="257">
        <f>Expenses!AO91</f>
        <v>10205.442676078563</v>
      </c>
      <c r="AI541" s="257">
        <f>Expenses!AP91</f>
        <v>10787.111581608189</v>
      </c>
      <c r="AJ541" s="257">
        <f>Expenses!AQ91</f>
        <v>11398.935575183927</v>
      </c>
      <c r="AK541" s="786">
        <f>Expenses!AR91</f>
        <v>12041.997014057681</v>
      </c>
      <c r="AL541" s="787">
        <f>Expenses!AS91</f>
        <v>11309.223860591001</v>
      </c>
      <c r="AM541" s="257">
        <f>Expenses!AT91</f>
        <v>11938.59815317693</v>
      </c>
      <c r="AN541" s="257">
        <f>Expenses!AU91</f>
        <v>12598.640561226617</v>
      </c>
      <c r="AO541" s="257">
        <f>Expenses!AV91</f>
        <v>13290.384784867672</v>
      </c>
      <c r="AP541" s="257">
        <f>Expenses!AW91</f>
        <v>14014.886742419074</v>
      </c>
      <c r="AQ541" s="257">
        <f>Expenses!AX91</f>
        <v>14773.225935151826</v>
      </c>
      <c r="AR541" s="257">
        <f>Expenses!AY91</f>
        <v>15566.50695843432</v>
      </c>
      <c r="AS541" s="257">
        <f>Expenses!AZ91</f>
        <v>16395.861162308756</v>
      </c>
      <c r="AT541" s="257">
        <f>Expenses!BA91</f>
        <v>17262.448464000674</v>
      </c>
      <c r="AU541" s="257">
        <f>Expenses!BB91</f>
        <v>18167.459314320589</v>
      </c>
      <c r="AV541" s="257">
        <f>Expenses!BC91</f>
        <v>19112.116819380197</v>
      </c>
      <c r="AW541" s="786">
        <f>Expenses!BD91</f>
        <v>20097.679018522183</v>
      </c>
      <c r="AX541" s="787">
        <f>Expenses!BE91</f>
        <v>12752.947938519361</v>
      </c>
      <c r="AY541" s="257">
        <f>Expenses!BF91</f>
        <v>13398.522569380648</v>
      </c>
      <c r="AZ541" s="257">
        <f>Expenses!BG91</f>
        <v>14071.093642551565</v>
      </c>
      <c r="BA541" s="257">
        <f>Expenses!BH91</f>
        <v>14771.513160710467</v>
      </c>
      <c r="BB541" s="257">
        <f>Expenses!BI91</f>
        <v>15500.662176870897</v>
      </c>
      <c r="BC541" s="257">
        <f>Expenses!BJ91</f>
        <v>16259.452716260315</v>
      </c>
      <c r="BD541" s="257">
        <f>Expenses!BK91</f>
        <v>17048.829787735329</v>
      </c>
      <c r="BE541" s="257">
        <f>Expenses!BL91</f>
        <v>17869.77348337894</v>
      </c>
      <c r="BF541" s="257">
        <f>Expenses!BM91</f>
        <v>18723.301164825763</v>
      </c>
      <c r="BG541" s="257">
        <f>Expenses!BN91</f>
        <v>19610.469734797673</v>
      </c>
      <c r="BH541" s="257">
        <f>Expenses!BO91</f>
        <v>20532.377992305759</v>
      </c>
      <c r="BI541" s="786">
        <f>Expenses!BP91</f>
        <v>21490.16906998655</v>
      </c>
    </row>
    <row r="542" spans="1:61" s="57" customFormat="1" hidden="1" outlineLevel="1">
      <c r="M542" s="531"/>
      <c r="N542" s="532"/>
      <c r="Y542" s="531"/>
      <c r="Z542" s="532"/>
      <c r="AK542" s="531"/>
      <c r="AL542" s="532"/>
      <c r="AW542" s="531"/>
      <c r="AX542" s="532"/>
      <c r="BI542" s="531"/>
    </row>
    <row r="543" spans="1:61" s="57" customFormat="1" hidden="1" outlineLevel="1">
      <c r="M543" s="531"/>
      <c r="N543" s="532"/>
      <c r="Y543" s="531"/>
      <c r="Z543" s="532"/>
      <c r="AK543" s="531"/>
      <c r="AL543" s="532"/>
      <c r="AW543" s="531"/>
      <c r="AX543" s="532"/>
      <c r="BI543" s="531"/>
    </row>
    <row r="544" spans="1:61" s="57" customFormat="1" hidden="1" outlineLevel="1">
      <c r="M544" s="531"/>
      <c r="N544" s="532"/>
      <c r="Y544" s="531"/>
      <c r="Z544" s="532"/>
      <c r="AK544" s="531"/>
      <c r="AL544" s="532"/>
      <c r="AW544" s="531"/>
      <c r="AX544" s="532"/>
      <c r="BI544" s="531"/>
    </row>
    <row r="545" spans="13:61" s="57" customFormat="1" collapsed="1">
      <c r="M545" s="531"/>
      <c r="N545" s="532"/>
      <c r="Y545" s="531"/>
      <c r="Z545" s="532"/>
      <c r="AK545" s="531"/>
      <c r="AL545" s="532"/>
      <c r="AW545" s="531"/>
      <c r="AX545" s="532"/>
      <c r="BI545" s="531"/>
    </row>
    <row r="546" spans="13:61" s="57" customFormat="1">
      <c r="M546" s="531"/>
      <c r="N546" s="532"/>
      <c r="Y546" s="531"/>
      <c r="Z546" s="532"/>
      <c r="AK546" s="531"/>
      <c r="AL546" s="532"/>
      <c r="AW546" s="531"/>
      <c r="AX546" s="532"/>
      <c r="BI546" s="531"/>
    </row>
    <row r="547" spans="13:61" s="57" customFormat="1">
      <c r="M547" s="531"/>
      <c r="N547" s="532"/>
      <c r="Y547" s="531"/>
      <c r="Z547" s="532"/>
      <c r="AK547" s="531"/>
      <c r="AL547" s="532"/>
      <c r="AW547" s="531"/>
      <c r="AX547" s="532"/>
      <c r="BI547" s="531"/>
    </row>
    <row r="548" spans="13:61" s="57" customFormat="1">
      <c r="M548" s="531"/>
      <c r="N548" s="532"/>
      <c r="Y548" s="531"/>
      <c r="Z548" s="532"/>
      <c r="AK548" s="531"/>
      <c r="AL548" s="532"/>
      <c r="AW548" s="531"/>
      <c r="AX548" s="532"/>
      <c r="BI548" s="531"/>
    </row>
    <row r="549" spans="13:61" s="57" customFormat="1">
      <c r="M549" s="531"/>
      <c r="N549" s="532"/>
      <c r="Y549" s="531"/>
      <c r="Z549" s="532"/>
      <c r="AK549" s="531"/>
      <c r="AL549" s="532"/>
      <c r="AW549" s="531"/>
      <c r="AX549" s="532"/>
      <c r="BI549" s="531"/>
    </row>
    <row r="550" spans="13:61" s="57" customFormat="1">
      <c r="M550" s="531"/>
      <c r="N550" s="532"/>
      <c r="Y550" s="531"/>
      <c r="Z550" s="532"/>
      <c r="AK550" s="531"/>
      <c r="AL550" s="532"/>
      <c r="AW550" s="531"/>
      <c r="AX550" s="532"/>
      <c r="BI550" s="531"/>
    </row>
    <row r="551" spans="13:61" s="57" customFormat="1">
      <c r="M551" s="531"/>
      <c r="N551" s="532"/>
      <c r="Y551" s="531"/>
      <c r="Z551" s="532"/>
      <c r="AK551" s="531"/>
      <c r="AL551" s="532"/>
      <c r="AW551" s="531"/>
      <c r="AX551" s="532"/>
      <c r="BI551" s="531"/>
    </row>
    <row r="552" spans="13:61" s="57" customFormat="1">
      <c r="M552" s="531"/>
      <c r="N552" s="532"/>
      <c r="Y552" s="531"/>
      <c r="Z552" s="532"/>
      <c r="AK552" s="531"/>
      <c r="AL552" s="532"/>
      <c r="AW552" s="531"/>
      <c r="AX552" s="532"/>
      <c r="BI552" s="531"/>
    </row>
    <row r="553" spans="13:61" s="57" customFormat="1">
      <c r="M553" s="531"/>
      <c r="N553" s="532"/>
      <c r="Y553" s="531"/>
      <c r="Z553" s="532"/>
      <c r="AK553" s="531"/>
      <c r="AL553" s="532"/>
      <c r="AW553" s="531"/>
      <c r="AX553" s="532"/>
      <c r="BI553" s="531"/>
    </row>
    <row r="554" spans="13:61" s="57" customFormat="1">
      <c r="M554" s="531"/>
      <c r="N554" s="532"/>
      <c r="Y554" s="531"/>
      <c r="Z554" s="532"/>
      <c r="AK554" s="531"/>
      <c r="AL554" s="532"/>
      <c r="AW554" s="531"/>
      <c r="AX554" s="532"/>
      <c r="BI554" s="531"/>
    </row>
    <row r="555" spans="13:61" s="57" customFormat="1">
      <c r="M555" s="531"/>
      <c r="N555" s="532"/>
      <c r="Y555" s="531"/>
      <c r="Z555" s="532"/>
      <c r="AK555" s="531"/>
      <c r="AL555" s="532"/>
      <c r="AW555" s="531"/>
      <c r="AX555" s="532"/>
      <c r="BI555" s="531"/>
    </row>
    <row r="556" spans="13:61" s="57" customFormat="1">
      <c r="M556" s="531"/>
      <c r="N556" s="532"/>
      <c r="Y556" s="531"/>
      <c r="Z556" s="532"/>
      <c r="AK556" s="531"/>
      <c r="AL556" s="532"/>
      <c r="AW556" s="531"/>
      <c r="AX556" s="532"/>
      <c r="BI556" s="531"/>
    </row>
    <row r="557" spans="13:61" s="57" customFormat="1">
      <c r="M557" s="531"/>
      <c r="N557" s="532"/>
      <c r="Y557" s="531"/>
      <c r="Z557" s="532"/>
      <c r="AK557" s="531"/>
      <c r="AL557" s="532"/>
      <c r="AW557" s="531"/>
      <c r="AX557" s="532"/>
      <c r="BI557" s="531"/>
    </row>
    <row r="558" spans="13:61" s="57" customFormat="1">
      <c r="M558" s="531"/>
      <c r="N558" s="532"/>
      <c r="Y558" s="531"/>
      <c r="Z558" s="532"/>
      <c r="AK558" s="531"/>
      <c r="AL558" s="532"/>
      <c r="AW558" s="531"/>
      <c r="AX558" s="532"/>
      <c r="BI558" s="531"/>
    </row>
    <row r="559" spans="13:61" s="57" customFormat="1">
      <c r="M559" s="531"/>
      <c r="N559" s="532"/>
      <c r="Y559" s="531"/>
      <c r="Z559" s="532"/>
      <c r="AK559" s="531"/>
      <c r="AL559" s="532"/>
      <c r="AW559" s="531"/>
      <c r="AX559" s="532"/>
      <c r="BI559" s="531"/>
    </row>
    <row r="560" spans="13:61" s="57" customFormat="1">
      <c r="M560" s="531"/>
      <c r="N560" s="532"/>
      <c r="Y560" s="531"/>
      <c r="Z560" s="532"/>
      <c r="AK560" s="531"/>
      <c r="AL560" s="532"/>
      <c r="AW560" s="531"/>
      <c r="AX560" s="532"/>
      <c r="BI560" s="531"/>
    </row>
    <row r="561" spans="13:61" s="57" customFormat="1">
      <c r="M561" s="531"/>
      <c r="N561" s="532"/>
      <c r="Y561" s="531"/>
      <c r="Z561" s="532"/>
      <c r="AK561" s="531"/>
      <c r="AL561" s="532"/>
      <c r="AW561" s="531"/>
      <c r="AX561" s="532"/>
      <c r="BI561" s="531"/>
    </row>
    <row r="562" spans="13:61" s="57" customFormat="1">
      <c r="M562" s="531"/>
      <c r="N562" s="532"/>
      <c r="Y562" s="531"/>
      <c r="Z562" s="532"/>
      <c r="AK562" s="531"/>
      <c r="AL562" s="532"/>
      <c r="AW562" s="531"/>
      <c r="AX562" s="532"/>
      <c r="BI562" s="531"/>
    </row>
    <row r="563" spans="13:61" s="57" customFormat="1">
      <c r="M563" s="531"/>
      <c r="N563" s="532"/>
      <c r="Y563" s="531"/>
      <c r="Z563" s="532"/>
      <c r="AK563" s="531"/>
      <c r="AL563" s="532"/>
      <c r="AW563" s="531"/>
      <c r="AX563" s="532"/>
      <c r="BI563" s="531"/>
    </row>
    <row r="564" spans="13:61" s="57" customFormat="1">
      <c r="M564" s="531"/>
      <c r="N564" s="532"/>
      <c r="Y564" s="531"/>
      <c r="Z564" s="532"/>
      <c r="AK564" s="531"/>
      <c r="AL564" s="532"/>
      <c r="AW564" s="531"/>
      <c r="AX564" s="532"/>
      <c r="BI564" s="531"/>
    </row>
    <row r="565" spans="13:61" s="57" customFormat="1">
      <c r="M565" s="531"/>
      <c r="N565" s="532"/>
      <c r="Y565" s="531"/>
      <c r="Z565" s="532"/>
      <c r="AK565" s="531"/>
      <c r="AL565" s="532"/>
      <c r="AW565" s="531"/>
      <c r="AX565" s="532"/>
      <c r="BI565" s="531"/>
    </row>
    <row r="566" spans="13:61" s="57" customFormat="1">
      <c r="M566" s="531"/>
      <c r="N566" s="532"/>
      <c r="Y566" s="531"/>
      <c r="Z566" s="532"/>
      <c r="AK566" s="531"/>
      <c r="AL566" s="532"/>
      <c r="AW566" s="531"/>
      <c r="AX566" s="532"/>
      <c r="BI566" s="531"/>
    </row>
    <row r="567" spans="13:61" s="57" customFormat="1">
      <c r="M567" s="531"/>
      <c r="N567" s="532"/>
      <c r="Y567" s="531"/>
      <c r="Z567" s="532"/>
      <c r="AK567" s="531"/>
      <c r="AL567" s="532"/>
      <c r="AW567" s="531"/>
      <c r="AX567" s="532"/>
      <c r="BI567" s="531"/>
    </row>
    <row r="568" spans="13:61" s="57" customFormat="1">
      <c r="M568" s="531"/>
      <c r="N568" s="532"/>
      <c r="Y568" s="531"/>
      <c r="Z568" s="532"/>
      <c r="AK568" s="531"/>
      <c r="AL568" s="532"/>
      <c r="AW568" s="531"/>
      <c r="AX568" s="532"/>
      <c r="BI568" s="531"/>
    </row>
    <row r="569" spans="13:61" s="57" customFormat="1">
      <c r="M569" s="531"/>
      <c r="N569" s="532"/>
      <c r="Y569" s="531"/>
      <c r="Z569" s="532"/>
      <c r="AK569" s="531"/>
      <c r="AL569" s="532"/>
      <c r="AW569" s="531"/>
      <c r="AX569" s="532"/>
      <c r="BI569" s="531"/>
    </row>
    <row r="570" spans="13:61" s="57" customFormat="1">
      <c r="M570" s="531"/>
      <c r="N570" s="532"/>
      <c r="Y570" s="531"/>
      <c r="Z570" s="532"/>
      <c r="AK570" s="531"/>
      <c r="AL570" s="532"/>
      <c r="AW570" s="531"/>
      <c r="AX570" s="532"/>
      <c r="BI570" s="531"/>
    </row>
    <row r="571" spans="13:61" s="57" customFormat="1">
      <c r="M571" s="531"/>
      <c r="N571" s="532"/>
      <c r="Y571" s="531"/>
      <c r="Z571" s="532"/>
      <c r="AK571" s="531"/>
      <c r="AL571" s="532"/>
      <c r="AW571" s="531"/>
      <c r="AX571" s="532"/>
      <c r="BI571" s="531"/>
    </row>
    <row r="572" spans="13:61" s="57" customFormat="1">
      <c r="M572" s="531"/>
      <c r="N572" s="532"/>
      <c r="Y572" s="531"/>
      <c r="Z572" s="532"/>
      <c r="AK572" s="531"/>
      <c r="AL572" s="532"/>
      <c r="AW572" s="531"/>
      <c r="AX572" s="532"/>
      <c r="BI572" s="531"/>
    </row>
    <row r="573" spans="13:61" s="57" customFormat="1">
      <c r="M573" s="531"/>
      <c r="N573" s="532"/>
      <c r="Y573" s="531"/>
      <c r="Z573" s="532"/>
      <c r="AK573" s="531"/>
      <c r="AL573" s="532"/>
      <c r="AW573" s="531"/>
      <c r="AX573" s="532"/>
      <c r="BI573" s="531"/>
    </row>
    <row r="574" spans="13:61" s="57" customFormat="1">
      <c r="M574" s="531"/>
      <c r="N574" s="532"/>
      <c r="Y574" s="531"/>
      <c r="Z574" s="532"/>
      <c r="AK574" s="531"/>
      <c r="AL574" s="532"/>
      <c r="AW574" s="531"/>
      <c r="AX574" s="532"/>
      <c r="BI574" s="531"/>
    </row>
    <row r="575" spans="13:61" s="57" customFormat="1">
      <c r="M575" s="531"/>
      <c r="N575" s="532"/>
      <c r="Y575" s="531"/>
      <c r="Z575" s="532"/>
      <c r="AK575" s="531"/>
      <c r="AL575" s="532"/>
      <c r="AW575" s="531"/>
      <c r="AX575" s="532"/>
      <c r="BI575" s="531"/>
    </row>
    <row r="576" spans="13:61" s="57" customFormat="1">
      <c r="M576" s="531"/>
      <c r="N576" s="532"/>
      <c r="Y576" s="531"/>
      <c r="Z576" s="532"/>
      <c r="AK576" s="531"/>
      <c r="AL576" s="532"/>
      <c r="AW576" s="531"/>
      <c r="AX576" s="532"/>
      <c r="BI576" s="531"/>
    </row>
    <row r="577" spans="13:61" s="57" customFormat="1">
      <c r="M577" s="531"/>
      <c r="N577" s="532"/>
      <c r="Y577" s="531"/>
      <c r="Z577" s="532"/>
      <c r="AK577" s="531"/>
      <c r="AL577" s="532"/>
      <c r="AW577" s="531"/>
      <c r="AX577" s="532"/>
      <c r="BI577" s="531"/>
    </row>
    <row r="578" spans="13:61" s="57" customFormat="1">
      <c r="M578" s="531"/>
      <c r="N578" s="532"/>
      <c r="Y578" s="531"/>
      <c r="Z578" s="532"/>
      <c r="AK578" s="531"/>
      <c r="AL578" s="532"/>
      <c r="AW578" s="531"/>
      <c r="AX578" s="532"/>
      <c r="BI578" s="531"/>
    </row>
    <row r="579" spans="13:61" s="57" customFormat="1">
      <c r="M579" s="531"/>
      <c r="N579" s="532"/>
      <c r="Y579" s="531"/>
      <c r="Z579" s="532"/>
      <c r="AK579" s="531"/>
      <c r="AL579" s="532"/>
      <c r="AW579" s="531"/>
      <c r="AX579" s="532"/>
      <c r="BI579" s="531"/>
    </row>
    <row r="580" spans="13:61" s="57" customFormat="1">
      <c r="M580" s="531"/>
      <c r="N580" s="532"/>
      <c r="Y580" s="531"/>
      <c r="Z580" s="532"/>
      <c r="AK580" s="531"/>
      <c r="AL580" s="532"/>
      <c r="AW580" s="531"/>
      <c r="AX580" s="532"/>
      <c r="BI580" s="531"/>
    </row>
    <row r="581" spans="13:61" s="57" customFormat="1">
      <c r="M581" s="531"/>
      <c r="N581" s="532"/>
      <c r="Y581" s="531"/>
      <c r="Z581" s="532"/>
      <c r="AK581" s="531"/>
      <c r="AL581" s="532"/>
      <c r="AW581" s="531"/>
      <c r="AX581" s="532"/>
      <c r="BI581" s="531"/>
    </row>
    <row r="582" spans="13:61" s="57" customFormat="1">
      <c r="M582" s="531"/>
      <c r="N582" s="532"/>
      <c r="Y582" s="531"/>
      <c r="Z582" s="532"/>
      <c r="AK582" s="531"/>
      <c r="AL582" s="532"/>
      <c r="AW582" s="531"/>
      <c r="AX582" s="532"/>
      <c r="BI582" s="531"/>
    </row>
    <row r="583" spans="13:61" s="57" customFormat="1">
      <c r="M583" s="531"/>
      <c r="N583" s="532"/>
      <c r="Y583" s="531"/>
      <c r="Z583" s="532"/>
      <c r="AK583" s="531"/>
      <c r="AL583" s="532"/>
      <c r="AW583" s="531"/>
      <c r="AX583" s="532"/>
      <c r="BI583" s="531"/>
    </row>
    <row r="584" spans="13:61" s="57" customFormat="1">
      <c r="M584" s="531"/>
      <c r="N584" s="532"/>
      <c r="Y584" s="531"/>
      <c r="Z584" s="532"/>
      <c r="AK584" s="531"/>
      <c r="AL584" s="532"/>
      <c r="AW584" s="531"/>
      <c r="AX584" s="532"/>
      <c r="BI584" s="531"/>
    </row>
    <row r="585" spans="13:61" s="57" customFormat="1">
      <c r="M585" s="531"/>
      <c r="N585" s="532"/>
      <c r="Y585" s="531"/>
      <c r="Z585" s="532"/>
      <c r="AK585" s="531"/>
      <c r="AL585" s="532"/>
      <c r="AW585" s="531"/>
      <c r="AX585" s="532"/>
      <c r="BI585" s="531"/>
    </row>
    <row r="586" spans="13:61" s="57" customFormat="1">
      <c r="M586" s="531"/>
      <c r="N586" s="532"/>
      <c r="Y586" s="531"/>
      <c r="Z586" s="532"/>
      <c r="AK586" s="531"/>
      <c r="AL586" s="532"/>
      <c r="AW586" s="531"/>
      <c r="AX586" s="532"/>
      <c r="BI586" s="531"/>
    </row>
    <row r="587" spans="13:61" s="57" customFormat="1">
      <c r="M587" s="531"/>
      <c r="N587" s="532"/>
      <c r="Y587" s="531"/>
      <c r="Z587" s="532"/>
      <c r="AK587" s="531"/>
      <c r="AL587" s="532"/>
      <c r="AW587" s="531"/>
      <c r="AX587" s="532"/>
      <c r="BI587" s="531"/>
    </row>
  </sheetData>
  <dataConsolidate/>
  <mergeCells count="10">
    <mergeCell ref="B1:M1"/>
    <mergeCell ref="N1:Y1"/>
    <mergeCell ref="Z1:AK1"/>
    <mergeCell ref="AL1:AW1"/>
    <mergeCell ref="AX1:BI1"/>
    <mergeCell ref="B532:M532"/>
    <mergeCell ref="N532:Y532"/>
    <mergeCell ref="Z532:AK532"/>
    <mergeCell ref="AL532:AW532"/>
    <mergeCell ref="AX532:BI532"/>
  </mergeCells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BP79"/>
  <sheetViews>
    <sheetView showGridLines="0" zoomScale="70" zoomScaleNormal="70" zoomScalePageLayoutView="70" workbookViewId="0">
      <pane xSplit="8" ySplit="1" topLeftCell="AT2" activePane="bottomRight" state="frozen"/>
      <selection activeCell="D421" sqref="D421"/>
      <selection pane="topRight" activeCell="D421" sqref="D421"/>
      <selection pane="bottomLeft" activeCell="D421" sqref="D421"/>
      <selection pane="bottomRight" activeCell="BH40" sqref="BH40"/>
    </sheetView>
  </sheetViews>
  <sheetFormatPr defaultColWidth="8.85546875" defaultRowHeight="12.75" outlineLevelRow="1"/>
  <cols>
    <col min="1" max="1" width="6" style="24" customWidth="1"/>
    <col min="2" max="2" width="5.85546875" style="44" customWidth="1"/>
    <col min="3" max="3" width="18.28515625" style="24" customWidth="1"/>
    <col min="4" max="4" width="7.85546875" style="179" customWidth="1"/>
    <col min="5" max="5" width="10.28515625" style="24" customWidth="1"/>
    <col min="6" max="6" width="9.42578125" style="24" hidden="1" customWidth="1"/>
    <col min="7" max="7" width="11" style="25" hidden="1" customWidth="1"/>
    <col min="8" max="8" width="9.42578125" style="25" hidden="1" customWidth="1"/>
    <col min="9" max="19" width="9.7109375" style="141" customWidth="1"/>
    <col min="20" max="20" width="9.7109375" style="142" customWidth="1"/>
    <col min="21" max="31" width="9.7109375" style="141" customWidth="1"/>
    <col min="32" max="32" width="9.7109375" style="142" customWidth="1"/>
    <col min="33" max="43" width="9.7109375" style="141" customWidth="1"/>
    <col min="44" max="44" width="9.7109375" style="142" customWidth="1"/>
    <col min="45" max="52" width="9.7109375" style="141" customWidth="1"/>
    <col min="53" max="53" width="10.42578125" style="141" customWidth="1"/>
    <col min="54" max="54" width="10.7109375" style="141" customWidth="1"/>
    <col min="55" max="55" width="9.7109375" style="141" customWidth="1"/>
    <col min="56" max="56" width="9.7109375" style="142" customWidth="1"/>
    <col min="57" max="67" width="9.7109375" style="141" customWidth="1"/>
    <col min="68" max="68" width="9.7109375" style="142" customWidth="1"/>
    <col min="69" max="16384" width="8.85546875" style="24"/>
  </cols>
  <sheetData>
    <row r="1" spans="1:68" ht="15" hidden="1" customHeight="1">
      <c r="A1" s="22" t="s">
        <v>55</v>
      </c>
      <c r="B1" s="22"/>
      <c r="C1" s="23"/>
      <c r="D1" s="180"/>
      <c r="E1" s="282"/>
      <c r="F1" s="283"/>
      <c r="G1" s="284" t="s">
        <v>47</v>
      </c>
      <c r="H1" s="284" t="s">
        <v>46</v>
      </c>
      <c r="I1" s="1292" t="s">
        <v>189</v>
      </c>
      <c r="J1" s="1292"/>
      <c r="K1" s="1292"/>
      <c r="L1" s="1292"/>
      <c r="M1" s="1292"/>
      <c r="N1" s="1292"/>
      <c r="O1" s="1292"/>
      <c r="P1" s="1292"/>
      <c r="Q1" s="1292"/>
      <c r="R1" s="1292"/>
      <c r="S1" s="1292"/>
      <c r="T1" s="1293"/>
      <c r="U1" s="1294" t="s">
        <v>190</v>
      </c>
      <c r="V1" s="1292"/>
      <c r="W1" s="1292"/>
      <c r="X1" s="1292"/>
      <c r="Y1" s="1292"/>
      <c r="Z1" s="1292"/>
      <c r="AA1" s="1292"/>
      <c r="AB1" s="1292"/>
      <c r="AC1" s="1292"/>
      <c r="AD1" s="1292"/>
      <c r="AE1" s="1292"/>
      <c r="AF1" s="1293"/>
      <c r="AG1" s="1294" t="s">
        <v>191</v>
      </c>
      <c r="AH1" s="1292"/>
      <c r="AI1" s="1292"/>
      <c r="AJ1" s="1292"/>
      <c r="AK1" s="1292"/>
      <c r="AL1" s="1292"/>
      <c r="AM1" s="1292"/>
      <c r="AN1" s="1292"/>
      <c r="AO1" s="1292"/>
      <c r="AP1" s="1292"/>
      <c r="AQ1" s="1292"/>
      <c r="AR1" s="1293"/>
      <c r="AS1" s="1294" t="s">
        <v>192</v>
      </c>
      <c r="AT1" s="1292"/>
      <c r="AU1" s="1292"/>
      <c r="AV1" s="1292"/>
      <c r="AW1" s="1292"/>
      <c r="AX1" s="1292"/>
      <c r="AY1" s="1292"/>
      <c r="AZ1" s="1292"/>
      <c r="BA1" s="1292"/>
      <c r="BB1" s="1292"/>
      <c r="BC1" s="1292"/>
      <c r="BD1" s="1293"/>
      <c r="BE1" s="1294" t="s">
        <v>193</v>
      </c>
      <c r="BF1" s="1292"/>
      <c r="BG1" s="1292"/>
      <c r="BH1" s="1292"/>
      <c r="BI1" s="1292"/>
      <c r="BJ1" s="1292"/>
      <c r="BK1" s="1292"/>
      <c r="BL1" s="1292"/>
      <c r="BM1" s="1292"/>
      <c r="BN1" s="1292"/>
      <c r="BO1" s="1292"/>
      <c r="BP1" s="1293"/>
    </row>
    <row r="2" spans="1:68" ht="12.75" hidden="1" customHeight="1">
      <c r="A2" s="22"/>
      <c r="B2" s="22" t="s">
        <v>19</v>
      </c>
      <c r="C2" s="23"/>
      <c r="D2" s="180"/>
      <c r="E2" s="282"/>
      <c r="F2" s="283"/>
      <c r="G2" s="284"/>
      <c r="H2" s="284"/>
      <c r="I2" s="1292"/>
      <c r="J2" s="1292"/>
      <c r="K2" s="1292"/>
      <c r="L2" s="1292"/>
      <c r="M2" s="1292"/>
      <c r="N2" s="1292"/>
      <c r="O2" s="1292"/>
      <c r="P2" s="1292"/>
      <c r="Q2" s="1292"/>
      <c r="R2" s="1292"/>
      <c r="S2" s="1292"/>
      <c r="T2" s="1293"/>
      <c r="U2" s="1294"/>
      <c r="V2" s="1292"/>
      <c r="W2" s="1292"/>
      <c r="X2" s="1292"/>
      <c r="Y2" s="1292"/>
      <c r="Z2" s="1292"/>
      <c r="AA2" s="1292"/>
      <c r="AB2" s="1292"/>
      <c r="AC2" s="1292"/>
      <c r="AD2" s="1292"/>
      <c r="AE2" s="1292"/>
      <c r="AF2" s="1293"/>
      <c r="AG2" s="1294"/>
      <c r="AH2" s="1292"/>
      <c r="AI2" s="1292"/>
      <c r="AJ2" s="1292"/>
      <c r="AK2" s="1292"/>
      <c r="AL2" s="1292"/>
      <c r="AM2" s="1292"/>
      <c r="AN2" s="1292"/>
      <c r="AO2" s="1292"/>
      <c r="AP2" s="1292"/>
      <c r="AQ2" s="1292"/>
      <c r="AR2" s="1293"/>
      <c r="AS2" s="1294"/>
      <c r="AT2" s="1292"/>
      <c r="AU2" s="1292"/>
      <c r="AV2" s="1292"/>
      <c r="AW2" s="1292"/>
      <c r="AX2" s="1292"/>
      <c r="AY2" s="1292"/>
      <c r="AZ2" s="1292"/>
      <c r="BA2" s="1292"/>
      <c r="BB2" s="1292"/>
      <c r="BC2" s="1292"/>
      <c r="BD2" s="1293"/>
      <c r="BE2" s="1294"/>
      <c r="BF2" s="1292"/>
      <c r="BG2" s="1292"/>
      <c r="BH2" s="1292"/>
      <c r="BI2" s="1292"/>
      <c r="BJ2" s="1292"/>
      <c r="BK2" s="1292"/>
      <c r="BL2" s="1292"/>
      <c r="BM2" s="1292"/>
      <c r="BN2" s="1292"/>
      <c r="BO2" s="1292"/>
      <c r="BP2" s="1293"/>
    </row>
    <row r="3" spans="1:68" ht="12.75" hidden="1" customHeight="1">
      <c r="A3" s="22"/>
      <c r="B3" s="22" t="s">
        <v>118</v>
      </c>
      <c r="C3" s="23"/>
      <c r="D3" s="180"/>
      <c r="E3" s="282"/>
      <c r="F3" s="283"/>
      <c r="G3" s="284"/>
      <c r="H3" s="284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2"/>
      <c r="T3" s="1293"/>
      <c r="U3" s="1294"/>
      <c r="V3" s="1292"/>
      <c r="W3" s="1292"/>
      <c r="X3" s="1292"/>
      <c r="Y3" s="1292"/>
      <c r="Z3" s="1292"/>
      <c r="AA3" s="1292"/>
      <c r="AB3" s="1292"/>
      <c r="AC3" s="1292"/>
      <c r="AD3" s="1292"/>
      <c r="AE3" s="1292"/>
      <c r="AF3" s="1293"/>
      <c r="AG3" s="1294"/>
      <c r="AH3" s="1292"/>
      <c r="AI3" s="1292"/>
      <c r="AJ3" s="1292"/>
      <c r="AK3" s="1292"/>
      <c r="AL3" s="1292"/>
      <c r="AM3" s="1292"/>
      <c r="AN3" s="1292"/>
      <c r="AO3" s="1292"/>
      <c r="AP3" s="1292"/>
      <c r="AQ3" s="1292"/>
      <c r="AR3" s="1293"/>
      <c r="AS3" s="1294"/>
      <c r="AT3" s="1292"/>
      <c r="AU3" s="1292"/>
      <c r="AV3" s="1292"/>
      <c r="AW3" s="1292"/>
      <c r="AX3" s="1292"/>
      <c r="AY3" s="1292"/>
      <c r="AZ3" s="1292"/>
      <c r="BA3" s="1292"/>
      <c r="BB3" s="1292"/>
      <c r="BC3" s="1292"/>
      <c r="BD3" s="1293"/>
      <c r="BE3" s="1294"/>
      <c r="BF3" s="1292"/>
      <c r="BG3" s="1292"/>
      <c r="BH3" s="1292"/>
      <c r="BI3" s="1292"/>
      <c r="BJ3" s="1292"/>
      <c r="BK3" s="1292"/>
      <c r="BL3" s="1292"/>
      <c r="BM3" s="1292"/>
      <c r="BN3" s="1292"/>
      <c r="BO3" s="1292"/>
      <c r="BP3" s="1293"/>
    </row>
    <row r="4" spans="1:68" ht="12.75" hidden="1" customHeight="1">
      <c r="A4" s="22"/>
      <c r="B4" s="22" t="s">
        <v>56</v>
      </c>
      <c r="C4" s="23"/>
      <c r="D4" s="180"/>
      <c r="E4" s="282"/>
      <c r="F4" s="283"/>
      <c r="G4" s="284"/>
      <c r="H4" s="284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292"/>
      <c r="T4" s="1293"/>
      <c r="U4" s="1294"/>
      <c r="V4" s="1292"/>
      <c r="W4" s="1292"/>
      <c r="X4" s="1292"/>
      <c r="Y4" s="1292"/>
      <c r="Z4" s="1292"/>
      <c r="AA4" s="1292"/>
      <c r="AB4" s="1292"/>
      <c r="AC4" s="1292"/>
      <c r="AD4" s="1292"/>
      <c r="AE4" s="1292"/>
      <c r="AF4" s="1293"/>
      <c r="AG4" s="1294"/>
      <c r="AH4" s="1292"/>
      <c r="AI4" s="1292"/>
      <c r="AJ4" s="1292"/>
      <c r="AK4" s="1292"/>
      <c r="AL4" s="1292"/>
      <c r="AM4" s="1292"/>
      <c r="AN4" s="1292"/>
      <c r="AO4" s="1292"/>
      <c r="AP4" s="1292"/>
      <c r="AQ4" s="1292"/>
      <c r="AR4" s="1293"/>
      <c r="AS4" s="1294"/>
      <c r="AT4" s="1292"/>
      <c r="AU4" s="1292"/>
      <c r="AV4" s="1292"/>
      <c r="AW4" s="1292"/>
      <c r="AX4" s="1292"/>
      <c r="AY4" s="1292"/>
      <c r="AZ4" s="1292"/>
      <c r="BA4" s="1292"/>
      <c r="BB4" s="1292"/>
      <c r="BC4" s="1292"/>
      <c r="BD4" s="1293"/>
      <c r="BE4" s="1294"/>
      <c r="BF4" s="1292"/>
      <c r="BG4" s="1292"/>
      <c r="BH4" s="1292"/>
      <c r="BI4" s="1292"/>
      <c r="BJ4" s="1292"/>
      <c r="BK4" s="1292"/>
      <c r="BL4" s="1292"/>
      <c r="BM4" s="1292"/>
      <c r="BN4" s="1292"/>
      <c r="BO4" s="1292"/>
      <c r="BP4" s="1293"/>
    </row>
    <row r="5" spans="1:68" ht="12.75" hidden="1" customHeight="1">
      <c r="A5" s="22"/>
      <c r="B5" s="22" t="s">
        <v>57</v>
      </c>
      <c r="C5" s="23"/>
      <c r="D5" s="180"/>
      <c r="E5" s="282"/>
      <c r="F5" s="283"/>
      <c r="G5" s="284"/>
      <c r="H5" s="284"/>
      <c r="I5" s="1292"/>
      <c r="J5" s="1292"/>
      <c r="K5" s="1292"/>
      <c r="L5" s="1292"/>
      <c r="M5" s="1292"/>
      <c r="N5" s="1292"/>
      <c r="O5" s="1292"/>
      <c r="P5" s="1292"/>
      <c r="Q5" s="1292"/>
      <c r="R5" s="1292"/>
      <c r="S5" s="1292"/>
      <c r="T5" s="1293"/>
      <c r="U5" s="1294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3"/>
      <c r="AG5" s="1294"/>
      <c r="AH5" s="1292"/>
      <c r="AI5" s="1292"/>
      <c r="AJ5" s="1292"/>
      <c r="AK5" s="1292"/>
      <c r="AL5" s="1292"/>
      <c r="AM5" s="1292"/>
      <c r="AN5" s="1292"/>
      <c r="AO5" s="1292"/>
      <c r="AP5" s="1292"/>
      <c r="AQ5" s="1292"/>
      <c r="AR5" s="1293"/>
      <c r="AS5" s="1294"/>
      <c r="AT5" s="1292"/>
      <c r="AU5" s="1292"/>
      <c r="AV5" s="1292"/>
      <c r="AW5" s="1292"/>
      <c r="AX5" s="1292"/>
      <c r="AY5" s="1292"/>
      <c r="AZ5" s="1292"/>
      <c r="BA5" s="1292"/>
      <c r="BB5" s="1292"/>
      <c r="BC5" s="1292"/>
      <c r="BD5" s="1293"/>
      <c r="BE5" s="1294"/>
      <c r="BF5" s="1292"/>
      <c r="BG5" s="1292"/>
      <c r="BH5" s="1292"/>
      <c r="BI5" s="1292"/>
      <c r="BJ5" s="1292"/>
      <c r="BK5" s="1292"/>
      <c r="BL5" s="1292"/>
      <c r="BM5" s="1292"/>
      <c r="BN5" s="1292"/>
      <c r="BO5" s="1292"/>
      <c r="BP5" s="1293"/>
    </row>
    <row r="6" spans="1:68" ht="12.75" hidden="1" customHeight="1">
      <c r="A6" s="22"/>
      <c r="B6" s="22" t="s">
        <v>58</v>
      </c>
      <c r="C6" s="23"/>
      <c r="D6" s="180"/>
      <c r="E6" s="282"/>
      <c r="F6" s="283"/>
      <c r="G6" s="284"/>
      <c r="H6" s="284"/>
      <c r="I6" s="1292"/>
      <c r="J6" s="1292"/>
      <c r="K6" s="1292"/>
      <c r="L6" s="1292"/>
      <c r="M6" s="1292"/>
      <c r="N6" s="1292"/>
      <c r="O6" s="1292"/>
      <c r="P6" s="1292"/>
      <c r="Q6" s="1292"/>
      <c r="R6" s="1292"/>
      <c r="S6" s="1292"/>
      <c r="T6" s="1293"/>
      <c r="U6" s="1294"/>
      <c r="V6" s="1292"/>
      <c r="W6" s="1292"/>
      <c r="X6" s="1292"/>
      <c r="Y6" s="1292"/>
      <c r="Z6" s="1292"/>
      <c r="AA6" s="1292"/>
      <c r="AB6" s="1292"/>
      <c r="AC6" s="1292"/>
      <c r="AD6" s="1292"/>
      <c r="AE6" s="1292"/>
      <c r="AF6" s="1293"/>
      <c r="AG6" s="1294"/>
      <c r="AH6" s="1292"/>
      <c r="AI6" s="1292"/>
      <c r="AJ6" s="1292"/>
      <c r="AK6" s="1292"/>
      <c r="AL6" s="1292"/>
      <c r="AM6" s="1292"/>
      <c r="AN6" s="1292"/>
      <c r="AO6" s="1292"/>
      <c r="AP6" s="1292"/>
      <c r="AQ6" s="1292"/>
      <c r="AR6" s="1293"/>
      <c r="AS6" s="1294"/>
      <c r="AT6" s="1292"/>
      <c r="AU6" s="1292"/>
      <c r="AV6" s="1292"/>
      <c r="AW6" s="1292"/>
      <c r="AX6" s="1292"/>
      <c r="AY6" s="1292"/>
      <c r="AZ6" s="1292"/>
      <c r="BA6" s="1292"/>
      <c r="BB6" s="1292"/>
      <c r="BC6" s="1292"/>
      <c r="BD6" s="1293"/>
      <c r="BE6" s="1294"/>
      <c r="BF6" s="1292"/>
      <c r="BG6" s="1292"/>
      <c r="BH6" s="1292"/>
      <c r="BI6" s="1292"/>
      <c r="BJ6" s="1292"/>
      <c r="BK6" s="1292"/>
      <c r="BL6" s="1292"/>
      <c r="BM6" s="1292"/>
      <c r="BN6" s="1292"/>
      <c r="BO6" s="1292"/>
      <c r="BP6" s="1293"/>
    </row>
    <row r="7" spans="1:68" ht="12.75" hidden="1" customHeight="1">
      <c r="A7" s="22"/>
      <c r="B7" s="22"/>
      <c r="C7" s="23"/>
      <c r="D7" s="180"/>
      <c r="E7" s="282"/>
      <c r="F7" s="283"/>
      <c r="G7" s="284"/>
      <c r="H7" s="284"/>
      <c r="I7" s="1292"/>
      <c r="J7" s="1292"/>
      <c r="K7" s="1292"/>
      <c r="L7" s="1292"/>
      <c r="M7" s="1292"/>
      <c r="N7" s="1292"/>
      <c r="O7" s="1292"/>
      <c r="P7" s="1292"/>
      <c r="Q7" s="1292"/>
      <c r="R7" s="1292"/>
      <c r="S7" s="1292"/>
      <c r="T7" s="1293"/>
      <c r="U7" s="1294"/>
      <c r="V7" s="1292"/>
      <c r="W7" s="1292"/>
      <c r="X7" s="1292"/>
      <c r="Y7" s="1292"/>
      <c r="Z7" s="1292"/>
      <c r="AA7" s="1292"/>
      <c r="AB7" s="1292"/>
      <c r="AC7" s="1292"/>
      <c r="AD7" s="1292"/>
      <c r="AE7" s="1292"/>
      <c r="AF7" s="1293"/>
      <c r="AG7" s="1294"/>
      <c r="AH7" s="1292"/>
      <c r="AI7" s="1292"/>
      <c r="AJ7" s="1292"/>
      <c r="AK7" s="1292"/>
      <c r="AL7" s="1292"/>
      <c r="AM7" s="1292"/>
      <c r="AN7" s="1292"/>
      <c r="AO7" s="1292"/>
      <c r="AP7" s="1292"/>
      <c r="AQ7" s="1292"/>
      <c r="AR7" s="1293"/>
      <c r="AS7" s="1294"/>
      <c r="AT7" s="1292"/>
      <c r="AU7" s="1292"/>
      <c r="AV7" s="1292"/>
      <c r="AW7" s="1292"/>
      <c r="AX7" s="1292"/>
      <c r="AY7" s="1292"/>
      <c r="AZ7" s="1292"/>
      <c r="BA7" s="1292"/>
      <c r="BB7" s="1292"/>
      <c r="BC7" s="1292"/>
      <c r="BD7" s="1293"/>
      <c r="BE7" s="1294"/>
      <c r="BF7" s="1292"/>
      <c r="BG7" s="1292"/>
      <c r="BH7" s="1292"/>
      <c r="BI7" s="1292"/>
      <c r="BJ7" s="1292"/>
      <c r="BK7" s="1292"/>
      <c r="BL7" s="1292"/>
      <c r="BM7" s="1292"/>
      <c r="BN7" s="1292"/>
      <c r="BO7" s="1292"/>
      <c r="BP7" s="1293"/>
    </row>
    <row r="8" spans="1:68" ht="12.75" hidden="1" customHeight="1">
      <c r="A8" s="22" t="s">
        <v>59</v>
      </c>
      <c r="B8" s="22"/>
      <c r="C8" s="23"/>
      <c r="D8" s="180"/>
      <c r="E8" s="282"/>
      <c r="F8" s="283"/>
      <c r="G8" s="284"/>
      <c r="H8" s="284"/>
      <c r="I8" s="1292"/>
      <c r="J8" s="1292"/>
      <c r="K8" s="1292"/>
      <c r="L8" s="1292"/>
      <c r="M8" s="1292"/>
      <c r="N8" s="1292"/>
      <c r="O8" s="1292"/>
      <c r="P8" s="1292"/>
      <c r="Q8" s="1292"/>
      <c r="R8" s="1292"/>
      <c r="S8" s="1292"/>
      <c r="T8" s="1293"/>
      <c r="U8" s="1294"/>
      <c r="V8" s="1292"/>
      <c r="W8" s="1292"/>
      <c r="X8" s="1292"/>
      <c r="Y8" s="1292"/>
      <c r="Z8" s="1292"/>
      <c r="AA8" s="1292"/>
      <c r="AB8" s="1292"/>
      <c r="AC8" s="1292"/>
      <c r="AD8" s="1292"/>
      <c r="AE8" s="1292"/>
      <c r="AF8" s="1293"/>
      <c r="AG8" s="1294"/>
      <c r="AH8" s="1292"/>
      <c r="AI8" s="1292"/>
      <c r="AJ8" s="1292"/>
      <c r="AK8" s="1292"/>
      <c r="AL8" s="1292"/>
      <c r="AM8" s="1292"/>
      <c r="AN8" s="1292"/>
      <c r="AO8" s="1292"/>
      <c r="AP8" s="1292"/>
      <c r="AQ8" s="1292"/>
      <c r="AR8" s="1293"/>
      <c r="AS8" s="1294"/>
      <c r="AT8" s="1292"/>
      <c r="AU8" s="1292"/>
      <c r="AV8" s="1292"/>
      <c r="AW8" s="1292"/>
      <c r="AX8" s="1292"/>
      <c r="AY8" s="1292"/>
      <c r="AZ8" s="1292"/>
      <c r="BA8" s="1292"/>
      <c r="BB8" s="1292"/>
      <c r="BC8" s="1292"/>
      <c r="BD8" s="1293"/>
      <c r="BE8" s="1294"/>
      <c r="BF8" s="1292"/>
      <c r="BG8" s="1292"/>
      <c r="BH8" s="1292"/>
      <c r="BI8" s="1292"/>
      <c r="BJ8" s="1292"/>
      <c r="BK8" s="1292"/>
      <c r="BL8" s="1292"/>
      <c r="BM8" s="1292"/>
      <c r="BN8" s="1292"/>
      <c r="BO8" s="1292"/>
      <c r="BP8" s="1293"/>
    </row>
    <row r="9" spans="1:68" ht="12.75" hidden="1" customHeight="1">
      <c r="A9" s="26" t="s">
        <v>60</v>
      </c>
      <c r="B9" s="26"/>
      <c r="C9" s="27"/>
      <c r="D9" s="175"/>
      <c r="E9" s="285"/>
      <c r="F9" s="283"/>
      <c r="G9" s="283" t="e">
        <f>HR!#REF!</f>
        <v>#REF!</v>
      </c>
      <c r="H9" s="284" t="e">
        <f>HR!#REF!</f>
        <v>#REF!</v>
      </c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1293"/>
      <c r="U9" s="1294"/>
      <c r="V9" s="1292"/>
      <c r="W9" s="1292"/>
      <c r="X9" s="1292"/>
      <c r="Y9" s="1292"/>
      <c r="Z9" s="1292"/>
      <c r="AA9" s="1292"/>
      <c r="AB9" s="1292"/>
      <c r="AC9" s="1292"/>
      <c r="AD9" s="1292"/>
      <c r="AE9" s="1292"/>
      <c r="AF9" s="1293"/>
      <c r="AG9" s="1294"/>
      <c r="AH9" s="1292"/>
      <c r="AI9" s="1292"/>
      <c r="AJ9" s="1292"/>
      <c r="AK9" s="1292"/>
      <c r="AL9" s="1292"/>
      <c r="AM9" s="1292"/>
      <c r="AN9" s="1292"/>
      <c r="AO9" s="1292"/>
      <c r="AP9" s="1292"/>
      <c r="AQ9" s="1292"/>
      <c r="AR9" s="1293"/>
      <c r="AS9" s="1294"/>
      <c r="AT9" s="1292"/>
      <c r="AU9" s="1292"/>
      <c r="AV9" s="1292"/>
      <c r="AW9" s="1292"/>
      <c r="AX9" s="1292"/>
      <c r="AY9" s="1292"/>
      <c r="AZ9" s="1292"/>
      <c r="BA9" s="1292"/>
      <c r="BB9" s="1292"/>
      <c r="BC9" s="1292"/>
      <c r="BD9" s="1293"/>
      <c r="BE9" s="1294"/>
      <c r="BF9" s="1292"/>
      <c r="BG9" s="1292"/>
      <c r="BH9" s="1292"/>
      <c r="BI9" s="1292"/>
      <c r="BJ9" s="1292"/>
      <c r="BK9" s="1292"/>
      <c r="BL9" s="1292"/>
      <c r="BM9" s="1292"/>
      <c r="BN9" s="1292"/>
      <c r="BO9" s="1292"/>
      <c r="BP9" s="1293"/>
    </row>
    <row r="10" spans="1:68" ht="12.75" hidden="1" customHeight="1">
      <c r="A10" s="28"/>
      <c r="B10" s="29"/>
      <c r="C10" s="30" t="s">
        <v>61</v>
      </c>
      <c r="D10" s="170" t="s">
        <v>59</v>
      </c>
      <c r="E10" s="286"/>
      <c r="F10" s="283"/>
      <c r="G10" s="284"/>
      <c r="H10" s="284"/>
      <c r="I10" s="1292"/>
      <c r="J10" s="1292"/>
      <c r="K10" s="1292"/>
      <c r="L10" s="1292"/>
      <c r="M10" s="1292"/>
      <c r="N10" s="1292"/>
      <c r="O10" s="1292"/>
      <c r="P10" s="1292"/>
      <c r="Q10" s="1292"/>
      <c r="R10" s="1292"/>
      <c r="S10" s="1292"/>
      <c r="T10" s="1293"/>
      <c r="U10" s="1294"/>
      <c r="V10" s="1292"/>
      <c r="W10" s="1292"/>
      <c r="X10" s="1292"/>
      <c r="Y10" s="1292"/>
      <c r="Z10" s="1292"/>
      <c r="AA10" s="1292"/>
      <c r="AB10" s="1292"/>
      <c r="AC10" s="1292"/>
      <c r="AD10" s="1292"/>
      <c r="AE10" s="1292"/>
      <c r="AF10" s="1293"/>
      <c r="AG10" s="1294"/>
      <c r="AH10" s="1292"/>
      <c r="AI10" s="1292"/>
      <c r="AJ10" s="1292"/>
      <c r="AK10" s="1292"/>
      <c r="AL10" s="1292"/>
      <c r="AM10" s="1292"/>
      <c r="AN10" s="1292"/>
      <c r="AO10" s="1292"/>
      <c r="AP10" s="1292"/>
      <c r="AQ10" s="1292"/>
      <c r="AR10" s="1293"/>
      <c r="AS10" s="1294"/>
      <c r="AT10" s="1292"/>
      <c r="AU10" s="1292"/>
      <c r="AV10" s="1292"/>
      <c r="AW10" s="1292"/>
      <c r="AX10" s="1292"/>
      <c r="AY10" s="1292"/>
      <c r="AZ10" s="1292"/>
      <c r="BA10" s="1292"/>
      <c r="BB10" s="1292"/>
      <c r="BC10" s="1292"/>
      <c r="BD10" s="1293"/>
      <c r="BE10" s="1294"/>
      <c r="BF10" s="1292"/>
      <c r="BG10" s="1292"/>
      <c r="BH10" s="1292"/>
      <c r="BI10" s="1292"/>
      <c r="BJ10" s="1292"/>
      <c r="BK10" s="1292"/>
      <c r="BL10" s="1292"/>
      <c r="BM10" s="1292"/>
      <c r="BN10" s="1292"/>
      <c r="BO10" s="1292"/>
      <c r="BP10" s="1293"/>
    </row>
    <row r="11" spans="1:68" ht="12.75" hidden="1" customHeight="1">
      <c r="A11" s="28"/>
      <c r="B11" s="29"/>
      <c r="C11" s="30" t="s">
        <v>62</v>
      </c>
      <c r="D11" s="171">
        <v>0.26</v>
      </c>
      <c r="E11" s="287" t="s">
        <v>63</v>
      </c>
      <c r="F11" s="283"/>
      <c r="G11" s="284"/>
      <c r="H11" s="284"/>
      <c r="I11" s="1292"/>
      <c r="J11" s="1292"/>
      <c r="K11" s="1292"/>
      <c r="L11" s="1292"/>
      <c r="M11" s="1292"/>
      <c r="N11" s="1292"/>
      <c r="O11" s="1292"/>
      <c r="P11" s="1292"/>
      <c r="Q11" s="1292"/>
      <c r="R11" s="1292"/>
      <c r="S11" s="1292"/>
      <c r="T11" s="1293"/>
      <c r="U11" s="1294"/>
      <c r="V11" s="1292"/>
      <c r="W11" s="1292"/>
      <c r="X11" s="1292"/>
      <c r="Y11" s="1292"/>
      <c r="Z11" s="1292"/>
      <c r="AA11" s="1292"/>
      <c r="AB11" s="1292"/>
      <c r="AC11" s="1292"/>
      <c r="AD11" s="1292"/>
      <c r="AE11" s="1292"/>
      <c r="AF11" s="1293"/>
      <c r="AG11" s="1294"/>
      <c r="AH11" s="1292"/>
      <c r="AI11" s="1292"/>
      <c r="AJ11" s="1292"/>
      <c r="AK11" s="1292"/>
      <c r="AL11" s="1292"/>
      <c r="AM11" s="1292"/>
      <c r="AN11" s="1292"/>
      <c r="AO11" s="1292"/>
      <c r="AP11" s="1292"/>
      <c r="AQ11" s="1292"/>
      <c r="AR11" s="1293"/>
      <c r="AS11" s="1294"/>
      <c r="AT11" s="1292"/>
      <c r="AU11" s="1292"/>
      <c r="AV11" s="1292"/>
      <c r="AW11" s="1292"/>
      <c r="AX11" s="1292"/>
      <c r="AY11" s="1292"/>
      <c r="AZ11" s="1292"/>
      <c r="BA11" s="1292"/>
      <c r="BB11" s="1292"/>
      <c r="BC11" s="1292"/>
      <c r="BD11" s="1293"/>
      <c r="BE11" s="1294"/>
      <c r="BF11" s="1292"/>
      <c r="BG11" s="1292"/>
      <c r="BH11" s="1292"/>
      <c r="BI11" s="1292"/>
      <c r="BJ11" s="1292"/>
      <c r="BK11" s="1292"/>
      <c r="BL11" s="1292"/>
      <c r="BM11" s="1292"/>
      <c r="BN11" s="1292"/>
      <c r="BO11" s="1292"/>
      <c r="BP11" s="1293"/>
    </row>
    <row r="12" spans="1:68" ht="12.75" hidden="1" customHeight="1">
      <c r="A12" s="31"/>
      <c r="B12" s="29"/>
      <c r="C12" s="30" t="s">
        <v>64</v>
      </c>
      <c r="D12" s="171">
        <v>0.12</v>
      </c>
      <c r="E12" s="287" t="s">
        <v>65</v>
      </c>
      <c r="F12" s="283"/>
      <c r="G12" s="284"/>
      <c r="H12" s="284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3"/>
      <c r="U12" s="1294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3"/>
      <c r="AG12" s="1294"/>
      <c r="AH12" s="1292"/>
      <c r="AI12" s="1292"/>
      <c r="AJ12" s="1292"/>
      <c r="AK12" s="1292"/>
      <c r="AL12" s="1292"/>
      <c r="AM12" s="1292"/>
      <c r="AN12" s="1292"/>
      <c r="AO12" s="1292"/>
      <c r="AP12" s="1292"/>
      <c r="AQ12" s="1292"/>
      <c r="AR12" s="1293"/>
      <c r="AS12" s="1294"/>
      <c r="AT12" s="1292"/>
      <c r="AU12" s="1292"/>
      <c r="AV12" s="1292"/>
      <c r="AW12" s="1292"/>
      <c r="AX12" s="1292"/>
      <c r="AY12" s="1292"/>
      <c r="AZ12" s="1292"/>
      <c r="BA12" s="1292"/>
      <c r="BB12" s="1292"/>
      <c r="BC12" s="1292"/>
      <c r="BD12" s="1293"/>
      <c r="BE12" s="1294"/>
      <c r="BF12" s="1292"/>
      <c r="BG12" s="1292"/>
      <c r="BH12" s="1292"/>
      <c r="BI12" s="1292"/>
      <c r="BJ12" s="1292"/>
      <c r="BK12" s="1292"/>
      <c r="BL12" s="1292"/>
      <c r="BM12" s="1292"/>
      <c r="BN12" s="1292"/>
      <c r="BO12" s="1292"/>
      <c r="BP12" s="1293"/>
    </row>
    <row r="13" spans="1:68" ht="12.75" hidden="1" customHeight="1">
      <c r="A13" s="31"/>
      <c r="B13" s="29"/>
      <c r="C13" s="30" t="s">
        <v>66</v>
      </c>
      <c r="D13" s="172">
        <v>500</v>
      </c>
      <c r="E13" s="287" t="s">
        <v>67</v>
      </c>
      <c r="F13" s="283"/>
      <c r="G13" s="284"/>
      <c r="H13" s="284"/>
      <c r="I13" s="1292"/>
      <c r="J13" s="1292"/>
      <c r="K13" s="1292"/>
      <c r="L13" s="1292"/>
      <c r="M13" s="1292"/>
      <c r="N13" s="1292"/>
      <c r="O13" s="1292"/>
      <c r="P13" s="1292"/>
      <c r="Q13" s="1292"/>
      <c r="R13" s="1292"/>
      <c r="S13" s="1292"/>
      <c r="T13" s="1293"/>
      <c r="U13" s="1294"/>
      <c r="V13" s="1292"/>
      <c r="W13" s="1292"/>
      <c r="X13" s="1292"/>
      <c r="Y13" s="1292"/>
      <c r="Z13" s="1292"/>
      <c r="AA13" s="1292"/>
      <c r="AB13" s="1292"/>
      <c r="AC13" s="1292"/>
      <c r="AD13" s="1292"/>
      <c r="AE13" s="1292"/>
      <c r="AF13" s="1293"/>
      <c r="AG13" s="1294"/>
      <c r="AH13" s="1292"/>
      <c r="AI13" s="1292"/>
      <c r="AJ13" s="1292"/>
      <c r="AK13" s="1292"/>
      <c r="AL13" s="1292"/>
      <c r="AM13" s="1292"/>
      <c r="AN13" s="1292"/>
      <c r="AO13" s="1292"/>
      <c r="AP13" s="1292"/>
      <c r="AQ13" s="1292"/>
      <c r="AR13" s="1293"/>
      <c r="AS13" s="1294"/>
      <c r="AT13" s="1292"/>
      <c r="AU13" s="1292"/>
      <c r="AV13" s="1292"/>
      <c r="AW13" s="1292"/>
      <c r="AX13" s="1292"/>
      <c r="AY13" s="1292"/>
      <c r="AZ13" s="1292"/>
      <c r="BA13" s="1292"/>
      <c r="BB13" s="1292"/>
      <c r="BC13" s="1292"/>
      <c r="BD13" s="1293"/>
      <c r="BE13" s="1294"/>
      <c r="BF13" s="1292"/>
      <c r="BG13" s="1292"/>
      <c r="BH13" s="1292"/>
      <c r="BI13" s="1292"/>
      <c r="BJ13" s="1292"/>
      <c r="BK13" s="1292"/>
      <c r="BL13" s="1292"/>
      <c r="BM13" s="1292"/>
      <c r="BN13" s="1292"/>
      <c r="BO13" s="1292"/>
      <c r="BP13" s="1293"/>
    </row>
    <row r="14" spans="1:68" ht="12.75" hidden="1" customHeight="1">
      <c r="A14" s="32"/>
      <c r="B14" s="33"/>
      <c r="C14" s="34"/>
      <c r="D14" s="173"/>
      <c r="E14" s="288"/>
      <c r="F14" s="283"/>
      <c r="G14" s="284"/>
      <c r="H14" s="284"/>
      <c r="I14" s="1292"/>
      <c r="J14" s="1292"/>
      <c r="K14" s="1292"/>
      <c r="L14" s="1292"/>
      <c r="M14" s="1292"/>
      <c r="N14" s="1292"/>
      <c r="O14" s="1292"/>
      <c r="P14" s="1292"/>
      <c r="Q14" s="1292"/>
      <c r="R14" s="1292"/>
      <c r="S14" s="1292"/>
      <c r="T14" s="1293"/>
      <c r="U14" s="1294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3"/>
      <c r="AG14" s="1294"/>
      <c r="AH14" s="1292"/>
      <c r="AI14" s="1292"/>
      <c r="AJ14" s="1292"/>
      <c r="AK14" s="1292"/>
      <c r="AL14" s="1292"/>
      <c r="AM14" s="1292"/>
      <c r="AN14" s="1292"/>
      <c r="AO14" s="1292"/>
      <c r="AP14" s="1292"/>
      <c r="AQ14" s="1292"/>
      <c r="AR14" s="1293"/>
      <c r="AS14" s="1294"/>
      <c r="AT14" s="1292"/>
      <c r="AU14" s="1292"/>
      <c r="AV14" s="1292"/>
      <c r="AW14" s="1292"/>
      <c r="AX14" s="1292"/>
      <c r="AY14" s="1292"/>
      <c r="AZ14" s="1292"/>
      <c r="BA14" s="1292"/>
      <c r="BB14" s="1292"/>
      <c r="BC14" s="1292"/>
      <c r="BD14" s="1293"/>
      <c r="BE14" s="1294"/>
      <c r="BF14" s="1292"/>
      <c r="BG14" s="1292"/>
      <c r="BH14" s="1292"/>
      <c r="BI14" s="1292"/>
      <c r="BJ14" s="1292"/>
      <c r="BK14" s="1292"/>
      <c r="BL14" s="1292"/>
      <c r="BM14" s="1292"/>
      <c r="BN14" s="1292"/>
      <c r="BO14" s="1292"/>
      <c r="BP14" s="1293"/>
    </row>
    <row r="15" spans="1:68" ht="12.75" hidden="1" customHeight="1">
      <c r="A15" s="28" t="s">
        <v>25</v>
      </c>
      <c r="B15" s="35"/>
      <c r="C15" s="36"/>
      <c r="D15" s="170"/>
      <c r="E15" s="289"/>
      <c r="F15" s="283"/>
      <c r="G15" s="284"/>
      <c r="H15" s="284"/>
      <c r="I15" s="1292"/>
      <c r="J15" s="1292"/>
      <c r="K15" s="1292"/>
      <c r="L15" s="1292"/>
      <c r="M15" s="1292"/>
      <c r="N15" s="1292"/>
      <c r="O15" s="1292"/>
      <c r="P15" s="1292"/>
      <c r="Q15" s="1292"/>
      <c r="R15" s="1292"/>
      <c r="S15" s="1292"/>
      <c r="T15" s="1293"/>
      <c r="U15" s="1294"/>
      <c r="V15" s="1292"/>
      <c r="W15" s="1292"/>
      <c r="X15" s="1292"/>
      <c r="Y15" s="1292"/>
      <c r="Z15" s="1292"/>
      <c r="AA15" s="1292"/>
      <c r="AB15" s="1292"/>
      <c r="AC15" s="1292"/>
      <c r="AD15" s="1292"/>
      <c r="AE15" s="1292"/>
      <c r="AF15" s="1293"/>
      <c r="AG15" s="1294"/>
      <c r="AH15" s="1292"/>
      <c r="AI15" s="1292"/>
      <c r="AJ15" s="1292"/>
      <c r="AK15" s="1292"/>
      <c r="AL15" s="1292"/>
      <c r="AM15" s="1292"/>
      <c r="AN15" s="1292"/>
      <c r="AO15" s="1292"/>
      <c r="AP15" s="1292"/>
      <c r="AQ15" s="1292"/>
      <c r="AR15" s="1293"/>
      <c r="AS15" s="1294"/>
      <c r="AT15" s="1292"/>
      <c r="AU15" s="1292"/>
      <c r="AV15" s="1292"/>
      <c r="AW15" s="1292"/>
      <c r="AX15" s="1292"/>
      <c r="AY15" s="1292"/>
      <c r="AZ15" s="1292"/>
      <c r="BA15" s="1292"/>
      <c r="BB15" s="1292"/>
      <c r="BC15" s="1292"/>
      <c r="BD15" s="1293"/>
      <c r="BE15" s="1294"/>
      <c r="BF15" s="1292"/>
      <c r="BG15" s="1292"/>
      <c r="BH15" s="1292"/>
      <c r="BI15" s="1292"/>
      <c r="BJ15" s="1292"/>
      <c r="BK15" s="1292"/>
      <c r="BL15" s="1292"/>
      <c r="BM15" s="1292"/>
      <c r="BN15" s="1292"/>
      <c r="BO15" s="1292"/>
      <c r="BP15" s="1293"/>
    </row>
    <row r="16" spans="1:68" ht="12.75" hidden="1" customHeight="1">
      <c r="A16" s="32"/>
      <c r="B16" s="37"/>
      <c r="C16" s="38"/>
      <c r="D16" s="173"/>
      <c r="E16" s="285" t="s">
        <v>68</v>
      </c>
      <c r="F16" s="283"/>
      <c r="G16" s="284"/>
      <c r="H16" s="284"/>
      <c r="I16" s="1292"/>
      <c r="J16" s="1292"/>
      <c r="K16" s="1292"/>
      <c r="L16" s="1292"/>
      <c r="M16" s="1292"/>
      <c r="N16" s="1292"/>
      <c r="O16" s="1292"/>
      <c r="P16" s="1292"/>
      <c r="Q16" s="1292"/>
      <c r="R16" s="1292"/>
      <c r="S16" s="1292"/>
      <c r="T16" s="1293"/>
      <c r="U16" s="1294"/>
      <c r="V16" s="1292"/>
      <c r="W16" s="1292"/>
      <c r="X16" s="1292"/>
      <c r="Y16" s="1292"/>
      <c r="Z16" s="1292"/>
      <c r="AA16" s="1292"/>
      <c r="AB16" s="1292"/>
      <c r="AC16" s="1292"/>
      <c r="AD16" s="1292"/>
      <c r="AE16" s="1292"/>
      <c r="AF16" s="1293"/>
      <c r="AG16" s="1294"/>
      <c r="AH16" s="1292"/>
      <c r="AI16" s="1292"/>
      <c r="AJ16" s="1292"/>
      <c r="AK16" s="1292"/>
      <c r="AL16" s="1292"/>
      <c r="AM16" s="1292"/>
      <c r="AN16" s="1292"/>
      <c r="AO16" s="1292"/>
      <c r="AP16" s="1292"/>
      <c r="AQ16" s="1292"/>
      <c r="AR16" s="1293"/>
      <c r="AS16" s="1294"/>
      <c r="AT16" s="1292"/>
      <c r="AU16" s="1292"/>
      <c r="AV16" s="1292"/>
      <c r="AW16" s="1292"/>
      <c r="AX16" s="1292"/>
      <c r="AY16" s="1292"/>
      <c r="AZ16" s="1292"/>
      <c r="BA16" s="1292"/>
      <c r="BB16" s="1292"/>
      <c r="BC16" s="1292"/>
      <c r="BD16" s="1293"/>
      <c r="BE16" s="1294"/>
      <c r="BF16" s="1292"/>
      <c r="BG16" s="1292"/>
      <c r="BH16" s="1292"/>
      <c r="BI16" s="1292"/>
      <c r="BJ16" s="1292"/>
      <c r="BK16" s="1292"/>
      <c r="BL16" s="1292"/>
      <c r="BM16" s="1292"/>
      <c r="BN16" s="1292"/>
      <c r="BO16" s="1292"/>
      <c r="BP16" s="1293"/>
    </row>
    <row r="17" spans="1:68" ht="12.75" hidden="1" customHeight="1">
      <c r="A17" s="28"/>
      <c r="B17" s="29"/>
      <c r="C17" s="30" t="s">
        <v>25</v>
      </c>
      <c r="D17" s="171">
        <v>0.18</v>
      </c>
      <c r="E17" s="286" t="s">
        <v>65</v>
      </c>
      <c r="F17" s="283"/>
      <c r="G17" s="284"/>
      <c r="H17" s="284"/>
      <c r="I17" s="1292"/>
      <c r="J17" s="1292"/>
      <c r="K17" s="1292"/>
      <c r="L17" s="1292"/>
      <c r="M17" s="1292"/>
      <c r="N17" s="1292"/>
      <c r="O17" s="1292"/>
      <c r="P17" s="1292"/>
      <c r="Q17" s="1292"/>
      <c r="R17" s="1292"/>
      <c r="S17" s="1292"/>
      <c r="T17" s="1293"/>
      <c r="U17" s="1294"/>
      <c r="V17" s="1292"/>
      <c r="W17" s="1292"/>
      <c r="X17" s="1292"/>
      <c r="Y17" s="1292"/>
      <c r="Z17" s="1292"/>
      <c r="AA17" s="1292"/>
      <c r="AB17" s="1292"/>
      <c r="AC17" s="1292"/>
      <c r="AD17" s="1292"/>
      <c r="AE17" s="1292"/>
      <c r="AF17" s="1293"/>
      <c r="AG17" s="1294"/>
      <c r="AH17" s="1292"/>
      <c r="AI17" s="1292"/>
      <c r="AJ17" s="1292"/>
      <c r="AK17" s="1292"/>
      <c r="AL17" s="1292"/>
      <c r="AM17" s="1292"/>
      <c r="AN17" s="1292"/>
      <c r="AO17" s="1292"/>
      <c r="AP17" s="1292"/>
      <c r="AQ17" s="1292"/>
      <c r="AR17" s="1293"/>
      <c r="AS17" s="1294"/>
      <c r="AT17" s="1292"/>
      <c r="AU17" s="1292"/>
      <c r="AV17" s="1292"/>
      <c r="AW17" s="1292"/>
      <c r="AX17" s="1292"/>
      <c r="AY17" s="1292"/>
      <c r="AZ17" s="1292"/>
      <c r="BA17" s="1292"/>
      <c r="BB17" s="1292"/>
      <c r="BC17" s="1292"/>
      <c r="BD17" s="1293"/>
      <c r="BE17" s="1294"/>
      <c r="BF17" s="1292"/>
      <c r="BG17" s="1292"/>
      <c r="BH17" s="1292"/>
      <c r="BI17" s="1292"/>
      <c r="BJ17" s="1292"/>
      <c r="BK17" s="1292"/>
      <c r="BL17" s="1292"/>
      <c r="BM17" s="1292"/>
      <c r="BN17" s="1292"/>
      <c r="BO17" s="1292"/>
      <c r="BP17" s="1293"/>
    </row>
    <row r="18" spans="1:68" ht="12.75" hidden="1" customHeight="1">
      <c r="A18" s="32"/>
      <c r="B18" s="33"/>
      <c r="C18" s="34" t="s">
        <v>69</v>
      </c>
      <c r="D18" s="174">
        <v>5.0000000000000001E-3</v>
      </c>
      <c r="E18" s="288" t="s">
        <v>65</v>
      </c>
      <c r="F18" s="283"/>
      <c r="G18" s="284"/>
      <c r="H18" s="284"/>
      <c r="I18" s="1292"/>
      <c r="J18" s="1292"/>
      <c r="K18" s="1292"/>
      <c r="L18" s="1292"/>
      <c r="M18" s="1292"/>
      <c r="N18" s="1292"/>
      <c r="O18" s="1292"/>
      <c r="P18" s="1292"/>
      <c r="Q18" s="1292"/>
      <c r="R18" s="1292"/>
      <c r="S18" s="1292"/>
      <c r="T18" s="1293"/>
      <c r="U18" s="1294"/>
      <c r="V18" s="1292"/>
      <c r="W18" s="1292"/>
      <c r="X18" s="1292"/>
      <c r="Y18" s="1292"/>
      <c r="Z18" s="1292"/>
      <c r="AA18" s="1292"/>
      <c r="AB18" s="1292"/>
      <c r="AC18" s="1292"/>
      <c r="AD18" s="1292"/>
      <c r="AE18" s="1292"/>
      <c r="AF18" s="1293"/>
      <c r="AG18" s="1294"/>
      <c r="AH18" s="1292"/>
      <c r="AI18" s="1292"/>
      <c r="AJ18" s="1292"/>
      <c r="AK18" s="1292"/>
      <c r="AL18" s="1292"/>
      <c r="AM18" s="1292"/>
      <c r="AN18" s="1292"/>
      <c r="AO18" s="1292"/>
      <c r="AP18" s="1292"/>
      <c r="AQ18" s="1292"/>
      <c r="AR18" s="1293"/>
      <c r="AS18" s="1294"/>
      <c r="AT18" s="1292"/>
      <c r="AU18" s="1292"/>
      <c r="AV18" s="1292"/>
      <c r="AW18" s="1292"/>
      <c r="AX18" s="1292"/>
      <c r="AY18" s="1292"/>
      <c r="AZ18" s="1292"/>
      <c r="BA18" s="1292"/>
      <c r="BB18" s="1292"/>
      <c r="BC18" s="1292"/>
      <c r="BD18" s="1293"/>
      <c r="BE18" s="1294"/>
      <c r="BF18" s="1292"/>
      <c r="BG18" s="1292"/>
      <c r="BH18" s="1292"/>
      <c r="BI18" s="1292"/>
      <c r="BJ18" s="1292"/>
      <c r="BK18" s="1292"/>
      <c r="BL18" s="1292"/>
      <c r="BM18" s="1292"/>
      <c r="BN18" s="1292"/>
      <c r="BO18" s="1292"/>
      <c r="BP18" s="1293"/>
    </row>
    <row r="19" spans="1:68" ht="12.75" hidden="1" customHeight="1">
      <c r="A19" s="28"/>
      <c r="B19" s="29"/>
      <c r="C19" s="30"/>
      <c r="D19" s="170"/>
      <c r="E19" s="286"/>
      <c r="F19" s="283"/>
      <c r="G19" s="284"/>
      <c r="H19" s="284"/>
      <c r="I19" s="1292"/>
      <c r="J19" s="1292"/>
      <c r="K19" s="1292"/>
      <c r="L19" s="1292"/>
      <c r="M19" s="1292"/>
      <c r="N19" s="1292"/>
      <c r="O19" s="1292"/>
      <c r="P19" s="1292"/>
      <c r="Q19" s="1292"/>
      <c r="R19" s="1292"/>
      <c r="S19" s="1292"/>
      <c r="T19" s="1293"/>
      <c r="U19" s="1294"/>
      <c r="V19" s="1292"/>
      <c r="W19" s="1292"/>
      <c r="X19" s="1292"/>
      <c r="Y19" s="1292"/>
      <c r="Z19" s="1292"/>
      <c r="AA19" s="1292"/>
      <c r="AB19" s="1292"/>
      <c r="AC19" s="1292"/>
      <c r="AD19" s="1292"/>
      <c r="AE19" s="1292"/>
      <c r="AF19" s="1293"/>
      <c r="AG19" s="1294"/>
      <c r="AH19" s="1292"/>
      <c r="AI19" s="1292"/>
      <c r="AJ19" s="1292"/>
      <c r="AK19" s="1292"/>
      <c r="AL19" s="1292"/>
      <c r="AM19" s="1292"/>
      <c r="AN19" s="1292"/>
      <c r="AO19" s="1292"/>
      <c r="AP19" s="1292"/>
      <c r="AQ19" s="1292"/>
      <c r="AR19" s="1293"/>
      <c r="AS19" s="1294"/>
      <c r="AT19" s="1292"/>
      <c r="AU19" s="1292"/>
      <c r="AV19" s="1292"/>
      <c r="AW19" s="1292"/>
      <c r="AX19" s="1292"/>
      <c r="AY19" s="1292"/>
      <c r="AZ19" s="1292"/>
      <c r="BA19" s="1292"/>
      <c r="BB19" s="1292"/>
      <c r="BC19" s="1292"/>
      <c r="BD19" s="1293"/>
      <c r="BE19" s="1294"/>
      <c r="BF19" s="1292"/>
      <c r="BG19" s="1292"/>
      <c r="BH19" s="1292"/>
      <c r="BI19" s="1292"/>
      <c r="BJ19" s="1292"/>
      <c r="BK19" s="1292"/>
      <c r="BL19" s="1292"/>
      <c r="BM19" s="1292"/>
      <c r="BN19" s="1292"/>
      <c r="BO19" s="1292"/>
      <c r="BP19" s="1293"/>
    </row>
    <row r="20" spans="1:68" ht="12.75" hidden="1" customHeight="1">
      <c r="A20" s="32" t="s">
        <v>70</v>
      </c>
      <c r="B20" s="37"/>
      <c r="C20" s="38"/>
      <c r="D20" s="173"/>
      <c r="E20" s="285"/>
      <c r="F20" s="283"/>
      <c r="G20" s="284"/>
      <c r="H20" s="284"/>
      <c r="I20" s="1292"/>
      <c r="J20" s="1292"/>
      <c r="K20" s="1292"/>
      <c r="L20" s="1292"/>
      <c r="M20" s="1292"/>
      <c r="N20" s="1292"/>
      <c r="O20" s="1292"/>
      <c r="P20" s="1292"/>
      <c r="Q20" s="1292"/>
      <c r="R20" s="1292"/>
      <c r="S20" s="1292"/>
      <c r="T20" s="1293"/>
      <c r="U20" s="1294"/>
      <c r="V20" s="1292"/>
      <c r="W20" s="1292"/>
      <c r="X20" s="1292"/>
      <c r="Y20" s="1292"/>
      <c r="Z20" s="1292"/>
      <c r="AA20" s="1292"/>
      <c r="AB20" s="1292"/>
      <c r="AC20" s="1292"/>
      <c r="AD20" s="1292"/>
      <c r="AE20" s="1292"/>
      <c r="AF20" s="1293"/>
      <c r="AG20" s="1294"/>
      <c r="AH20" s="1292"/>
      <c r="AI20" s="1292"/>
      <c r="AJ20" s="1292"/>
      <c r="AK20" s="1292"/>
      <c r="AL20" s="1292"/>
      <c r="AM20" s="1292"/>
      <c r="AN20" s="1292"/>
      <c r="AO20" s="1292"/>
      <c r="AP20" s="1292"/>
      <c r="AQ20" s="1292"/>
      <c r="AR20" s="1293"/>
      <c r="AS20" s="1294"/>
      <c r="AT20" s="1292"/>
      <c r="AU20" s="1292"/>
      <c r="AV20" s="1292"/>
      <c r="AW20" s="1292"/>
      <c r="AX20" s="1292"/>
      <c r="AY20" s="1292"/>
      <c r="AZ20" s="1292"/>
      <c r="BA20" s="1292"/>
      <c r="BB20" s="1292"/>
      <c r="BC20" s="1292"/>
      <c r="BD20" s="1293"/>
      <c r="BE20" s="1294"/>
      <c r="BF20" s="1292"/>
      <c r="BG20" s="1292"/>
      <c r="BH20" s="1292"/>
      <c r="BI20" s="1292"/>
      <c r="BJ20" s="1292"/>
      <c r="BK20" s="1292"/>
      <c r="BL20" s="1292"/>
      <c r="BM20" s="1292"/>
      <c r="BN20" s="1292"/>
      <c r="BO20" s="1292"/>
      <c r="BP20" s="1293"/>
    </row>
    <row r="21" spans="1:68" ht="12.75" hidden="1" customHeight="1">
      <c r="A21" s="28"/>
      <c r="B21" s="29"/>
      <c r="C21" s="30" t="s">
        <v>70</v>
      </c>
      <c r="D21" s="171">
        <v>0</v>
      </c>
      <c r="E21" s="286" t="s">
        <v>65</v>
      </c>
      <c r="F21" s="283"/>
      <c r="G21" s="284"/>
      <c r="H21" s="284"/>
      <c r="I21" s="1292"/>
      <c r="J21" s="1292"/>
      <c r="K21" s="1292"/>
      <c r="L21" s="1292"/>
      <c r="M21" s="1292"/>
      <c r="N21" s="1292"/>
      <c r="O21" s="1292"/>
      <c r="P21" s="1292"/>
      <c r="Q21" s="1292"/>
      <c r="R21" s="1292"/>
      <c r="S21" s="1292"/>
      <c r="T21" s="1293"/>
      <c r="U21" s="1294"/>
      <c r="V21" s="1292"/>
      <c r="W21" s="1292"/>
      <c r="X21" s="1292"/>
      <c r="Y21" s="1292"/>
      <c r="Z21" s="1292"/>
      <c r="AA21" s="1292"/>
      <c r="AB21" s="1292"/>
      <c r="AC21" s="1292"/>
      <c r="AD21" s="1292"/>
      <c r="AE21" s="1292"/>
      <c r="AF21" s="1293"/>
      <c r="AG21" s="1294"/>
      <c r="AH21" s="1292"/>
      <c r="AI21" s="1292"/>
      <c r="AJ21" s="1292"/>
      <c r="AK21" s="1292"/>
      <c r="AL21" s="1292"/>
      <c r="AM21" s="1292"/>
      <c r="AN21" s="1292"/>
      <c r="AO21" s="1292"/>
      <c r="AP21" s="1292"/>
      <c r="AQ21" s="1292"/>
      <c r="AR21" s="1293"/>
      <c r="AS21" s="1294"/>
      <c r="AT21" s="1292"/>
      <c r="AU21" s="1292"/>
      <c r="AV21" s="1292"/>
      <c r="AW21" s="1292"/>
      <c r="AX21" s="1292"/>
      <c r="AY21" s="1292"/>
      <c r="AZ21" s="1292"/>
      <c r="BA21" s="1292"/>
      <c r="BB21" s="1292"/>
      <c r="BC21" s="1292"/>
      <c r="BD21" s="1293"/>
      <c r="BE21" s="1294"/>
      <c r="BF21" s="1292"/>
      <c r="BG21" s="1292"/>
      <c r="BH21" s="1292"/>
      <c r="BI21" s="1292"/>
      <c r="BJ21" s="1292"/>
      <c r="BK21" s="1292"/>
      <c r="BL21" s="1292"/>
      <c r="BM21" s="1292"/>
      <c r="BN21" s="1292"/>
      <c r="BO21" s="1292"/>
      <c r="BP21" s="1293"/>
    </row>
    <row r="22" spans="1:68" ht="12.75" hidden="1" customHeight="1">
      <c r="A22" s="32"/>
      <c r="B22" s="33"/>
      <c r="C22" s="34"/>
      <c r="D22" s="174"/>
      <c r="E22" s="288"/>
      <c r="F22" s="283"/>
      <c r="G22" s="284"/>
      <c r="H22" s="284"/>
      <c r="I22" s="1292"/>
      <c r="J22" s="1292"/>
      <c r="K22" s="1292"/>
      <c r="L22" s="1292"/>
      <c r="M22" s="1292"/>
      <c r="N22" s="1292"/>
      <c r="O22" s="1292"/>
      <c r="P22" s="1292"/>
      <c r="Q22" s="1292"/>
      <c r="R22" s="1292"/>
      <c r="S22" s="1292"/>
      <c r="T22" s="1293"/>
      <c r="U22" s="1294"/>
      <c r="V22" s="1292"/>
      <c r="W22" s="1292"/>
      <c r="X22" s="1292"/>
      <c r="Y22" s="1292"/>
      <c r="Z22" s="1292"/>
      <c r="AA22" s="1292"/>
      <c r="AB22" s="1292"/>
      <c r="AC22" s="1292"/>
      <c r="AD22" s="1292"/>
      <c r="AE22" s="1292"/>
      <c r="AF22" s="1293"/>
      <c r="AG22" s="1294"/>
      <c r="AH22" s="1292"/>
      <c r="AI22" s="1292"/>
      <c r="AJ22" s="1292"/>
      <c r="AK22" s="1292"/>
      <c r="AL22" s="1292"/>
      <c r="AM22" s="1292"/>
      <c r="AN22" s="1292"/>
      <c r="AO22" s="1292"/>
      <c r="AP22" s="1292"/>
      <c r="AQ22" s="1292"/>
      <c r="AR22" s="1293"/>
      <c r="AS22" s="1294"/>
      <c r="AT22" s="1292"/>
      <c r="AU22" s="1292"/>
      <c r="AV22" s="1292"/>
      <c r="AW22" s="1292"/>
      <c r="AX22" s="1292"/>
      <c r="AY22" s="1292"/>
      <c r="AZ22" s="1292"/>
      <c r="BA22" s="1292"/>
      <c r="BB22" s="1292"/>
      <c r="BC22" s="1292"/>
      <c r="BD22" s="1293"/>
      <c r="BE22" s="1294"/>
      <c r="BF22" s="1292"/>
      <c r="BG22" s="1292"/>
      <c r="BH22" s="1292"/>
      <c r="BI22" s="1292"/>
      <c r="BJ22" s="1292"/>
      <c r="BK22" s="1292"/>
      <c r="BL22" s="1292"/>
      <c r="BM22" s="1292"/>
      <c r="BN22" s="1292"/>
      <c r="BO22" s="1292"/>
      <c r="BP22" s="1293"/>
    </row>
    <row r="23" spans="1:68" ht="12.75" hidden="1" customHeight="1">
      <c r="A23" s="28"/>
      <c r="B23" s="29"/>
      <c r="C23" s="30" t="s">
        <v>71</v>
      </c>
      <c r="D23" s="171">
        <v>2.5000000000000001E-2</v>
      </c>
      <c r="E23" s="286" t="s">
        <v>65</v>
      </c>
      <c r="F23" s="283"/>
      <c r="G23" s="284"/>
      <c r="H23" s="284"/>
      <c r="I23" s="1292"/>
      <c r="J23" s="1292"/>
      <c r="K23" s="1292"/>
      <c r="L23" s="1292"/>
      <c r="M23" s="1292"/>
      <c r="N23" s="1292"/>
      <c r="O23" s="1292"/>
      <c r="P23" s="1292"/>
      <c r="Q23" s="1292"/>
      <c r="R23" s="1292"/>
      <c r="S23" s="1292"/>
      <c r="T23" s="1293"/>
      <c r="U23" s="1294"/>
      <c r="V23" s="1292"/>
      <c r="W23" s="1292"/>
      <c r="X23" s="1292"/>
      <c r="Y23" s="1292"/>
      <c r="Z23" s="1292"/>
      <c r="AA23" s="1292"/>
      <c r="AB23" s="1292"/>
      <c r="AC23" s="1292"/>
      <c r="AD23" s="1292"/>
      <c r="AE23" s="1292"/>
      <c r="AF23" s="1293"/>
      <c r="AG23" s="1294"/>
      <c r="AH23" s="1292"/>
      <c r="AI23" s="1292"/>
      <c r="AJ23" s="1292"/>
      <c r="AK23" s="1292"/>
      <c r="AL23" s="1292"/>
      <c r="AM23" s="1292"/>
      <c r="AN23" s="1292"/>
      <c r="AO23" s="1292"/>
      <c r="AP23" s="1292"/>
      <c r="AQ23" s="1292"/>
      <c r="AR23" s="1293"/>
      <c r="AS23" s="1294"/>
      <c r="AT23" s="1292"/>
      <c r="AU23" s="1292"/>
      <c r="AV23" s="1292"/>
      <c r="AW23" s="1292"/>
      <c r="AX23" s="1292"/>
      <c r="AY23" s="1292"/>
      <c r="AZ23" s="1292"/>
      <c r="BA23" s="1292"/>
      <c r="BB23" s="1292"/>
      <c r="BC23" s="1292"/>
      <c r="BD23" s="1293"/>
      <c r="BE23" s="1294"/>
      <c r="BF23" s="1292"/>
      <c r="BG23" s="1292"/>
      <c r="BH23" s="1292"/>
      <c r="BI23" s="1292"/>
      <c r="BJ23" s="1292"/>
      <c r="BK23" s="1292"/>
      <c r="BL23" s="1292"/>
      <c r="BM23" s="1292"/>
      <c r="BN23" s="1292"/>
      <c r="BO23" s="1292"/>
      <c r="BP23" s="1293"/>
    </row>
    <row r="24" spans="1:68" ht="29.25" hidden="1" customHeight="1">
      <c r="A24" s="988" t="s">
        <v>72</v>
      </c>
      <c r="B24" s="39"/>
      <c r="C24" s="34"/>
      <c r="D24" s="175"/>
      <c r="E24" s="290"/>
      <c r="F24" s="283"/>
      <c r="G24" s="284"/>
      <c r="H24" s="284"/>
      <c r="I24" s="1292"/>
      <c r="J24" s="1292"/>
      <c r="K24" s="1292"/>
      <c r="L24" s="1292"/>
      <c r="M24" s="1292"/>
      <c r="N24" s="1292"/>
      <c r="O24" s="1292"/>
      <c r="P24" s="1292"/>
      <c r="Q24" s="1292"/>
      <c r="R24" s="1292"/>
      <c r="S24" s="1292"/>
      <c r="T24" s="1293"/>
      <c r="U24" s="1294"/>
      <c r="V24" s="1292"/>
      <c r="W24" s="1292"/>
      <c r="X24" s="1292"/>
      <c r="Y24" s="1292"/>
      <c r="Z24" s="1292"/>
      <c r="AA24" s="1292"/>
      <c r="AB24" s="1292"/>
      <c r="AC24" s="1292"/>
      <c r="AD24" s="1292"/>
      <c r="AE24" s="1292"/>
      <c r="AF24" s="1293"/>
      <c r="AG24" s="1294"/>
      <c r="AH24" s="1292"/>
      <c r="AI24" s="1292"/>
      <c r="AJ24" s="1292"/>
      <c r="AK24" s="1292"/>
      <c r="AL24" s="1292"/>
      <c r="AM24" s="1292"/>
      <c r="AN24" s="1292"/>
      <c r="AO24" s="1292"/>
      <c r="AP24" s="1292"/>
      <c r="AQ24" s="1292"/>
      <c r="AR24" s="1293"/>
      <c r="AS24" s="1294"/>
      <c r="AT24" s="1292"/>
      <c r="AU24" s="1292"/>
      <c r="AV24" s="1292"/>
      <c r="AW24" s="1292"/>
      <c r="AX24" s="1292"/>
      <c r="AY24" s="1292"/>
      <c r="AZ24" s="1292"/>
      <c r="BA24" s="1292"/>
      <c r="BB24" s="1292"/>
      <c r="BC24" s="1292"/>
      <c r="BD24" s="1293"/>
      <c r="BE24" s="1294"/>
      <c r="BF24" s="1292"/>
      <c r="BG24" s="1292"/>
      <c r="BH24" s="1292"/>
      <c r="BI24" s="1292"/>
      <c r="BJ24" s="1292"/>
      <c r="BK24" s="1292"/>
      <c r="BL24" s="1292"/>
      <c r="BM24" s="1292"/>
      <c r="BN24" s="1292"/>
      <c r="BO24" s="1292"/>
      <c r="BP24" s="1293"/>
    </row>
    <row r="25" spans="1:68" s="160" customFormat="1" ht="29.25" customHeight="1">
      <c r="A25" s="1173" t="s">
        <v>305</v>
      </c>
      <c r="B25" s="802"/>
      <c r="C25" s="803"/>
      <c r="D25" s="804"/>
      <c r="E25" s="805"/>
      <c r="F25" s="806"/>
      <c r="G25" s="807"/>
      <c r="H25" s="807"/>
      <c r="I25" s="1292"/>
      <c r="J25" s="1292"/>
      <c r="K25" s="1292"/>
      <c r="L25" s="1292"/>
      <c r="M25" s="1292"/>
      <c r="N25" s="1292"/>
      <c r="O25" s="1292"/>
      <c r="P25" s="1292"/>
      <c r="Q25" s="1292"/>
      <c r="R25" s="1292"/>
      <c r="S25" s="1292"/>
      <c r="T25" s="1293"/>
      <c r="U25" s="1294"/>
      <c r="V25" s="1292"/>
      <c r="W25" s="1292"/>
      <c r="X25" s="1292"/>
      <c r="Y25" s="1292"/>
      <c r="Z25" s="1292"/>
      <c r="AA25" s="1292"/>
      <c r="AB25" s="1292"/>
      <c r="AC25" s="1292"/>
      <c r="AD25" s="1292"/>
      <c r="AE25" s="1292"/>
      <c r="AF25" s="1293"/>
      <c r="AG25" s="1294"/>
      <c r="AH25" s="1292"/>
      <c r="AI25" s="1292"/>
      <c r="AJ25" s="1292"/>
      <c r="AK25" s="1292"/>
      <c r="AL25" s="1292"/>
      <c r="AM25" s="1292"/>
      <c r="AN25" s="1292"/>
      <c r="AO25" s="1292"/>
      <c r="AP25" s="1292"/>
      <c r="AQ25" s="1292"/>
      <c r="AR25" s="1293"/>
      <c r="AS25" s="1294"/>
      <c r="AT25" s="1292"/>
      <c r="AU25" s="1292"/>
      <c r="AV25" s="1292"/>
      <c r="AW25" s="1292"/>
      <c r="AX25" s="1292"/>
      <c r="AY25" s="1292"/>
      <c r="AZ25" s="1292"/>
      <c r="BA25" s="1292"/>
      <c r="BB25" s="1292"/>
      <c r="BC25" s="1292"/>
      <c r="BD25" s="1293"/>
      <c r="BE25" s="1294"/>
      <c r="BF25" s="1292"/>
      <c r="BG25" s="1292"/>
      <c r="BH25" s="1292"/>
      <c r="BI25" s="1292"/>
      <c r="BJ25" s="1292"/>
      <c r="BK25" s="1292"/>
      <c r="BL25" s="1292"/>
      <c r="BM25" s="1292"/>
      <c r="BN25" s="1292"/>
      <c r="BO25" s="1292"/>
      <c r="BP25" s="1293"/>
    </row>
    <row r="26" spans="1:68" s="160" customFormat="1" ht="12" hidden="1" customHeight="1">
      <c r="A26" s="306" t="s">
        <v>60</v>
      </c>
      <c r="B26" s="306"/>
      <c r="C26" s="308"/>
      <c r="D26" s="312"/>
      <c r="E26" s="808"/>
      <c r="F26" s="160" t="s">
        <v>73</v>
      </c>
      <c r="G26" s="809" t="e">
        <f>HR!#REF!</f>
        <v>#REF!</v>
      </c>
      <c r="H26" s="809">
        <v>2</v>
      </c>
      <c r="I26" s="154">
        <f>COUNT(HR!D21:D26)+HR!D2</f>
        <v>6</v>
      </c>
      <c r="J26" s="154">
        <f>COUNT(HR!E21:E26)+HR!E2</f>
        <v>6</v>
      </c>
      <c r="K26" s="154">
        <f>COUNT(HR!F21:F26)+HR!F2</f>
        <v>6</v>
      </c>
      <c r="L26" s="154">
        <f>COUNT(HR!G21:G26)+HR!G2</f>
        <v>6</v>
      </c>
      <c r="M26" s="154">
        <f>COUNT(HR!H21:H26)+HR!H2</f>
        <v>6</v>
      </c>
      <c r="N26" s="154">
        <f>COUNT(HR!I21:I26)+HR!I2</f>
        <v>7</v>
      </c>
      <c r="O26" s="154">
        <f>COUNT(HR!J21:J26)+HR!J2</f>
        <v>7</v>
      </c>
      <c r="P26" s="154">
        <f>COUNT(HR!K21:K26)+HR!K2</f>
        <v>7</v>
      </c>
      <c r="Q26" s="154">
        <f>COUNT(HR!L21:L26)+HR!L2</f>
        <v>7</v>
      </c>
      <c r="R26" s="154">
        <f>COUNT(HR!M21:M26)+HR!M2</f>
        <v>7</v>
      </c>
      <c r="S26" s="154">
        <f>COUNT(HR!N21:N26)+HR!N2</f>
        <v>7</v>
      </c>
      <c r="T26" s="155">
        <f>COUNT(HR!O21:O26)+HR!O2</f>
        <v>7</v>
      </c>
      <c r="U26" s="154">
        <f>COUNT(HR!P21:P26)+HR!P2</f>
        <v>7</v>
      </c>
      <c r="V26" s="154">
        <f>COUNT(HR!BO21:BO26)+HR!BO2</f>
        <v>3</v>
      </c>
      <c r="W26" s="154">
        <f>COUNT(HR!BP21:BP26)+HR!BP2</f>
        <v>3</v>
      </c>
      <c r="X26" s="154">
        <f>COUNT(HR!BQ21:BQ26)+HR!BQ2</f>
        <v>3</v>
      </c>
      <c r="Y26" s="154">
        <f>COUNT(HR!BR21:BR26)+HR!BR2</f>
        <v>3</v>
      </c>
      <c r="Z26" s="154">
        <f>COUNT(HR!BS21:BS26)+HR!BS2</f>
        <v>3</v>
      </c>
      <c r="AA26" s="154">
        <f>COUNT(HR!BT21:BT26)+HR!BT2</f>
        <v>3</v>
      </c>
      <c r="AB26" s="154">
        <f>COUNT(HR!BU21:BU26)+HR!BU2</f>
        <v>3</v>
      </c>
      <c r="AC26" s="154">
        <f>COUNT(HR!BV21:BV26)+HR!BV2</f>
        <v>3</v>
      </c>
      <c r="AD26" s="154">
        <f>COUNT(HR!BW21:BW26)+HR!BW2</f>
        <v>3</v>
      </c>
      <c r="AE26" s="154">
        <f>COUNT(HR!BX21:BX26)+HR!BX2</f>
        <v>3</v>
      </c>
      <c r="AF26" s="155">
        <f>COUNT(HR!BY21:BY26)+HR!BY2</f>
        <v>3</v>
      </c>
      <c r="AG26" s="154">
        <f>COUNT(HR!BZ21:BZ26)+HR!BZ2</f>
        <v>3</v>
      </c>
      <c r="AH26" s="154">
        <f>COUNT(HR!P21:P26)+HR!P2</f>
        <v>7</v>
      </c>
      <c r="AI26" s="154">
        <f>COUNT(HR!Q21:Q26)+HR!Q2</f>
        <v>7</v>
      </c>
      <c r="AJ26" s="154">
        <f>COUNT(HR!R21:R26)+HR!R2</f>
        <v>8</v>
      </c>
      <c r="AK26" s="154">
        <f>COUNT(HR!S21:S26)+HR!S2</f>
        <v>8</v>
      </c>
      <c r="AL26" s="154">
        <f>COUNT(HR!T21:T26)+HR!T2</f>
        <v>8</v>
      </c>
      <c r="AM26" s="154">
        <f>COUNT(HR!U21:U26)+HR!U2</f>
        <v>8</v>
      </c>
      <c r="AN26" s="154">
        <f>COUNT(HR!V21:V26)+HR!V2</f>
        <v>8</v>
      </c>
      <c r="AO26" s="154">
        <f>COUNT(HR!W21:W26)+HR!W2</f>
        <v>8</v>
      </c>
      <c r="AP26" s="154">
        <f>COUNT(HR!X21:X26)+HR!X2</f>
        <v>9</v>
      </c>
      <c r="AQ26" s="154">
        <f>COUNT(HR!Y21:Y26)+HR!Y2</f>
        <v>9</v>
      </c>
      <c r="AR26" s="155">
        <f>COUNT(HR!Z21:Z26)+HR!Z2</f>
        <v>9</v>
      </c>
      <c r="AS26" s="154">
        <f>COUNT(HR!AA21:AA26)+HR!AA2</f>
        <v>10</v>
      </c>
      <c r="AT26" s="154">
        <f>COUNT(HR!AB21:AB26)+HR!AB2</f>
        <v>10</v>
      </c>
      <c r="AU26" s="154">
        <f>COUNT(HR!AC21:AC26)+HR!AC2</f>
        <v>10</v>
      </c>
      <c r="AV26" s="154">
        <f>COUNT(HR!AD21:AD26)+HR!AD2</f>
        <v>10</v>
      </c>
      <c r="AW26" s="154">
        <f>COUNT(HR!AE21:AE26)+HR!AE2</f>
        <v>11</v>
      </c>
      <c r="AX26" s="154">
        <f>COUNT(HR!AF21:AF26)+HR!AF2</f>
        <v>11</v>
      </c>
      <c r="AY26" s="154">
        <f>COUNT(HR!AG21:AG26)+HR!AG2</f>
        <v>11</v>
      </c>
      <c r="AZ26" s="154">
        <f>COUNT(HR!AH21:AH26)+HR!AH2</f>
        <v>12</v>
      </c>
      <c r="BA26" s="154">
        <f>COUNT(HR!AI21:AI26)+HR!AI2</f>
        <v>12</v>
      </c>
      <c r="BB26" s="154">
        <f>COUNT(HR!AJ21:AJ26)+HR!AJ2</f>
        <v>13</v>
      </c>
      <c r="BC26" s="154">
        <f>COUNT(HR!AK21:AK26)+HR!AK2</f>
        <v>13</v>
      </c>
      <c r="BD26" s="155">
        <f>COUNT(HR!AL21:AL26)+HR!AL2</f>
        <v>14</v>
      </c>
      <c r="BE26" s="154">
        <f>COUNT(HR!AM21:AM26)+HR!AM2</f>
        <v>14</v>
      </c>
      <c r="BF26" s="154">
        <f>COUNT(HR!AN21:AN26)+HR!AN2</f>
        <v>15</v>
      </c>
      <c r="BG26" s="154">
        <f>COUNT(HR!AO21:AO26)+HR!AO2</f>
        <v>15</v>
      </c>
      <c r="BH26" s="154">
        <f>COUNT(HR!AP21:AP26)+HR!AP2</f>
        <v>16</v>
      </c>
      <c r="BI26" s="154">
        <f>COUNT(HR!AQ21:AQ26)+HR!AQ2</f>
        <v>16</v>
      </c>
      <c r="BJ26" s="154">
        <f>COUNT(HR!AR21:AR26)+HR!AR2</f>
        <v>17</v>
      </c>
      <c r="BK26" s="154">
        <f>COUNT(HR!AS21:AS26)+HR!AS2</f>
        <v>18</v>
      </c>
      <c r="BL26" s="154">
        <f>COUNT(HR!AT21:AT26)+HR!AT2</f>
        <v>18</v>
      </c>
      <c r="BM26" s="154">
        <f>COUNT(HR!AU21:AU26)+HR!AU2</f>
        <v>19</v>
      </c>
      <c r="BN26" s="154">
        <f>COUNT(HR!AV21:AV26)+HR!AV2</f>
        <v>20</v>
      </c>
      <c r="BO26" s="154">
        <f>COUNT(HR!AW21:AW26)+HR!AW2</f>
        <v>20</v>
      </c>
      <c r="BP26" s="155">
        <f>COUNT(HR!AX21:AX26)+HR!AX2</f>
        <v>21</v>
      </c>
    </row>
    <row r="27" spans="1:68" s="160" customFormat="1" hidden="1">
      <c r="A27" s="301"/>
      <c r="B27" s="810"/>
      <c r="C27" s="304" t="s">
        <v>74</v>
      </c>
      <c r="D27" s="305"/>
      <c r="E27" s="811"/>
      <c r="G27" s="161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3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3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3"/>
    </row>
    <row r="28" spans="1:68" s="160" customFormat="1" hidden="1">
      <c r="A28" s="301"/>
      <c r="B28" s="810"/>
      <c r="C28" s="304" t="s">
        <v>62</v>
      </c>
      <c r="D28" s="812">
        <v>0.3</v>
      </c>
      <c r="E28" s="813" t="s">
        <v>63</v>
      </c>
      <c r="G28" s="161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3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3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3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3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3"/>
    </row>
    <row r="29" spans="1:68" s="160" customFormat="1" ht="11.25" hidden="1" customHeight="1">
      <c r="A29" s="301"/>
      <c r="B29" s="810"/>
      <c r="C29" s="304"/>
      <c r="D29" s="812"/>
      <c r="E29" s="813"/>
      <c r="G29" s="161" t="s">
        <v>47</v>
      </c>
      <c r="H29" s="161" t="s">
        <v>46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3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3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3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3"/>
    </row>
    <row r="30" spans="1:68" s="819" customFormat="1" ht="16.5" thickBot="1">
      <c r="A30" s="814"/>
      <c r="B30" s="815"/>
      <c r="C30" s="816"/>
      <c r="D30" s="817"/>
      <c r="E30" s="818"/>
      <c r="G30" s="820"/>
      <c r="H30" s="820"/>
      <c r="I30" s="821" t="s">
        <v>1</v>
      </c>
      <c r="J30" s="821" t="s">
        <v>2</v>
      </c>
      <c r="K30" s="821" t="s">
        <v>159</v>
      </c>
      <c r="L30" s="821" t="s">
        <v>160</v>
      </c>
      <c r="M30" s="821" t="s">
        <v>5</v>
      </c>
      <c r="N30" s="821" t="s">
        <v>161</v>
      </c>
      <c r="O30" s="821" t="s">
        <v>145</v>
      </c>
      <c r="P30" s="821" t="s">
        <v>8</v>
      </c>
      <c r="Q30" s="821" t="s">
        <v>9</v>
      </c>
      <c r="R30" s="821" t="s">
        <v>10</v>
      </c>
      <c r="S30" s="821" t="s">
        <v>11</v>
      </c>
      <c r="T30" s="822" t="s">
        <v>12</v>
      </c>
      <c r="U30" s="821" t="s">
        <v>1</v>
      </c>
      <c r="V30" s="821" t="s">
        <v>2</v>
      </c>
      <c r="W30" s="821" t="s">
        <v>159</v>
      </c>
      <c r="X30" s="821" t="s">
        <v>160</v>
      </c>
      <c r="Y30" s="821" t="s">
        <v>5</v>
      </c>
      <c r="Z30" s="821" t="s">
        <v>161</v>
      </c>
      <c r="AA30" s="821" t="s">
        <v>145</v>
      </c>
      <c r="AB30" s="821" t="s">
        <v>8</v>
      </c>
      <c r="AC30" s="821" t="s">
        <v>9</v>
      </c>
      <c r="AD30" s="821" t="s">
        <v>10</v>
      </c>
      <c r="AE30" s="821" t="s">
        <v>11</v>
      </c>
      <c r="AF30" s="822" t="s">
        <v>12</v>
      </c>
      <c r="AG30" s="821" t="s">
        <v>1</v>
      </c>
      <c r="AH30" s="821" t="s">
        <v>2</v>
      </c>
      <c r="AI30" s="821" t="s">
        <v>159</v>
      </c>
      <c r="AJ30" s="821" t="s">
        <v>160</v>
      </c>
      <c r="AK30" s="821" t="s">
        <v>5</v>
      </c>
      <c r="AL30" s="821" t="s">
        <v>161</v>
      </c>
      <c r="AM30" s="821" t="s">
        <v>145</v>
      </c>
      <c r="AN30" s="821" t="s">
        <v>8</v>
      </c>
      <c r="AO30" s="821" t="s">
        <v>9</v>
      </c>
      <c r="AP30" s="821" t="s">
        <v>10</v>
      </c>
      <c r="AQ30" s="821" t="s">
        <v>11</v>
      </c>
      <c r="AR30" s="822" t="s">
        <v>12</v>
      </c>
      <c r="AS30" s="821" t="s">
        <v>1</v>
      </c>
      <c r="AT30" s="821" t="s">
        <v>2</v>
      </c>
      <c r="AU30" s="821" t="s">
        <v>159</v>
      </c>
      <c r="AV30" s="821" t="s">
        <v>160</v>
      </c>
      <c r="AW30" s="821" t="s">
        <v>5</v>
      </c>
      <c r="AX30" s="821" t="s">
        <v>161</v>
      </c>
      <c r="AY30" s="821" t="s">
        <v>145</v>
      </c>
      <c r="AZ30" s="821" t="s">
        <v>8</v>
      </c>
      <c r="BA30" s="821" t="s">
        <v>9</v>
      </c>
      <c r="BB30" s="821" t="s">
        <v>10</v>
      </c>
      <c r="BC30" s="821" t="s">
        <v>11</v>
      </c>
      <c r="BD30" s="822" t="s">
        <v>12</v>
      </c>
      <c r="BE30" s="821" t="s">
        <v>1</v>
      </c>
      <c r="BF30" s="821" t="s">
        <v>2</v>
      </c>
      <c r="BG30" s="821" t="s">
        <v>159</v>
      </c>
      <c r="BH30" s="821" t="s">
        <v>160</v>
      </c>
      <c r="BI30" s="821" t="s">
        <v>5</v>
      </c>
      <c r="BJ30" s="821" t="s">
        <v>161</v>
      </c>
      <c r="BK30" s="821" t="s">
        <v>145</v>
      </c>
      <c r="BL30" s="821" t="s">
        <v>8</v>
      </c>
      <c r="BM30" s="821" t="s">
        <v>9</v>
      </c>
      <c r="BN30" s="821" t="s">
        <v>10</v>
      </c>
      <c r="BO30" s="821" t="s">
        <v>11</v>
      </c>
      <c r="BP30" s="822" t="s">
        <v>12</v>
      </c>
    </row>
    <row r="31" spans="1:68" s="819" customFormat="1" ht="15.75" outlineLevel="1">
      <c r="A31" s="1152"/>
      <c r="B31" s="292"/>
      <c r="C31" s="293"/>
      <c r="D31" s="296"/>
      <c r="E31" s="1055"/>
      <c r="G31" s="820"/>
      <c r="H31" s="820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4"/>
      <c r="U31" s="833"/>
      <c r="V31" s="833"/>
      <c r="W31" s="833"/>
      <c r="X31" s="833"/>
      <c r="Y31" s="833"/>
      <c r="Z31" s="833"/>
      <c r="AA31" s="833"/>
      <c r="AB31" s="833"/>
      <c r="AC31" s="833"/>
      <c r="AD31" s="833"/>
      <c r="AE31" s="833"/>
      <c r="AF31" s="834"/>
      <c r="AG31" s="833"/>
      <c r="AH31" s="833"/>
      <c r="AI31" s="833"/>
      <c r="AJ31" s="833"/>
      <c r="AK31" s="833"/>
      <c r="AL31" s="833"/>
      <c r="AM31" s="833"/>
      <c r="AN31" s="833"/>
      <c r="AO31" s="833"/>
      <c r="AP31" s="833"/>
      <c r="AQ31" s="833"/>
      <c r="AR31" s="834"/>
      <c r="AS31" s="833"/>
      <c r="AT31" s="833"/>
      <c r="AU31" s="833"/>
      <c r="AV31" s="833"/>
      <c r="AW31" s="833"/>
      <c r="AX31" s="833"/>
      <c r="AY31" s="833"/>
      <c r="AZ31" s="833"/>
      <c r="BA31" s="833"/>
      <c r="BB31" s="833"/>
      <c r="BC31" s="833"/>
      <c r="BD31" s="834"/>
      <c r="BE31" s="833"/>
      <c r="BF31" s="833"/>
      <c r="BG31" s="833"/>
      <c r="BH31" s="833"/>
      <c r="BI31" s="833"/>
      <c r="BJ31" s="833"/>
      <c r="BK31" s="833"/>
      <c r="BL31" s="833"/>
      <c r="BM31" s="833"/>
      <c r="BN31" s="833"/>
      <c r="BO31" s="833"/>
      <c r="BP31" s="834"/>
    </row>
    <row r="32" spans="1:68" s="819" customFormat="1" ht="15.75" outlineLevel="1">
      <c r="A32" s="1152"/>
      <c r="B32" s="292"/>
      <c r="C32" s="293"/>
      <c r="D32" s="296"/>
      <c r="E32" s="1055"/>
      <c r="G32" s="820"/>
      <c r="H32" s="820"/>
      <c r="I32" s="833"/>
      <c r="J32" s="833"/>
      <c r="K32" s="833"/>
      <c r="L32" s="833"/>
      <c r="M32" s="833"/>
      <c r="N32" s="833"/>
      <c r="O32" s="833"/>
      <c r="P32" s="833"/>
      <c r="Q32" s="833"/>
      <c r="R32" s="833"/>
      <c r="S32" s="833"/>
      <c r="T32" s="834"/>
      <c r="U32" s="833"/>
      <c r="V32" s="833"/>
      <c r="W32" s="833"/>
      <c r="X32" s="833"/>
      <c r="Y32" s="833"/>
      <c r="Z32" s="833"/>
      <c r="AA32" s="833"/>
      <c r="AB32" s="833"/>
      <c r="AC32" s="833"/>
      <c r="AD32" s="833"/>
      <c r="AE32" s="833"/>
      <c r="AF32" s="834"/>
      <c r="AG32" s="833"/>
      <c r="AH32" s="833"/>
      <c r="AI32" s="833"/>
      <c r="AJ32" s="833"/>
      <c r="AK32" s="833"/>
      <c r="AL32" s="833"/>
      <c r="AM32" s="833"/>
      <c r="AN32" s="833"/>
      <c r="AO32" s="833"/>
      <c r="AP32" s="833"/>
      <c r="AQ32" s="833"/>
      <c r="AR32" s="834"/>
      <c r="AS32" s="833"/>
      <c r="AT32" s="833"/>
      <c r="AU32" s="833"/>
      <c r="AV32" s="833"/>
      <c r="AW32" s="833"/>
      <c r="AX32" s="833"/>
      <c r="AY32" s="833"/>
      <c r="AZ32" s="833"/>
      <c r="BA32" s="833"/>
      <c r="BB32" s="833"/>
      <c r="BC32" s="833"/>
      <c r="BD32" s="834"/>
      <c r="BE32" s="833"/>
      <c r="BF32" s="833"/>
      <c r="BG32" s="833"/>
      <c r="BH32" s="833"/>
      <c r="BI32" s="833"/>
      <c r="BJ32" s="833"/>
      <c r="BK32" s="833"/>
      <c r="BL32" s="833"/>
      <c r="BM32" s="833"/>
      <c r="BN32" s="833"/>
      <c r="BO32" s="833"/>
      <c r="BP32" s="834"/>
    </row>
    <row r="33" spans="1:68" s="819" customFormat="1" ht="155.25" customHeight="1" outlineLevel="1">
      <c r="A33" s="1152"/>
      <c r="B33" s="292"/>
      <c r="C33" s="293"/>
      <c r="D33" s="296"/>
      <c r="E33" s="1055"/>
      <c r="G33" s="820"/>
      <c r="H33" s="820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4"/>
      <c r="U33" s="833"/>
      <c r="V33" s="833"/>
      <c r="W33" s="833"/>
      <c r="X33" s="833"/>
      <c r="Y33" s="833"/>
      <c r="Z33" s="833"/>
      <c r="AA33" s="833"/>
      <c r="AB33" s="833"/>
      <c r="AC33" s="833"/>
      <c r="AD33" s="833"/>
      <c r="AE33" s="833"/>
      <c r="AF33" s="834"/>
      <c r="AG33" s="833"/>
      <c r="AH33" s="833"/>
      <c r="AI33" s="833"/>
      <c r="AJ33" s="833"/>
      <c r="AK33" s="833"/>
      <c r="AL33" s="833"/>
      <c r="AM33" s="833"/>
      <c r="AN33" s="833"/>
      <c r="AO33" s="833"/>
      <c r="AP33" s="833"/>
      <c r="AQ33" s="833"/>
      <c r="AR33" s="834"/>
      <c r="AS33" s="833"/>
      <c r="AT33" s="833"/>
      <c r="AU33" s="833"/>
      <c r="AV33" s="833"/>
      <c r="AW33" s="833"/>
      <c r="AX33" s="833"/>
      <c r="AY33" s="833"/>
      <c r="AZ33" s="833"/>
      <c r="BA33" s="833"/>
      <c r="BB33" s="833"/>
      <c r="BC33" s="833"/>
      <c r="BD33" s="834"/>
      <c r="BE33" s="833"/>
      <c r="BF33" s="833"/>
      <c r="BG33" s="833"/>
      <c r="BH33" s="833"/>
      <c r="BI33" s="833"/>
      <c r="BJ33" s="833"/>
      <c r="BK33" s="833"/>
      <c r="BL33" s="833"/>
      <c r="BM33" s="833"/>
      <c r="BN33" s="833"/>
      <c r="BO33" s="833"/>
      <c r="BP33" s="834"/>
    </row>
    <row r="34" spans="1:68" s="986" customFormat="1" ht="15.75" outlineLevel="1">
      <c r="A34" s="1173"/>
      <c r="B34" s="1182"/>
      <c r="C34" s="1183"/>
      <c r="D34" s="296"/>
      <c r="E34" s="1184"/>
      <c r="G34" s="1185"/>
      <c r="H34" s="1185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3"/>
      <c r="X34" s="833"/>
      <c r="Y34" s="833"/>
      <c r="Z34" s="833"/>
      <c r="AA34" s="833"/>
      <c r="AB34" s="833"/>
      <c r="AC34" s="833"/>
      <c r="AD34" s="833"/>
      <c r="AE34" s="833"/>
      <c r="AF34" s="833"/>
      <c r="AG34" s="833"/>
      <c r="AH34" s="833"/>
      <c r="AI34" s="833"/>
      <c r="AJ34" s="833"/>
      <c r="AK34" s="833"/>
      <c r="AL34" s="833"/>
      <c r="AM34" s="833"/>
      <c r="AN34" s="833"/>
      <c r="AO34" s="833"/>
      <c r="AP34" s="833"/>
      <c r="AQ34" s="833"/>
      <c r="AR34" s="833"/>
      <c r="AS34" s="833"/>
      <c r="AT34" s="833"/>
      <c r="AU34" s="833"/>
      <c r="AV34" s="833"/>
      <c r="AW34" s="833"/>
      <c r="AX34" s="833"/>
      <c r="AY34" s="833"/>
      <c r="AZ34" s="833"/>
      <c r="BA34" s="833"/>
      <c r="BB34" s="833"/>
      <c r="BC34" s="833"/>
      <c r="BD34" s="833"/>
      <c r="BE34" s="833"/>
      <c r="BF34" s="833"/>
      <c r="BG34" s="833"/>
      <c r="BH34" s="833"/>
      <c r="BI34" s="833"/>
      <c r="BJ34" s="833"/>
      <c r="BK34" s="833"/>
      <c r="BL34" s="833"/>
      <c r="BM34" s="833"/>
      <c r="BN34" s="833"/>
      <c r="BO34" s="833"/>
      <c r="BP34" s="834"/>
    </row>
    <row r="35" spans="1:68" s="819" customFormat="1" ht="21.75" customHeight="1">
      <c r="A35" s="1152"/>
      <c r="B35" s="292"/>
      <c r="C35" s="293"/>
      <c r="D35" s="296"/>
      <c r="E35" s="1055"/>
      <c r="G35" s="820"/>
      <c r="H35" s="820"/>
      <c r="I35" s="833"/>
      <c r="J35" s="1301" t="s">
        <v>377</v>
      </c>
      <c r="K35" s="1301"/>
      <c r="L35" s="1301"/>
      <c r="M35" s="833"/>
      <c r="N35" s="833"/>
      <c r="O35" s="833"/>
      <c r="P35" s="833"/>
      <c r="Q35" s="833"/>
      <c r="R35" s="833"/>
      <c r="S35" s="833"/>
      <c r="T35" s="834"/>
      <c r="U35" s="833"/>
      <c r="V35" s="1301" t="s">
        <v>381</v>
      </c>
      <c r="W35" s="1301"/>
      <c r="X35" s="1301"/>
      <c r="Y35" s="833"/>
      <c r="Z35" s="833"/>
      <c r="AA35" s="833"/>
      <c r="AB35" s="833"/>
      <c r="AC35" s="833"/>
      <c r="AD35" s="833"/>
      <c r="AE35" s="833"/>
      <c r="AF35" s="834"/>
      <c r="AG35" s="833"/>
      <c r="AH35" s="1301" t="s">
        <v>382</v>
      </c>
      <c r="AI35" s="1301"/>
      <c r="AJ35" s="1301"/>
      <c r="AK35" s="833"/>
      <c r="AL35" s="833"/>
      <c r="AM35" s="833"/>
      <c r="AN35" s="833"/>
      <c r="AO35" s="833"/>
      <c r="AP35" s="833"/>
      <c r="AQ35" s="833"/>
      <c r="AR35" s="834"/>
      <c r="AS35" s="833"/>
      <c r="AT35" s="1301" t="s">
        <v>383</v>
      </c>
      <c r="AU35" s="1301"/>
      <c r="AV35" s="1301"/>
      <c r="AW35" s="833"/>
      <c r="AX35" s="833"/>
      <c r="AY35" s="833"/>
      <c r="AZ35" s="833"/>
      <c r="BA35" s="833"/>
      <c r="BB35" s="833"/>
      <c r="BC35" s="833"/>
      <c r="BD35" s="834"/>
      <c r="BE35" s="833"/>
      <c r="BF35" s="1301" t="s">
        <v>384</v>
      </c>
      <c r="BG35" s="1301"/>
      <c r="BH35" s="1301"/>
      <c r="BI35" s="833"/>
      <c r="BJ35" s="833"/>
      <c r="BK35" s="833"/>
      <c r="BL35" s="833"/>
      <c r="BM35" s="833"/>
      <c r="BN35" s="833"/>
      <c r="BO35" s="833"/>
      <c r="BP35" s="834"/>
    </row>
    <row r="36" spans="1:68" s="819" customFormat="1" ht="15.75">
      <c r="A36" s="686"/>
      <c r="B36" s="292"/>
      <c r="C36" s="293"/>
      <c r="D36" s="296"/>
      <c r="E36" s="1055"/>
      <c r="G36" s="820"/>
      <c r="H36" s="820"/>
      <c r="I36" s="833"/>
      <c r="J36" s="1295" t="s">
        <v>376</v>
      </c>
      <c r="K36" s="1296"/>
      <c r="L36" s="1153">
        <v>25</v>
      </c>
      <c r="N36" s="833"/>
      <c r="O36" s="833"/>
      <c r="P36" s="833"/>
      <c r="Q36" s="833"/>
      <c r="R36" s="833"/>
      <c r="S36" s="833"/>
      <c r="T36" s="834"/>
      <c r="U36" s="833"/>
      <c r="V36" s="1295" t="s">
        <v>376</v>
      </c>
      <c r="W36" s="1296"/>
      <c r="X36" s="1153">
        <v>25</v>
      </c>
      <c r="Y36" s="833"/>
      <c r="Z36" s="833"/>
      <c r="AA36" s="833"/>
      <c r="AB36" s="833"/>
      <c r="AC36" s="833"/>
      <c r="AD36" s="833"/>
      <c r="AE36" s="833"/>
      <c r="AF36" s="834"/>
      <c r="AG36" s="833"/>
      <c r="AH36" s="1295" t="s">
        <v>376</v>
      </c>
      <c r="AI36" s="1296"/>
      <c r="AJ36" s="1153">
        <v>25</v>
      </c>
      <c r="AK36" s="833"/>
      <c r="AL36" s="833"/>
      <c r="AM36" s="833"/>
      <c r="AN36" s="833"/>
      <c r="AO36" s="833"/>
      <c r="AP36" s="833"/>
      <c r="AQ36" s="833"/>
      <c r="AR36" s="834"/>
      <c r="AS36" s="833"/>
      <c r="AT36" s="1295" t="s">
        <v>376</v>
      </c>
      <c r="AU36" s="1296"/>
      <c r="AV36" s="1153">
        <v>0</v>
      </c>
      <c r="AW36" s="833"/>
      <c r="AX36" s="833"/>
      <c r="AY36" s="833"/>
      <c r="AZ36" s="833"/>
      <c r="BA36" s="833"/>
      <c r="BB36" s="833"/>
      <c r="BC36" s="833"/>
      <c r="BD36" s="834"/>
      <c r="BE36" s="833"/>
      <c r="BF36" s="1295" t="s">
        <v>376</v>
      </c>
      <c r="BG36" s="1296"/>
      <c r="BH36" s="1153">
        <v>0</v>
      </c>
      <c r="BI36" s="833"/>
      <c r="BJ36" s="833"/>
      <c r="BK36" s="833"/>
      <c r="BL36" s="833"/>
      <c r="BM36" s="833"/>
      <c r="BN36" s="833"/>
      <c r="BO36" s="833"/>
      <c r="BP36" s="834"/>
    </row>
    <row r="37" spans="1:68" s="819" customFormat="1" ht="16.5" customHeight="1">
      <c r="A37" s="1152"/>
      <c r="B37" s="292"/>
      <c r="C37" s="293"/>
      <c r="D37" s="296"/>
      <c r="E37" s="1055"/>
      <c r="G37" s="820"/>
      <c r="H37" s="820"/>
      <c r="I37" s="833"/>
      <c r="J37" s="1297" t="s">
        <v>241</v>
      </c>
      <c r="K37" s="1298"/>
      <c r="L37" s="1154">
        <v>375</v>
      </c>
      <c r="N37" s="833"/>
      <c r="O37" s="833"/>
      <c r="P37" s="833"/>
      <c r="Q37" s="833"/>
      <c r="R37" s="833"/>
      <c r="S37" s="833"/>
      <c r="T37" s="834"/>
      <c r="U37" s="833"/>
      <c r="V37" s="1297" t="s">
        <v>241</v>
      </c>
      <c r="W37" s="1298"/>
      <c r="X37" s="1154">
        <v>375</v>
      </c>
      <c r="Y37" s="833"/>
      <c r="Z37" s="833"/>
      <c r="AA37" s="833"/>
      <c r="AB37" s="833"/>
      <c r="AC37" s="833"/>
      <c r="AD37" s="833"/>
      <c r="AE37" s="833"/>
      <c r="AF37" s="834"/>
      <c r="AG37" s="833"/>
      <c r="AH37" s="1297" t="s">
        <v>241</v>
      </c>
      <c r="AI37" s="1298"/>
      <c r="AJ37" s="1154">
        <v>375</v>
      </c>
      <c r="AK37" s="833"/>
      <c r="AL37" s="833"/>
      <c r="AM37" s="833"/>
      <c r="AN37" s="833"/>
      <c r="AO37" s="833"/>
      <c r="AP37" s="833"/>
      <c r="AQ37" s="833"/>
      <c r="AR37" s="834"/>
      <c r="AS37" s="833"/>
      <c r="AT37" s="1297" t="s">
        <v>241</v>
      </c>
      <c r="AU37" s="1298"/>
      <c r="AV37" s="1154">
        <v>375</v>
      </c>
      <c r="AW37" s="833"/>
      <c r="AX37" s="833"/>
      <c r="AY37" s="833"/>
      <c r="AZ37" s="833"/>
      <c r="BA37" s="833"/>
      <c r="BB37" s="833"/>
      <c r="BC37" s="833"/>
      <c r="BD37" s="834"/>
      <c r="BE37" s="833"/>
      <c r="BF37" s="1297" t="s">
        <v>241</v>
      </c>
      <c r="BG37" s="1298"/>
      <c r="BH37" s="1154">
        <v>250</v>
      </c>
      <c r="BI37" s="833"/>
      <c r="BJ37" s="833"/>
      <c r="BK37" s="833"/>
      <c r="BL37" s="833"/>
      <c r="BM37" s="833"/>
      <c r="BN37" s="833"/>
      <c r="BO37" s="833"/>
      <c r="BP37" s="834"/>
    </row>
    <row r="38" spans="1:68" s="61" customFormat="1" ht="16.5" customHeight="1">
      <c r="B38" s="292"/>
      <c r="C38" s="293"/>
      <c r="D38" s="1146"/>
      <c r="E38" s="1055"/>
      <c r="G38" s="148"/>
      <c r="H38" s="148"/>
      <c r="I38" s="181"/>
      <c r="J38" s="1297" t="s">
        <v>243</v>
      </c>
      <c r="K38" s="1298"/>
      <c r="L38" s="1154">
        <v>200</v>
      </c>
      <c r="N38" s="181"/>
      <c r="O38" s="181"/>
      <c r="P38" s="181"/>
      <c r="Q38" s="181"/>
      <c r="R38" s="181"/>
      <c r="S38" s="181"/>
      <c r="T38" s="182"/>
      <c r="U38" s="181"/>
      <c r="V38" s="1297" t="s">
        <v>243</v>
      </c>
      <c r="W38" s="1298"/>
      <c r="X38" s="1154">
        <v>200</v>
      </c>
      <c r="Y38" s="181"/>
      <c r="Z38" s="181"/>
      <c r="AA38" s="181"/>
      <c r="AB38" s="181"/>
      <c r="AC38" s="181"/>
      <c r="AD38" s="181"/>
      <c r="AE38" s="181"/>
      <c r="AF38" s="182"/>
      <c r="AG38" s="181"/>
      <c r="AH38" s="1297" t="s">
        <v>243</v>
      </c>
      <c r="AI38" s="1298"/>
      <c r="AJ38" s="1154">
        <v>200</v>
      </c>
      <c r="AK38" s="181"/>
      <c r="AL38" s="181"/>
      <c r="AM38" s="181"/>
      <c r="AN38" s="181"/>
      <c r="AO38" s="181"/>
      <c r="AP38" s="181"/>
      <c r="AQ38" s="181"/>
      <c r="AR38" s="182"/>
      <c r="AS38" s="181"/>
      <c r="AT38" s="1297" t="s">
        <v>243</v>
      </c>
      <c r="AU38" s="1298"/>
      <c r="AV38" s="1154">
        <v>200</v>
      </c>
      <c r="AW38" s="181"/>
      <c r="AX38" s="181"/>
      <c r="AY38" s="181"/>
      <c r="AZ38" s="181"/>
      <c r="BA38" s="181"/>
      <c r="BB38" s="181"/>
      <c r="BC38" s="181"/>
      <c r="BD38" s="182"/>
      <c r="BE38" s="181"/>
      <c r="BF38" s="1297" t="s">
        <v>243</v>
      </c>
      <c r="BG38" s="1298"/>
      <c r="BH38" s="1154">
        <v>100</v>
      </c>
      <c r="BI38" s="181"/>
      <c r="BJ38" s="181"/>
      <c r="BK38" s="181"/>
      <c r="BL38" s="181"/>
      <c r="BM38" s="181"/>
      <c r="BN38" s="181"/>
      <c r="BO38" s="181"/>
      <c r="BP38" s="182"/>
    </row>
    <row r="39" spans="1:68" s="1147" customFormat="1" ht="16.5" customHeight="1">
      <c r="E39" s="1150"/>
      <c r="G39" s="1148"/>
      <c r="H39" s="1148"/>
      <c r="J39" s="1299" t="s">
        <v>242</v>
      </c>
      <c r="K39" s="1300"/>
      <c r="L39" s="1155">
        <v>50</v>
      </c>
      <c r="T39" s="1170"/>
      <c r="V39" s="1299" t="s">
        <v>242</v>
      </c>
      <c r="W39" s="1300"/>
      <c r="X39" s="1155">
        <v>50</v>
      </c>
      <c r="AF39" s="1170"/>
      <c r="AH39" s="1299" t="s">
        <v>242</v>
      </c>
      <c r="AI39" s="1300"/>
      <c r="AJ39" s="1155">
        <v>50</v>
      </c>
      <c r="AR39" s="1170"/>
      <c r="AT39" s="1299" t="s">
        <v>242</v>
      </c>
      <c r="AU39" s="1300"/>
      <c r="AV39" s="1155">
        <v>50</v>
      </c>
      <c r="BD39" s="1170"/>
      <c r="BF39" s="1299" t="s">
        <v>242</v>
      </c>
      <c r="BG39" s="1300"/>
      <c r="BH39" s="1155">
        <v>50</v>
      </c>
      <c r="BP39" s="1170"/>
    </row>
    <row r="40" spans="1:68" s="1147" customFormat="1" ht="15.75" customHeight="1">
      <c r="E40" s="1150"/>
      <c r="G40" s="1148"/>
      <c r="H40" s="1148"/>
      <c r="I40" s="1149"/>
      <c r="T40" s="1170"/>
      <c r="AF40" s="1170"/>
      <c r="AR40" s="1170"/>
      <c r="BD40" s="1170"/>
      <c r="BP40" s="1170"/>
    </row>
    <row r="41" spans="1:68" s="1162" customFormat="1" ht="17.25" customHeight="1">
      <c r="A41" s="1159"/>
      <c r="B41" s="1302" t="s">
        <v>241</v>
      </c>
      <c r="C41" s="1302"/>
      <c r="D41" s="1160">
        <v>0.25</v>
      </c>
      <c r="E41" s="1161"/>
      <c r="I41" s="1162">
        <f>D41</f>
        <v>0.25</v>
      </c>
      <c r="J41" s="1162">
        <f>1-J42-J43</f>
        <v>0.24944</v>
      </c>
      <c r="K41" s="1162">
        <f t="shared" ref="K41:BP41" si="0">1-K42-K43</f>
        <v>0.24887999999999999</v>
      </c>
      <c r="L41" s="1162">
        <f t="shared" si="0"/>
        <v>0.24831999999999999</v>
      </c>
      <c r="M41" s="1162">
        <f t="shared" si="0"/>
        <v>0.24775999999999998</v>
      </c>
      <c r="N41" s="1162">
        <f t="shared" si="0"/>
        <v>0.24719999999999998</v>
      </c>
      <c r="O41" s="1162">
        <f t="shared" si="0"/>
        <v>0.24663999999999997</v>
      </c>
      <c r="P41" s="1162">
        <f t="shared" si="0"/>
        <v>0.24607999999999997</v>
      </c>
      <c r="Q41" s="1162">
        <f t="shared" si="0"/>
        <v>0.24551999999999996</v>
      </c>
      <c r="R41" s="1162">
        <f t="shared" si="0"/>
        <v>0.24495999999999996</v>
      </c>
      <c r="S41" s="1162">
        <f t="shared" si="0"/>
        <v>0.24439999999999995</v>
      </c>
      <c r="T41" s="1171">
        <f t="shared" si="0"/>
        <v>0.24383999999999995</v>
      </c>
      <c r="U41" s="1162">
        <f t="shared" si="0"/>
        <v>0.24327999999999994</v>
      </c>
      <c r="V41" s="1162">
        <f t="shared" si="0"/>
        <v>0.24271999999999994</v>
      </c>
      <c r="W41" s="1162">
        <f t="shared" si="0"/>
        <v>0.24215999999999993</v>
      </c>
      <c r="X41" s="1162">
        <f t="shared" si="0"/>
        <v>0.24159999999999993</v>
      </c>
      <c r="Y41" s="1162">
        <f t="shared" si="0"/>
        <v>0.24103999999999992</v>
      </c>
      <c r="Z41" s="1162">
        <f t="shared" si="0"/>
        <v>0.24047999999999992</v>
      </c>
      <c r="AA41" s="1162">
        <f t="shared" si="0"/>
        <v>0.23991999999999991</v>
      </c>
      <c r="AB41" s="1162">
        <f t="shared" si="0"/>
        <v>0.23935999999999991</v>
      </c>
      <c r="AC41" s="1162">
        <f t="shared" si="0"/>
        <v>0.2387999999999999</v>
      </c>
      <c r="AD41" s="1162">
        <f t="shared" si="0"/>
        <v>0.2382399999999999</v>
      </c>
      <c r="AE41" s="1162">
        <f t="shared" si="0"/>
        <v>0.23767999999999989</v>
      </c>
      <c r="AF41" s="1171">
        <f t="shared" si="0"/>
        <v>0.23711999999999989</v>
      </c>
      <c r="AG41" s="1162">
        <f t="shared" si="0"/>
        <v>0.23655999999999988</v>
      </c>
      <c r="AH41" s="1162">
        <f t="shared" si="0"/>
        <v>0.23599999999999988</v>
      </c>
      <c r="AI41" s="1162">
        <f t="shared" si="0"/>
        <v>0.23543999999999987</v>
      </c>
      <c r="AJ41" s="1162">
        <f t="shared" si="0"/>
        <v>0.23487999999999987</v>
      </c>
      <c r="AK41" s="1162">
        <f t="shared" si="0"/>
        <v>0.23431999999999986</v>
      </c>
      <c r="AL41" s="1162">
        <f t="shared" si="0"/>
        <v>0.23375999999999986</v>
      </c>
      <c r="AM41" s="1162">
        <f t="shared" si="0"/>
        <v>0.23319999999999985</v>
      </c>
      <c r="AN41" s="1162">
        <f t="shared" si="0"/>
        <v>0.23263999999999985</v>
      </c>
      <c r="AO41" s="1162">
        <f t="shared" si="0"/>
        <v>0.23207999999999984</v>
      </c>
      <c r="AP41" s="1162">
        <f t="shared" si="0"/>
        <v>0.23151999999999984</v>
      </c>
      <c r="AQ41" s="1162">
        <f t="shared" si="0"/>
        <v>0.23095999999999983</v>
      </c>
      <c r="AR41" s="1171">
        <f t="shared" si="0"/>
        <v>0.23039999999999983</v>
      </c>
      <c r="AS41" s="1162">
        <f t="shared" si="0"/>
        <v>0.22983999999999982</v>
      </c>
      <c r="AT41" s="1162">
        <f t="shared" si="0"/>
        <v>0.22927999999999982</v>
      </c>
      <c r="AU41" s="1162">
        <f t="shared" si="0"/>
        <v>0.22871999999999981</v>
      </c>
      <c r="AV41" s="1162">
        <f t="shared" si="0"/>
        <v>0.22815999999999981</v>
      </c>
      <c r="AW41" s="1162">
        <f t="shared" si="0"/>
        <v>0.2275999999999998</v>
      </c>
      <c r="AX41" s="1162">
        <f t="shared" si="0"/>
        <v>0.2270399999999998</v>
      </c>
      <c r="AY41" s="1162">
        <f t="shared" si="0"/>
        <v>0.22647999999999979</v>
      </c>
      <c r="AZ41" s="1162">
        <f t="shared" si="0"/>
        <v>0.22591999999999979</v>
      </c>
      <c r="BA41" s="1162">
        <f t="shared" si="0"/>
        <v>0.22535999999999978</v>
      </c>
      <c r="BB41" s="1162">
        <f t="shared" si="0"/>
        <v>0.22479999999999978</v>
      </c>
      <c r="BC41" s="1162">
        <f t="shared" si="0"/>
        <v>0.22423999999999977</v>
      </c>
      <c r="BD41" s="1171">
        <f t="shared" si="0"/>
        <v>0.22367999999999977</v>
      </c>
      <c r="BE41" s="1162">
        <f t="shared" si="0"/>
        <v>0.22311999999999976</v>
      </c>
      <c r="BF41" s="1162">
        <f t="shared" si="0"/>
        <v>0.22255999999999976</v>
      </c>
      <c r="BG41" s="1162">
        <f t="shared" si="0"/>
        <v>0.22199999999999975</v>
      </c>
      <c r="BH41" s="1162">
        <f t="shared" si="0"/>
        <v>0.22143999999999975</v>
      </c>
      <c r="BI41" s="1162">
        <f t="shared" si="0"/>
        <v>0.22087999999999974</v>
      </c>
      <c r="BJ41" s="1162">
        <f t="shared" si="0"/>
        <v>0.22031999999999974</v>
      </c>
      <c r="BK41" s="1162">
        <f t="shared" si="0"/>
        <v>0.21975999999999973</v>
      </c>
      <c r="BL41" s="1162">
        <f t="shared" si="0"/>
        <v>0.21919999999999973</v>
      </c>
      <c r="BM41" s="1162">
        <f t="shared" si="0"/>
        <v>0.21863999999999972</v>
      </c>
      <c r="BN41" s="1162">
        <f t="shared" si="0"/>
        <v>0.21807999999999972</v>
      </c>
      <c r="BO41" s="1162">
        <f t="shared" si="0"/>
        <v>0.21751999999999971</v>
      </c>
      <c r="BP41" s="1171">
        <f t="shared" si="0"/>
        <v>0.21695999999999971</v>
      </c>
    </row>
    <row r="42" spans="1:68" s="1157" customFormat="1" ht="18" customHeight="1">
      <c r="A42" s="1163"/>
      <c r="B42" s="1303" t="s">
        <v>243</v>
      </c>
      <c r="C42" s="1303"/>
      <c r="D42" s="1156">
        <v>0.5</v>
      </c>
      <c r="E42" s="1158"/>
      <c r="I42" s="1157">
        <f>D42</f>
        <v>0.5</v>
      </c>
      <c r="J42" s="1157">
        <f>I42+0.0002</f>
        <v>0.50019999999999998</v>
      </c>
      <c r="K42" s="1157">
        <f t="shared" ref="K42:BP42" si="1">J42+0.0002</f>
        <v>0.50039999999999996</v>
      </c>
      <c r="L42" s="1157">
        <f t="shared" si="1"/>
        <v>0.50059999999999993</v>
      </c>
      <c r="M42" s="1157">
        <f t="shared" si="1"/>
        <v>0.50079999999999991</v>
      </c>
      <c r="N42" s="1157">
        <f t="shared" si="1"/>
        <v>0.50099999999999989</v>
      </c>
      <c r="O42" s="1157">
        <f t="shared" si="1"/>
        <v>0.50119999999999987</v>
      </c>
      <c r="P42" s="1157">
        <f t="shared" si="1"/>
        <v>0.50139999999999985</v>
      </c>
      <c r="Q42" s="1157">
        <f t="shared" si="1"/>
        <v>0.50159999999999982</v>
      </c>
      <c r="R42" s="1157">
        <f t="shared" si="1"/>
        <v>0.5017999999999998</v>
      </c>
      <c r="S42" s="1157">
        <f t="shared" si="1"/>
        <v>0.50199999999999978</v>
      </c>
      <c r="T42" s="1172">
        <f t="shared" si="1"/>
        <v>0.50219999999999976</v>
      </c>
      <c r="U42" s="1157">
        <f t="shared" si="1"/>
        <v>0.50239999999999974</v>
      </c>
      <c r="V42" s="1157">
        <f t="shared" si="1"/>
        <v>0.50259999999999971</v>
      </c>
      <c r="W42" s="1157">
        <f t="shared" si="1"/>
        <v>0.50279999999999969</v>
      </c>
      <c r="X42" s="1157">
        <f t="shared" si="1"/>
        <v>0.50299999999999967</v>
      </c>
      <c r="Y42" s="1157">
        <f t="shared" si="1"/>
        <v>0.50319999999999965</v>
      </c>
      <c r="Z42" s="1157">
        <f t="shared" si="1"/>
        <v>0.50339999999999963</v>
      </c>
      <c r="AA42" s="1157">
        <f t="shared" si="1"/>
        <v>0.5035999999999996</v>
      </c>
      <c r="AB42" s="1157">
        <f t="shared" si="1"/>
        <v>0.50379999999999958</v>
      </c>
      <c r="AC42" s="1157">
        <f t="shared" si="1"/>
        <v>0.50399999999999956</v>
      </c>
      <c r="AD42" s="1157">
        <f t="shared" si="1"/>
        <v>0.50419999999999954</v>
      </c>
      <c r="AE42" s="1157">
        <f t="shared" si="1"/>
        <v>0.50439999999999952</v>
      </c>
      <c r="AF42" s="1172">
        <f t="shared" si="1"/>
        <v>0.50459999999999949</v>
      </c>
      <c r="AG42" s="1157">
        <f t="shared" si="1"/>
        <v>0.50479999999999947</v>
      </c>
      <c r="AH42" s="1157">
        <f t="shared" si="1"/>
        <v>0.50499999999999945</v>
      </c>
      <c r="AI42" s="1157">
        <f t="shared" si="1"/>
        <v>0.50519999999999943</v>
      </c>
      <c r="AJ42" s="1157">
        <f t="shared" si="1"/>
        <v>0.50539999999999941</v>
      </c>
      <c r="AK42" s="1157">
        <f t="shared" si="1"/>
        <v>0.50559999999999938</v>
      </c>
      <c r="AL42" s="1157">
        <f t="shared" si="1"/>
        <v>0.50579999999999936</v>
      </c>
      <c r="AM42" s="1157">
        <f t="shared" si="1"/>
        <v>0.50599999999999934</v>
      </c>
      <c r="AN42" s="1157">
        <f t="shared" si="1"/>
        <v>0.50619999999999932</v>
      </c>
      <c r="AO42" s="1157">
        <f t="shared" si="1"/>
        <v>0.5063999999999993</v>
      </c>
      <c r="AP42" s="1157">
        <f t="shared" si="1"/>
        <v>0.50659999999999927</v>
      </c>
      <c r="AQ42" s="1157">
        <f t="shared" si="1"/>
        <v>0.50679999999999925</v>
      </c>
      <c r="AR42" s="1172">
        <f t="shared" si="1"/>
        <v>0.50699999999999923</v>
      </c>
      <c r="AS42" s="1157">
        <f t="shared" si="1"/>
        <v>0.50719999999999921</v>
      </c>
      <c r="AT42" s="1157">
        <f t="shared" si="1"/>
        <v>0.50739999999999919</v>
      </c>
      <c r="AU42" s="1157">
        <f t="shared" si="1"/>
        <v>0.50759999999999916</v>
      </c>
      <c r="AV42" s="1157">
        <f t="shared" si="1"/>
        <v>0.50779999999999914</v>
      </c>
      <c r="AW42" s="1157">
        <f t="shared" si="1"/>
        <v>0.50799999999999912</v>
      </c>
      <c r="AX42" s="1157">
        <f t="shared" si="1"/>
        <v>0.5081999999999991</v>
      </c>
      <c r="AY42" s="1157">
        <f t="shared" si="1"/>
        <v>0.50839999999999907</v>
      </c>
      <c r="AZ42" s="1157">
        <f t="shared" si="1"/>
        <v>0.50859999999999905</v>
      </c>
      <c r="BA42" s="1157">
        <f t="shared" si="1"/>
        <v>0.50879999999999903</v>
      </c>
      <c r="BB42" s="1157">
        <f t="shared" si="1"/>
        <v>0.50899999999999901</v>
      </c>
      <c r="BC42" s="1157">
        <f t="shared" si="1"/>
        <v>0.50919999999999899</v>
      </c>
      <c r="BD42" s="1172">
        <f t="shared" si="1"/>
        <v>0.50939999999999896</v>
      </c>
      <c r="BE42" s="1157">
        <f t="shared" si="1"/>
        <v>0.50959999999999894</v>
      </c>
      <c r="BF42" s="1157">
        <f t="shared" si="1"/>
        <v>0.50979999999999892</v>
      </c>
      <c r="BG42" s="1157">
        <f t="shared" si="1"/>
        <v>0.5099999999999989</v>
      </c>
      <c r="BH42" s="1157">
        <f t="shared" si="1"/>
        <v>0.51019999999999888</v>
      </c>
      <c r="BI42" s="1157">
        <f t="shared" si="1"/>
        <v>0.51039999999999885</v>
      </c>
      <c r="BJ42" s="1157">
        <f t="shared" si="1"/>
        <v>0.51059999999999883</v>
      </c>
      <c r="BK42" s="1157">
        <f t="shared" si="1"/>
        <v>0.51079999999999881</v>
      </c>
      <c r="BL42" s="1157">
        <f t="shared" si="1"/>
        <v>0.51099999999999879</v>
      </c>
      <c r="BM42" s="1157">
        <f t="shared" si="1"/>
        <v>0.51119999999999877</v>
      </c>
      <c r="BN42" s="1157">
        <f t="shared" si="1"/>
        <v>0.51139999999999874</v>
      </c>
      <c r="BO42" s="1157">
        <f t="shared" si="1"/>
        <v>0.51159999999999872</v>
      </c>
      <c r="BP42" s="1172">
        <f t="shared" si="1"/>
        <v>0.5117999999999987</v>
      </c>
    </row>
    <row r="43" spans="1:68" s="1167" customFormat="1" ht="13.5" customHeight="1">
      <c r="A43" s="1164"/>
      <c r="B43" s="1304" t="s">
        <v>242</v>
      </c>
      <c r="C43" s="1304"/>
      <c r="D43" s="1165">
        <v>0.25</v>
      </c>
      <c r="E43" s="1166"/>
      <c r="I43" s="1167">
        <f>D43</f>
        <v>0.25</v>
      </c>
      <c r="J43" s="1169">
        <f>I43+0.00036</f>
        <v>0.25036000000000003</v>
      </c>
      <c r="K43" s="1167">
        <f t="shared" ref="K43:BP43" si="2">J43+0.00036</f>
        <v>0.25072000000000005</v>
      </c>
      <c r="L43" s="1167">
        <f t="shared" si="2"/>
        <v>0.25108000000000008</v>
      </c>
      <c r="M43" s="1167">
        <f t="shared" si="2"/>
        <v>0.25144000000000011</v>
      </c>
      <c r="N43" s="1167">
        <f t="shared" si="2"/>
        <v>0.25180000000000013</v>
      </c>
      <c r="O43" s="1167">
        <f t="shared" si="2"/>
        <v>0.25216000000000016</v>
      </c>
      <c r="P43" s="1167">
        <f t="shared" si="2"/>
        <v>0.25252000000000019</v>
      </c>
      <c r="Q43" s="1167">
        <f t="shared" si="2"/>
        <v>0.25288000000000022</v>
      </c>
      <c r="R43" s="1167">
        <f t="shared" si="2"/>
        <v>0.25324000000000024</v>
      </c>
      <c r="S43" s="1167">
        <f t="shared" si="2"/>
        <v>0.25360000000000027</v>
      </c>
      <c r="T43" s="1168">
        <f t="shared" si="2"/>
        <v>0.2539600000000003</v>
      </c>
      <c r="U43" s="1167">
        <f t="shared" si="2"/>
        <v>0.25432000000000032</v>
      </c>
      <c r="V43" s="1167">
        <f t="shared" si="2"/>
        <v>0.25468000000000035</v>
      </c>
      <c r="W43" s="1167">
        <f t="shared" si="2"/>
        <v>0.25504000000000038</v>
      </c>
      <c r="X43" s="1167">
        <f t="shared" si="2"/>
        <v>0.2554000000000004</v>
      </c>
      <c r="Y43" s="1167">
        <f t="shared" si="2"/>
        <v>0.25576000000000043</v>
      </c>
      <c r="Z43" s="1167">
        <f t="shared" si="2"/>
        <v>0.25612000000000046</v>
      </c>
      <c r="AA43" s="1167">
        <f t="shared" si="2"/>
        <v>0.25648000000000049</v>
      </c>
      <c r="AB43" s="1167">
        <f t="shared" si="2"/>
        <v>0.25684000000000051</v>
      </c>
      <c r="AC43" s="1167">
        <f t="shared" si="2"/>
        <v>0.25720000000000054</v>
      </c>
      <c r="AD43" s="1167">
        <f t="shared" si="2"/>
        <v>0.25756000000000057</v>
      </c>
      <c r="AE43" s="1167">
        <f t="shared" si="2"/>
        <v>0.25792000000000059</v>
      </c>
      <c r="AF43" s="1168">
        <f t="shared" si="2"/>
        <v>0.25828000000000062</v>
      </c>
      <c r="AG43" s="1167">
        <f t="shared" si="2"/>
        <v>0.25864000000000065</v>
      </c>
      <c r="AH43" s="1167">
        <f t="shared" si="2"/>
        <v>0.25900000000000067</v>
      </c>
      <c r="AI43" s="1167">
        <f t="shared" si="2"/>
        <v>0.2593600000000007</v>
      </c>
      <c r="AJ43" s="1167">
        <f t="shared" si="2"/>
        <v>0.25972000000000073</v>
      </c>
      <c r="AK43" s="1167">
        <f t="shared" si="2"/>
        <v>0.26008000000000076</v>
      </c>
      <c r="AL43" s="1167">
        <f t="shared" si="2"/>
        <v>0.26044000000000078</v>
      </c>
      <c r="AM43" s="1167">
        <f t="shared" si="2"/>
        <v>0.26080000000000081</v>
      </c>
      <c r="AN43" s="1167">
        <f t="shared" si="2"/>
        <v>0.26116000000000084</v>
      </c>
      <c r="AO43" s="1167">
        <f t="shared" si="2"/>
        <v>0.26152000000000086</v>
      </c>
      <c r="AP43" s="1167">
        <f t="shared" si="2"/>
        <v>0.26188000000000089</v>
      </c>
      <c r="AQ43" s="1167">
        <f t="shared" si="2"/>
        <v>0.26224000000000092</v>
      </c>
      <c r="AR43" s="1168">
        <f t="shared" si="2"/>
        <v>0.26260000000000094</v>
      </c>
      <c r="AS43" s="1167">
        <f t="shared" si="2"/>
        <v>0.26296000000000097</v>
      </c>
      <c r="AT43" s="1167">
        <f t="shared" si="2"/>
        <v>0.263320000000001</v>
      </c>
      <c r="AU43" s="1167">
        <f t="shared" si="2"/>
        <v>0.26368000000000102</v>
      </c>
      <c r="AV43" s="1167">
        <f t="shared" si="2"/>
        <v>0.26404000000000105</v>
      </c>
      <c r="AW43" s="1167">
        <f t="shared" si="2"/>
        <v>0.26440000000000108</v>
      </c>
      <c r="AX43" s="1167">
        <f t="shared" si="2"/>
        <v>0.26476000000000111</v>
      </c>
      <c r="AY43" s="1167">
        <f t="shared" si="2"/>
        <v>0.26512000000000113</v>
      </c>
      <c r="AZ43" s="1167">
        <f t="shared" si="2"/>
        <v>0.26548000000000116</v>
      </c>
      <c r="BA43" s="1167">
        <f t="shared" si="2"/>
        <v>0.26584000000000119</v>
      </c>
      <c r="BB43" s="1167">
        <f t="shared" si="2"/>
        <v>0.26620000000000121</v>
      </c>
      <c r="BC43" s="1167">
        <f t="shared" si="2"/>
        <v>0.26656000000000124</v>
      </c>
      <c r="BD43" s="1168">
        <f t="shared" si="2"/>
        <v>0.26692000000000127</v>
      </c>
      <c r="BE43" s="1167">
        <f t="shared" si="2"/>
        <v>0.26728000000000129</v>
      </c>
      <c r="BF43" s="1167">
        <f t="shared" si="2"/>
        <v>0.26764000000000132</v>
      </c>
      <c r="BG43" s="1167">
        <f t="shared" si="2"/>
        <v>0.26800000000000135</v>
      </c>
      <c r="BH43" s="1167">
        <f t="shared" si="2"/>
        <v>0.26836000000000138</v>
      </c>
      <c r="BI43" s="1167">
        <f t="shared" si="2"/>
        <v>0.2687200000000014</v>
      </c>
      <c r="BJ43" s="1167">
        <f t="shared" si="2"/>
        <v>0.26908000000000143</v>
      </c>
      <c r="BK43" s="1167">
        <f t="shared" si="2"/>
        <v>0.26944000000000146</v>
      </c>
      <c r="BL43" s="1167">
        <f t="shared" si="2"/>
        <v>0.26980000000000148</v>
      </c>
      <c r="BM43" s="1167">
        <f t="shared" si="2"/>
        <v>0.27016000000000151</v>
      </c>
      <c r="BN43" s="1167">
        <f t="shared" si="2"/>
        <v>0.27052000000000154</v>
      </c>
      <c r="BO43" s="1167">
        <f t="shared" si="2"/>
        <v>0.27088000000000156</v>
      </c>
      <c r="BP43" s="1168">
        <f t="shared" si="2"/>
        <v>0.27124000000000159</v>
      </c>
    </row>
    <row r="44" spans="1:68" s="183" customFormat="1" ht="21" customHeight="1">
      <c r="A44" s="1074"/>
      <c r="B44" s="1075"/>
      <c r="C44" s="1076"/>
      <c r="D44" s="1151"/>
      <c r="E44" s="1151"/>
      <c r="G44" s="184"/>
      <c r="H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6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6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6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6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6"/>
    </row>
    <row r="45" spans="1:68" s="61" customFormat="1" ht="15">
      <c r="A45" s="686" t="s">
        <v>317</v>
      </c>
      <c r="B45" s="292"/>
      <c r="C45" s="293"/>
      <c r="T45" s="182"/>
      <c r="AF45" s="182"/>
      <c r="AR45" s="182"/>
      <c r="BD45" s="182"/>
      <c r="BP45" s="182"/>
    </row>
    <row r="46" spans="1:68" s="639" customFormat="1">
      <c r="A46" s="1305" t="s">
        <v>200</v>
      </c>
      <c r="B46" s="1306"/>
      <c r="C46" s="626" t="s">
        <v>301</v>
      </c>
      <c r="D46" s="627">
        <v>400</v>
      </c>
      <c r="E46" s="628" t="s">
        <v>77</v>
      </c>
      <c r="F46" s="639" t="s">
        <v>78</v>
      </c>
      <c r="G46" s="640">
        <v>2445.6099999999997</v>
      </c>
      <c r="H46" s="640">
        <v>2623.0599999999995</v>
      </c>
      <c r="I46" s="641">
        <f t="shared" ref="I46:AN46" si="3">I52*$D46</f>
        <v>0</v>
      </c>
      <c r="J46" s="641">
        <f t="shared" si="3"/>
        <v>0</v>
      </c>
      <c r="K46" s="641">
        <f t="shared" si="3"/>
        <v>0</v>
      </c>
      <c r="L46" s="641">
        <f t="shared" si="3"/>
        <v>0</v>
      </c>
      <c r="M46" s="641">
        <f t="shared" si="3"/>
        <v>0</v>
      </c>
      <c r="N46" s="641">
        <f t="shared" si="3"/>
        <v>0</v>
      </c>
      <c r="O46" s="641">
        <f t="shared" si="3"/>
        <v>0</v>
      </c>
      <c r="P46" s="641">
        <f t="shared" si="3"/>
        <v>0</v>
      </c>
      <c r="Q46" s="641">
        <f t="shared" si="3"/>
        <v>0</v>
      </c>
      <c r="R46" s="641">
        <f t="shared" si="3"/>
        <v>0</v>
      </c>
      <c r="S46" s="641">
        <f t="shared" si="3"/>
        <v>0</v>
      </c>
      <c r="T46" s="642">
        <f t="shared" si="3"/>
        <v>0</v>
      </c>
      <c r="U46" s="641">
        <f t="shared" si="3"/>
        <v>0</v>
      </c>
      <c r="V46" s="641">
        <f t="shared" si="3"/>
        <v>400</v>
      </c>
      <c r="W46" s="641">
        <f t="shared" si="3"/>
        <v>400</v>
      </c>
      <c r="X46" s="641">
        <f t="shared" si="3"/>
        <v>400</v>
      </c>
      <c r="Y46" s="641">
        <f t="shared" si="3"/>
        <v>400</v>
      </c>
      <c r="Z46" s="641">
        <f t="shared" si="3"/>
        <v>400</v>
      </c>
      <c r="AA46" s="641">
        <f t="shared" si="3"/>
        <v>400</v>
      </c>
      <c r="AB46" s="641">
        <f t="shared" si="3"/>
        <v>400</v>
      </c>
      <c r="AC46" s="641">
        <f t="shared" si="3"/>
        <v>400</v>
      </c>
      <c r="AD46" s="641">
        <f t="shared" si="3"/>
        <v>400</v>
      </c>
      <c r="AE46" s="641">
        <f t="shared" si="3"/>
        <v>400</v>
      </c>
      <c r="AF46" s="642">
        <f t="shared" si="3"/>
        <v>400</v>
      </c>
      <c r="AG46" s="641">
        <f t="shared" si="3"/>
        <v>400</v>
      </c>
      <c r="AH46" s="641">
        <f t="shared" si="3"/>
        <v>400</v>
      </c>
      <c r="AI46" s="641">
        <f t="shared" si="3"/>
        <v>400</v>
      </c>
      <c r="AJ46" s="641">
        <f t="shared" si="3"/>
        <v>400</v>
      </c>
      <c r="AK46" s="641">
        <f t="shared" si="3"/>
        <v>400</v>
      </c>
      <c r="AL46" s="641">
        <f t="shared" si="3"/>
        <v>400</v>
      </c>
      <c r="AM46" s="641">
        <f t="shared" si="3"/>
        <v>400</v>
      </c>
      <c r="AN46" s="641">
        <f t="shared" si="3"/>
        <v>800</v>
      </c>
      <c r="AO46" s="641">
        <f t="shared" ref="AO46:BP46" si="4">AO52*$D46</f>
        <v>800</v>
      </c>
      <c r="AP46" s="641">
        <f t="shared" si="4"/>
        <v>800</v>
      </c>
      <c r="AQ46" s="641">
        <f t="shared" si="4"/>
        <v>800</v>
      </c>
      <c r="AR46" s="642">
        <f t="shared" si="4"/>
        <v>800</v>
      </c>
      <c r="AS46" s="641">
        <f t="shared" si="4"/>
        <v>800</v>
      </c>
      <c r="AT46" s="641">
        <f t="shared" si="4"/>
        <v>800</v>
      </c>
      <c r="AU46" s="641">
        <f t="shared" si="4"/>
        <v>800</v>
      </c>
      <c r="AV46" s="641">
        <f t="shared" si="4"/>
        <v>800</v>
      </c>
      <c r="AW46" s="641">
        <f t="shared" si="4"/>
        <v>800</v>
      </c>
      <c r="AX46" s="641">
        <f t="shared" si="4"/>
        <v>800</v>
      </c>
      <c r="AY46" s="641">
        <f t="shared" si="4"/>
        <v>1200</v>
      </c>
      <c r="AZ46" s="641">
        <f t="shared" si="4"/>
        <v>1200</v>
      </c>
      <c r="BA46" s="641">
        <f t="shared" si="4"/>
        <v>1200</v>
      </c>
      <c r="BB46" s="641">
        <f t="shared" si="4"/>
        <v>1200</v>
      </c>
      <c r="BC46" s="641">
        <f t="shared" si="4"/>
        <v>1200</v>
      </c>
      <c r="BD46" s="642">
        <f t="shared" si="4"/>
        <v>1200</v>
      </c>
      <c r="BE46" s="641">
        <f t="shared" si="4"/>
        <v>1200</v>
      </c>
      <c r="BF46" s="641">
        <f t="shared" si="4"/>
        <v>1600</v>
      </c>
      <c r="BG46" s="641">
        <f t="shared" si="4"/>
        <v>1600</v>
      </c>
      <c r="BH46" s="641">
        <f t="shared" si="4"/>
        <v>1600</v>
      </c>
      <c r="BI46" s="641">
        <f t="shared" si="4"/>
        <v>1600</v>
      </c>
      <c r="BJ46" s="641">
        <f t="shared" si="4"/>
        <v>1600</v>
      </c>
      <c r="BK46" s="641">
        <f t="shared" si="4"/>
        <v>1600</v>
      </c>
      <c r="BL46" s="641">
        <f t="shared" si="4"/>
        <v>2000</v>
      </c>
      <c r="BM46" s="641">
        <f t="shared" si="4"/>
        <v>2000</v>
      </c>
      <c r="BN46" s="641">
        <f t="shared" si="4"/>
        <v>2000</v>
      </c>
      <c r="BO46" s="641">
        <f t="shared" si="4"/>
        <v>2000</v>
      </c>
      <c r="BP46" s="642">
        <f t="shared" si="4"/>
        <v>2400</v>
      </c>
    </row>
    <row r="47" spans="1:68" s="644" customFormat="1">
      <c r="A47" s="1290" t="s">
        <v>201</v>
      </c>
      <c r="B47" s="1291"/>
      <c r="C47" s="314" t="s">
        <v>302</v>
      </c>
      <c r="D47" s="176">
        <v>0</v>
      </c>
      <c r="E47" s="315" t="s">
        <v>77</v>
      </c>
      <c r="G47" s="645"/>
      <c r="H47" s="645"/>
      <c r="I47" s="646">
        <f>IF(I52&gt;0,I52*D47,0)</f>
        <v>0</v>
      </c>
      <c r="J47" s="646">
        <f t="shared" ref="J47:AO47" si="5">IF(J52&gt;I52,(J52-I52)*$D$47,0)</f>
        <v>0</v>
      </c>
      <c r="K47" s="646">
        <f t="shared" si="5"/>
        <v>0</v>
      </c>
      <c r="L47" s="646">
        <f t="shared" si="5"/>
        <v>0</v>
      </c>
      <c r="M47" s="646">
        <f t="shared" si="5"/>
        <v>0</v>
      </c>
      <c r="N47" s="646">
        <f t="shared" si="5"/>
        <v>0</v>
      </c>
      <c r="O47" s="646">
        <f t="shared" si="5"/>
        <v>0</v>
      </c>
      <c r="P47" s="646">
        <f t="shared" si="5"/>
        <v>0</v>
      </c>
      <c r="Q47" s="646">
        <f t="shared" si="5"/>
        <v>0</v>
      </c>
      <c r="R47" s="646">
        <f t="shared" si="5"/>
        <v>0</v>
      </c>
      <c r="S47" s="646">
        <f t="shared" si="5"/>
        <v>0</v>
      </c>
      <c r="T47" s="647">
        <f t="shared" si="5"/>
        <v>0</v>
      </c>
      <c r="U47" s="646">
        <f t="shared" si="5"/>
        <v>0</v>
      </c>
      <c r="V47" s="646">
        <f t="shared" si="5"/>
        <v>0</v>
      </c>
      <c r="W47" s="646">
        <f t="shared" si="5"/>
        <v>0</v>
      </c>
      <c r="X47" s="646">
        <f t="shared" si="5"/>
        <v>0</v>
      </c>
      <c r="Y47" s="646">
        <f t="shared" si="5"/>
        <v>0</v>
      </c>
      <c r="Z47" s="646">
        <f t="shared" si="5"/>
        <v>0</v>
      </c>
      <c r="AA47" s="646">
        <f t="shared" si="5"/>
        <v>0</v>
      </c>
      <c r="AB47" s="646">
        <f t="shared" si="5"/>
        <v>0</v>
      </c>
      <c r="AC47" s="646">
        <f t="shared" si="5"/>
        <v>0</v>
      </c>
      <c r="AD47" s="646">
        <f t="shared" si="5"/>
        <v>0</v>
      </c>
      <c r="AE47" s="646">
        <f t="shared" si="5"/>
        <v>0</v>
      </c>
      <c r="AF47" s="647">
        <f t="shared" si="5"/>
        <v>0</v>
      </c>
      <c r="AG47" s="646">
        <f t="shared" si="5"/>
        <v>0</v>
      </c>
      <c r="AH47" s="646">
        <f t="shared" si="5"/>
        <v>0</v>
      </c>
      <c r="AI47" s="646">
        <f t="shared" si="5"/>
        <v>0</v>
      </c>
      <c r="AJ47" s="646">
        <f t="shared" si="5"/>
        <v>0</v>
      </c>
      <c r="AK47" s="646">
        <f t="shared" si="5"/>
        <v>0</v>
      </c>
      <c r="AL47" s="646">
        <f t="shared" si="5"/>
        <v>0</v>
      </c>
      <c r="AM47" s="646">
        <f t="shared" si="5"/>
        <v>0</v>
      </c>
      <c r="AN47" s="646">
        <f t="shared" si="5"/>
        <v>0</v>
      </c>
      <c r="AO47" s="646">
        <f t="shared" si="5"/>
        <v>0</v>
      </c>
      <c r="AP47" s="646">
        <f t="shared" ref="AP47:BP47" si="6">IF(AP52&gt;AO52,(AP52-AO52)*$D$47,0)</f>
        <v>0</v>
      </c>
      <c r="AQ47" s="646">
        <f t="shared" si="6"/>
        <v>0</v>
      </c>
      <c r="AR47" s="647">
        <f t="shared" si="6"/>
        <v>0</v>
      </c>
      <c r="AS47" s="646">
        <f t="shared" si="6"/>
        <v>0</v>
      </c>
      <c r="AT47" s="646">
        <f t="shared" si="6"/>
        <v>0</v>
      </c>
      <c r="AU47" s="646">
        <f t="shared" si="6"/>
        <v>0</v>
      </c>
      <c r="AV47" s="646">
        <f t="shared" si="6"/>
        <v>0</v>
      </c>
      <c r="AW47" s="646">
        <f t="shared" si="6"/>
        <v>0</v>
      </c>
      <c r="AX47" s="646">
        <f t="shared" si="6"/>
        <v>0</v>
      </c>
      <c r="AY47" s="646">
        <f t="shared" si="6"/>
        <v>0</v>
      </c>
      <c r="AZ47" s="646">
        <f t="shared" si="6"/>
        <v>0</v>
      </c>
      <c r="BA47" s="646">
        <f t="shared" si="6"/>
        <v>0</v>
      </c>
      <c r="BB47" s="646">
        <f t="shared" si="6"/>
        <v>0</v>
      </c>
      <c r="BC47" s="646">
        <f t="shared" si="6"/>
        <v>0</v>
      </c>
      <c r="BD47" s="647">
        <f t="shared" si="6"/>
        <v>0</v>
      </c>
      <c r="BE47" s="646">
        <f t="shared" si="6"/>
        <v>0</v>
      </c>
      <c r="BF47" s="646">
        <f t="shared" si="6"/>
        <v>0</v>
      </c>
      <c r="BG47" s="646">
        <f t="shared" si="6"/>
        <v>0</v>
      </c>
      <c r="BH47" s="646">
        <f t="shared" si="6"/>
        <v>0</v>
      </c>
      <c r="BI47" s="646">
        <f t="shared" si="6"/>
        <v>0</v>
      </c>
      <c r="BJ47" s="646">
        <f t="shared" si="6"/>
        <v>0</v>
      </c>
      <c r="BK47" s="646">
        <f t="shared" si="6"/>
        <v>0</v>
      </c>
      <c r="BL47" s="646">
        <f t="shared" si="6"/>
        <v>0</v>
      </c>
      <c r="BM47" s="646">
        <f t="shared" si="6"/>
        <v>0</v>
      </c>
      <c r="BN47" s="646">
        <f t="shared" si="6"/>
        <v>0</v>
      </c>
      <c r="BO47" s="646">
        <f t="shared" si="6"/>
        <v>0</v>
      </c>
      <c r="BP47" s="647">
        <f t="shared" si="6"/>
        <v>0</v>
      </c>
    </row>
    <row r="48" spans="1:68" s="644" customFormat="1">
      <c r="A48" s="629"/>
      <c r="B48" s="33"/>
      <c r="C48" s="34" t="s">
        <v>79</v>
      </c>
      <c r="D48" s="176">
        <v>325</v>
      </c>
      <c r="E48" s="41" t="s">
        <v>77</v>
      </c>
      <c r="G48" s="645">
        <f>$G$52*D48</f>
        <v>2275</v>
      </c>
      <c r="H48" s="645">
        <f>$H$52*D48</f>
        <v>1300</v>
      </c>
      <c r="I48" s="646">
        <f t="shared" ref="I48:AN48" si="7">I52*$D$48</f>
        <v>0</v>
      </c>
      <c r="J48" s="646">
        <f t="shared" si="7"/>
        <v>0</v>
      </c>
      <c r="K48" s="646">
        <f t="shared" si="7"/>
        <v>0</v>
      </c>
      <c r="L48" s="646">
        <f t="shared" si="7"/>
        <v>0</v>
      </c>
      <c r="M48" s="646">
        <f t="shared" si="7"/>
        <v>0</v>
      </c>
      <c r="N48" s="646">
        <f t="shared" si="7"/>
        <v>0</v>
      </c>
      <c r="O48" s="646">
        <f t="shared" si="7"/>
        <v>0</v>
      </c>
      <c r="P48" s="646">
        <f t="shared" si="7"/>
        <v>0</v>
      </c>
      <c r="Q48" s="646">
        <f t="shared" si="7"/>
        <v>0</v>
      </c>
      <c r="R48" s="646">
        <f t="shared" si="7"/>
        <v>0</v>
      </c>
      <c r="S48" s="646">
        <f t="shared" si="7"/>
        <v>0</v>
      </c>
      <c r="T48" s="647">
        <f t="shared" si="7"/>
        <v>0</v>
      </c>
      <c r="U48" s="646">
        <f t="shared" si="7"/>
        <v>0</v>
      </c>
      <c r="V48" s="646">
        <f t="shared" si="7"/>
        <v>325</v>
      </c>
      <c r="W48" s="646">
        <f t="shared" si="7"/>
        <v>325</v>
      </c>
      <c r="X48" s="646">
        <f t="shared" si="7"/>
        <v>325</v>
      </c>
      <c r="Y48" s="646">
        <f t="shared" si="7"/>
        <v>325</v>
      </c>
      <c r="Z48" s="646">
        <f t="shared" si="7"/>
        <v>325</v>
      </c>
      <c r="AA48" s="646">
        <f t="shared" si="7"/>
        <v>325</v>
      </c>
      <c r="AB48" s="646">
        <f t="shared" si="7"/>
        <v>325</v>
      </c>
      <c r="AC48" s="646">
        <f t="shared" si="7"/>
        <v>325</v>
      </c>
      <c r="AD48" s="646">
        <f t="shared" si="7"/>
        <v>325</v>
      </c>
      <c r="AE48" s="646">
        <f t="shared" si="7"/>
        <v>325</v>
      </c>
      <c r="AF48" s="647">
        <f t="shared" si="7"/>
        <v>325</v>
      </c>
      <c r="AG48" s="646">
        <f t="shared" si="7"/>
        <v>325</v>
      </c>
      <c r="AH48" s="646">
        <f t="shared" si="7"/>
        <v>325</v>
      </c>
      <c r="AI48" s="646">
        <f t="shared" si="7"/>
        <v>325</v>
      </c>
      <c r="AJ48" s="646">
        <f t="shared" si="7"/>
        <v>325</v>
      </c>
      <c r="AK48" s="646">
        <f t="shared" si="7"/>
        <v>325</v>
      </c>
      <c r="AL48" s="646">
        <f t="shared" si="7"/>
        <v>325</v>
      </c>
      <c r="AM48" s="646">
        <f t="shared" si="7"/>
        <v>325</v>
      </c>
      <c r="AN48" s="646">
        <f t="shared" si="7"/>
        <v>650</v>
      </c>
      <c r="AO48" s="646">
        <f t="shared" ref="AO48:BP48" si="8">AO52*$D$48</f>
        <v>650</v>
      </c>
      <c r="AP48" s="646">
        <f t="shared" si="8"/>
        <v>650</v>
      </c>
      <c r="AQ48" s="646">
        <f t="shared" si="8"/>
        <v>650</v>
      </c>
      <c r="AR48" s="647">
        <f t="shared" si="8"/>
        <v>650</v>
      </c>
      <c r="AS48" s="646">
        <f t="shared" si="8"/>
        <v>650</v>
      </c>
      <c r="AT48" s="646">
        <f t="shared" si="8"/>
        <v>650</v>
      </c>
      <c r="AU48" s="646">
        <f t="shared" si="8"/>
        <v>650</v>
      </c>
      <c r="AV48" s="646">
        <f t="shared" si="8"/>
        <v>650</v>
      </c>
      <c r="AW48" s="646">
        <f t="shared" si="8"/>
        <v>650</v>
      </c>
      <c r="AX48" s="646">
        <f t="shared" si="8"/>
        <v>650</v>
      </c>
      <c r="AY48" s="646">
        <f t="shared" si="8"/>
        <v>975</v>
      </c>
      <c r="AZ48" s="646">
        <f t="shared" si="8"/>
        <v>975</v>
      </c>
      <c r="BA48" s="646">
        <f t="shared" si="8"/>
        <v>975</v>
      </c>
      <c r="BB48" s="646">
        <f t="shared" si="8"/>
        <v>975</v>
      </c>
      <c r="BC48" s="646">
        <f t="shared" si="8"/>
        <v>975</v>
      </c>
      <c r="BD48" s="647">
        <f t="shared" si="8"/>
        <v>975</v>
      </c>
      <c r="BE48" s="646">
        <f t="shared" si="8"/>
        <v>975</v>
      </c>
      <c r="BF48" s="646">
        <f t="shared" si="8"/>
        <v>1300</v>
      </c>
      <c r="BG48" s="646">
        <f t="shared" si="8"/>
        <v>1300</v>
      </c>
      <c r="BH48" s="646">
        <f t="shared" si="8"/>
        <v>1300</v>
      </c>
      <c r="BI48" s="646">
        <f t="shared" si="8"/>
        <v>1300</v>
      </c>
      <c r="BJ48" s="646">
        <f t="shared" si="8"/>
        <v>1300</v>
      </c>
      <c r="BK48" s="646">
        <f t="shared" si="8"/>
        <v>1300</v>
      </c>
      <c r="BL48" s="646">
        <f t="shared" si="8"/>
        <v>1625</v>
      </c>
      <c r="BM48" s="646">
        <f t="shared" si="8"/>
        <v>1625</v>
      </c>
      <c r="BN48" s="646">
        <f t="shared" si="8"/>
        <v>1625</v>
      </c>
      <c r="BO48" s="646">
        <f t="shared" si="8"/>
        <v>1625</v>
      </c>
      <c r="BP48" s="647">
        <f t="shared" si="8"/>
        <v>1950</v>
      </c>
    </row>
    <row r="49" spans="1:68" s="644" customFormat="1">
      <c r="A49" s="630"/>
      <c r="B49" s="316"/>
      <c r="C49" s="314" t="s">
        <v>80</v>
      </c>
      <c r="D49" s="176">
        <v>400</v>
      </c>
      <c r="E49" s="315" t="s">
        <v>101</v>
      </c>
      <c r="G49" s="645">
        <f>$G$52*D49</f>
        <v>2800</v>
      </c>
      <c r="H49" s="645">
        <f>$H$52*D49</f>
        <v>1600</v>
      </c>
      <c r="I49" s="646">
        <f t="shared" ref="I49:AN49" si="9">I52*$D$49/12</f>
        <v>0</v>
      </c>
      <c r="J49" s="646">
        <f t="shared" si="9"/>
        <v>0</v>
      </c>
      <c r="K49" s="646">
        <f t="shared" si="9"/>
        <v>0</v>
      </c>
      <c r="L49" s="646">
        <f t="shared" si="9"/>
        <v>0</v>
      </c>
      <c r="M49" s="646">
        <f t="shared" si="9"/>
        <v>0</v>
      </c>
      <c r="N49" s="646">
        <f t="shared" si="9"/>
        <v>0</v>
      </c>
      <c r="O49" s="646">
        <f t="shared" si="9"/>
        <v>0</v>
      </c>
      <c r="P49" s="646">
        <f t="shared" si="9"/>
        <v>0</v>
      </c>
      <c r="Q49" s="646">
        <f t="shared" si="9"/>
        <v>0</v>
      </c>
      <c r="R49" s="646">
        <f t="shared" si="9"/>
        <v>0</v>
      </c>
      <c r="S49" s="646">
        <f t="shared" si="9"/>
        <v>0</v>
      </c>
      <c r="T49" s="647">
        <f t="shared" si="9"/>
        <v>0</v>
      </c>
      <c r="U49" s="646">
        <f t="shared" si="9"/>
        <v>0</v>
      </c>
      <c r="V49" s="646">
        <f t="shared" si="9"/>
        <v>33.333333333333336</v>
      </c>
      <c r="W49" s="646">
        <f t="shared" si="9"/>
        <v>33.333333333333336</v>
      </c>
      <c r="X49" s="646">
        <f t="shared" si="9"/>
        <v>33.333333333333336</v>
      </c>
      <c r="Y49" s="646">
        <f t="shared" si="9"/>
        <v>33.333333333333336</v>
      </c>
      <c r="Z49" s="646">
        <f t="shared" si="9"/>
        <v>33.333333333333336</v>
      </c>
      <c r="AA49" s="646">
        <f t="shared" si="9"/>
        <v>33.333333333333336</v>
      </c>
      <c r="AB49" s="646">
        <f t="shared" si="9"/>
        <v>33.333333333333336</v>
      </c>
      <c r="AC49" s="646">
        <f t="shared" si="9"/>
        <v>33.333333333333336</v>
      </c>
      <c r="AD49" s="646">
        <f t="shared" si="9"/>
        <v>33.333333333333336</v>
      </c>
      <c r="AE49" s="646">
        <f t="shared" si="9"/>
        <v>33.333333333333336</v>
      </c>
      <c r="AF49" s="647">
        <f t="shared" si="9"/>
        <v>33.333333333333336</v>
      </c>
      <c r="AG49" s="646">
        <f t="shared" si="9"/>
        <v>33.333333333333336</v>
      </c>
      <c r="AH49" s="646">
        <f t="shared" si="9"/>
        <v>33.333333333333336</v>
      </c>
      <c r="AI49" s="646">
        <f t="shared" si="9"/>
        <v>33.333333333333336</v>
      </c>
      <c r="AJ49" s="646">
        <f t="shared" si="9"/>
        <v>33.333333333333336</v>
      </c>
      <c r="AK49" s="646">
        <f t="shared" si="9"/>
        <v>33.333333333333336</v>
      </c>
      <c r="AL49" s="646">
        <f t="shared" si="9"/>
        <v>33.333333333333336</v>
      </c>
      <c r="AM49" s="646">
        <f t="shared" si="9"/>
        <v>33.333333333333336</v>
      </c>
      <c r="AN49" s="646">
        <f t="shared" si="9"/>
        <v>66.666666666666671</v>
      </c>
      <c r="AO49" s="646">
        <f t="shared" ref="AO49:BP49" si="10">AO52*$D$49/12</f>
        <v>66.666666666666671</v>
      </c>
      <c r="AP49" s="646">
        <f t="shared" si="10"/>
        <v>66.666666666666671</v>
      </c>
      <c r="AQ49" s="646">
        <f t="shared" si="10"/>
        <v>66.666666666666671</v>
      </c>
      <c r="AR49" s="647">
        <f t="shared" si="10"/>
        <v>66.666666666666671</v>
      </c>
      <c r="AS49" s="646">
        <f t="shared" si="10"/>
        <v>66.666666666666671</v>
      </c>
      <c r="AT49" s="646">
        <f t="shared" si="10"/>
        <v>66.666666666666671</v>
      </c>
      <c r="AU49" s="646">
        <f t="shared" si="10"/>
        <v>66.666666666666671</v>
      </c>
      <c r="AV49" s="646">
        <f t="shared" si="10"/>
        <v>66.666666666666671</v>
      </c>
      <c r="AW49" s="646">
        <f t="shared" si="10"/>
        <v>66.666666666666671</v>
      </c>
      <c r="AX49" s="646">
        <f t="shared" si="10"/>
        <v>66.666666666666671</v>
      </c>
      <c r="AY49" s="646">
        <f t="shared" si="10"/>
        <v>100</v>
      </c>
      <c r="AZ49" s="646">
        <f t="shared" si="10"/>
        <v>100</v>
      </c>
      <c r="BA49" s="646">
        <f t="shared" si="10"/>
        <v>100</v>
      </c>
      <c r="BB49" s="646">
        <f t="shared" si="10"/>
        <v>100</v>
      </c>
      <c r="BC49" s="646">
        <f t="shared" si="10"/>
        <v>100</v>
      </c>
      <c r="BD49" s="647">
        <f t="shared" si="10"/>
        <v>100</v>
      </c>
      <c r="BE49" s="646">
        <f t="shared" si="10"/>
        <v>100</v>
      </c>
      <c r="BF49" s="646">
        <f t="shared" si="10"/>
        <v>133.33333333333334</v>
      </c>
      <c r="BG49" s="646">
        <f t="shared" si="10"/>
        <v>133.33333333333334</v>
      </c>
      <c r="BH49" s="646">
        <f t="shared" si="10"/>
        <v>133.33333333333334</v>
      </c>
      <c r="BI49" s="646">
        <f t="shared" si="10"/>
        <v>133.33333333333334</v>
      </c>
      <c r="BJ49" s="646">
        <f t="shared" si="10"/>
        <v>133.33333333333334</v>
      </c>
      <c r="BK49" s="646">
        <f t="shared" si="10"/>
        <v>133.33333333333334</v>
      </c>
      <c r="BL49" s="646">
        <f t="shared" si="10"/>
        <v>166.66666666666666</v>
      </c>
      <c r="BM49" s="646">
        <f t="shared" si="10"/>
        <v>166.66666666666666</v>
      </c>
      <c r="BN49" s="646">
        <f t="shared" si="10"/>
        <v>166.66666666666666</v>
      </c>
      <c r="BO49" s="646">
        <f t="shared" si="10"/>
        <v>166.66666666666666</v>
      </c>
      <c r="BP49" s="647">
        <f t="shared" si="10"/>
        <v>200</v>
      </c>
    </row>
    <row r="50" spans="1:68" s="649" customFormat="1">
      <c r="A50" s="631"/>
      <c r="B50" s="632"/>
      <c r="C50" s="633" t="s">
        <v>81</v>
      </c>
      <c r="D50" s="634">
        <v>75</v>
      </c>
      <c r="E50" s="635" t="s">
        <v>77</v>
      </c>
      <c r="G50" s="650">
        <f>$G$52*D50</f>
        <v>525</v>
      </c>
      <c r="H50" s="650">
        <f>$H$52*D50</f>
        <v>300</v>
      </c>
      <c r="I50" s="651">
        <f t="shared" ref="I50:AN50" si="11">I52*$D$50</f>
        <v>0</v>
      </c>
      <c r="J50" s="651">
        <f t="shared" si="11"/>
        <v>0</v>
      </c>
      <c r="K50" s="651">
        <f t="shared" si="11"/>
        <v>0</v>
      </c>
      <c r="L50" s="651">
        <f t="shared" si="11"/>
        <v>0</v>
      </c>
      <c r="M50" s="651">
        <f t="shared" si="11"/>
        <v>0</v>
      </c>
      <c r="N50" s="651">
        <f t="shared" si="11"/>
        <v>0</v>
      </c>
      <c r="O50" s="651">
        <f t="shared" si="11"/>
        <v>0</v>
      </c>
      <c r="P50" s="651">
        <f t="shared" si="11"/>
        <v>0</v>
      </c>
      <c r="Q50" s="651">
        <f t="shared" si="11"/>
        <v>0</v>
      </c>
      <c r="R50" s="651">
        <f t="shared" si="11"/>
        <v>0</v>
      </c>
      <c r="S50" s="651">
        <f t="shared" si="11"/>
        <v>0</v>
      </c>
      <c r="T50" s="652">
        <f t="shared" si="11"/>
        <v>0</v>
      </c>
      <c r="U50" s="651">
        <f t="shared" si="11"/>
        <v>0</v>
      </c>
      <c r="V50" s="651">
        <f t="shared" si="11"/>
        <v>75</v>
      </c>
      <c r="W50" s="651">
        <f t="shared" si="11"/>
        <v>75</v>
      </c>
      <c r="X50" s="651">
        <f t="shared" si="11"/>
        <v>75</v>
      </c>
      <c r="Y50" s="651">
        <f t="shared" si="11"/>
        <v>75</v>
      </c>
      <c r="Z50" s="651">
        <f t="shared" si="11"/>
        <v>75</v>
      </c>
      <c r="AA50" s="651">
        <f t="shared" si="11"/>
        <v>75</v>
      </c>
      <c r="AB50" s="651">
        <f t="shared" si="11"/>
        <v>75</v>
      </c>
      <c r="AC50" s="651">
        <f t="shared" si="11"/>
        <v>75</v>
      </c>
      <c r="AD50" s="651">
        <f t="shared" si="11"/>
        <v>75</v>
      </c>
      <c r="AE50" s="651">
        <f t="shared" si="11"/>
        <v>75</v>
      </c>
      <c r="AF50" s="652">
        <f t="shared" si="11"/>
        <v>75</v>
      </c>
      <c r="AG50" s="651">
        <f t="shared" si="11"/>
        <v>75</v>
      </c>
      <c r="AH50" s="651">
        <f t="shared" si="11"/>
        <v>75</v>
      </c>
      <c r="AI50" s="651">
        <f t="shared" si="11"/>
        <v>75</v>
      </c>
      <c r="AJ50" s="651">
        <f t="shared" si="11"/>
        <v>75</v>
      </c>
      <c r="AK50" s="651">
        <f t="shared" si="11"/>
        <v>75</v>
      </c>
      <c r="AL50" s="651">
        <f t="shared" si="11"/>
        <v>75</v>
      </c>
      <c r="AM50" s="651">
        <f t="shared" si="11"/>
        <v>75</v>
      </c>
      <c r="AN50" s="651">
        <f t="shared" si="11"/>
        <v>150</v>
      </c>
      <c r="AO50" s="651">
        <f t="shared" ref="AO50:BP50" si="12">AO52*$D$50</f>
        <v>150</v>
      </c>
      <c r="AP50" s="651">
        <f t="shared" si="12"/>
        <v>150</v>
      </c>
      <c r="AQ50" s="651">
        <f t="shared" si="12"/>
        <v>150</v>
      </c>
      <c r="AR50" s="652">
        <f t="shared" si="12"/>
        <v>150</v>
      </c>
      <c r="AS50" s="651">
        <f t="shared" si="12"/>
        <v>150</v>
      </c>
      <c r="AT50" s="651">
        <f t="shared" si="12"/>
        <v>150</v>
      </c>
      <c r="AU50" s="651">
        <f t="shared" si="12"/>
        <v>150</v>
      </c>
      <c r="AV50" s="651">
        <f t="shared" si="12"/>
        <v>150</v>
      </c>
      <c r="AW50" s="651">
        <f t="shared" si="12"/>
        <v>150</v>
      </c>
      <c r="AX50" s="651">
        <f t="shared" si="12"/>
        <v>150</v>
      </c>
      <c r="AY50" s="651">
        <f t="shared" si="12"/>
        <v>225</v>
      </c>
      <c r="AZ50" s="651">
        <f t="shared" si="12"/>
        <v>225</v>
      </c>
      <c r="BA50" s="651">
        <f t="shared" si="12"/>
        <v>225</v>
      </c>
      <c r="BB50" s="651">
        <f t="shared" si="12"/>
        <v>225</v>
      </c>
      <c r="BC50" s="651">
        <f t="shared" si="12"/>
        <v>225</v>
      </c>
      <c r="BD50" s="652">
        <f t="shared" si="12"/>
        <v>225</v>
      </c>
      <c r="BE50" s="651">
        <f t="shared" si="12"/>
        <v>225</v>
      </c>
      <c r="BF50" s="651">
        <f t="shared" si="12"/>
        <v>300</v>
      </c>
      <c r="BG50" s="651">
        <f t="shared" si="12"/>
        <v>300</v>
      </c>
      <c r="BH50" s="651">
        <f t="shared" si="12"/>
        <v>300</v>
      </c>
      <c r="BI50" s="651">
        <f t="shared" si="12"/>
        <v>300</v>
      </c>
      <c r="BJ50" s="651">
        <f t="shared" si="12"/>
        <v>300</v>
      </c>
      <c r="BK50" s="651">
        <f t="shared" si="12"/>
        <v>300</v>
      </c>
      <c r="BL50" s="651">
        <f t="shared" si="12"/>
        <v>375</v>
      </c>
      <c r="BM50" s="651">
        <f t="shared" si="12"/>
        <v>375</v>
      </c>
      <c r="BN50" s="651">
        <f t="shared" si="12"/>
        <v>375</v>
      </c>
      <c r="BO50" s="651">
        <f t="shared" si="12"/>
        <v>375</v>
      </c>
      <c r="BP50" s="652">
        <f t="shared" si="12"/>
        <v>450</v>
      </c>
    </row>
    <row r="51" spans="1:68" s="43" customFormat="1">
      <c r="A51" s="306"/>
      <c r="B51" s="307"/>
      <c r="C51" s="308"/>
      <c r="D51" s="300"/>
      <c r="E51" s="309" t="s">
        <v>237</v>
      </c>
      <c r="G51" s="88">
        <f t="shared" ref="G51:AL51" si="13">SUM(G46:G50)</f>
        <v>8045.61</v>
      </c>
      <c r="H51" s="88">
        <f t="shared" si="13"/>
        <v>5823.0599999999995</v>
      </c>
      <c r="I51" s="146">
        <f t="shared" si="13"/>
        <v>0</v>
      </c>
      <c r="J51" s="146">
        <f t="shared" si="13"/>
        <v>0</v>
      </c>
      <c r="K51" s="146">
        <f t="shared" si="13"/>
        <v>0</v>
      </c>
      <c r="L51" s="146">
        <f t="shared" si="13"/>
        <v>0</v>
      </c>
      <c r="M51" s="146">
        <f t="shared" si="13"/>
        <v>0</v>
      </c>
      <c r="N51" s="146">
        <f t="shared" si="13"/>
        <v>0</v>
      </c>
      <c r="O51" s="146">
        <f t="shared" si="13"/>
        <v>0</v>
      </c>
      <c r="P51" s="146">
        <f t="shared" si="13"/>
        <v>0</v>
      </c>
      <c r="Q51" s="146">
        <f t="shared" si="13"/>
        <v>0</v>
      </c>
      <c r="R51" s="146">
        <f t="shared" si="13"/>
        <v>0</v>
      </c>
      <c r="S51" s="146">
        <f t="shared" si="13"/>
        <v>0</v>
      </c>
      <c r="T51" s="147">
        <f t="shared" si="13"/>
        <v>0</v>
      </c>
      <c r="U51" s="146">
        <f t="shared" si="13"/>
        <v>0</v>
      </c>
      <c r="V51" s="146">
        <f t="shared" si="13"/>
        <v>833.33333333333337</v>
      </c>
      <c r="W51" s="146">
        <f t="shared" si="13"/>
        <v>833.33333333333337</v>
      </c>
      <c r="X51" s="146">
        <f t="shared" si="13"/>
        <v>833.33333333333337</v>
      </c>
      <c r="Y51" s="146">
        <f t="shared" si="13"/>
        <v>833.33333333333337</v>
      </c>
      <c r="Z51" s="146">
        <f t="shared" si="13"/>
        <v>833.33333333333337</v>
      </c>
      <c r="AA51" s="146">
        <f t="shared" si="13"/>
        <v>833.33333333333337</v>
      </c>
      <c r="AB51" s="146">
        <f t="shared" si="13"/>
        <v>833.33333333333337</v>
      </c>
      <c r="AC51" s="146">
        <f t="shared" si="13"/>
        <v>833.33333333333337</v>
      </c>
      <c r="AD51" s="146">
        <f t="shared" si="13"/>
        <v>833.33333333333337</v>
      </c>
      <c r="AE51" s="146">
        <f t="shared" si="13"/>
        <v>833.33333333333337</v>
      </c>
      <c r="AF51" s="147">
        <f t="shared" si="13"/>
        <v>833.33333333333337</v>
      </c>
      <c r="AG51" s="146">
        <f t="shared" si="13"/>
        <v>833.33333333333337</v>
      </c>
      <c r="AH51" s="146">
        <f t="shared" si="13"/>
        <v>833.33333333333337</v>
      </c>
      <c r="AI51" s="146">
        <f t="shared" si="13"/>
        <v>833.33333333333337</v>
      </c>
      <c r="AJ51" s="146">
        <f t="shared" si="13"/>
        <v>833.33333333333337</v>
      </c>
      <c r="AK51" s="146">
        <f t="shared" si="13"/>
        <v>833.33333333333337</v>
      </c>
      <c r="AL51" s="146">
        <f t="shared" si="13"/>
        <v>833.33333333333337</v>
      </c>
      <c r="AM51" s="146">
        <f t="shared" ref="AM51:BP51" si="14">SUM(AM46:AM50)</f>
        <v>833.33333333333337</v>
      </c>
      <c r="AN51" s="146">
        <f t="shared" si="14"/>
        <v>1666.6666666666667</v>
      </c>
      <c r="AO51" s="146">
        <f t="shared" si="14"/>
        <v>1666.6666666666667</v>
      </c>
      <c r="AP51" s="146">
        <f t="shared" si="14"/>
        <v>1666.6666666666667</v>
      </c>
      <c r="AQ51" s="146">
        <f t="shared" si="14"/>
        <v>1666.6666666666667</v>
      </c>
      <c r="AR51" s="147">
        <f t="shared" si="14"/>
        <v>1666.6666666666667</v>
      </c>
      <c r="AS51" s="146">
        <f t="shared" si="14"/>
        <v>1666.6666666666667</v>
      </c>
      <c r="AT51" s="146">
        <f t="shared" si="14"/>
        <v>1666.6666666666667</v>
      </c>
      <c r="AU51" s="146">
        <f t="shared" si="14"/>
        <v>1666.6666666666667</v>
      </c>
      <c r="AV51" s="146">
        <f t="shared" si="14"/>
        <v>1666.6666666666667</v>
      </c>
      <c r="AW51" s="146">
        <f t="shared" si="14"/>
        <v>1666.6666666666667</v>
      </c>
      <c r="AX51" s="146">
        <f t="shared" si="14"/>
        <v>1666.6666666666667</v>
      </c>
      <c r="AY51" s="146">
        <f t="shared" si="14"/>
        <v>2500</v>
      </c>
      <c r="AZ51" s="146">
        <f t="shared" si="14"/>
        <v>2500</v>
      </c>
      <c r="BA51" s="146">
        <f t="shared" si="14"/>
        <v>2500</v>
      </c>
      <c r="BB51" s="146">
        <f t="shared" si="14"/>
        <v>2500</v>
      </c>
      <c r="BC51" s="146">
        <f t="shared" si="14"/>
        <v>2500</v>
      </c>
      <c r="BD51" s="147">
        <f t="shared" si="14"/>
        <v>2500</v>
      </c>
      <c r="BE51" s="146">
        <f t="shared" si="14"/>
        <v>2500</v>
      </c>
      <c r="BF51" s="146">
        <f t="shared" si="14"/>
        <v>3333.3333333333335</v>
      </c>
      <c r="BG51" s="146">
        <f t="shared" si="14"/>
        <v>3333.3333333333335</v>
      </c>
      <c r="BH51" s="146">
        <f t="shared" si="14"/>
        <v>3333.3333333333335</v>
      </c>
      <c r="BI51" s="146">
        <f t="shared" si="14"/>
        <v>3333.3333333333335</v>
      </c>
      <c r="BJ51" s="146">
        <f t="shared" si="14"/>
        <v>3333.3333333333335</v>
      </c>
      <c r="BK51" s="146">
        <f t="shared" si="14"/>
        <v>3333.3333333333335</v>
      </c>
      <c r="BL51" s="146">
        <f t="shared" si="14"/>
        <v>4166.6666666666661</v>
      </c>
      <c r="BM51" s="146">
        <f t="shared" si="14"/>
        <v>4166.6666666666661</v>
      </c>
      <c r="BN51" s="146">
        <f t="shared" si="14"/>
        <v>4166.6666666666661</v>
      </c>
      <c r="BO51" s="146">
        <f t="shared" si="14"/>
        <v>4166.6666666666661</v>
      </c>
      <c r="BP51" s="147">
        <f t="shared" si="14"/>
        <v>5000</v>
      </c>
    </row>
    <row r="52" spans="1:68" s="43" customFormat="1">
      <c r="A52" s="306"/>
      <c r="B52" s="307"/>
      <c r="C52" s="308"/>
      <c r="D52" s="300"/>
      <c r="E52" s="294" t="s">
        <v>187</v>
      </c>
      <c r="F52" s="61" t="s">
        <v>75</v>
      </c>
      <c r="G52" s="189">
        <v>7</v>
      </c>
      <c r="H52" s="148">
        <v>4</v>
      </c>
      <c r="I52" s="181">
        <f>ROUND('Program Model'!B7/600,0)</f>
        <v>0</v>
      </c>
      <c r="J52" s="181">
        <f>ROUND('Program Model'!C7/600,0)</f>
        <v>0</v>
      </c>
      <c r="K52" s="181">
        <f>ROUND('Program Model'!D7/600,0)</f>
        <v>0</v>
      </c>
      <c r="L52" s="181">
        <f>ROUND('Program Model'!E7/600,0)</f>
        <v>0</v>
      </c>
      <c r="M52" s="181">
        <f>ROUND('Program Model'!F7/600,0)</f>
        <v>0</v>
      </c>
      <c r="N52" s="181">
        <f>ROUND('Program Model'!G7/600,0)</f>
        <v>0</v>
      </c>
      <c r="O52" s="181">
        <f>ROUND('Program Model'!H7/600,0)</f>
        <v>0</v>
      </c>
      <c r="P52" s="181">
        <f>ROUND('Program Model'!I7/600,0)</f>
        <v>0</v>
      </c>
      <c r="Q52" s="181">
        <f>ROUND('Program Model'!J7/600,0)</f>
        <v>0</v>
      </c>
      <c r="R52" s="181">
        <f>ROUND('Program Model'!K7/600,0)</f>
        <v>0</v>
      </c>
      <c r="S52" s="181">
        <f>ROUND('Program Model'!L7/600,0)</f>
        <v>0</v>
      </c>
      <c r="T52" s="182">
        <f>ROUND('Program Model'!M7/600,0)</f>
        <v>0</v>
      </c>
      <c r="U52" s="181">
        <f>ROUND('Program Model'!N7/600,0)</f>
        <v>0</v>
      </c>
      <c r="V52" s="181">
        <f>ROUND('Program Model'!O7/600,0)</f>
        <v>1</v>
      </c>
      <c r="W52" s="181">
        <f>ROUND('Program Model'!P7/600,0)</f>
        <v>1</v>
      </c>
      <c r="X52" s="181">
        <f>ROUND('Program Model'!Q7/600,0)</f>
        <v>1</v>
      </c>
      <c r="Y52" s="181">
        <f>ROUND('Program Model'!R7/600,0)</f>
        <v>1</v>
      </c>
      <c r="Z52" s="181">
        <f>ROUND('Program Model'!S7/600,0)</f>
        <v>1</v>
      </c>
      <c r="AA52" s="181">
        <f>ROUND('Program Model'!T7/600,0)</f>
        <v>1</v>
      </c>
      <c r="AB52" s="181">
        <f>ROUND('Program Model'!U7/600,0)</f>
        <v>1</v>
      </c>
      <c r="AC52" s="181">
        <f>ROUND('Program Model'!V7/600,0)</f>
        <v>1</v>
      </c>
      <c r="AD52" s="181">
        <f>ROUND('Program Model'!W7/600,0)</f>
        <v>1</v>
      </c>
      <c r="AE52" s="181">
        <f>ROUND('Program Model'!X7/600,0)</f>
        <v>1</v>
      </c>
      <c r="AF52" s="182">
        <f>ROUND('Program Model'!Y7/600,0)</f>
        <v>1</v>
      </c>
      <c r="AG52" s="181">
        <f>ROUND('Program Model'!Z7/600,0)</f>
        <v>1</v>
      </c>
      <c r="AH52" s="181">
        <f>ROUND('Program Model'!AA7/600,0)</f>
        <v>1</v>
      </c>
      <c r="AI52" s="181">
        <f>ROUND('Program Model'!AB7/600,0)</f>
        <v>1</v>
      </c>
      <c r="AJ52" s="181">
        <f>ROUND('Program Model'!AC7/600,0)</f>
        <v>1</v>
      </c>
      <c r="AK52" s="181">
        <f>ROUND('Program Model'!AD7/600,0)</f>
        <v>1</v>
      </c>
      <c r="AL52" s="181">
        <f>ROUND('Program Model'!AE7/600,0)</f>
        <v>1</v>
      </c>
      <c r="AM52" s="181">
        <f>ROUND('Program Model'!AF7/600,0)</f>
        <v>1</v>
      </c>
      <c r="AN52" s="181">
        <f>ROUND('Program Model'!AG7/600,0)</f>
        <v>2</v>
      </c>
      <c r="AO52" s="181">
        <f>ROUND('Program Model'!AH7/600,0)</f>
        <v>2</v>
      </c>
      <c r="AP52" s="181">
        <f>ROUND('Program Model'!AI7/600,0)</f>
        <v>2</v>
      </c>
      <c r="AQ52" s="181">
        <f>ROUND('Program Model'!AJ7/600,0)</f>
        <v>2</v>
      </c>
      <c r="AR52" s="182">
        <f>ROUND('Program Model'!AK7/600,0)</f>
        <v>2</v>
      </c>
      <c r="AS52" s="181">
        <f>ROUND('Program Model'!AL7/600,0)</f>
        <v>2</v>
      </c>
      <c r="AT52" s="181">
        <f>ROUND('Program Model'!AM7/600,0)</f>
        <v>2</v>
      </c>
      <c r="AU52" s="181">
        <f>ROUND('Program Model'!AN7/600,0)</f>
        <v>2</v>
      </c>
      <c r="AV52" s="181">
        <f>ROUND('Program Model'!AO7/600,0)</f>
        <v>2</v>
      </c>
      <c r="AW52" s="181">
        <f>ROUND('Program Model'!AP7/600,0)</f>
        <v>2</v>
      </c>
      <c r="AX52" s="181">
        <f>ROUND('Program Model'!AQ7/600,0)</f>
        <v>2</v>
      </c>
      <c r="AY52" s="181">
        <f>ROUND('Program Model'!AR7/600,0)</f>
        <v>3</v>
      </c>
      <c r="AZ52" s="181">
        <f>ROUND('Program Model'!AS7/600,0)</f>
        <v>3</v>
      </c>
      <c r="BA52" s="181">
        <f>ROUND('Program Model'!AT7/600,0)</f>
        <v>3</v>
      </c>
      <c r="BB52" s="181">
        <f>ROUND('Program Model'!AU7/600,0)</f>
        <v>3</v>
      </c>
      <c r="BC52" s="181">
        <f>ROUND('Program Model'!AV7/600,0)</f>
        <v>3</v>
      </c>
      <c r="BD52" s="182">
        <f>ROUND('Program Model'!AW7/600,0)</f>
        <v>3</v>
      </c>
      <c r="BE52" s="181">
        <f>ROUND('Program Model'!AX7/600,0)</f>
        <v>3</v>
      </c>
      <c r="BF52" s="181">
        <f>ROUND('Program Model'!AY7/600,0)</f>
        <v>4</v>
      </c>
      <c r="BG52" s="181">
        <f>ROUND('Program Model'!AZ7/600,0)</f>
        <v>4</v>
      </c>
      <c r="BH52" s="181">
        <f>ROUND('Program Model'!BA7/600,0)</f>
        <v>4</v>
      </c>
      <c r="BI52" s="181">
        <f>ROUND('Program Model'!BB7/600,0)</f>
        <v>4</v>
      </c>
      <c r="BJ52" s="181">
        <f>ROUND('Program Model'!BC7/600,0)</f>
        <v>4</v>
      </c>
      <c r="BK52" s="181">
        <f>ROUND('Program Model'!BD7/600,0)</f>
        <v>4</v>
      </c>
      <c r="BL52" s="181">
        <f>ROUND('Program Model'!BE7/600,0)</f>
        <v>5</v>
      </c>
      <c r="BM52" s="181">
        <f>ROUND('Program Model'!BF7/600,0)</f>
        <v>5</v>
      </c>
      <c r="BN52" s="181">
        <f>ROUND('Program Model'!BG7/600,0)</f>
        <v>5</v>
      </c>
      <c r="BO52" s="181">
        <f>ROUND('Program Model'!BH7/600,0)</f>
        <v>5</v>
      </c>
      <c r="BP52" s="182">
        <f>ROUND('Program Model'!BI7/600,0)</f>
        <v>6</v>
      </c>
    </row>
    <row r="53" spans="1:68">
      <c r="A53" s="306"/>
      <c r="B53" s="310"/>
      <c r="C53" s="311"/>
      <c r="D53" s="312"/>
      <c r="E53" s="313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7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7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7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7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7"/>
    </row>
    <row r="54" spans="1:68" ht="15">
      <c r="A54" s="686" t="s">
        <v>82</v>
      </c>
      <c r="B54" s="653"/>
      <c r="C54" s="654"/>
      <c r="D54" s="655"/>
      <c r="E54" s="656"/>
      <c r="I54" s="146"/>
      <c r="J54" s="146">
        <f t="shared" ref="J54:T54" si="15">I54</f>
        <v>0</v>
      </c>
      <c r="K54" s="146">
        <f t="shared" si="15"/>
        <v>0</v>
      </c>
      <c r="L54" s="146">
        <f t="shared" si="15"/>
        <v>0</v>
      </c>
      <c r="M54" s="146">
        <f t="shared" si="15"/>
        <v>0</v>
      </c>
      <c r="N54" s="146">
        <f t="shared" si="15"/>
        <v>0</v>
      </c>
      <c r="O54" s="146">
        <f t="shared" si="15"/>
        <v>0</v>
      </c>
      <c r="P54" s="146">
        <f t="shared" si="15"/>
        <v>0</v>
      </c>
      <c r="Q54" s="146">
        <f t="shared" si="15"/>
        <v>0</v>
      </c>
      <c r="R54" s="146">
        <f t="shared" si="15"/>
        <v>0</v>
      </c>
      <c r="S54" s="146">
        <f t="shared" si="15"/>
        <v>0</v>
      </c>
      <c r="T54" s="147">
        <f t="shared" si="15"/>
        <v>0</v>
      </c>
      <c r="U54" s="146"/>
      <c r="V54" s="146">
        <f t="shared" ref="V54:AF54" si="16">U54</f>
        <v>0</v>
      </c>
      <c r="W54" s="146">
        <f t="shared" si="16"/>
        <v>0</v>
      </c>
      <c r="X54" s="146">
        <f t="shared" si="16"/>
        <v>0</v>
      </c>
      <c r="Y54" s="146">
        <f t="shared" si="16"/>
        <v>0</v>
      </c>
      <c r="Z54" s="146">
        <f t="shared" si="16"/>
        <v>0</v>
      </c>
      <c r="AA54" s="146">
        <f t="shared" si="16"/>
        <v>0</v>
      </c>
      <c r="AB54" s="146">
        <f t="shared" si="16"/>
        <v>0</v>
      </c>
      <c r="AC54" s="146">
        <f t="shared" si="16"/>
        <v>0</v>
      </c>
      <c r="AD54" s="146">
        <f t="shared" si="16"/>
        <v>0</v>
      </c>
      <c r="AE54" s="146">
        <f t="shared" si="16"/>
        <v>0</v>
      </c>
      <c r="AF54" s="147">
        <f t="shared" si="16"/>
        <v>0</v>
      </c>
      <c r="AG54" s="146"/>
      <c r="AH54" s="146">
        <f t="shared" ref="AH54:AR54" si="17">AG54</f>
        <v>0</v>
      </c>
      <c r="AI54" s="146">
        <f t="shared" si="17"/>
        <v>0</v>
      </c>
      <c r="AJ54" s="146">
        <f t="shared" si="17"/>
        <v>0</v>
      </c>
      <c r="AK54" s="146">
        <f t="shared" si="17"/>
        <v>0</v>
      </c>
      <c r="AL54" s="146">
        <f t="shared" si="17"/>
        <v>0</v>
      </c>
      <c r="AM54" s="146">
        <f t="shared" si="17"/>
        <v>0</v>
      </c>
      <c r="AN54" s="146">
        <f t="shared" si="17"/>
        <v>0</v>
      </c>
      <c r="AO54" s="146">
        <f t="shared" si="17"/>
        <v>0</v>
      </c>
      <c r="AP54" s="146">
        <f t="shared" si="17"/>
        <v>0</v>
      </c>
      <c r="AQ54" s="146">
        <f t="shared" si="17"/>
        <v>0</v>
      </c>
      <c r="AR54" s="147">
        <f t="shared" si="17"/>
        <v>0</v>
      </c>
      <c r="AS54" s="146"/>
      <c r="AT54" s="146">
        <f t="shared" ref="AT54:BD54" si="18">AS54</f>
        <v>0</v>
      </c>
      <c r="AU54" s="146">
        <f t="shared" si="18"/>
        <v>0</v>
      </c>
      <c r="AV54" s="146">
        <f t="shared" si="18"/>
        <v>0</v>
      </c>
      <c r="AW54" s="146">
        <f t="shared" si="18"/>
        <v>0</v>
      </c>
      <c r="AX54" s="146">
        <f t="shared" si="18"/>
        <v>0</v>
      </c>
      <c r="AY54" s="146">
        <f t="shared" si="18"/>
        <v>0</v>
      </c>
      <c r="AZ54" s="146">
        <f t="shared" si="18"/>
        <v>0</v>
      </c>
      <c r="BA54" s="146">
        <f t="shared" si="18"/>
        <v>0</v>
      </c>
      <c r="BB54" s="146">
        <f t="shared" si="18"/>
        <v>0</v>
      </c>
      <c r="BC54" s="146">
        <f t="shared" si="18"/>
        <v>0</v>
      </c>
      <c r="BD54" s="147">
        <f t="shared" si="18"/>
        <v>0</v>
      </c>
      <c r="BE54" s="146"/>
      <c r="BF54" s="146">
        <f t="shared" ref="BF54:BP54" si="19">BE54</f>
        <v>0</v>
      </c>
      <c r="BG54" s="146">
        <f t="shared" si="19"/>
        <v>0</v>
      </c>
      <c r="BH54" s="146">
        <f t="shared" si="19"/>
        <v>0</v>
      </c>
      <c r="BI54" s="146">
        <f t="shared" si="19"/>
        <v>0</v>
      </c>
      <c r="BJ54" s="146">
        <f t="shared" si="19"/>
        <v>0</v>
      </c>
      <c r="BK54" s="146">
        <f t="shared" si="19"/>
        <v>0</v>
      </c>
      <c r="BL54" s="146">
        <f t="shared" si="19"/>
        <v>0</v>
      </c>
      <c r="BM54" s="146">
        <f t="shared" si="19"/>
        <v>0</v>
      </c>
      <c r="BN54" s="146">
        <f t="shared" si="19"/>
        <v>0</v>
      </c>
      <c r="BO54" s="146">
        <f t="shared" si="19"/>
        <v>0</v>
      </c>
      <c r="BP54" s="147">
        <f t="shared" si="19"/>
        <v>0</v>
      </c>
    </row>
    <row r="55" spans="1:68" s="639" customFormat="1">
      <c r="A55" s="657"/>
      <c r="B55" s="658"/>
      <c r="C55" s="626" t="s">
        <v>83</v>
      </c>
      <c r="D55" s="627">
        <v>25</v>
      </c>
      <c r="E55" s="628" t="s">
        <v>84</v>
      </c>
      <c r="G55" s="640" t="e">
        <f>$G$26*D55</f>
        <v>#REF!</v>
      </c>
      <c r="H55" s="640">
        <f>$H$26*D55</f>
        <v>50</v>
      </c>
      <c r="I55" s="641">
        <f>$D$55*'Prg. HR'!D41</f>
        <v>62.5</v>
      </c>
      <c r="J55" s="641">
        <f>$D$55*'Prg. HR'!E41</f>
        <v>62.5</v>
      </c>
      <c r="K55" s="641">
        <f>$D$55*'Prg. HR'!F41</f>
        <v>62.5</v>
      </c>
      <c r="L55" s="641">
        <f>$D$55*'Prg. HR'!G41</f>
        <v>87.5</v>
      </c>
      <c r="M55" s="641">
        <f>$D$55*'Prg. HR'!H41</f>
        <v>87.5</v>
      </c>
      <c r="N55" s="641">
        <f>$D$55*'Prg. HR'!I41</f>
        <v>87.5</v>
      </c>
      <c r="O55" s="641">
        <f>$D$55*'Prg. HR'!J41</f>
        <v>87.5</v>
      </c>
      <c r="P55" s="641">
        <f>$D$55*'Prg. HR'!K41</f>
        <v>112.5</v>
      </c>
      <c r="Q55" s="641">
        <f>$D$55*'Prg. HR'!L41</f>
        <v>112.5</v>
      </c>
      <c r="R55" s="641">
        <f>$D$55*'Prg. HR'!M41</f>
        <v>112.5</v>
      </c>
      <c r="S55" s="641">
        <f>$D$55*'Prg. HR'!N41</f>
        <v>112.5</v>
      </c>
      <c r="T55" s="642">
        <f>$D$55*'Prg. HR'!O41</f>
        <v>112.5</v>
      </c>
      <c r="U55" s="641">
        <f>$D$55*'Prg. HR'!P41</f>
        <v>112.5</v>
      </c>
      <c r="V55" s="641">
        <f>$D$55*'Prg. HR'!Q41</f>
        <v>112.5</v>
      </c>
      <c r="W55" s="641">
        <f>$D$55*'Prg. HR'!R41</f>
        <v>112.5</v>
      </c>
      <c r="X55" s="641">
        <f>$D$55*'Prg. HR'!S41</f>
        <v>137.5</v>
      </c>
      <c r="Y55" s="641">
        <f>$D$55*'Prg. HR'!T41</f>
        <v>137.5</v>
      </c>
      <c r="Z55" s="641">
        <f>$D$55*'Prg. HR'!U41</f>
        <v>162.5</v>
      </c>
      <c r="AA55" s="641">
        <f>$D$55*'Prg. HR'!V41</f>
        <v>175</v>
      </c>
      <c r="AB55" s="641">
        <f>$D$55*'Prg. HR'!W41</f>
        <v>200</v>
      </c>
      <c r="AC55" s="641">
        <f>$D$55*'Prg. HR'!X41</f>
        <v>200</v>
      </c>
      <c r="AD55" s="641">
        <f>$D$55*'Prg. HR'!Y41</f>
        <v>200</v>
      </c>
      <c r="AE55" s="641">
        <f>$D$55*'Prg. HR'!Z41</f>
        <v>200</v>
      </c>
      <c r="AF55" s="642">
        <f>$D$55*'Prg. HR'!AA41</f>
        <v>225</v>
      </c>
      <c r="AG55" s="641">
        <f>$D$55*'Prg. HR'!AB41</f>
        <v>275</v>
      </c>
      <c r="AH55" s="641">
        <f>$D$55*'Prg. HR'!AC41</f>
        <v>275</v>
      </c>
      <c r="AI55" s="641">
        <f>$D$55*'Prg. HR'!AD41</f>
        <v>275</v>
      </c>
      <c r="AJ55" s="641">
        <f>$D$55*'Prg. HR'!AE41</f>
        <v>275</v>
      </c>
      <c r="AK55" s="641">
        <f>$D$55*'Prg. HR'!AF41</f>
        <v>275</v>
      </c>
      <c r="AL55" s="641">
        <f>$D$55*'Prg. HR'!AG41</f>
        <v>275</v>
      </c>
      <c r="AM55" s="641">
        <f>$D$55*'Prg. HR'!AH41</f>
        <v>300</v>
      </c>
      <c r="AN55" s="641">
        <f>$D$55*'Prg. HR'!AI41</f>
        <v>325</v>
      </c>
      <c r="AO55" s="641">
        <f>$D$55*'Prg. HR'!AJ41</f>
        <v>325</v>
      </c>
      <c r="AP55" s="641">
        <f>$D$55*'Prg. HR'!AK41</f>
        <v>325</v>
      </c>
      <c r="AQ55" s="641">
        <f>$D$55*'Prg. HR'!AL41</f>
        <v>350</v>
      </c>
      <c r="AR55" s="642">
        <f>$D$55*'Prg. HR'!AM41</f>
        <v>350</v>
      </c>
      <c r="AS55" s="641">
        <f>$D$55*'Prg. HR'!AN41</f>
        <v>350</v>
      </c>
      <c r="AT55" s="641">
        <f>$D$55*'Prg. HR'!AO41</f>
        <v>350</v>
      </c>
      <c r="AU55" s="641">
        <f>$D$55*'Prg. HR'!AP41</f>
        <v>350</v>
      </c>
      <c r="AV55" s="641">
        <f>$D$55*'Prg. HR'!AQ41</f>
        <v>350</v>
      </c>
      <c r="AW55" s="641">
        <f>$D$55*'Prg. HR'!AR41</f>
        <v>375</v>
      </c>
      <c r="AX55" s="641">
        <f>$D$55*'Prg. HR'!AS41</f>
        <v>400</v>
      </c>
      <c r="AY55" s="641">
        <f>$D$55*'Prg. HR'!AT41</f>
        <v>400</v>
      </c>
      <c r="AZ55" s="641">
        <f>$D$55*'Prg. HR'!AU41</f>
        <v>400</v>
      </c>
      <c r="BA55" s="641">
        <f>$D$55*'Prg. HR'!AV41</f>
        <v>425</v>
      </c>
      <c r="BB55" s="641">
        <f>$D$55*'Prg. HR'!AW41</f>
        <v>425</v>
      </c>
      <c r="BC55" s="641">
        <f>$D$55*'Prg. HR'!AX41</f>
        <v>450</v>
      </c>
      <c r="BD55" s="642">
        <f>$D$55*'Prg. HR'!AY41</f>
        <v>500</v>
      </c>
      <c r="BE55" s="641">
        <f>$D$55*'Prg. HR'!AZ41</f>
        <v>500</v>
      </c>
      <c r="BF55" s="641">
        <f>$D$55*'Prg. HR'!BA41</f>
        <v>500</v>
      </c>
      <c r="BG55" s="641">
        <f>$D$55*'Prg. HR'!BB41</f>
        <v>500</v>
      </c>
      <c r="BH55" s="641">
        <f>$D$55*'Prg. HR'!BC41</f>
        <v>500</v>
      </c>
      <c r="BI55" s="641">
        <f>$D$55*'Prg. HR'!BD41</f>
        <v>525</v>
      </c>
      <c r="BJ55" s="641">
        <f>$D$55*'Prg. HR'!BE41</f>
        <v>575</v>
      </c>
      <c r="BK55" s="641">
        <f>$D$55*'Prg. HR'!BF41</f>
        <v>575</v>
      </c>
      <c r="BL55" s="641">
        <f>$D$55*'Prg. HR'!BG41</f>
        <v>575</v>
      </c>
      <c r="BM55" s="641">
        <f>$D$55*'Prg. HR'!BH41</f>
        <v>600</v>
      </c>
      <c r="BN55" s="641">
        <f>$D$55*'Prg. HR'!BI41</f>
        <v>625</v>
      </c>
      <c r="BO55" s="641">
        <f>$D$55*'Prg. HR'!BJ41</f>
        <v>625</v>
      </c>
      <c r="BP55" s="642">
        <f>$D$55*'Prg. HR'!BK41</f>
        <v>675</v>
      </c>
    </row>
    <row r="56" spans="1:68" s="644" customFormat="1">
      <c r="A56" s="629"/>
      <c r="B56" s="33"/>
      <c r="C56" s="34" t="s">
        <v>104</v>
      </c>
      <c r="D56" s="176">
        <v>120</v>
      </c>
      <c r="E56" s="41" t="s">
        <v>67</v>
      </c>
      <c r="G56" s="645"/>
      <c r="H56" s="645"/>
      <c r="I56" s="646">
        <f t="shared" ref="I56:AN56" si="20">$D$56</f>
        <v>120</v>
      </c>
      <c r="J56" s="646">
        <f t="shared" si="20"/>
        <v>120</v>
      </c>
      <c r="K56" s="646">
        <f t="shared" si="20"/>
        <v>120</v>
      </c>
      <c r="L56" s="646">
        <f t="shared" si="20"/>
        <v>120</v>
      </c>
      <c r="M56" s="646">
        <f t="shared" si="20"/>
        <v>120</v>
      </c>
      <c r="N56" s="646">
        <f t="shared" si="20"/>
        <v>120</v>
      </c>
      <c r="O56" s="646">
        <f t="shared" si="20"/>
        <v>120</v>
      </c>
      <c r="P56" s="646">
        <f t="shared" si="20"/>
        <v>120</v>
      </c>
      <c r="Q56" s="646">
        <f t="shared" si="20"/>
        <v>120</v>
      </c>
      <c r="R56" s="646">
        <f t="shared" si="20"/>
        <v>120</v>
      </c>
      <c r="S56" s="646">
        <f t="shared" si="20"/>
        <v>120</v>
      </c>
      <c r="T56" s="647">
        <f t="shared" si="20"/>
        <v>120</v>
      </c>
      <c r="U56" s="646">
        <f t="shared" si="20"/>
        <v>120</v>
      </c>
      <c r="V56" s="646">
        <f t="shared" si="20"/>
        <v>120</v>
      </c>
      <c r="W56" s="646">
        <f t="shared" si="20"/>
        <v>120</v>
      </c>
      <c r="X56" s="646">
        <f t="shared" si="20"/>
        <v>120</v>
      </c>
      <c r="Y56" s="646">
        <f t="shared" si="20"/>
        <v>120</v>
      </c>
      <c r="Z56" s="646">
        <f t="shared" si="20"/>
        <v>120</v>
      </c>
      <c r="AA56" s="646">
        <f t="shared" si="20"/>
        <v>120</v>
      </c>
      <c r="AB56" s="646">
        <f t="shared" si="20"/>
        <v>120</v>
      </c>
      <c r="AC56" s="646">
        <f t="shared" si="20"/>
        <v>120</v>
      </c>
      <c r="AD56" s="646">
        <f t="shared" si="20"/>
        <v>120</v>
      </c>
      <c r="AE56" s="646">
        <f t="shared" si="20"/>
        <v>120</v>
      </c>
      <c r="AF56" s="647">
        <f t="shared" si="20"/>
        <v>120</v>
      </c>
      <c r="AG56" s="646">
        <f t="shared" si="20"/>
        <v>120</v>
      </c>
      <c r="AH56" s="646">
        <f t="shared" si="20"/>
        <v>120</v>
      </c>
      <c r="AI56" s="646">
        <f t="shared" si="20"/>
        <v>120</v>
      </c>
      <c r="AJ56" s="646">
        <f t="shared" si="20"/>
        <v>120</v>
      </c>
      <c r="AK56" s="646">
        <f t="shared" si="20"/>
        <v>120</v>
      </c>
      <c r="AL56" s="646">
        <f t="shared" si="20"/>
        <v>120</v>
      </c>
      <c r="AM56" s="646">
        <f t="shared" si="20"/>
        <v>120</v>
      </c>
      <c r="AN56" s="646">
        <f t="shared" si="20"/>
        <v>120</v>
      </c>
      <c r="AO56" s="646">
        <f t="shared" ref="AO56:BP56" si="21">$D$56</f>
        <v>120</v>
      </c>
      <c r="AP56" s="646">
        <f t="shared" si="21"/>
        <v>120</v>
      </c>
      <c r="AQ56" s="646">
        <f t="shared" si="21"/>
        <v>120</v>
      </c>
      <c r="AR56" s="647">
        <f t="shared" si="21"/>
        <v>120</v>
      </c>
      <c r="AS56" s="646">
        <f t="shared" si="21"/>
        <v>120</v>
      </c>
      <c r="AT56" s="646">
        <f t="shared" si="21"/>
        <v>120</v>
      </c>
      <c r="AU56" s="646">
        <f t="shared" si="21"/>
        <v>120</v>
      </c>
      <c r="AV56" s="646">
        <f t="shared" si="21"/>
        <v>120</v>
      </c>
      <c r="AW56" s="646">
        <f t="shared" si="21"/>
        <v>120</v>
      </c>
      <c r="AX56" s="646">
        <f t="shared" si="21"/>
        <v>120</v>
      </c>
      <c r="AY56" s="646">
        <f t="shared" si="21"/>
        <v>120</v>
      </c>
      <c r="AZ56" s="646">
        <f t="shared" si="21"/>
        <v>120</v>
      </c>
      <c r="BA56" s="646">
        <f t="shared" si="21"/>
        <v>120</v>
      </c>
      <c r="BB56" s="646">
        <f t="shared" si="21"/>
        <v>120</v>
      </c>
      <c r="BC56" s="646">
        <f t="shared" si="21"/>
        <v>120</v>
      </c>
      <c r="BD56" s="647">
        <f t="shared" si="21"/>
        <v>120</v>
      </c>
      <c r="BE56" s="646">
        <f t="shared" si="21"/>
        <v>120</v>
      </c>
      <c r="BF56" s="646">
        <f t="shared" si="21"/>
        <v>120</v>
      </c>
      <c r="BG56" s="646">
        <f t="shared" si="21"/>
        <v>120</v>
      </c>
      <c r="BH56" s="646">
        <f t="shared" si="21"/>
        <v>120</v>
      </c>
      <c r="BI56" s="646">
        <f t="shared" si="21"/>
        <v>120</v>
      </c>
      <c r="BJ56" s="646">
        <f t="shared" si="21"/>
        <v>120</v>
      </c>
      <c r="BK56" s="646">
        <f t="shared" si="21"/>
        <v>120</v>
      </c>
      <c r="BL56" s="646">
        <f t="shared" si="21"/>
        <v>120</v>
      </c>
      <c r="BM56" s="646">
        <f t="shared" si="21"/>
        <v>120</v>
      </c>
      <c r="BN56" s="646">
        <f t="shared" si="21"/>
        <v>120</v>
      </c>
      <c r="BO56" s="646">
        <f t="shared" si="21"/>
        <v>120</v>
      </c>
      <c r="BP56" s="647">
        <f t="shared" si="21"/>
        <v>120</v>
      </c>
    </row>
    <row r="57" spans="1:68" s="644" customFormat="1">
      <c r="A57" s="629"/>
      <c r="B57" s="33"/>
      <c r="C57" s="34" t="s">
        <v>249</v>
      </c>
      <c r="D57" s="176">
        <v>1000</v>
      </c>
      <c r="E57" s="41" t="s">
        <v>182</v>
      </c>
      <c r="G57" s="645"/>
      <c r="H57" s="645"/>
      <c r="I57" s="646">
        <v>0</v>
      </c>
      <c r="J57" s="646">
        <f>('Prg. HR'!E41-'Prg. HR'!D41)*'Prg. Expenses'!$D$57</f>
        <v>0</v>
      </c>
      <c r="K57" s="646">
        <f>('Prg. HR'!F41-'Prg. HR'!E41)*'Prg. Expenses'!$D$57</f>
        <v>0</v>
      </c>
      <c r="L57" s="646">
        <f>('Prg. HR'!G41-'Prg. HR'!F41)*'Prg. Expenses'!$D$57</f>
        <v>1000</v>
      </c>
      <c r="M57" s="646">
        <f>('Prg. HR'!H41-'Prg. HR'!G41)*'Prg. Expenses'!$D$57</f>
        <v>0</v>
      </c>
      <c r="N57" s="646">
        <f>('Prg. HR'!I41-'Prg. HR'!H41)*'Prg. Expenses'!$D$57</f>
        <v>0</v>
      </c>
      <c r="O57" s="646">
        <f>('Prg. HR'!J41-'Prg. HR'!I41)*'Prg. Expenses'!$D$57</f>
        <v>0</v>
      </c>
      <c r="P57" s="646">
        <f>('Prg. HR'!K41-'Prg. HR'!J41)*'Prg. Expenses'!$D$57</f>
        <v>1000</v>
      </c>
      <c r="Q57" s="646">
        <f>('Prg. HR'!L41-'Prg. HR'!K41)*'Prg. Expenses'!$D$57</f>
        <v>0</v>
      </c>
      <c r="R57" s="646">
        <f>('Prg. HR'!M41-'Prg. HR'!L41)*'Prg. Expenses'!$D$57</f>
        <v>0</v>
      </c>
      <c r="S57" s="646">
        <f>('Prg. HR'!N41-'Prg. HR'!M41)*'Prg. Expenses'!$D$57</f>
        <v>0</v>
      </c>
      <c r="T57" s="647">
        <f>('Prg. HR'!O41-'Prg. HR'!N41)*'Prg. Expenses'!$D$57</f>
        <v>0</v>
      </c>
      <c r="U57" s="646">
        <f>('Prg. HR'!P41-'Prg. HR'!O41)*'Prg. Expenses'!$D$57</f>
        <v>0</v>
      </c>
      <c r="V57" s="646">
        <f>('Prg. HR'!Q41-'Prg. HR'!P41)*'Prg. Expenses'!$D$57</f>
        <v>0</v>
      </c>
      <c r="W57" s="646">
        <f>('Prg. HR'!R41-'Prg. HR'!Q41)*'Prg. Expenses'!$D$57</f>
        <v>0</v>
      </c>
      <c r="X57" s="646">
        <f>('Prg. HR'!S41-'Prg. HR'!R41)*'Prg. Expenses'!$D$57</f>
        <v>1000</v>
      </c>
      <c r="Y57" s="646">
        <f>('Prg. HR'!T41-'Prg. HR'!S41)*'Prg. Expenses'!$D$57</f>
        <v>0</v>
      </c>
      <c r="Z57" s="646">
        <f>('Prg. HR'!U41-'Prg. HR'!T41)*'Prg. Expenses'!$D$57</f>
        <v>1000</v>
      </c>
      <c r="AA57" s="646">
        <f>('Prg. HR'!V41-'Prg. HR'!U41)*'Prg. Expenses'!$D$57</f>
        <v>500</v>
      </c>
      <c r="AB57" s="646">
        <f>('Prg. HR'!W41-'Prg. HR'!V41)*'Prg. Expenses'!$D$57</f>
        <v>1000</v>
      </c>
      <c r="AC57" s="646">
        <f>('Prg. HR'!X41-'Prg. HR'!W41)*'Prg. Expenses'!$D$57</f>
        <v>0</v>
      </c>
      <c r="AD57" s="646">
        <f>('Prg. HR'!Y41-'Prg. HR'!X41)*'Prg. Expenses'!$D$57</f>
        <v>0</v>
      </c>
      <c r="AE57" s="646">
        <f>('Prg. HR'!Z41-'Prg. HR'!Y41)*'Prg. Expenses'!$D$57</f>
        <v>0</v>
      </c>
      <c r="AF57" s="647">
        <f>('Prg. HR'!AA41-'Prg. HR'!Z41)*'Prg. Expenses'!$D$57</f>
        <v>1000</v>
      </c>
      <c r="AG57" s="646">
        <f>('Prg. HR'!AB41-'Prg. HR'!AA41)*'Prg. Expenses'!$D$57</f>
        <v>2000</v>
      </c>
      <c r="AH57" s="646">
        <f>('Prg. HR'!AC41-'Prg. HR'!AB41)*'Prg. Expenses'!$D$57</f>
        <v>0</v>
      </c>
      <c r="AI57" s="646">
        <f>('Prg. HR'!AD41-'Prg. HR'!AC41)*'Prg. Expenses'!$D$57</f>
        <v>0</v>
      </c>
      <c r="AJ57" s="646">
        <f>('Prg. HR'!AE41-'Prg. HR'!AD41)*'Prg. Expenses'!$D$57</f>
        <v>0</v>
      </c>
      <c r="AK57" s="646">
        <f>('Prg. HR'!AF41-'Prg. HR'!AE41)*'Prg. Expenses'!$D$57</f>
        <v>0</v>
      </c>
      <c r="AL57" s="646">
        <f>('Prg. HR'!AG41-'Prg. HR'!AF41)*'Prg. Expenses'!$D$57</f>
        <v>0</v>
      </c>
      <c r="AM57" s="646">
        <f>('Prg. HR'!AH41-'Prg. HR'!AG41)*'Prg. Expenses'!$D$57</f>
        <v>1000</v>
      </c>
      <c r="AN57" s="646">
        <f>('Prg. HR'!AI41-'Prg. HR'!AH41)*'Prg. Expenses'!$D$57</f>
        <v>1000</v>
      </c>
      <c r="AO57" s="646">
        <f>('Prg. HR'!AJ41-'Prg. HR'!AI41)*'Prg. Expenses'!$D$57</f>
        <v>0</v>
      </c>
      <c r="AP57" s="646">
        <f>('Prg. HR'!AK41-'Prg. HR'!AJ41)*'Prg. Expenses'!$D$57</f>
        <v>0</v>
      </c>
      <c r="AQ57" s="646">
        <f>('Prg. HR'!AL41-'Prg. HR'!AK41)*'Prg. Expenses'!$D$57</f>
        <v>1000</v>
      </c>
      <c r="AR57" s="647">
        <f>('Prg. HR'!AM41-'Prg. HR'!AL41)*'Prg. Expenses'!$D$57</f>
        <v>0</v>
      </c>
      <c r="AS57" s="646">
        <f>('Prg. HR'!AN41-'Prg. HR'!AM41)*'Prg. Expenses'!$D$57</f>
        <v>0</v>
      </c>
      <c r="AT57" s="646">
        <f>('Prg. HR'!AO41-'Prg. HR'!AN41)*'Prg. Expenses'!$D$57</f>
        <v>0</v>
      </c>
      <c r="AU57" s="646">
        <f>('Prg. HR'!AP41-'Prg. HR'!AO41)*'Prg. Expenses'!$D$57</f>
        <v>0</v>
      </c>
      <c r="AV57" s="646">
        <f>('Prg. HR'!AQ41-'Prg. HR'!AP41)*'Prg. Expenses'!$D$57</f>
        <v>0</v>
      </c>
      <c r="AW57" s="646">
        <f>('Prg. HR'!AR41-'Prg. HR'!AQ41)*'Prg. Expenses'!$D$57</f>
        <v>1000</v>
      </c>
      <c r="AX57" s="646">
        <f>('Prg. HR'!AS41-'Prg. HR'!AR41)*'Prg. Expenses'!$D$57</f>
        <v>1000</v>
      </c>
      <c r="AY57" s="646">
        <f>('Prg. HR'!AT41-'Prg. HR'!AS41)*'Prg. Expenses'!$D$57</f>
        <v>0</v>
      </c>
      <c r="AZ57" s="646">
        <f>('Prg. HR'!AU41-'Prg. HR'!AT41)*'Prg. Expenses'!$D$57</f>
        <v>0</v>
      </c>
      <c r="BA57" s="646">
        <f>('Prg. HR'!AV41-'Prg. HR'!AU41)*'Prg. Expenses'!$D$57</f>
        <v>1000</v>
      </c>
      <c r="BB57" s="646">
        <f>('Prg. HR'!AW41-'Prg. HR'!AV41)*'Prg. Expenses'!$D$57</f>
        <v>0</v>
      </c>
      <c r="BC57" s="646">
        <f>('Prg. HR'!AX41-'Prg. HR'!AW41)*'Prg. Expenses'!$D$57</f>
        <v>1000</v>
      </c>
      <c r="BD57" s="647">
        <f>('Prg. HR'!AY41-'Prg. HR'!AX41)*'Prg. Expenses'!$D$57</f>
        <v>2000</v>
      </c>
      <c r="BE57" s="646">
        <f>('Prg. HR'!AZ41-'Prg. HR'!AY41)*'Prg. Expenses'!$D$57</f>
        <v>0</v>
      </c>
      <c r="BF57" s="646">
        <f>('Prg. HR'!BA41-'Prg. HR'!AZ41)*'Prg. Expenses'!$D$57</f>
        <v>0</v>
      </c>
      <c r="BG57" s="646">
        <f>('Prg. HR'!BB41-'Prg. HR'!BA41)*'Prg. Expenses'!$D$57</f>
        <v>0</v>
      </c>
      <c r="BH57" s="646">
        <f>('Prg. HR'!BC41-'Prg. HR'!BB41)*'Prg. Expenses'!$D$57</f>
        <v>0</v>
      </c>
      <c r="BI57" s="646">
        <f>('Prg. HR'!BD41-'Prg. HR'!BC41)*'Prg. Expenses'!$D$57</f>
        <v>1000</v>
      </c>
      <c r="BJ57" s="646">
        <f>('Prg. HR'!BE41-'Prg. HR'!BD41)*'Prg. Expenses'!$D$57</f>
        <v>2000</v>
      </c>
      <c r="BK57" s="646">
        <f>('Prg. HR'!BF41-'Prg. HR'!BE41)*'Prg. Expenses'!$D$57</f>
        <v>0</v>
      </c>
      <c r="BL57" s="646">
        <f>('Prg. HR'!BG41-'Prg. HR'!BF41)*'Prg. Expenses'!$D$57</f>
        <v>0</v>
      </c>
      <c r="BM57" s="646">
        <f>('Prg. HR'!BH41-'Prg. HR'!BG41)*'Prg. Expenses'!$D$57</f>
        <v>1000</v>
      </c>
      <c r="BN57" s="646">
        <f>('Prg. HR'!BI41-'Prg. HR'!BH41)*'Prg. Expenses'!$D$57</f>
        <v>1000</v>
      </c>
      <c r="BO57" s="646">
        <f>('Prg. HR'!BJ41-'Prg. HR'!BI41)*'Prg. Expenses'!$D$57</f>
        <v>0</v>
      </c>
      <c r="BP57" s="647">
        <f>('Prg. HR'!BK41-'Prg. HR'!BJ41)*'Prg. Expenses'!$D$57</f>
        <v>2000</v>
      </c>
    </row>
    <row r="58" spans="1:68" s="644" customFormat="1">
      <c r="A58" s="630"/>
      <c r="B58" s="316"/>
      <c r="C58" s="314" t="s">
        <v>85</v>
      </c>
      <c r="D58" s="176">
        <v>30</v>
      </c>
      <c r="E58" s="315" t="s">
        <v>84</v>
      </c>
      <c r="G58" s="645" t="e">
        <f>$G$26*D58</f>
        <v>#REF!</v>
      </c>
      <c r="H58" s="645">
        <f>$H$26*D58</f>
        <v>60</v>
      </c>
      <c r="I58" s="646">
        <f>'Prg. HR'!D41*$D$58</f>
        <v>75</v>
      </c>
      <c r="J58" s="646">
        <f>'Prg. HR'!E41*$D$58</f>
        <v>75</v>
      </c>
      <c r="K58" s="646">
        <f>'Prg. HR'!F41*$D$58</f>
        <v>75</v>
      </c>
      <c r="L58" s="646">
        <f>'Prg. HR'!G41*$D$58</f>
        <v>105</v>
      </c>
      <c r="M58" s="646">
        <f>'Prg. HR'!H41*$D$58</f>
        <v>105</v>
      </c>
      <c r="N58" s="646">
        <f>'Prg. HR'!I41*$D$58</f>
        <v>105</v>
      </c>
      <c r="O58" s="646">
        <f>'Prg. HR'!J41*$D$58</f>
        <v>105</v>
      </c>
      <c r="P58" s="646">
        <f>'Prg. HR'!K41*$D$58</f>
        <v>135</v>
      </c>
      <c r="Q58" s="646">
        <f>'Prg. HR'!L41*$D$58</f>
        <v>135</v>
      </c>
      <c r="R58" s="646">
        <f>'Prg. HR'!M41*$D$58</f>
        <v>135</v>
      </c>
      <c r="S58" s="646">
        <f>'Prg. HR'!N41*$D$58</f>
        <v>135</v>
      </c>
      <c r="T58" s="647">
        <f>'Prg. HR'!O41*$D$58</f>
        <v>135</v>
      </c>
      <c r="U58" s="646">
        <f>'Prg. HR'!P41*$D$58</f>
        <v>135</v>
      </c>
      <c r="V58" s="646">
        <f>'Prg. HR'!Q41*$D$58</f>
        <v>135</v>
      </c>
      <c r="W58" s="646">
        <f>'Prg. HR'!R41*$D$58</f>
        <v>135</v>
      </c>
      <c r="X58" s="646">
        <f>'Prg. HR'!S41*$D$58</f>
        <v>165</v>
      </c>
      <c r="Y58" s="646">
        <f>'Prg. HR'!T41*$D$58</f>
        <v>165</v>
      </c>
      <c r="Z58" s="646">
        <f>'Prg. HR'!U41*$D$58</f>
        <v>195</v>
      </c>
      <c r="AA58" s="646">
        <f>'Prg. HR'!V41*$D$58</f>
        <v>210</v>
      </c>
      <c r="AB58" s="646">
        <f>'Prg. HR'!W41*$D$58</f>
        <v>240</v>
      </c>
      <c r="AC58" s="646">
        <f>'Prg. HR'!X41*$D$58</f>
        <v>240</v>
      </c>
      <c r="AD58" s="646">
        <f>'Prg. HR'!Y41*$D$58</f>
        <v>240</v>
      </c>
      <c r="AE58" s="646">
        <f>'Prg. HR'!Z41*$D$58</f>
        <v>240</v>
      </c>
      <c r="AF58" s="647">
        <f>'Prg. HR'!AA41*$D$58</f>
        <v>270</v>
      </c>
      <c r="AG58" s="646">
        <f>'Prg. HR'!AB41*$D$58</f>
        <v>330</v>
      </c>
      <c r="AH58" s="646">
        <f>'Prg. HR'!AC41*$D$58</f>
        <v>330</v>
      </c>
      <c r="AI58" s="646">
        <f>'Prg. HR'!AD41*$D$58</f>
        <v>330</v>
      </c>
      <c r="AJ58" s="646">
        <f>'Prg. HR'!AE41*$D$58</f>
        <v>330</v>
      </c>
      <c r="AK58" s="646">
        <f>'Prg. HR'!AF41*$D$58</f>
        <v>330</v>
      </c>
      <c r="AL58" s="646">
        <f>'Prg. HR'!AG41*$D$58</f>
        <v>330</v>
      </c>
      <c r="AM58" s="646">
        <f>'Prg. HR'!AH41*$D$58</f>
        <v>360</v>
      </c>
      <c r="AN58" s="646">
        <f>'Prg. HR'!AI41*$D$58</f>
        <v>390</v>
      </c>
      <c r="AO58" s="646">
        <f>'Prg. HR'!AJ41*$D$58</f>
        <v>390</v>
      </c>
      <c r="AP58" s="646">
        <f>'Prg. HR'!AK41*$D$58</f>
        <v>390</v>
      </c>
      <c r="AQ58" s="646">
        <f>'Prg. HR'!AL41*$D$58</f>
        <v>420</v>
      </c>
      <c r="AR58" s="647">
        <f>'Prg. HR'!AM41*$D$58</f>
        <v>420</v>
      </c>
      <c r="AS58" s="646">
        <f>'Prg. HR'!AN41*$D$58</f>
        <v>420</v>
      </c>
      <c r="AT58" s="646">
        <f>'Prg. HR'!AO41*$D$58</f>
        <v>420</v>
      </c>
      <c r="AU58" s="646">
        <f>'Prg. HR'!AP41*$D$58</f>
        <v>420</v>
      </c>
      <c r="AV58" s="646">
        <f>'Prg. HR'!AQ41*$D$58</f>
        <v>420</v>
      </c>
      <c r="AW58" s="646">
        <f>'Prg. HR'!AR41*$D$58</f>
        <v>450</v>
      </c>
      <c r="AX58" s="646">
        <f>'Prg. HR'!AS41*$D$58</f>
        <v>480</v>
      </c>
      <c r="AY58" s="646">
        <f>'Prg. HR'!AT41*$D$58</f>
        <v>480</v>
      </c>
      <c r="AZ58" s="646">
        <f>'Prg. HR'!AU41*$D$58</f>
        <v>480</v>
      </c>
      <c r="BA58" s="646">
        <f>'Prg. HR'!AV41*$D$58</f>
        <v>510</v>
      </c>
      <c r="BB58" s="646">
        <f>'Prg. HR'!AW41*$D$58</f>
        <v>510</v>
      </c>
      <c r="BC58" s="646">
        <f>'Prg. HR'!AX41*$D$58</f>
        <v>540</v>
      </c>
      <c r="BD58" s="647">
        <f>'Prg. HR'!AY41*$D$58</f>
        <v>600</v>
      </c>
      <c r="BE58" s="646">
        <f>'Prg. HR'!AZ41*$D$58</f>
        <v>600</v>
      </c>
      <c r="BF58" s="646">
        <f>'Prg. HR'!BA41*$D$58</f>
        <v>600</v>
      </c>
      <c r="BG58" s="646">
        <f>'Prg. HR'!BB41*$D$58</f>
        <v>600</v>
      </c>
      <c r="BH58" s="646">
        <f>'Prg. HR'!BC41*$D$58</f>
        <v>600</v>
      </c>
      <c r="BI58" s="646">
        <f>'Prg. HR'!BD41*$D$58</f>
        <v>630</v>
      </c>
      <c r="BJ58" s="646">
        <f>'Prg. HR'!BE41*$D$58</f>
        <v>690</v>
      </c>
      <c r="BK58" s="646">
        <f>'Prg. HR'!BF41*$D$58</f>
        <v>690</v>
      </c>
      <c r="BL58" s="646">
        <f>'Prg. HR'!BG41*$D$58</f>
        <v>690</v>
      </c>
      <c r="BM58" s="646">
        <f>'Prg. HR'!BH41*$D$58</f>
        <v>720</v>
      </c>
      <c r="BN58" s="646">
        <f>'Prg. HR'!BI41*$D$58</f>
        <v>750</v>
      </c>
      <c r="BO58" s="646">
        <f>'Prg. HR'!BJ41*$D$58</f>
        <v>750</v>
      </c>
      <c r="BP58" s="647">
        <f>'Prg. HR'!BK41*$D$58</f>
        <v>810</v>
      </c>
    </row>
    <row r="59" spans="1:68" s="644" customFormat="1">
      <c r="A59" s="629"/>
      <c r="B59" s="33"/>
      <c r="C59" s="34" t="s">
        <v>86</v>
      </c>
      <c r="D59" s="176">
        <v>10</v>
      </c>
      <c r="E59" s="41" t="s">
        <v>84</v>
      </c>
      <c r="G59" s="645" t="e">
        <f>$G$9*$D$59</f>
        <v>#REF!</v>
      </c>
      <c r="H59" s="645" t="e">
        <f>$H$9*$D$59</f>
        <v>#REF!</v>
      </c>
      <c r="I59" s="646">
        <f>$D59*'Prg. HR'!D41</f>
        <v>25</v>
      </c>
      <c r="J59" s="646">
        <f>$D59*'Prg. HR'!E41</f>
        <v>25</v>
      </c>
      <c r="K59" s="646">
        <f>$D59*'Prg. HR'!F41</f>
        <v>25</v>
      </c>
      <c r="L59" s="646">
        <f>$D59*'Prg. HR'!G41</f>
        <v>35</v>
      </c>
      <c r="M59" s="646">
        <f>$D59*'Prg. HR'!H41</f>
        <v>35</v>
      </c>
      <c r="N59" s="646">
        <f>$D59*'Prg. HR'!I41</f>
        <v>35</v>
      </c>
      <c r="O59" s="646">
        <f>$D59*'Prg. HR'!J41</f>
        <v>35</v>
      </c>
      <c r="P59" s="646">
        <f>$D59*'Prg. HR'!K41</f>
        <v>45</v>
      </c>
      <c r="Q59" s="646">
        <f>$D59*'Prg. HR'!L41</f>
        <v>45</v>
      </c>
      <c r="R59" s="646">
        <f>$D59*'Prg. HR'!M41</f>
        <v>45</v>
      </c>
      <c r="S59" s="646">
        <f>$D59*'Prg. HR'!N41</f>
        <v>45</v>
      </c>
      <c r="T59" s="647">
        <f>$D59*'Prg. HR'!O41</f>
        <v>45</v>
      </c>
      <c r="U59" s="646">
        <f>$D59*'Prg. HR'!P41</f>
        <v>45</v>
      </c>
      <c r="V59" s="646">
        <f>$D59*'Prg. HR'!Q41</f>
        <v>45</v>
      </c>
      <c r="W59" s="646">
        <f>$D59*'Prg. HR'!R41</f>
        <v>45</v>
      </c>
      <c r="X59" s="646">
        <f>$D59*'Prg. HR'!S41</f>
        <v>55</v>
      </c>
      <c r="Y59" s="646">
        <f>$D59*'Prg. HR'!T41</f>
        <v>55</v>
      </c>
      <c r="Z59" s="646">
        <f>$D59*'Prg. HR'!U41</f>
        <v>65</v>
      </c>
      <c r="AA59" s="646">
        <f>$D59*'Prg. HR'!V41</f>
        <v>70</v>
      </c>
      <c r="AB59" s="646">
        <f>$D59*'Prg. HR'!W41</f>
        <v>80</v>
      </c>
      <c r="AC59" s="646">
        <f>$D59*'Prg. HR'!X41</f>
        <v>80</v>
      </c>
      <c r="AD59" s="646">
        <f>$D59*'Prg. HR'!Y41</f>
        <v>80</v>
      </c>
      <c r="AE59" s="646">
        <f>$D59*'Prg. HR'!Z41</f>
        <v>80</v>
      </c>
      <c r="AF59" s="647">
        <f>$D59*'Prg. HR'!AA41</f>
        <v>90</v>
      </c>
      <c r="AG59" s="646">
        <f>$D59*'Prg. HR'!AB41</f>
        <v>110</v>
      </c>
      <c r="AH59" s="646">
        <f>$D59*'Prg. HR'!AC41</f>
        <v>110</v>
      </c>
      <c r="AI59" s="646">
        <f>$D59*'Prg. HR'!AD41</f>
        <v>110</v>
      </c>
      <c r="AJ59" s="646">
        <f>$D59*'Prg. HR'!AE41</f>
        <v>110</v>
      </c>
      <c r="AK59" s="646">
        <f>$D59*'Prg. HR'!AF41</f>
        <v>110</v>
      </c>
      <c r="AL59" s="646">
        <f>$D59*'Prg. HR'!AG41</f>
        <v>110</v>
      </c>
      <c r="AM59" s="646">
        <f>$D59*'Prg. HR'!AH41</f>
        <v>120</v>
      </c>
      <c r="AN59" s="646">
        <f>$D59*'Prg. HR'!AI41</f>
        <v>130</v>
      </c>
      <c r="AO59" s="646">
        <f>$D59*'Prg. HR'!AJ41</f>
        <v>130</v>
      </c>
      <c r="AP59" s="646">
        <f>$D59*'Prg. HR'!AK41</f>
        <v>130</v>
      </c>
      <c r="AQ59" s="646">
        <f>$D59*'Prg. HR'!AL41</f>
        <v>140</v>
      </c>
      <c r="AR59" s="647">
        <f>$D59*'Prg. HR'!AM41</f>
        <v>140</v>
      </c>
      <c r="AS59" s="646">
        <f>$D59*'Prg. HR'!AN41</f>
        <v>140</v>
      </c>
      <c r="AT59" s="646">
        <f>$D59*'Prg. HR'!AO41</f>
        <v>140</v>
      </c>
      <c r="AU59" s="646">
        <f>$D59*'Prg. HR'!AP41</f>
        <v>140</v>
      </c>
      <c r="AV59" s="646">
        <f>$D59*'Prg. HR'!AQ41</f>
        <v>140</v>
      </c>
      <c r="AW59" s="646">
        <f>$D59*'Prg. HR'!AR41</f>
        <v>150</v>
      </c>
      <c r="AX59" s="646">
        <f>$D59*'Prg. HR'!AS41</f>
        <v>160</v>
      </c>
      <c r="AY59" s="646">
        <f>$D59*'Prg. HR'!AT41</f>
        <v>160</v>
      </c>
      <c r="AZ59" s="646">
        <f>$D59*'Prg. HR'!AU41</f>
        <v>160</v>
      </c>
      <c r="BA59" s="646">
        <f>$D59*'Prg. HR'!AV41</f>
        <v>170</v>
      </c>
      <c r="BB59" s="646">
        <f>$D59*'Prg. HR'!AW41</f>
        <v>170</v>
      </c>
      <c r="BC59" s="646">
        <f>$D59*'Prg. HR'!AX41</f>
        <v>180</v>
      </c>
      <c r="BD59" s="647">
        <f>$D59*'Prg. HR'!AY41</f>
        <v>200</v>
      </c>
      <c r="BE59" s="646">
        <f>$D59*'Prg. HR'!AZ41</f>
        <v>200</v>
      </c>
      <c r="BF59" s="646">
        <f>$D59*'Prg. HR'!BA41</f>
        <v>200</v>
      </c>
      <c r="BG59" s="646">
        <f>$D59*'Prg. HR'!BB41</f>
        <v>200</v>
      </c>
      <c r="BH59" s="646">
        <f>$D59*'Prg. HR'!BC41</f>
        <v>200</v>
      </c>
      <c r="BI59" s="646">
        <f>$D59*'Prg. HR'!BD41</f>
        <v>210</v>
      </c>
      <c r="BJ59" s="646">
        <f>$D59*'Prg. HR'!BE41</f>
        <v>230</v>
      </c>
      <c r="BK59" s="646">
        <f>$D59*'Prg. HR'!BF41</f>
        <v>230</v>
      </c>
      <c r="BL59" s="646">
        <f>$D59*'Prg. HR'!BG41</f>
        <v>230</v>
      </c>
      <c r="BM59" s="646">
        <f>$D59*'Prg. HR'!BH41</f>
        <v>240</v>
      </c>
      <c r="BN59" s="646">
        <f>$D59*'Prg. HR'!BI41</f>
        <v>250</v>
      </c>
      <c r="BO59" s="646">
        <f>$D59*'Prg. HR'!BJ41</f>
        <v>250</v>
      </c>
      <c r="BP59" s="647">
        <f>$D59*'Prg. HR'!BK41</f>
        <v>270</v>
      </c>
    </row>
    <row r="60" spans="1:68" s="649" customFormat="1">
      <c r="A60" s="659"/>
      <c r="B60" s="660"/>
      <c r="C60" s="661" t="s">
        <v>87</v>
      </c>
      <c r="D60" s="634">
        <v>3</v>
      </c>
      <c r="E60" s="635" t="s">
        <v>84</v>
      </c>
      <c r="G60" s="650" t="e">
        <f>$G$9*$D$60</f>
        <v>#REF!</v>
      </c>
      <c r="H60" s="650"/>
      <c r="I60" s="651">
        <f>$D60*'Prg. HR'!D41</f>
        <v>7.5</v>
      </c>
      <c r="J60" s="651">
        <f>$D60*'Prg. HR'!E41</f>
        <v>7.5</v>
      </c>
      <c r="K60" s="651">
        <f>$D60*'Prg. HR'!F41</f>
        <v>7.5</v>
      </c>
      <c r="L60" s="651">
        <f>$D60*'Prg. HR'!G41</f>
        <v>10.5</v>
      </c>
      <c r="M60" s="651">
        <f>$D60*'Prg. HR'!H41</f>
        <v>10.5</v>
      </c>
      <c r="N60" s="651">
        <f>$D60*'Prg. HR'!I41</f>
        <v>10.5</v>
      </c>
      <c r="O60" s="651">
        <f>$D60*'Prg. HR'!J41</f>
        <v>10.5</v>
      </c>
      <c r="P60" s="651">
        <f>$D60*'Prg. HR'!K41</f>
        <v>13.5</v>
      </c>
      <c r="Q60" s="651">
        <f>$D60*'Prg. HR'!L41</f>
        <v>13.5</v>
      </c>
      <c r="R60" s="651">
        <f>$D60*'Prg. HR'!M41</f>
        <v>13.5</v>
      </c>
      <c r="S60" s="651">
        <f>$D60*'Prg. HR'!N41</f>
        <v>13.5</v>
      </c>
      <c r="T60" s="652">
        <f>$D60*'Prg. HR'!O41</f>
        <v>13.5</v>
      </c>
      <c r="U60" s="651">
        <f>$D60*'Prg. HR'!P41</f>
        <v>13.5</v>
      </c>
      <c r="V60" s="651">
        <f>$D60*'Prg. HR'!Q41</f>
        <v>13.5</v>
      </c>
      <c r="W60" s="651">
        <f>$D60*'Prg. HR'!R41</f>
        <v>13.5</v>
      </c>
      <c r="X60" s="651">
        <f>$D60*'Prg. HR'!S41</f>
        <v>16.5</v>
      </c>
      <c r="Y60" s="651">
        <f>$D60*'Prg. HR'!T41</f>
        <v>16.5</v>
      </c>
      <c r="Z60" s="651">
        <f>$D60*'Prg. HR'!U41</f>
        <v>19.5</v>
      </c>
      <c r="AA60" s="651">
        <f>$D60*'Prg. HR'!V41</f>
        <v>21</v>
      </c>
      <c r="AB60" s="651">
        <f>$D60*'Prg. HR'!W41</f>
        <v>24</v>
      </c>
      <c r="AC60" s="651">
        <f>$D60*'Prg. HR'!X41</f>
        <v>24</v>
      </c>
      <c r="AD60" s="651">
        <f>$D60*'Prg. HR'!Y41</f>
        <v>24</v>
      </c>
      <c r="AE60" s="651">
        <f>$D60*'Prg. HR'!Z41</f>
        <v>24</v>
      </c>
      <c r="AF60" s="652">
        <f>$D60*'Prg. HR'!AA41</f>
        <v>27</v>
      </c>
      <c r="AG60" s="651">
        <f>$D60*'Prg. HR'!AB41</f>
        <v>33</v>
      </c>
      <c r="AH60" s="651">
        <f>$D60*'Prg. HR'!AC41</f>
        <v>33</v>
      </c>
      <c r="AI60" s="651">
        <f>$D60*'Prg. HR'!AD41</f>
        <v>33</v>
      </c>
      <c r="AJ60" s="651">
        <f>$D60*'Prg. HR'!AE41</f>
        <v>33</v>
      </c>
      <c r="AK60" s="651">
        <f>$D60*'Prg. HR'!AF41</f>
        <v>33</v>
      </c>
      <c r="AL60" s="651">
        <f>$D60*'Prg. HR'!AG41</f>
        <v>33</v>
      </c>
      <c r="AM60" s="651">
        <f>$D60*'Prg. HR'!AH41</f>
        <v>36</v>
      </c>
      <c r="AN60" s="651">
        <f>$D60*'Prg. HR'!AI41</f>
        <v>39</v>
      </c>
      <c r="AO60" s="651">
        <f>$D60*'Prg. HR'!AJ41</f>
        <v>39</v>
      </c>
      <c r="AP60" s="651">
        <f>$D60*'Prg. HR'!AK41</f>
        <v>39</v>
      </c>
      <c r="AQ60" s="651">
        <f>$D60*'Prg. HR'!AL41</f>
        <v>42</v>
      </c>
      <c r="AR60" s="652">
        <f>$D60*'Prg. HR'!AM41</f>
        <v>42</v>
      </c>
      <c r="AS60" s="651">
        <f>$D60*'Prg. HR'!AN41</f>
        <v>42</v>
      </c>
      <c r="AT60" s="651">
        <f>$D60*'Prg. HR'!AO41</f>
        <v>42</v>
      </c>
      <c r="AU60" s="651">
        <f>$D60*'Prg. HR'!AP41</f>
        <v>42</v>
      </c>
      <c r="AV60" s="651">
        <f>$D60*'Prg. HR'!AQ41</f>
        <v>42</v>
      </c>
      <c r="AW60" s="651">
        <f>$D60*'Prg. HR'!AR41</f>
        <v>45</v>
      </c>
      <c r="AX60" s="651">
        <f>$D60*'Prg. HR'!AS41</f>
        <v>48</v>
      </c>
      <c r="AY60" s="651">
        <f>$D60*'Prg. HR'!AT41</f>
        <v>48</v>
      </c>
      <c r="AZ60" s="651">
        <f>$D60*'Prg. HR'!AU41</f>
        <v>48</v>
      </c>
      <c r="BA60" s="651">
        <f>$D60*'Prg. HR'!AV41</f>
        <v>51</v>
      </c>
      <c r="BB60" s="651">
        <f>$D60*'Prg. HR'!AW41</f>
        <v>51</v>
      </c>
      <c r="BC60" s="651">
        <f>$D60*'Prg. HR'!AX41</f>
        <v>54</v>
      </c>
      <c r="BD60" s="652">
        <f>$D60*'Prg. HR'!AY41</f>
        <v>60</v>
      </c>
      <c r="BE60" s="651">
        <f>$D60*'Prg. HR'!AZ41</f>
        <v>60</v>
      </c>
      <c r="BF60" s="651">
        <f>$D60*'Prg. HR'!BA41</f>
        <v>60</v>
      </c>
      <c r="BG60" s="651">
        <f>$D60*'Prg. HR'!BB41</f>
        <v>60</v>
      </c>
      <c r="BH60" s="651">
        <f>$D60*'Prg. HR'!BC41</f>
        <v>60</v>
      </c>
      <c r="BI60" s="651">
        <f>$D60*'Prg. HR'!BD41</f>
        <v>63</v>
      </c>
      <c r="BJ60" s="651">
        <f>$D60*'Prg. HR'!BE41</f>
        <v>69</v>
      </c>
      <c r="BK60" s="651">
        <f>$D60*'Prg. HR'!BF41</f>
        <v>69</v>
      </c>
      <c r="BL60" s="651">
        <f>$D60*'Prg. HR'!BG41</f>
        <v>69</v>
      </c>
      <c r="BM60" s="651">
        <f>$D60*'Prg. HR'!BH41</f>
        <v>72</v>
      </c>
      <c r="BN60" s="651">
        <f>$D60*'Prg. HR'!BI41</f>
        <v>75</v>
      </c>
      <c r="BO60" s="651">
        <f>$D60*'Prg. HR'!BJ41</f>
        <v>75</v>
      </c>
      <c r="BP60" s="652">
        <f>$D60*'Prg. HR'!BK41</f>
        <v>81</v>
      </c>
    </row>
    <row r="61" spans="1:68" s="320" customFormat="1">
      <c r="A61" s="301"/>
      <c r="B61" s="302"/>
      <c r="C61" s="303"/>
      <c r="D61" s="318"/>
      <c r="E61" s="319" t="s">
        <v>237</v>
      </c>
      <c r="G61" s="321" t="e">
        <f t="shared" ref="G61:AL61" si="22">SUM(G55:G60)</f>
        <v>#REF!</v>
      </c>
      <c r="H61" s="321" t="e">
        <f t="shared" si="22"/>
        <v>#REF!</v>
      </c>
      <c r="I61" s="322">
        <f t="shared" si="22"/>
        <v>290</v>
      </c>
      <c r="J61" s="322">
        <f t="shared" si="22"/>
        <v>290</v>
      </c>
      <c r="K61" s="322">
        <f t="shared" si="22"/>
        <v>290</v>
      </c>
      <c r="L61" s="322">
        <f t="shared" si="22"/>
        <v>1358</v>
      </c>
      <c r="M61" s="322">
        <f t="shared" si="22"/>
        <v>358</v>
      </c>
      <c r="N61" s="322">
        <f t="shared" si="22"/>
        <v>358</v>
      </c>
      <c r="O61" s="322">
        <f t="shared" si="22"/>
        <v>358</v>
      </c>
      <c r="P61" s="322">
        <f t="shared" si="22"/>
        <v>1426</v>
      </c>
      <c r="Q61" s="322">
        <f t="shared" si="22"/>
        <v>426</v>
      </c>
      <c r="R61" s="322">
        <f t="shared" si="22"/>
        <v>426</v>
      </c>
      <c r="S61" s="322">
        <f t="shared" si="22"/>
        <v>426</v>
      </c>
      <c r="T61" s="323">
        <f t="shared" si="22"/>
        <v>426</v>
      </c>
      <c r="U61" s="322">
        <f t="shared" si="22"/>
        <v>426</v>
      </c>
      <c r="V61" s="322">
        <f t="shared" si="22"/>
        <v>426</v>
      </c>
      <c r="W61" s="322">
        <f t="shared" si="22"/>
        <v>426</v>
      </c>
      <c r="X61" s="322">
        <f t="shared" si="22"/>
        <v>1494</v>
      </c>
      <c r="Y61" s="322">
        <f t="shared" si="22"/>
        <v>494</v>
      </c>
      <c r="Z61" s="322">
        <f t="shared" si="22"/>
        <v>1562</v>
      </c>
      <c r="AA61" s="322">
        <f t="shared" si="22"/>
        <v>1096</v>
      </c>
      <c r="AB61" s="322">
        <f t="shared" si="22"/>
        <v>1664</v>
      </c>
      <c r="AC61" s="322">
        <f t="shared" si="22"/>
        <v>664</v>
      </c>
      <c r="AD61" s="322">
        <f t="shared" si="22"/>
        <v>664</v>
      </c>
      <c r="AE61" s="322">
        <f t="shared" si="22"/>
        <v>664</v>
      </c>
      <c r="AF61" s="323">
        <f t="shared" si="22"/>
        <v>1732</v>
      </c>
      <c r="AG61" s="322">
        <f t="shared" si="22"/>
        <v>2868</v>
      </c>
      <c r="AH61" s="322">
        <f t="shared" si="22"/>
        <v>868</v>
      </c>
      <c r="AI61" s="322">
        <f t="shared" si="22"/>
        <v>868</v>
      </c>
      <c r="AJ61" s="322">
        <f t="shared" si="22"/>
        <v>868</v>
      </c>
      <c r="AK61" s="322">
        <f t="shared" si="22"/>
        <v>868</v>
      </c>
      <c r="AL61" s="322">
        <f t="shared" si="22"/>
        <v>868</v>
      </c>
      <c r="AM61" s="322">
        <f t="shared" ref="AM61:BP61" si="23">SUM(AM55:AM60)</f>
        <v>1936</v>
      </c>
      <c r="AN61" s="322">
        <f t="shared" si="23"/>
        <v>2004</v>
      </c>
      <c r="AO61" s="322">
        <f t="shared" si="23"/>
        <v>1004</v>
      </c>
      <c r="AP61" s="322">
        <f t="shared" si="23"/>
        <v>1004</v>
      </c>
      <c r="AQ61" s="322">
        <f t="shared" si="23"/>
        <v>2072</v>
      </c>
      <c r="AR61" s="323">
        <f t="shared" si="23"/>
        <v>1072</v>
      </c>
      <c r="AS61" s="322">
        <f t="shared" si="23"/>
        <v>1072</v>
      </c>
      <c r="AT61" s="322">
        <f t="shared" si="23"/>
        <v>1072</v>
      </c>
      <c r="AU61" s="322">
        <f t="shared" si="23"/>
        <v>1072</v>
      </c>
      <c r="AV61" s="322">
        <f t="shared" si="23"/>
        <v>1072</v>
      </c>
      <c r="AW61" s="322">
        <f t="shared" si="23"/>
        <v>2140</v>
      </c>
      <c r="AX61" s="322">
        <f t="shared" si="23"/>
        <v>2208</v>
      </c>
      <c r="AY61" s="322">
        <f t="shared" si="23"/>
        <v>1208</v>
      </c>
      <c r="AZ61" s="322">
        <f t="shared" si="23"/>
        <v>1208</v>
      </c>
      <c r="BA61" s="322">
        <f t="shared" si="23"/>
        <v>2276</v>
      </c>
      <c r="BB61" s="322">
        <f t="shared" si="23"/>
        <v>1276</v>
      </c>
      <c r="BC61" s="322">
        <f t="shared" si="23"/>
        <v>2344</v>
      </c>
      <c r="BD61" s="323">
        <f t="shared" si="23"/>
        <v>3480</v>
      </c>
      <c r="BE61" s="322">
        <f t="shared" si="23"/>
        <v>1480</v>
      </c>
      <c r="BF61" s="322">
        <f t="shared" si="23"/>
        <v>1480</v>
      </c>
      <c r="BG61" s="322">
        <f t="shared" si="23"/>
        <v>1480</v>
      </c>
      <c r="BH61" s="322">
        <f t="shared" si="23"/>
        <v>1480</v>
      </c>
      <c r="BI61" s="322">
        <f t="shared" si="23"/>
        <v>2548</v>
      </c>
      <c r="BJ61" s="322">
        <f t="shared" si="23"/>
        <v>3684</v>
      </c>
      <c r="BK61" s="322">
        <f t="shared" si="23"/>
        <v>1684</v>
      </c>
      <c r="BL61" s="322">
        <f t="shared" si="23"/>
        <v>1684</v>
      </c>
      <c r="BM61" s="322">
        <f t="shared" si="23"/>
        <v>2752</v>
      </c>
      <c r="BN61" s="322">
        <f t="shared" si="23"/>
        <v>2820</v>
      </c>
      <c r="BO61" s="322">
        <f t="shared" si="23"/>
        <v>1820</v>
      </c>
      <c r="BP61" s="323">
        <f t="shared" si="23"/>
        <v>3956</v>
      </c>
    </row>
    <row r="62" spans="1:68" s="160" customFormat="1">
      <c r="A62" s="306"/>
      <c r="B62" s="310"/>
      <c r="C62" s="311"/>
      <c r="D62" s="312"/>
      <c r="E62" s="313"/>
      <c r="G62" s="161"/>
      <c r="H62" s="161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3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3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3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3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3"/>
    </row>
    <row r="63" spans="1:68" s="160" customFormat="1">
      <c r="A63" s="306"/>
      <c r="B63" s="310"/>
      <c r="C63" s="311"/>
      <c r="D63" s="312"/>
      <c r="E63" s="313"/>
      <c r="G63" s="161"/>
      <c r="H63" s="161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3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3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3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3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3"/>
    </row>
    <row r="64" spans="1:68" s="320" customFormat="1" ht="13.5" customHeight="1">
      <c r="A64" s="687" t="s">
        <v>36</v>
      </c>
      <c r="B64" s="680"/>
      <c r="C64" s="681"/>
      <c r="D64" s="682"/>
      <c r="E64" s="683"/>
      <c r="G64" s="321"/>
      <c r="H64" s="321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3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3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3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3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3"/>
    </row>
    <row r="65" spans="1:68" s="639" customFormat="1">
      <c r="A65" s="657"/>
      <c r="B65" s="658"/>
      <c r="C65" s="626" t="s">
        <v>37</v>
      </c>
      <c r="D65" s="627">
        <v>50</v>
      </c>
      <c r="E65" s="684" t="s">
        <v>303</v>
      </c>
      <c r="G65" s="640">
        <f>$D$65</f>
        <v>50</v>
      </c>
      <c r="H65" s="640"/>
      <c r="I65" s="641">
        <f>('Prg. HR'!D41-'Prg. HR'!D23)*$D65</f>
        <v>125</v>
      </c>
      <c r="J65" s="641">
        <f>('Prg. HR'!E41-'Prg. HR'!E23)*$D65</f>
        <v>125</v>
      </c>
      <c r="K65" s="641">
        <f>('Prg. HR'!F41-'Prg. HR'!F23)*$D65</f>
        <v>125</v>
      </c>
      <c r="L65" s="641">
        <f>('Prg. HR'!G41-'Prg. HR'!G23)*$D65</f>
        <v>125</v>
      </c>
      <c r="M65" s="641">
        <f>('Prg. HR'!H41-'Prg. HR'!H23)*$D65</f>
        <v>125</v>
      </c>
      <c r="N65" s="641">
        <f>('Prg. HR'!I41-'Prg. HR'!I23)*$D65</f>
        <v>125</v>
      </c>
      <c r="O65" s="641">
        <f>('Prg. HR'!J41-'Prg. HR'!J23)*$D65</f>
        <v>125</v>
      </c>
      <c r="P65" s="641">
        <f>('Prg. HR'!K41-'Prg. HR'!K23)*$D65</f>
        <v>175</v>
      </c>
      <c r="Q65" s="641">
        <f>('Prg. HR'!L41-'Prg. HR'!L23)*$D65</f>
        <v>175</v>
      </c>
      <c r="R65" s="641">
        <f>('Prg. HR'!M41-'Prg. HR'!M23)*$D65</f>
        <v>175</v>
      </c>
      <c r="S65" s="641">
        <f>('Prg. HR'!N41-'Prg. HR'!N23)*$D65</f>
        <v>175</v>
      </c>
      <c r="T65" s="642">
        <f>('Prg. HR'!O41-'Prg. HR'!O23)*$D65</f>
        <v>175</v>
      </c>
      <c r="U65" s="641">
        <f>('Prg. HR'!P41-'Prg. HR'!P23)*$D65</f>
        <v>175</v>
      </c>
      <c r="V65" s="641">
        <f>('Prg. HR'!Q41-'Prg. HR'!Q23)*$D65</f>
        <v>175</v>
      </c>
      <c r="W65" s="641">
        <f>('Prg. HR'!R41-'Prg. HR'!R23)*$D65</f>
        <v>175</v>
      </c>
      <c r="X65" s="641">
        <f>('Prg. HR'!S41-'Prg. HR'!S23)*$D65</f>
        <v>225</v>
      </c>
      <c r="Y65" s="641">
        <f>('Prg. HR'!T41-'Prg. HR'!T23)*$D65</f>
        <v>225</v>
      </c>
      <c r="Z65" s="641">
        <f>('Prg. HR'!U41-'Prg. HR'!U23)*$D65</f>
        <v>275</v>
      </c>
      <c r="AA65" s="641">
        <f>('Prg. HR'!V41-'Prg. HR'!V23)*$D65</f>
        <v>300</v>
      </c>
      <c r="AB65" s="641">
        <f>('Prg. HR'!W41-'Prg. HR'!W23)*$D65</f>
        <v>350</v>
      </c>
      <c r="AC65" s="641">
        <f>('Prg. HR'!X41-'Prg. HR'!X23)*$D65</f>
        <v>350</v>
      </c>
      <c r="AD65" s="641">
        <f>('Prg. HR'!Y41-'Prg. HR'!Y23)*$D65</f>
        <v>350</v>
      </c>
      <c r="AE65" s="641">
        <f>('Prg. HR'!Z41-'Prg. HR'!Z23)*$D65</f>
        <v>350</v>
      </c>
      <c r="AF65" s="642">
        <f>('Prg. HR'!AA41-'Prg. HR'!AA23)*$D65</f>
        <v>400</v>
      </c>
      <c r="AG65" s="641">
        <f>('Prg. HR'!AB41-'Prg. HR'!AB23)*$D65</f>
        <v>450</v>
      </c>
      <c r="AH65" s="641">
        <f>('Prg. HR'!AC41-'Prg. HR'!AC23)*$D65</f>
        <v>450</v>
      </c>
      <c r="AI65" s="641">
        <f>('Prg. HR'!AD41-'Prg. HR'!AD23)*$D65</f>
        <v>450</v>
      </c>
      <c r="AJ65" s="641">
        <f>('Prg. HR'!AE41-'Prg. HR'!AE23)*$D65</f>
        <v>450</v>
      </c>
      <c r="AK65" s="641">
        <f>('Prg. HR'!AF41-'Prg. HR'!AF23)*$D65</f>
        <v>450</v>
      </c>
      <c r="AL65" s="641">
        <f>('Prg. HR'!AG41-'Prg. HR'!AG23)*$D65</f>
        <v>450</v>
      </c>
      <c r="AM65" s="641">
        <f>('Prg. HR'!AH41-'Prg. HR'!AH23)*$D65</f>
        <v>500</v>
      </c>
      <c r="AN65" s="641">
        <f>('Prg. HR'!AI41-'Prg. HR'!AI23)*$D65</f>
        <v>550</v>
      </c>
      <c r="AO65" s="641">
        <f>('Prg. HR'!AJ41-'Prg. HR'!AJ23)*$D65</f>
        <v>550</v>
      </c>
      <c r="AP65" s="641">
        <f>('Prg. HR'!AK41-'Prg. HR'!AK23)*$D65</f>
        <v>550</v>
      </c>
      <c r="AQ65" s="641">
        <f>('Prg. HR'!AL41-'Prg. HR'!AL23)*$D65</f>
        <v>550</v>
      </c>
      <c r="AR65" s="642">
        <f>('Prg. HR'!AM41-'Prg. HR'!AM23)*$D65</f>
        <v>550</v>
      </c>
      <c r="AS65" s="641">
        <f>('Prg. HR'!AN41-'Prg. HR'!AN23)*$D65</f>
        <v>550</v>
      </c>
      <c r="AT65" s="641">
        <f>('Prg. HR'!AO41-'Prg. HR'!AO23)*$D65</f>
        <v>550</v>
      </c>
      <c r="AU65" s="641">
        <f>('Prg. HR'!AP41-'Prg. HR'!AP23)*$D65</f>
        <v>550</v>
      </c>
      <c r="AV65" s="641">
        <f>('Prg. HR'!AQ41-'Prg. HR'!AQ23)*$D65</f>
        <v>550</v>
      </c>
      <c r="AW65" s="641">
        <f>('Prg. HR'!AR41-'Prg. HR'!AR23)*$D65</f>
        <v>600</v>
      </c>
      <c r="AX65" s="641">
        <f>('Prg. HR'!AS41-'Prg. HR'!AS23)*$D65</f>
        <v>600</v>
      </c>
      <c r="AY65" s="641">
        <f>('Prg. HR'!AT41-'Prg. HR'!AT23)*$D65</f>
        <v>600</v>
      </c>
      <c r="AZ65" s="641">
        <f>('Prg. HR'!AU41-'Prg. HR'!AU23)*$D65</f>
        <v>600</v>
      </c>
      <c r="BA65" s="641">
        <f>('Prg. HR'!AV41-'Prg. HR'!AV23)*$D65</f>
        <v>650</v>
      </c>
      <c r="BB65" s="641">
        <f>('Prg. HR'!AW41-'Prg. HR'!AW23)*$D65</f>
        <v>650</v>
      </c>
      <c r="BC65" s="641">
        <f>('Prg. HR'!AX41-'Prg. HR'!AX23)*$D65</f>
        <v>700</v>
      </c>
      <c r="BD65" s="642">
        <f>('Prg. HR'!AY41-'Prg. HR'!AY23)*$D65</f>
        <v>750</v>
      </c>
      <c r="BE65" s="641">
        <f>('Prg. HR'!AZ41-'Prg. HR'!AZ23)*$D65</f>
        <v>750</v>
      </c>
      <c r="BF65" s="641">
        <f>('Prg. HR'!BA41-'Prg. HR'!BA23)*$D65</f>
        <v>750</v>
      </c>
      <c r="BG65" s="641">
        <f>('Prg. HR'!BB41-'Prg. HR'!BB23)*$D65</f>
        <v>750</v>
      </c>
      <c r="BH65" s="641">
        <f>('Prg. HR'!BC41-'Prg. HR'!BC23)*$D65</f>
        <v>750</v>
      </c>
      <c r="BI65" s="641">
        <f>('Prg. HR'!BD41-'Prg. HR'!BD23)*$D65</f>
        <v>750</v>
      </c>
      <c r="BJ65" s="641">
        <f>('Prg. HR'!BE41-'Prg. HR'!BE23)*$D65</f>
        <v>850</v>
      </c>
      <c r="BK65" s="641">
        <f>('Prg. HR'!BF41-'Prg. HR'!BF23)*$D65</f>
        <v>850</v>
      </c>
      <c r="BL65" s="641">
        <f>('Prg. HR'!BG41-'Prg. HR'!BG23)*$D65</f>
        <v>850</v>
      </c>
      <c r="BM65" s="641">
        <f>('Prg. HR'!BH41-'Prg. HR'!BH23)*$D65</f>
        <v>850</v>
      </c>
      <c r="BN65" s="641">
        <f>('Prg. HR'!BI41-'Prg. HR'!BI23)*$D65</f>
        <v>900</v>
      </c>
      <c r="BO65" s="641">
        <f>('Prg. HR'!BJ41-'Prg. HR'!BJ23)*$D65</f>
        <v>900</v>
      </c>
      <c r="BP65" s="642">
        <f>('Prg. HR'!BK41-'Prg. HR'!BK23)*$D65</f>
        <v>1000</v>
      </c>
    </row>
    <row r="66" spans="1:68" s="644" customFormat="1">
      <c r="A66" s="630"/>
      <c r="B66" s="316"/>
      <c r="C66" s="314" t="s">
        <v>38</v>
      </c>
      <c r="D66" s="176">
        <v>15</v>
      </c>
      <c r="E66" s="317" t="s">
        <v>94</v>
      </c>
      <c r="G66" s="645" t="e">
        <f>#REF!*$D$66</f>
        <v>#REF!</v>
      </c>
      <c r="H66" s="645"/>
      <c r="I66" s="646">
        <f>$D$66*'Prg. HR'!D41</f>
        <v>37.5</v>
      </c>
      <c r="J66" s="646">
        <f>$D$66*'Prg. HR'!E41</f>
        <v>37.5</v>
      </c>
      <c r="K66" s="646">
        <f>$D$66*'Prg. HR'!F41</f>
        <v>37.5</v>
      </c>
      <c r="L66" s="646">
        <f>$D$66*'Prg. HR'!G41</f>
        <v>52.5</v>
      </c>
      <c r="M66" s="646">
        <f>$D$66*'Prg. HR'!H41</f>
        <v>52.5</v>
      </c>
      <c r="N66" s="646">
        <f>$D$66*'Prg. HR'!I41</f>
        <v>52.5</v>
      </c>
      <c r="O66" s="646">
        <f>$D$66*'Prg. HR'!J41</f>
        <v>52.5</v>
      </c>
      <c r="P66" s="646">
        <f>$D$66*'Prg. HR'!K41</f>
        <v>67.5</v>
      </c>
      <c r="Q66" s="646">
        <f>$D$66*'Prg. HR'!L41</f>
        <v>67.5</v>
      </c>
      <c r="R66" s="646">
        <f>$D$66*'Prg. HR'!M41</f>
        <v>67.5</v>
      </c>
      <c r="S66" s="646">
        <f>$D$66*'Prg. HR'!N41</f>
        <v>67.5</v>
      </c>
      <c r="T66" s="647">
        <f>$D$66*'Prg. HR'!O41</f>
        <v>67.5</v>
      </c>
      <c r="U66" s="646">
        <f>$D$66*'Prg. HR'!P41</f>
        <v>67.5</v>
      </c>
      <c r="V66" s="646">
        <f>$D$66*'Prg. HR'!Q41</f>
        <v>67.5</v>
      </c>
      <c r="W66" s="646">
        <f>$D$66*'Prg. HR'!R41</f>
        <v>67.5</v>
      </c>
      <c r="X66" s="646">
        <f>$D$66*'Prg. HR'!S41</f>
        <v>82.5</v>
      </c>
      <c r="Y66" s="646">
        <f>$D$66*'Prg. HR'!T41</f>
        <v>82.5</v>
      </c>
      <c r="Z66" s="646">
        <f>$D$66*'Prg. HR'!U41</f>
        <v>97.5</v>
      </c>
      <c r="AA66" s="646">
        <f>$D$66*'Prg. HR'!V41</f>
        <v>105</v>
      </c>
      <c r="AB66" s="646">
        <f>$D$66*'Prg. HR'!W41</f>
        <v>120</v>
      </c>
      <c r="AC66" s="646">
        <f>$D$66*'Prg. HR'!X41</f>
        <v>120</v>
      </c>
      <c r="AD66" s="646">
        <f>$D$66*'Prg. HR'!Y41</f>
        <v>120</v>
      </c>
      <c r="AE66" s="646">
        <f>$D$66*'Prg. HR'!Z41</f>
        <v>120</v>
      </c>
      <c r="AF66" s="647">
        <f>$D$66*'Prg. HR'!AA41</f>
        <v>135</v>
      </c>
      <c r="AG66" s="646">
        <f>$D$66*'Prg. HR'!AB41</f>
        <v>165</v>
      </c>
      <c r="AH66" s="646">
        <f>$D$66*'Prg. HR'!AC41</f>
        <v>165</v>
      </c>
      <c r="AI66" s="646">
        <f>$D$66*'Prg. HR'!AD41</f>
        <v>165</v>
      </c>
      <c r="AJ66" s="646">
        <f>$D$66*'Prg. HR'!AE41</f>
        <v>165</v>
      </c>
      <c r="AK66" s="646">
        <f>$D$66*'Prg. HR'!AF41</f>
        <v>165</v>
      </c>
      <c r="AL66" s="646">
        <f>$D$66*'Prg. HR'!AG41</f>
        <v>165</v>
      </c>
      <c r="AM66" s="646">
        <f>$D$66*'Prg. HR'!AH41</f>
        <v>180</v>
      </c>
      <c r="AN66" s="646">
        <f>$D$66*'Prg. HR'!AI41</f>
        <v>195</v>
      </c>
      <c r="AO66" s="646">
        <f>$D$66*'Prg. HR'!AJ41</f>
        <v>195</v>
      </c>
      <c r="AP66" s="646">
        <f>$D$66*'Prg. HR'!AK41</f>
        <v>195</v>
      </c>
      <c r="AQ66" s="646">
        <f>$D$66*'Prg. HR'!AL41</f>
        <v>210</v>
      </c>
      <c r="AR66" s="647">
        <f>$D$66*'Prg. HR'!AM41</f>
        <v>210</v>
      </c>
      <c r="AS66" s="646">
        <f>$D$66*'Prg. HR'!AN41</f>
        <v>210</v>
      </c>
      <c r="AT66" s="646">
        <f>$D$66*'Prg. HR'!AO41</f>
        <v>210</v>
      </c>
      <c r="AU66" s="646">
        <f>$D$66*'Prg. HR'!AP41</f>
        <v>210</v>
      </c>
      <c r="AV66" s="646">
        <f>$D$66*'Prg. HR'!AQ41</f>
        <v>210</v>
      </c>
      <c r="AW66" s="646">
        <f>$D$66*'Prg. HR'!AR41</f>
        <v>225</v>
      </c>
      <c r="AX66" s="646">
        <f>$D$66*'Prg. HR'!AS41</f>
        <v>240</v>
      </c>
      <c r="AY66" s="646">
        <f>$D$66*'Prg. HR'!AT41</f>
        <v>240</v>
      </c>
      <c r="AZ66" s="646">
        <f>$D$66*'Prg. HR'!AU41</f>
        <v>240</v>
      </c>
      <c r="BA66" s="646">
        <f>$D$66*'Prg. HR'!AV41</f>
        <v>255</v>
      </c>
      <c r="BB66" s="646">
        <f>$D$66*'Prg. HR'!AW41</f>
        <v>255</v>
      </c>
      <c r="BC66" s="646">
        <f>$D$66*'Prg. HR'!AX41</f>
        <v>270</v>
      </c>
      <c r="BD66" s="647">
        <f>$D$66*'Prg. HR'!AY41</f>
        <v>300</v>
      </c>
      <c r="BE66" s="646">
        <f>$D$66*'Prg. HR'!AZ41</f>
        <v>300</v>
      </c>
      <c r="BF66" s="646">
        <f>$D$66*'Prg. HR'!BA41</f>
        <v>300</v>
      </c>
      <c r="BG66" s="646">
        <f>$D$66*'Prg. HR'!BB41</f>
        <v>300</v>
      </c>
      <c r="BH66" s="646">
        <f>$D$66*'Prg. HR'!BC41</f>
        <v>300</v>
      </c>
      <c r="BI66" s="646">
        <f>$D$66*'Prg. HR'!BD41</f>
        <v>315</v>
      </c>
      <c r="BJ66" s="646">
        <f>$D$66*'Prg. HR'!BE41</f>
        <v>345</v>
      </c>
      <c r="BK66" s="646">
        <f>$D$66*'Prg. HR'!BF41</f>
        <v>345</v>
      </c>
      <c r="BL66" s="646">
        <f>$D$66*'Prg. HR'!BG41</f>
        <v>345</v>
      </c>
      <c r="BM66" s="646">
        <f>$D$66*'Prg. HR'!BH41</f>
        <v>360</v>
      </c>
      <c r="BN66" s="646">
        <f>$D$66*'Prg. HR'!BI41</f>
        <v>375</v>
      </c>
      <c r="BO66" s="646">
        <f>$D$66*'Prg. HR'!BJ41</f>
        <v>375</v>
      </c>
      <c r="BP66" s="647">
        <f>$D$66*'Prg. HR'!BK41</f>
        <v>405</v>
      </c>
    </row>
    <row r="67" spans="1:68" s="644" customFormat="1">
      <c r="A67" s="630"/>
      <c r="B67" s="316"/>
      <c r="C67" s="314" t="s">
        <v>95</v>
      </c>
      <c r="D67" s="176">
        <v>10</v>
      </c>
      <c r="E67" s="317" t="s">
        <v>94</v>
      </c>
      <c r="G67" s="645" t="e">
        <f>$D$67*#REF!</f>
        <v>#REF!</v>
      </c>
      <c r="H67" s="645"/>
      <c r="I67" s="646">
        <f>'Prg. HR'!D41*'Prg. Expenses'!$D$67</f>
        <v>25</v>
      </c>
      <c r="J67" s="646">
        <f>'Prg. HR'!E41*'Prg. Expenses'!$D$67</f>
        <v>25</v>
      </c>
      <c r="K67" s="646">
        <f>'Prg. HR'!F41*'Prg. Expenses'!$D$67</f>
        <v>25</v>
      </c>
      <c r="L67" s="646">
        <f>'Prg. HR'!G41*'Prg. Expenses'!$D$67</f>
        <v>35</v>
      </c>
      <c r="M67" s="646">
        <f>'Prg. HR'!H41*'Prg. Expenses'!$D$67</f>
        <v>35</v>
      </c>
      <c r="N67" s="646">
        <f>'Prg. HR'!I41*'Prg. Expenses'!$D$67</f>
        <v>35</v>
      </c>
      <c r="O67" s="646">
        <f>'Prg. HR'!J41*'Prg. Expenses'!$D$67</f>
        <v>35</v>
      </c>
      <c r="P67" s="646">
        <f>'Prg. HR'!K41*'Prg. Expenses'!$D$67</f>
        <v>45</v>
      </c>
      <c r="Q67" s="646">
        <f>'Prg. HR'!L41*'Prg. Expenses'!$D$67</f>
        <v>45</v>
      </c>
      <c r="R67" s="646">
        <f>'Prg. HR'!M41*'Prg. Expenses'!$D$67</f>
        <v>45</v>
      </c>
      <c r="S67" s="646">
        <f>'Prg. HR'!N41*'Prg. Expenses'!$D$67</f>
        <v>45</v>
      </c>
      <c r="T67" s="647">
        <f>'Prg. HR'!O41*'Prg. Expenses'!$D$67</f>
        <v>45</v>
      </c>
      <c r="U67" s="646">
        <f>'Prg. HR'!P41*'Prg. Expenses'!$D$67</f>
        <v>45</v>
      </c>
      <c r="V67" s="646">
        <f>'Prg. HR'!Q41*'Prg. Expenses'!$D$67</f>
        <v>45</v>
      </c>
      <c r="W67" s="646">
        <f>'Prg. HR'!R41*'Prg. Expenses'!$D$67</f>
        <v>45</v>
      </c>
      <c r="X67" s="646">
        <f>'Prg. HR'!S41*'Prg. Expenses'!$D$67</f>
        <v>55</v>
      </c>
      <c r="Y67" s="646">
        <f>'Prg. HR'!T41*'Prg. Expenses'!$D$67</f>
        <v>55</v>
      </c>
      <c r="Z67" s="646">
        <f>'Prg. HR'!U41*'Prg. Expenses'!$D$67</f>
        <v>65</v>
      </c>
      <c r="AA67" s="646">
        <f>'Prg. HR'!V41*'Prg. Expenses'!$D$67</f>
        <v>70</v>
      </c>
      <c r="AB67" s="646">
        <f>'Prg. HR'!W41*'Prg. Expenses'!$D$67</f>
        <v>80</v>
      </c>
      <c r="AC67" s="646">
        <f>'Prg. HR'!X41*'Prg. Expenses'!$D$67</f>
        <v>80</v>
      </c>
      <c r="AD67" s="646">
        <f>'Prg. HR'!Y41*'Prg. Expenses'!$D$67</f>
        <v>80</v>
      </c>
      <c r="AE67" s="646">
        <f>'Prg. HR'!Z41*'Prg. Expenses'!$D$67</f>
        <v>80</v>
      </c>
      <c r="AF67" s="647">
        <f>'Prg. HR'!AA41*'Prg. Expenses'!$D$67</f>
        <v>90</v>
      </c>
      <c r="AG67" s="646">
        <f>'Prg. HR'!AB41*'Prg. Expenses'!$D$67</f>
        <v>110</v>
      </c>
      <c r="AH67" s="646">
        <f>'Prg. HR'!AC41*'Prg. Expenses'!$D$67</f>
        <v>110</v>
      </c>
      <c r="AI67" s="646">
        <f>'Prg. HR'!AD41*'Prg. Expenses'!$D$67</f>
        <v>110</v>
      </c>
      <c r="AJ67" s="646">
        <f>'Prg. HR'!AE41*'Prg. Expenses'!$D$67</f>
        <v>110</v>
      </c>
      <c r="AK67" s="646">
        <f>'Prg. HR'!AF41*'Prg. Expenses'!$D$67</f>
        <v>110</v>
      </c>
      <c r="AL67" s="646">
        <f>'Prg. HR'!AG41*'Prg. Expenses'!$D$67</f>
        <v>110</v>
      </c>
      <c r="AM67" s="646">
        <f>'Prg. HR'!AH41*'Prg. Expenses'!$D$67</f>
        <v>120</v>
      </c>
      <c r="AN67" s="646">
        <f>'Prg. HR'!AI41*'Prg. Expenses'!$D$67</f>
        <v>130</v>
      </c>
      <c r="AO67" s="646">
        <f>'Prg. HR'!AJ41*'Prg. Expenses'!$D$67</f>
        <v>130</v>
      </c>
      <c r="AP67" s="646">
        <f>'Prg. HR'!AK41*'Prg. Expenses'!$D$67</f>
        <v>130</v>
      </c>
      <c r="AQ67" s="646">
        <f>'Prg. HR'!AL41*'Prg. Expenses'!$D$67</f>
        <v>140</v>
      </c>
      <c r="AR67" s="647">
        <f>'Prg. HR'!AM41*'Prg. Expenses'!$D$67</f>
        <v>140</v>
      </c>
      <c r="AS67" s="646">
        <f>'Prg. HR'!AN41*'Prg. Expenses'!$D$67</f>
        <v>140</v>
      </c>
      <c r="AT67" s="646">
        <f>'Prg. HR'!AO41*'Prg. Expenses'!$D$67</f>
        <v>140</v>
      </c>
      <c r="AU67" s="646">
        <f>'Prg. HR'!AP41*'Prg. Expenses'!$D$67</f>
        <v>140</v>
      </c>
      <c r="AV67" s="646">
        <f>'Prg. HR'!AQ41*'Prg. Expenses'!$D$67</f>
        <v>140</v>
      </c>
      <c r="AW67" s="646">
        <f>'Prg. HR'!AR41*'Prg. Expenses'!$D$67</f>
        <v>150</v>
      </c>
      <c r="AX67" s="646">
        <f>'Prg. HR'!AS41*'Prg. Expenses'!$D$67</f>
        <v>160</v>
      </c>
      <c r="AY67" s="646">
        <f>'Prg. HR'!AT41*'Prg. Expenses'!$D$67</f>
        <v>160</v>
      </c>
      <c r="AZ67" s="646">
        <f>'Prg. HR'!AU41*'Prg. Expenses'!$D$67</f>
        <v>160</v>
      </c>
      <c r="BA67" s="646">
        <f>'Prg. HR'!AV41*'Prg. Expenses'!$D$67</f>
        <v>170</v>
      </c>
      <c r="BB67" s="646">
        <f>'Prg. HR'!AW41*'Prg. Expenses'!$D$67</f>
        <v>170</v>
      </c>
      <c r="BC67" s="646">
        <f>'Prg. HR'!AX41*'Prg. Expenses'!$D$67</f>
        <v>180</v>
      </c>
      <c r="BD67" s="647">
        <f>'Prg. HR'!AY41*'Prg. Expenses'!$D$67</f>
        <v>200</v>
      </c>
      <c r="BE67" s="646">
        <f>'Prg. HR'!AZ41*'Prg. Expenses'!$D$67</f>
        <v>200</v>
      </c>
      <c r="BF67" s="646">
        <f>'Prg. HR'!BA41*'Prg. Expenses'!$D$67</f>
        <v>200</v>
      </c>
      <c r="BG67" s="646">
        <f>'Prg. HR'!BB41*'Prg. Expenses'!$D$67</f>
        <v>200</v>
      </c>
      <c r="BH67" s="646">
        <f>'Prg. HR'!BC41*'Prg. Expenses'!$D$67</f>
        <v>200</v>
      </c>
      <c r="BI67" s="646">
        <f>'Prg. HR'!BD41*'Prg. Expenses'!$D$67</f>
        <v>210</v>
      </c>
      <c r="BJ67" s="646">
        <f>'Prg. HR'!BE41*'Prg. Expenses'!$D$67</f>
        <v>230</v>
      </c>
      <c r="BK67" s="646">
        <f>'Prg. HR'!BF41*'Prg. Expenses'!$D$67</f>
        <v>230</v>
      </c>
      <c r="BL67" s="646">
        <f>'Prg. HR'!BG41*'Prg. Expenses'!$D$67</f>
        <v>230</v>
      </c>
      <c r="BM67" s="646">
        <f>'Prg. HR'!BH41*'Prg. Expenses'!$D$67</f>
        <v>240</v>
      </c>
      <c r="BN67" s="646">
        <f>'Prg. HR'!BI41*'Prg. Expenses'!$D$67</f>
        <v>250</v>
      </c>
      <c r="BO67" s="646">
        <f>'Prg. HR'!BJ41*'Prg. Expenses'!$D$67</f>
        <v>250</v>
      </c>
      <c r="BP67" s="647">
        <f>'Prg. HR'!BK41*'Prg. Expenses'!$D$67</f>
        <v>270</v>
      </c>
    </row>
    <row r="68" spans="1:68" s="644" customFormat="1">
      <c r="A68" s="630"/>
      <c r="B68" s="316"/>
      <c r="C68" s="314" t="s">
        <v>39</v>
      </c>
      <c r="D68" s="176">
        <v>0.04</v>
      </c>
      <c r="E68" s="317" t="s">
        <v>96</v>
      </c>
      <c r="G68" s="645"/>
      <c r="H68" s="645"/>
      <c r="I68" s="646">
        <f>$D68*'Program Model'!B24</f>
        <v>370</v>
      </c>
      <c r="J68" s="646">
        <f>$D68*'Program Model'!C24</f>
        <v>461.43117503999997</v>
      </c>
      <c r="K68" s="646">
        <f>$D68*'Program Model'!D24</f>
        <v>483.49004676497412</v>
      </c>
      <c r="L68" s="646">
        <f>$D68*'Program Model'!E24</f>
        <v>580.98900604126663</v>
      </c>
      <c r="M68" s="646">
        <f>$D68*'Program Model'!F24</f>
        <v>609.50189023944699</v>
      </c>
      <c r="N68" s="646">
        <f>$D68*'Program Model'!G24</f>
        <v>639.86228434461771</v>
      </c>
      <c r="O68" s="646">
        <f>$D68*'Program Model'!H24</f>
        <v>672.17980749743583</v>
      </c>
      <c r="P68" s="646">
        <f>$D68*'Program Model'!I24</f>
        <v>780.56884377395386</v>
      </c>
      <c r="Q68" s="646">
        <f>$D68*'Program Model'!J24</f>
        <v>820.63489381565876</v>
      </c>
      <c r="R68" s="646">
        <f>$D68*'Program Model'!K24</f>
        <v>937.24427922904317</v>
      </c>
      <c r="S68" s="646">
        <f>$D68*'Program Model'!L24</f>
        <v>986.02668233905661</v>
      </c>
      <c r="T68" s="647">
        <f>$D68*'Program Model'!M24</f>
        <v>1111.8734829808602</v>
      </c>
      <c r="U68" s="646">
        <f>$D68*'Program Model'!N24</f>
        <v>1170.601716520601</v>
      </c>
      <c r="V68" s="646">
        <f>$D68*'Program Model'!O24</f>
        <v>1307.1749383907804</v>
      </c>
      <c r="W68" s="646">
        <f>$D68*'Program Model'!P24</f>
        <v>1377.2921951959986</v>
      </c>
      <c r="X68" s="646">
        <f>$D68*'Program Model'!Q24</f>
        <v>1451.9482853970203</v>
      </c>
      <c r="Y68" s="646">
        <f>$D68*'Program Model'!R24</f>
        <v>1605.3880884770144</v>
      </c>
      <c r="Z68" s="646">
        <f>$D68*'Program Model'!S24</f>
        <v>1693.351197067946</v>
      </c>
      <c r="AA68" s="646">
        <f>$D68*'Program Model'!T24</f>
        <v>1786.8416054263753</v>
      </c>
      <c r="AB68" s="646">
        <f>$D68*'Program Model'!U24</f>
        <v>1960.1762791578196</v>
      </c>
      <c r="AC68" s="646">
        <f>$D68*'Program Model'!V24</f>
        <v>2069.1381722882456</v>
      </c>
      <c r="AD68" s="646">
        <f>$D68*'Program Model'!W24</f>
        <v>2258.8078896480224</v>
      </c>
      <c r="AE68" s="646">
        <f>$D68*'Program Model'!X24</f>
        <v>2385.0042722937428</v>
      </c>
      <c r="AF68" s="647">
        <f>$D68*'Program Model'!Y24</f>
        <v>2592.8446888114077</v>
      </c>
      <c r="AG68" s="646">
        <f>$D68*'Program Model'!Z24</f>
        <v>2738.3963538764701</v>
      </c>
      <c r="AH68" s="646">
        <f>$D68*'Program Model'!AA24</f>
        <v>2966.8678736255683</v>
      </c>
      <c r="AI68" s="646">
        <f>$D68*'Program Model'!AB24</f>
        <v>3208.167027578294</v>
      </c>
      <c r="AJ68" s="646">
        <f>$D68*'Program Model'!AC24</f>
        <v>3462.9969837148396</v>
      </c>
      <c r="AK68" s="646">
        <f>$D68*'Program Model'!AD24</f>
        <v>3732.0784908501482</v>
      </c>
      <c r="AL68" s="646">
        <f>$D68*'Program Model'!AE24</f>
        <v>4016.1285379635042</v>
      </c>
      <c r="AM68" s="646">
        <f>$D68*'Program Model'!AF24</f>
        <v>4315.8907921554373</v>
      </c>
      <c r="AN68" s="646">
        <f>$D68*'Program Model'!AG24</f>
        <v>4558.2108213542333</v>
      </c>
      <c r="AO68" s="646">
        <f>$D68*'Program Model'!AH24</f>
        <v>4888.4065695262989</v>
      </c>
      <c r="AP68" s="646">
        <f>$D68*'Program Model'!AI24</f>
        <v>5162.6436262355646</v>
      </c>
      <c r="AQ68" s="646">
        <f>$D68*'Program Model'!AJ24</f>
        <v>5526.2895878350437</v>
      </c>
      <c r="AR68" s="647">
        <f>$D68*'Program Model'!AK24</f>
        <v>5835.5607759616969</v>
      </c>
      <c r="AS68" s="646">
        <f>$D68*'Program Model'!AL24</f>
        <v>5954.2416330362485</v>
      </c>
      <c r="AT68" s="646">
        <f>$D68*'Program Model'!AM24</f>
        <v>6303.6460189474574</v>
      </c>
      <c r="AU68" s="646">
        <f>$D68*'Program Model'!AN24</f>
        <v>6653.7152397878071</v>
      </c>
      <c r="AV68" s="646">
        <f>$D68*'Program Model'!AO24</f>
        <v>7040.3311572894818</v>
      </c>
      <c r="AW68" s="646">
        <f>$D68*'Program Model'!AP24</f>
        <v>7429.2987035365313</v>
      </c>
      <c r="AX68" s="646">
        <f>$D68*'Program Model'!AQ24</f>
        <v>7912.8821280665825</v>
      </c>
      <c r="AY68" s="646">
        <f>$D68*'Program Model'!AR24</f>
        <v>8421.4268321390555</v>
      </c>
      <c r="AZ68" s="646">
        <f>$D68*'Program Model'!AS24</f>
        <v>8825.7276415379911</v>
      </c>
      <c r="BA68" s="646">
        <f>$D68*'Program Model'!AT24</f>
        <v>9380.9233704995022</v>
      </c>
      <c r="BB68" s="646">
        <f>$D68*'Program Model'!AU24</f>
        <v>9907.8410409267817</v>
      </c>
      <c r="BC68" s="646">
        <f>$D68*'Program Model'!AV24</f>
        <v>10443.16818148297</v>
      </c>
      <c r="BD68" s="647">
        <f>$D68*'Program Model'!AW24</f>
        <v>11023.052233125147</v>
      </c>
      <c r="BE68" s="646">
        <f>$D68*'Program Model'!AX24</f>
        <v>10013.020908102337</v>
      </c>
      <c r="BF68" s="646">
        <f>$D68*'Program Model'!AY24</f>
        <v>10159.763038681558</v>
      </c>
      <c r="BG68" s="646">
        <f>$D68*'Program Model'!AZ24</f>
        <v>10778.478829362752</v>
      </c>
      <c r="BH68" s="646">
        <f>$D68*'Program Model'!BA24</f>
        <v>11092.978839299203</v>
      </c>
      <c r="BI68" s="646">
        <f>$D68*'Program Model'!BB24</f>
        <v>11627.025154452818</v>
      </c>
      <c r="BJ68" s="646">
        <f>$D68*'Program Model'!BC24</f>
        <v>12243.414960616217</v>
      </c>
      <c r="BK68" s="646">
        <f>$D68*'Program Model'!BD24</f>
        <v>12964.038654756238</v>
      </c>
      <c r="BL68" s="646">
        <f>$D68*'Program Model'!BE24</f>
        <v>13254.308106425942</v>
      </c>
      <c r="BM68" s="646">
        <f>$D68*'Program Model'!BF24</f>
        <v>13948.470082075577</v>
      </c>
      <c r="BN68" s="646">
        <f>$D68*'Program Model'!BG24</f>
        <v>14358.676157196665</v>
      </c>
      <c r="BO68" s="646">
        <f>$D68*'Program Model'!BH24</f>
        <v>15103.948617584414</v>
      </c>
      <c r="BP68" s="647">
        <f>$D68*'Program Model'!BI24</f>
        <v>15567.230479984037</v>
      </c>
    </row>
    <row r="69" spans="1:68" s="644" customFormat="1">
      <c r="A69" s="630"/>
      <c r="B69" s="316"/>
      <c r="C69" s="314" t="s">
        <v>97</v>
      </c>
      <c r="D69" s="176">
        <v>180</v>
      </c>
      <c r="E69" s="317" t="s">
        <v>77</v>
      </c>
      <c r="G69" s="645" t="e">
        <f>#REF!*$D$69</f>
        <v>#REF!</v>
      </c>
      <c r="H69" s="645" t="e">
        <f>#REF!*D69</f>
        <v>#REF!</v>
      </c>
      <c r="I69" s="646">
        <f t="shared" ref="I69:AN69" si="24">I52*$D69</f>
        <v>0</v>
      </c>
      <c r="J69" s="646">
        <f t="shared" si="24"/>
        <v>0</v>
      </c>
      <c r="K69" s="646">
        <f t="shared" si="24"/>
        <v>0</v>
      </c>
      <c r="L69" s="646">
        <f t="shared" si="24"/>
        <v>0</v>
      </c>
      <c r="M69" s="646">
        <f t="shared" si="24"/>
        <v>0</v>
      </c>
      <c r="N69" s="646">
        <f t="shared" si="24"/>
        <v>0</v>
      </c>
      <c r="O69" s="646">
        <f t="shared" si="24"/>
        <v>0</v>
      </c>
      <c r="P69" s="646">
        <f t="shared" si="24"/>
        <v>0</v>
      </c>
      <c r="Q69" s="646">
        <f t="shared" si="24"/>
        <v>0</v>
      </c>
      <c r="R69" s="646">
        <f t="shared" si="24"/>
        <v>0</v>
      </c>
      <c r="S69" s="646">
        <f t="shared" si="24"/>
        <v>0</v>
      </c>
      <c r="T69" s="647">
        <f t="shared" si="24"/>
        <v>0</v>
      </c>
      <c r="U69" s="646">
        <f t="shared" si="24"/>
        <v>0</v>
      </c>
      <c r="V69" s="646">
        <f t="shared" si="24"/>
        <v>180</v>
      </c>
      <c r="W69" s="646">
        <f t="shared" si="24"/>
        <v>180</v>
      </c>
      <c r="X69" s="646">
        <f t="shared" si="24"/>
        <v>180</v>
      </c>
      <c r="Y69" s="646">
        <f t="shared" si="24"/>
        <v>180</v>
      </c>
      <c r="Z69" s="646">
        <f t="shared" si="24"/>
        <v>180</v>
      </c>
      <c r="AA69" s="646">
        <f t="shared" si="24"/>
        <v>180</v>
      </c>
      <c r="AB69" s="646">
        <f t="shared" si="24"/>
        <v>180</v>
      </c>
      <c r="AC69" s="646">
        <f t="shared" si="24"/>
        <v>180</v>
      </c>
      <c r="AD69" s="646">
        <f t="shared" si="24"/>
        <v>180</v>
      </c>
      <c r="AE69" s="646">
        <f t="shared" si="24"/>
        <v>180</v>
      </c>
      <c r="AF69" s="647">
        <f t="shared" si="24"/>
        <v>180</v>
      </c>
      <c r="AG69" s="646">
        <f t="shared" si="24"/>
        <v>180</v>
      </c>
      <c r="AH69" s="646">
        <f t="shared" si="24"/>
        <v>180</v>
      </c>
      <c r="AI69" s="646">
        <f t="shared" si="24"/>
        <v>180</v>
      </c>
      <c r="AJ69" s="646">
        <f t="shared" si="24"/>
        <v>180</v>
      </c>
      <c r="AK69" s="646">
        <f t="shared" si="24"/>
        <v>180</v>
      </c>
      <c r="AL69" s="646">
        <f t="shared" si="24"/>
        <v>180</v>
      </c>
      <c r="AM69" s="646">
        <f t="shared" si="24"/>
        <v>180</v>
      </c>
      <c r="AN69" s="646">
        <f t="shared" si="24"/>
        <v>360</v>
      </c>
      <c r="AO69" s="646">
        <f t="shared" ref="AO69:BP69" si="25">AO52*$D69</f>
        <v>360</v>
      </c>
      <c r="AP69" s="646">
        <f t="shared" si="25"/>
        <v>360</v>
      </c>
      <c r="AQ69" s="646">
        <f t="shared" si="25"/>
        <v>360</v>
      </c>
      <c r="AR69" s="647">
        <f t="shared" si="25"/>
        <v>360</v>
      </c>
      <c r="AS69" s="646">
        <f t="shared" si="25"/>
        <v>360</v>
      </c>
      <c r="AT69" s="646">
        <f t="shared" si="25"/>
        <v>360</v>
      </c>
      <c r="AU69" s="646">
        <f t="shared" si="25"/>
        <v>360</v>
      </c>
      <c r="AV69" s="646">
        <f t="shared" si="25"/>
        <v>360</v>
      </c>
      <c r="AW69" s="646">
        <f t="shared" si="25"/>
        <v>360</v>
      </c>
      <c r="AX69" s="646">
        <f t="shared" si="25"/>
        <v>360</v>
      </c>
      <c r="AY69" s="646">
        <f t="shared" si="25"/>
        <v>540</v>
      </c>
      <c r="AZ69" s="646">
        <f t="shared" si="25"/>
        <v>540</v>
      </c>
      <c r="BA69" s="646">
        <f t="shared" si="25"/>
        <v>540</v>
      </c>
      <c r="BB69" s="646">
        <f t="shared" si="25"/>
        <v>540</v>
      </c>
      <c r="BC69" s="646">
        <f t="shared" si="25"/>
        <v>540</v>
      </c>
      <c r="BD69" s="647">
        <f t="shared" si="25"/>
        <v>540</v>
      </c>
      <c r="BE69" s="646">
        <f t="shared" si="25"/>
        <v>540</v>
      </c>
      <c r="BF69" s="646">
        <f t="shared" si="25"/>
        <v>720</v>
      </c>
      <c r="BG69" s="646">
        <f t="shared" si="25"/>
        <v>720</v>
      </c>
      <c r="BH69" s="646">
        <f t="shared" si="25"/>
        <v>720</v>
      </c>
      <c r="BI69" s="646">
        <f t="shared" si="25"/>
        <v>720</v>
      </c>
      <c r="BJ69" s="646">
        <f t="shared" si="25"/>
        <v>720</v>
      </c>
      <c r="BK69" s="646">
        <f t="shared" si="25"/>
        <v>720</v>
      </c>
      <c r="BL69" s="646">
        <f t="shared" si="25"/>
        <v>900</v>
      </c>
      <c r="BM69" s="646">
        <f t="shared" si="25"/>
        <v>900</v>
      </c>
      <c r="BN69" s="646">
        <f t="shared" si="25"/>
        <v>900</v>
      </c>
      <c r="BO69" s="646">
        <f t="shared" si="25"/>
        <v>900</v>
      </c>
      <c r="BP69" s="647">
        <f t="shared" si="25"/>
        <v>1080</v>
      </c>
    </row>
    <row r="70" spans="1:68" s="644" customFormat="1">
      <c r="A70" s="630"/>
      <c r="B70" s="316"/>
      <c r="C70" s="314" t="s">
        <v>98</v>
      </c>
      <c r="D70" s="176">
        <v>200</v>
      </c>
      <c r="E70" s="317" t="s">
        <v>99</v>
      </c>
      <c r="G70" s="645">
        <f>$D$70/12</f>
        <v>16.666666666666668</v>
      </c>
      <c r="H70" s="645"/>
      <c r="I70" s="646">
        <f>$D$70</f>
        <v>200</v>
      </c>
      <c r="J70" s="646">
        <f t="shared" ref="J70:BP70" si="26">$D$70</f>
        <v>200</v>
      </c>
      <c r="K70" s="646">
        <f t="shared" si="26"/>
        <v>200</v>
      </c>
      <c r="L70" s="646">
        <f t="shared" si="26"/>
        <v>200</v>
      </c>
      <c r="M70" s="646">
        <f t="shared" si="26"/>
        <v>200</v>
      </c>
      <c r="N70" s="646">
        <f t="shared" si="26"/>
        <v>200</v>
      </c>
      <c r="O70" s="646">
        <f t="shared" si="26"/>
        <v>200</v>
      </c>
      <c r="P70" s="646">
        <f t="shared" si="26"/>
        <v>200</v>
      </c>
      <c r="Q70" s="646">
        <f t="shared" si="26"/>
        <v>200</v>
      </c>
      <c r="R70" s="646">
        <f t="shared" si="26"/>
        <v>200</v>
      </c>
      <c r="S70" s="646">
        <f t="shared" si="26"/>
        <v>200</v>
      </c>
      <c r="T70" s="647">
        <f t="shared" si="26"/>
        <v>200</v>
      </c>
      <c r="U70" s="646">
        <f t="shared" si="26"/>
        <v>200</v>
      </c>
      <c r="V70" s="646">
        <f t="shared" si="26"/>
        <v>200</v>
      </c>
      <c r="W70" s="646">
        <f t="shared" si="26"/>
        <v>200</v>
      </c>
      <c r="X70" s="646">
        <f t="shared" si="26"/>
        <v>200</v>
      </c>
      <c r="Y70" s="646">
        <f t="shared" si="26"/>
        <v>200</v>
      </c>
      <c r="Z70" s="646">
        <f t="shared" si="26"/>
        <v>200</v>
      </c>
      <c r="AA70" s="646">
        <f t="shared" si="26"/>
        <v>200</v>
      </c>
      <c r="AB70" s="646">
        <f t="shared" si="26"/>
        <v>200</v>
      </c>
      <c r="AC70" s="646">
        <f t="shared" si="26"/>
        <v>200</v>
      </c>
      <c r="AD70" s="646">
        <f t="shared" si="26"/>
        <v>200</v>
      </c>
      <c r="AE70" s="646">
        <f t="shared" si="26"/>
        <v>200</v>
      </c>
      <c r="AF70" s="647">
        <f t="shared" si="26"/>
        <v>200</v>
      </c>
      <c r="AG70" s="646">
        <f t="shared" si="26"/>
        <v>200</v>
      </c>
      <c r="AH70" s="646">
        <f t="shared" si="26"/>
        <v>200</v>
      </c>
      <c r="AI70" s="646">
        <f t="shared" si="26"/>
        <v>200</v>
      </c>
      <c r="AJ70" s="646">
        <f t="shared" si="26"/>
        <v>200</v>
      </c>
      <c r="AK70" s="646">
        <f t="shared" si="26"/>
        <v>200</v>
      </c>
      <c r="AL70" s="646">
        <f t="shared" si="26"/>
        <v>200</v>
      </c>
      <c r="AM70" s="646">
        <f t="shared" si="26"/>
        <v>200</v>
      </c>
      <c r="AN70" s="646">
        <f t="shared" si="26"/>
        <v>200</v>
      </c>
      <c r="AO70" s="646">
        <f t="shared" si="26"/>
        <v>200</v>
      </c>
      <c r="AP70" s="646">
        <f t="shared" si="26"/>
        <v>200</v>
      </c>
      <c r="AQ70" s="646">
        <f t="shared" si="26"/>
        <v>200</v>
      </c>
      <c r="AR70" s="647">
        <f t="shared" si="26"/>
        <v>200</v>
      </c>
      <c r="AS70" s="646">
        <f t="shared" si="26"/>
        <v>200</v>
      </c>
      <c r="AT70" s="646">
        <f t="shared" si="26"/>
        <v>200</v>
      </c>
      <c r="AU70" s="646">
        <f t="shared" si="26"/>
        <v>200</v>
      </c>
      <c r="AV70" s="646">
        <f t="shared" si="26"/>
        <v>200</v>
      </c>
      <c r="AW70" s="646">
        <f t="shared" si="26"/>
        <v>200</v>
      </c>
      <c r="AX70" s="646">
        <f t="shared" si="26"/>
        <v>200</v>
      </c>
      <c r="AY70" s="646">
        <f t="shared" si="26"/>
        <v>200</v>
      </c>
      <c r="AZ70" s="646">
        <f t="shared" si="26"/>
        <v>200</v>
      </c>
      <c r="BA70" s="646">
        <f t="shared" si="26"/>
        <v>200</v>
      </c>
      <c r="BB70" s="646">
        <f t="shared" si="26"/>
        <v>200</v>
      </c>
      <c r="BC70" s="646">
        <f t="shared" si="26"/>
        <v>200</v>
      </c>
      <c r="BD70" s="647">
        <f t="shared" si="26"/>
        <v>200</v>
      </c>
      <c r="BE70" s="646">
        <f t="shared" si="26"/>
        <v>200</v>
      </c>
      <c r="BF70" s="646">
        <f t="shared" si="26"/>
        <v>200</v>
      </c>
      <c r="BG70" s="646">
        <f t="shared" si="26"/>
        <v>200</v>
      </c>
      <c r="BH70" s="646">
        <f t="shared" si="26"/>
        <v>200</v>
      </c>
      <c r="BI70" s="646">
        <f t="shared" si="26"/>
        <v>200</v>
      </c>
      <c r="BJ70" s="646">
        <f t="shared" si="26"/>
        <v>200</v>
      </c>
      <c r="BK70" s="646">
        <f t="shared" si="26"/>
        <v>200</v>
      </c>
      <c r="BL70" s="646">
        <f t="shared" si="26"/>
        <v>200</v>
      </c>
      <c r="BM70" s="646">
        <f t="shared" si="26"/>
        <v>200</v>
      </c>
      <c r="BN70" s="646">
        <f t="shared" si="26"/>
        <v>200</v>
      </c>
      <c r="BO70" s="646">
        <f t="shared" si="26"/>
        <v>200</v>
      </c>
      <c r="BP70" s="647">
        <f t="shared" si="26"/>
        <v>200</v>
      </c>
    </row>
    <row r="71" spans="1:68" s="644" customFormat="1">
      <c r="A71" s="630"/>
      <c r="B71" s="316"/>
      <c r="C71" s="314" t="s">
        <v>40</v>
      </c>
      <c r="D71" s="176">
        <v>4800</v>
      </c>
      <c r="E71" s="317" t="s">
        <v>186</v>
      </c>
      <c r="G71" s="645">
        <f>$D$71</f>
        <v>4800</v>
      </c>
      <c r="H71" s="645"/>
      <c r="I71" s="646">
        <f>IF('Prg. HR'!D41&gt;18,1.8*$D71,$D71)</f>
        <v>4800</v>
      </c>
      <c r="J71" s="646">
        <f>IF('Prg. HR'!E41&gt;18,1.8*$D71,$D71)</f>
        <v>4800</v>
      </c>
      <c r="K71" s="646">
        <f>IF('Prg. HR'!F41&gt;18,1.8*$D71,$D71)</f>
        <v>4800</v>
      </c>
      <c r="L71" s="646">
        <f>IF('Prg. HR'!G41&gt;18,1.8*$D71,$D71)</f>
        <v>4800</v>
      </c>
      <c r="M71" s="646">
        <f>IF('Prg. HR'!H41&gt;18,1.8*$D71,$D71)</f>
        <v>4800</v>
      </c>
      <c r="N71" s="646">
        <f>IF('Prg. HR'!I41&gt;18,1.8*$D71,$D71)</f>
        <v>4800</v>
      </c>
      <c r="O71" s="646">
        <f>IF('Prg. HR'!J41&gt;18,1.8*$D71,$D71)</f>
        <v>4800</v>
      </c>
      <c r="P71" s="646">
        <f>IF('Prg. HR'!K41&gt;18,1.8*$D71,$D71)</f>
        <v>4800</v>
      </c>
      <c r="Q71" s="646">
        <f>IF('Prg. HR'!L41&gt;18,1.8*$D71,$D71)</f>
        <v>4800</v>
      </c>
      <c r="R71" s="646">
        <f>IF('Prg. HR'!M41&gt;18,1.8*$D71,$D71)</f>
        <v>4800</v>
      </c>
      <c r="S71" s="646">
        <f>IF('Prg. HR'!N41&gt;18,1.8*$D71,$D71)</f>
        <v>4800</v>
      </c>
      <c r="T71" s="647">
        <f>IF('Prg. HR'!O41&gt;18,1.8*$D71,$D71)</f>
        <v>4800</v>
      </c>
      <c r="U71" s="646">
        <f>IF('Prg. HR'!P41&gt;18,1.8*$D71,$D71)</f>
        <v>4800</v>
      </c>
      <c r="V71" s="646">
        <f>IF('Prg. HR'!Q41&gt;18,1.8*$D71,$D71)</f>
        <v>4800</v>
      </c>
      <c r="W71" s="646">
        <f>IF('Prg. HR'!R41&gt;18,1.8*$D71,$D71)</f>
        <v>4800</v>
      </c>
      <c r="X71" s="646">
        <f>IF('Prg. HR'!S41&gt;18,1.8*$D71,$D71)</f>
        <v>4800</v>
      </c>
      <c r="Y71" s="646">
        <f>IF('Prg. HR'!T41&gt;18,1.8*$D71,$D71)</f>
        <v>4800</v>
      </c>
      <c r="Z71" s="646">
        <f>IF('Prg. HR'!U41&gt;18,1.8*$D71,$D71)</f>
        <v>4800</v>
      </c>
      <c r="AA71" s="646">
        <f>IF('Prg. HR'!V41&gt;18,1.8*$D71,$D71)</f>
        <v>4800</v>
      </c>
      <c r="AB71" s="646">
        <f>IF('Prg. HR'!W41&gt;18,1.8*$D71,$D71)</f>
        <v>4800</v>
      </c>
      <c r="AC71" s="646">
        <f>IF('Prg. HR'!X41&gt;18,1.8*$D71,$D71)</f>
        <v>4800</v>
      </c>
      <c r="AD71" s="646">
        <f>IF('Prg. HR'!Y41&gt;18,1.8*$D71,$D71)</f>
        <v>4800</v>
      </c>
      <c r="AE71" s="646">
        <f>IF('Prg. HR'!Z41&gt;18,1.8*$D71,$D71)</f>
        <v>4800</v>
      </c>
      <c r="AF71" s="647">
        <f>IF('Prg. HR'!AA41&gt;18,1.8*$D71,$D71)</f>
        <v>4800</v>
      </c>
      <c r="AG71" s="646">
        <f>IF('Prg. HR'!AB41&gt;18,1.8*$D71,$D71)</f>
        <v>4800</v>
      </c>
      <c r="AH71" s="646">
        <f>IF('Prg. HR'!AC41&gt;18,1.8*$D71,$D71)</f>
        <v>4800</v>
      </c>
      <c r="AI71" s="646">
        <f>IF('Prg. HR'!AD41&gt;18,1.8*$D71,$D71)</f>
        <v>4800</v>
      </c>
      <c r="AJ71" s="646">
        <f>IF('Prg. HR'!AE41&gt;18,1.8*$D71,$D71)</f>
        <v>4800</v>
      </c>
      <c r="AK71" s="646">
        <f>IF('Prg. HR'!AF41&gt;18,1.8*$D71,$D71)</f>
        <v>4800</v>
      </c>
      <c r="AL71" s="646">
        <f>IF('Prg. HR'!AG41&gt;18,1.8*$D71,$D71)</f>
        <v>4800</v>
      </c>
      <c r="AM71" s="646">
        <f>IF('Prg. HR'!AH41&gt;18,1.8*$D71,$D71)</f>
        <v>4800</v>
      </c>
      <c r="AN71" s="646">
        <f>IF('Prg. HR'!AI41&gt;18,1.8*$D71,$D71)</f>
        <v>4800</v>
      </c>
      <c r="AO71" s="646">
        <f>IF('Prg. HR'!AJ41&gt;18,1.8*$D71,$D71)</f>
        <v>4800</v>
      </c>
      <c r="AP71" s="646">
        <f>IF('Prg. HR'!AK41&gt;18,1.8*$D71,$D71)</f>
        <v>4800</v>
      </c>
      <c r="AQ71" s="646">
        <f>IF('Prg. HR'!AL41&gt;18,1.8*$D71,$D71)</f>
        <v>4800</v>
      </c>
      <c r="AR71" s="647">
        <f>IF('Prg. HR'!AM41&gt;18,1.8*$D71,$D71)</f>
        <v>4800</v>
      </c>
      <c r="AS71" s="646">
        <f>IF('Prg. HR'!AN41&gt;18,1.8*$D71,$D71)</f>
        <v>4800</v>
      </c>
      <c r="AT71" s="646">
        <f>IF('Prg. HR'!AO41&gt;18,1.8*$D71,$D71)</f>
        <v>4800</v>
      </c>
      <c r="AU71" s="646">
        <f>IF('Prg. HR'!AP41&gt;18,1.8*$D71,$D71)</f>
        <v>4800</v>
      </c>
      <c r="AV71" s="646">
        <f>IF('Prg. HR'!AQ41&gt;18,1.8*$D71,$D71)</f>
        <v>4800</v>
      </c>
      <c r="AW71" s="646">
        <f>IF('Prg. HR'!AR41&gt;18,1.8*$D71,$D71)</f>
        <v>4800</v>
      </c>
      <c r="AX71" s="646">
        <f>IF('Prg. HR'!AS41&gt;18,1.8*$D71,$D71)</f>
        <v>4800</v>
      </c>
      <c r="AY71" s="646">
        <f>IF('Prg. HR'!AT41&gt;18,1.8*$D71,$D71)</f>
        <v>4800</v>
      </c>
      <c r="AZ71" s="646">
        <f>IF('Prg. HR'!AU41&gt;18,1.8*$D71,$D71)</f>
        <v>4800</v>
      </c>
      <c r="BA71" s="646">
        <f>IF('Prg. HR'!AV41&gt;18,1.8*$D71,$D71)</f>
        <v>4800</v>
      </c>
      <c r="BB71" s="646">
        <f>IF('Prg. HR'!AW41&gt;18,1.8*$D71,$D71)</f>
        <v>4800</v>
      </c>
      <c r="BC71" s="646">
        <f>IF('Prg. HR'!AX41&gt;18,1.8*$D71,$D71)</f>
        <v>4800</v>
      </c>
      <c r="BD71" s="647">
        <f>IF('Prg. HR'!AY41&gt;18,1.8*$D71,$D71)</f>
        <v>8640</v>
      </c>
      <c r="BE71" s="646">
        <f>IF('Prg. HR'!AZ41&gt;18,1.8*$D71,$D71)</f>
        <v>8640</v>
      </c>
      <c r="BF71" s="646">
        <f>IF('Prg. HR'!BA41&gt;18,1.8*$D71,$D71)</f>
        <v>8640</v>
      </c>
      <c r="BG71" s="646">
        <f>IF('Prg. HR'!BB41&gt;18,1.8*$D71,$D71)</f>
        <v>8640</v>
      </c>
      <c r="BH71" s="646">
        <f>IF('Prg. HR'!BC41&gt;18,1.8*$D71,$D71)</f>
        <v>8640</v>
      </c>
      <c r="BI71" s="646">
        <f>IF('Prg. HR'!BD41&gt;18,1.8*$D71,$D71)</f>
        <v>8640</v>
      </c>
      <c r="BJ71" s="646">
        <f>IF('Prg. HR'!BE41&gt;18,1.8*$D71,$D71)</f>
        <v>8640</v>
      </c>
      <c r="BK71" s="646">
        <f>IF('Prg. HR'!BF41&gt;18,1.8*$D71,$D71)</f>
        <v>8640</v>
      </c>
      <c r="BL71" s="646">
        <f>IF('Prg. HR'!BG41&gt;18,1.8*$D71,$D71)</f>
        <v>8640</v>
      </c>
      <c r="BM71" s="646">
        <f>IF('Prg. HR'!BH41&gt;18,1.8*$D71,$D71)</f>
        <v>8640</v>
      </c>
      <c r="BN71" s="646">
        <f>IF('Prg. HR'!BI41&gt;18,1.8*$D71,$D71)</f>
        <v>8640</v>
      </c>
      <c r="BO71" s="646">
        <f>IF('Prg. HR'!BJ41&gt;18,1.8*$D71,$D71)</f>
        <v>8640</v>
      </c>
      <c r="BP71" s="647">
        <f>IF('Prg. HR'!BK41&gt;18,1.8*$D71,$D71)</f>
        <v>8640</v>
      </c>
    </row>
    <row r="72" spans="1:68" s="644" customFormat="1">
      <c r="A72" s="630"/>
      <c r="B72" s="316"/>
      <c r="C72" s="314" t="s">
        <v>202</v>
      </c>
      <c r="D72" s="176">
        <v>100</v>
      </c>
      <c r="E72" s="317" t="s">
        <v>67</v>
      </c>
      <c r="G72" s="645">
        <f>$D$72</f>
        <v>100</v>
      </c>
      <c r="H72" s="645"/>
      <c r="I72" s="646">
        <f>$D$72</f>
        <v>100</v>
      </c>
      <c r="J72" s="646">
        <f t="shared" ref="J72:BP72" si="27">$D$72</f>
        <v>100</v>
      </c>
      <c r="K72" s="646">
        <f t="shared" si="27"/>
        <v>100</v>
      </c>
      <c r="L72" s="646">
        <f t="shared" si="27"/>
        <v>100</v>
      </c>
      <c r="M72" s="646">
        <f t="shared" si="27"/>
        <v>100</v>
      </c>
      <c r="N72" s="646">
        <f t="shared" si="27"/>
        <v>100</v>
      </c>
      <c r="O72" s="646">
        <f t="shared" si="27"/>
        <v>100</v>
      </c>
      <c r="P72" s="646">
        <f t="shared" si="27"/>
        <v>100</v>
      </c>
      <c r="Q72" s="646">
        <f t="shared" si="27"/>
        <v>100</v>
      </c>
      <c r="R72" s="646">
        <f t="shared" si="27"/>
        <v>100</v>
      </c>
      <c r="S72" s="646">
        <f t="shared" si="27"/>
        <v>100</v>
      </c>
      <c r="T72" s="647">
        <f t="shared" si="27"/>
        <v>100</v>
      </c>
      <c r="U72" s="646">
        <f t="shared" si="27"/>
        <v>100</v>
      </c>
      <c r="V72" s="646">
        <f t="shared" si="27"/>
        <v>100</v>
      </c>
      <c r="W72" s="646">
        <f t="shared" si="27"/>
        <v>100</v>
      </c>
      <c r="X72" s="646">
        <f t="shared" si="27"/>
        <v>100</v>
      </c>
      <c r="Y72" s="646">
        <f t="shared" si="27"/>
        <v>100</v>
      </c>
      <c r="Z72" s="646">
        <f t="shared" si="27"/>
        <v>100</v>
      </c>
      <c r="AA72" s="646">
        <f t="shared" si="27"/>
        <v>100</v>
      </c>
      <c r="AB72" s="646">
        <f t="shared" si="27"/>
        <v>100</v>
      </c>
      <c r="AC72" s="646">
        <f t="shared" si="27"/>
        <v>100</v>
      </c>
      <c r="AD72" s="646">
        <f t="shared" si="27"/>
        <v>100</v>
      </c>
      <c r="AE72" s="646">
        <f t="shared" si="27"/>
        <v>100</v>
      </c>
      <c r="AF72" s="647">
        <f t="shared" si="27"/>
        <v>100</v>
      </c>
      <c r="AG72" s="646">
        <f t="shared" si="27"/>
        <v>100</v>
      </c>
      <c r="AH72" s="646">
        <f t="shared" si="27"/>
        <v>100</v>
      </c>
      <c r="AI72" s="646">
        <f t="shared" si="27"/>
        <v>100</v>
      </c>
      <c r="AJ72" s="646">
        <f t="shared" si="27"/>
        <v>100</v>
      </c>
      <c r="AK72" s="646">
        <f t="shared" si="27"/>
        <v>100</v>
      </c>
      <c r="AL72" s="646">
        <f t="shared" si="27"/>
        <v>100</v>
      </c>
      <c r="AM72" s="646">
        <f t="shared" si="27"/>
        <v>100</v>
      </c>
      <c r="AN72" s="646">
        <f t="shared" si="27"/>
        <v>100</v>
      </c>
      <c r="AO72" s="646">
        <f t="shared" si="27"/>
        <v>100</v>
      </c>
      <c r="AP72" s="646">
        <f t="shared" si="27"/>
        <v>100</v>
      </c>
      <c r="AQ72" s="646">
        <f t="shared" si="27"/>
        <v>100</v>
      </c>
      <c r="AR72" s="647">
        <f t="shared" si="27"/>
        <v>100</v>
      </c>
      <c r="AS72" s="646">
        <f t="shared" si="27"/>
        <v>100</v>
      </c>
      <c r="AT72" s="646">
        <f t="shared" si="27"/>
        <v>100</v>
      </c>
      <c r="AU72" s="646">
        <f t="shared" si="27"/>
        <v>100</v>
      </c>
      <c r="AV72" s="646">
        <f t="shared" si="27"/>
        <v>100</v>
      </c>
      <c r="AW72" s="646">
        <f t="shared" si="27"/>
        <v>100</v>
      </c>
      <c r="AX72" s="646">
        <f t="shared" si="27"/>
        <v>100</v>
      </c>
      <c r="AY72" s="646">
        <f t="shared" si="27"/>
        <v>100</v>
      </c>
      <c r="AZ72" s="646">
        <f t="shared" si="27"/>
        <v>100</v>
      </c>
      <c r="BA72" s="646">
        <f t="shared" si="27"/>
        <v>100</v>
      </c>
      <c r="BB72" s="646">
        <f t="shared" si="27"/>
        <v>100</v>
      </c>
      <c r="BC72" s="646">
        <f t="shared" si="27"/>
        <v>100</v>
      </c>
      <c r="BD72" s="647">
        <f t="shared" si="27"/>
        <v>100</v>
      </c>
      <c r="BE72" s="646">
        <f t="shared" si="27"/>
        <v>100</v>
      </c>
      <c r="BF72" s="646">
        <f t="shared" si="27"/>
        <v>100</v>
      </c>
      <c r="BG72" s="646">
        <f t="shared" si="27"/>
        <v>100</v>
      </c>
      <c r="BH72" s="646">
        <f t="shared" si="27"/>
        <v>100</v>
      </c>
      <c r="BI72" s="646">
        <f t="shared" si="27"/>
        <v>100</v>
      </c>
      <c r="BJ72" s="646">
        <f t="shared" si="27"/>
        <v>100</v>
      </c>
      <c r="BK72" s="646">
        <f t="shared" si="27"/>
        <v>100</v>
      </c>
      <c r="BL72" s="646">
        <f t="shared" si="27"/>
        <v>100</v>
      </c>
      <c r="BM72" s="646">
        <f t="shared" si="27"/>
        <v>100</v>
      </c>
      <c r="BN72" s="646">
        <f t="shared" si="27"/>
        <v>100</v>
      </c>
      <c r="BO72" s="646">
        <f t="shared" si="27"/>
        <v>100</v>
      </c>
      <c r="BP72" s="647">
        <f t="shared" si="27"/>
        <v>100</v>
      </c>
    </row>
    <row r="73" spans="1:68" s="644" customFormat="1">
      <c r="A73" s="630"/>
      <c r="B73" s="316"/>
      <c r="C73" s="314" t="s">
        <v>195</v>
      </c>
      <c r="D73" s="176">
        <v>140</v>
      </c>
      <c r="E73" s="317" t="s">
        <v>67</v>
      </c>
      <c r="G73" s="645"/>
      <c r="H73" s="645"/>
      <c r="I73" s="646">
        <f>$D$73</f>
        <v>140</v>
      </c>
      <c r="J73" s="646">
        <f t="shared" ref="J73:BP73" si="28">$D$73</f>
        <v>140</v>
      </c>
      <c r="K73" s="646">
        <f t="shared" si="28"/>
        <v>140</v>
      </c>
      <c r="L73" s="646">
        <f t="shared" si="28"/>
        <v>140</v>
      </c>
      <c r="M73" s="646">
        <f t="shared" si="28"/>
        <v>140</v>
      </c>
      <c r="N73" s="646">
        <f t="shared" si="28"/>
        <v>140</v>
      </c>
      <c r="O73" s="646">
        <f t="shared" si="28"/>
        <v>140</v>
      </c>
      <c r="P73" s="646">
        <f t="shared" si="28"/>
        <v>140</v>
      </c>
      <c r="Q73" s="646">
        <f t="shared" si="28"/>
        <v>140</v>
      </c>
      <c r="R73" s="646">
        <f t="shared" si="28"/>
        <v>140</v>
      </c>
      <c r="S73" s="646">
        <f t="shared" si="28"/>
        <v>140</v>
      </c>
      <c r="T73" s="647">
        <f t="shared" si="28"/>
        <v>140</v>
      </c>
      <c r="U73" s="646">
        <f t="shared" si="28"/>
        <v>140</v>
      </c>
      <c r="V73" s="646">
        <f t="shared" si="28"/>
        <v>140</v>
      </c>
      <c r="W73" s="646">
        <f t="shared" si="28"/>
        <v>140</v>
      </c>
      <c r="X73" s="646">
        <f t="shared" si="28"/>
        <v>140</v>
      </c>
      <c r="Y73" s="646">
        <f t="shared" si="28"/>
        <v>140</v>
      </c>
      <c r="Z73" s="646">
        <f t="shared" si="28"/>
        <v>140</v>
      </c>
      <c r="AA73" s="646">
        <f t="shared" si="28"/>
        <v>140</v>
      </c>
      <c r="AB73" s="646">
        <f t="shared" si="28"/>
        <v>140</v>
      </c>
      <c r="AC73" s="646">
        <f t="shared" si="28"/>
        <v>140</v>
      </c>
      <c r="AD73" s="646">
        <f t="shared" si="28"/>
        <v>140</v>
      </c>
      <c r="AE73" s="646">
        <f t="shared" si="28"/>
        <v>140</v>
      </c>
      <c r="AF73" s="647">
        <f t="shared" si="28"/>
        <v>140</v>
      </c>
      <c r="AG73" s="646">
        <f t="shared" si="28"/>
        <v>140</v>
      </c>
      <c r="AH73" s="646">
        <f t="shared" si="28"/>
        <v>140</v>
      </c>
      <c r="AI73" s="646">
        <f t="shared" si="28"/>
        <v>140</v>
      </c>
      <c r="AJ73" s="646">
        <f t="shared" si="28"/>
        <v>140</v>
      </c>
      <c r="AK73" s="646">
        <f t="shared" si="28"/>
        <v>140</v>
      </c>
      <c r="AL73" s="646">
        <f t="shared" si="28"/>
        <v>140</v>
      </c>
      <c r="AM73" s="646">
        <f t="shared" si="28"/>
        <v>140</v>
      </c>
      <c r="AN73" s="646">
        <f t="shared" si="28"/>
        <v>140</v>
      </c>
      <c r="AO73" s="646">
        <f t="shared" si="28"/>
        <v>140</v>
      </c>
      <c r="AP73" s="646">
        <f t="shared" si="28"/>
        <v>140</v>
      </c>
      <c r="AQ73" s="646">
        <f t="shared" si="28"/>
        <v>140</v>
      </c>
      <c r="AR73" s="647">
        <f t="shared" si="28"/>
        <v>140</v>
      </c>
      <c r="AS73" s="646">
        <f t="shared" si="28"/>
        <v>140</v>
      </c>
      <c r="AT73" s="646">
        <f t="shared" si="28"/>
        <v>140</v>
      </c>
      <c r="AU73" s="646">
        <f t="shared" si="28"/>
        <v>140</v>
      </c>
      <c r="AV73" s="646">
        <f t="shared" si="28"/>
        <v>140</v>
      </c>
      <c r="AW73" s="646">
        <f t="shared" si="28"/>
        <v>140</v>
      </c>
      <c r="AX73" s="646">
        <f t="shared" si="28"/>
        <v>140</v>
      </c>
      <c r="AY73" s="646">
        <f t="shared" si="28"/>
        <v>140</v>
      </c>
      <c r="AZ73" s="646">
        <f t="shared" si="28"/>
        <v>140</v>
      </c>
      <c r="BA73" s="646">
        <f t="shared" si="28"/>
        <v>140</v>
      </c>
      <c r="BB73" s="646">
        <f t="shared" si="28"/>
        <v>140</v>
      </c>
      <c r="BC73" s="646">
        <f t="shared" si="28"/>
        <v>140</v>
      </c>
      <c r="BD73" s="647">
        <f t="shared" si="28"/>
        <v>140</v>
      </c>
      <c r="BE73" s="646">
        <f t="shared" si="28"/>
        <v>140</v>
      </c>
      <c r="BF73" s="646">
        <f t="shared" si="28"/>
        <v>140</v>
      </c>
      <c r="BG73" s="646">
        <f t="shared" si="28"/>
        <v>140</v>
      </c>
      <c r="BH73" s="646">
        <f t="shared" si="28"/>
        <v>140</v>
      </c>
      <c r="BI73" s="646">
        <f t="shared" si="28"/>
        <v>140</v>
      </c>
      <c r="BJ73" s="646">
        <f t="shared" si="28"/>
        <v>140</v>
      </c>
      <c r="BK73" s="646">
        <f t="shared" si="28"/>
        <v>140</v>
      </c>
      <c r="BL73" s="646">
        <f t="shared" si="28"/>
        <v>140</v>
      </c>
      <c r="BM73" s="646">
        <f t="shared" si="28"/>
        <v>140</v>
      </c>
      <c r="BN73" s="646">
        <f t="shared" si="28"/>
        <v>140</v>
      </c>
      <c r="BO73" s="646">
        <f t="shared" si="28"/>
        <v>140</v>
      </c>
      <c r="BP73" s="647">
        <f t="shared" si="28"/>
        <v>140</v>
      </c>
    </row>
    <row r="74" spans="1:68" s="649" customFormat="1">
      <c r="A74" s="659"/>
      <c r="B74" s="660"/>
      <c r="C74" s="661" t="s">
        <v>304</v>
      </c>
      <c r="D74" s="634">
        <v>80</v>
      </c>
      <c r="E74" s="685" t="s">
        <v>197</v>
      </c>
      <c r="G74" s="650">
        <f>$D$74</f>
        <v>80</v>
      </c>
      <c r="H74" s="650"/>
      <c r="I74" s="651">
        <f>$D$74*('Prg. HR'!D41/4)</f>
        <v>50</v>
      </c>
      <c r="J74" s="651">
        <f>$D$74*('Prg. HR'!E41/4)</f>
        <v>50</v>
      </c>
      <c r="K74" s="651">
        <f>$D$74*('Prg. HR'!F41/4)</f>
        <v>50</v>
      </c>
      <c r="L74" s="651">
        <f>$D$74*('Prg. HR'!G41/4)</f>
        <v>70</v>
      </c>
      <c r="M74" s="651">
        <f>$D$74*('Prg. HR'!H41/4)</f>
        <v>70</v>
      </c>
      <c r="N74" s="651">
        <f>$D$74*('Prg. HR'!I41/4)</f>
        <v>70</v>
      </c>
      <c r="O74" s="651">
        <f>$D$74*('Prg. HR'!J41/4)</f>
        <v>70</v>
      </c>
      <c r="P74" s="651">
        <f>$D$74*('Prg. HR'!K41/4)</f>
        <v>90</v>
      </c>
      <c r="Q74" s="651">
        <f>$D$74*('Prg. HR'!L41/4)</f>
        <v>90</v>
      </c>
      <c r="R74" s="651">
        <f>$D$74*('Prg. HR'!M41/4)</f>
        <v>90</v>
      </c>
      <c r="S74" s="651">
        <f>$D$74*('Prg. HR'!N41/4)</f>
        <v>90</v>
      </c>
      <c r="T74" s="652">
        <f>$D$74*('Prg. HR'!O41/4)</f>
        <v>90</v>
      </c>
      <c r="U74" s="651">
        <f>$D$74*('Prg. HR'!P41/4)</f>
        <v>90</v>
      </c>
      <c r="V74" s="651">
        <f>$D$74*('Prg. HR'!Q41/4)</f>
        <v>90</v>
      </c>
      <c r="W74" s="651">
        <f>$D$74*('Prg. HR'!R41/4)</f>
        <v>90</v>
      </c>
      <c r="X74" s="651">
        <f>$D$74*('Prg. HR'!S41/4)</f>
        <v>110</v>
      </c>
      <c r="Y74" s="651">
        <f>$D$74*('Prg. HR'!T41/4)</f>
        <v>110</v>
      </c>
      <c r="Z74" s="651">
        <f>$D$74*('Prg. HR'!U41/4)</f>
        <v>130</v>
      </c>
      <c r="AA74" s="651">
        <f>$D$74*('Prg. HR'!V41/4)</f>
        <v>140</v>
      </c>
      <c r="AB74" s="651">
        <f>$D$74*('Prg. HR'!W41/4)</f>
        <v>160</v>
      </c>
      <c r="AC74" s="651">
        <f>$D$74*('Prg. HR'!X41/4)</f>
        <v>160</v>
      </c>
      <c r="AD74" s="651">
        <f>$D$74*('Prg. HR'!Y41/4)</f>
        <v>160</v>
      </c>
      <c r="AE74" s="651">
        <f>$D$74*('Prg. HR'!Z41/4)</f>
        <v>160</v>
      </c>
      <c r="AF74" s="652">
        <f>$D$74*('Prg. HR'!AA41/4)</f>
        <v>180</v>
      </c>
      <c r="AG74" s="651">
        <f>$D$74*('Prg. HR'!AB41/4)</f>
        <v>220</v>
      </c>
      <c r="AH74" s="651">
        <f>$D$74*('Prg. HR'!AC41/4)</f>
        <v>220</v>
      </c>
      <c r="AI74" s="651">
        <f>$D$74*('Prg. HR'!AD41/4)</f>
        <v>220</v>
      </c>
      <c r="AJ74" s="651">
        <f>$D$74*('Prg. HR'!AE41/4)</f>
        <v>220</v>
      </c>
      <c r="AK74" s="651">
        <f>$D$74*('Prg. HR'!AF41/4)</f>
        <v>220</v>
      </c>
      <c r="AL74" s="651">
        <f>$D$74*('Prg. HR'!AG41/4)</f>
        <v>220</v>
      </c>
      <c r="AM74" s="651">
        <f>$D$74*('Prg. HR'!AH41/4)</f>
        <v>240</v>
      </c>
      <c r="AN74" s="651">
        <f>$D$74*('Prg. HR'!AI41/4)</f>
        <v>260</v>
      </c>
      <c r="AO74" s="651">
        <f>$D$74*('Prg. HR'!AJ41/4)</f>
        <v>260</v>
      </c>
      <c r="AP74" s="651">
        <f>$D$74*('Prg. HR'!AK41/4)</f>
        <v>260</v>
      </c>
      <c r="AQ74" s="651">
        <f>$D$74*('Prg. HR'!AL41/4)</f>
        <v>280</v>
      </c>
      <c r="AR74" s="652">
        <f>$D$74*('Prg. HR'!AM41/4)</f>
        <v>280</v>
      </c>
      <c r="AS74" s="651">
        <f>$D$74*('Prg. HR'!AN41/4)</f>
        <v>280</v>
      </c>
      <c r="AT74" s="651">
        <f>$D$74*('Prg. HR'!AO41/4)</f>
        <v>280</v>
      </c>
      <c r="AU74" s="651">
        <f>$D$74*('Prg. HR'!AP41/4)</f>
        <v>280</v>
      </c>
      <c r="AV74" s="651">
        <f>$D$74*('Prg. HR'!AQ41/4)</f>
        <v>280</v>
      </c>
      <c r="AW74" s="651">
        <f>$D$74*('Prg. HR'!AR41/4)</f>
        <v>300</v>
      </c>
      <c r="AX74" s="651">
        <f>$D$74*('Prg. HR'!AS41/4)</f>
        <v>320</v>
      </c>
      <c r="AY74" s="651">
        <f>$D$74*('Prg. HR'!AT41/4)</f>
        <v>320</v>
      </c>
      <c r="AZ74" s="651">
        <f>$D$74*('Prg. HR'!AU41/4)</f>
        <v>320</v>
      </c>
      <c r="BA74" s="651">
        <f>$D$74*('Prg. HR'!AV41/4)</f>
        <v>340</v>
      </c>
      <c r="BB74" s="651">
        <f>$D$74*('Prg. HR'!AW41/4)</f>
        <v>340</v>
      </c>
      <c r="BC74" s="651">
        <f>$D$74*('Prg. HR'!AX41/4)</f>
        <v>360</v>
      </c>
      <c r="BD74" s="652">
        <f>$D$74*('Prg. HR'!AY41/4)</f>
        <v>400</v>
      </c>
      <c r="BE74" s="651">
        <f>$D$74*('Prg. HR'!AZ41/4)</f>
        <v>400</v>
      </c>
      <c r="BF74" s="651">
        <f>$D$74*('Prg. HR'!BA41/4)</f>
        <v>400</v>
      </c>
      <c r="BG74" s="651">
        <f>$D$74*('Prg. HR'!BB41/4)</f>
        <v>400</v>
      </c>
      <c r="BH74" s="651">
        <f>$D$74*('Prg. HR'!BC41/4)</f>
        <v>400</v>
      </c>
      <c r="BI74" s="651">
        <f>$D$74*('Prg. HR'!BD41/4)</f>
        <v>420</v>
      </c>
      <c r="BJ74" s="651">
        <f>$D$74*('Prg. HR'!BE41/4)</f>
        <v>460</v>
      </c>
      <c r="BK74" s="651">
        <f>$D$74*('Prg. HR'!BF41/4)</f>
        <v>460</v>
      </c>
      <c r="BL74" s="651">
        <f>$D$74*('Prg. HR'!BG41/4)</f>
        <v>460</v>
      </c>
      <c r="BM74" s="651">
        <f>$D$74*('Prg. HR'!BH41/4)</f>
        <v>480</v>
      </c>
      <c r="BN74" s="651">
        <f>$D$74*('Prg. HR'!BI41/4)</f>
        <v>500</v>
      </c>
      <c r="BO74" s="651">
        <f>$D$74*('Prg. HR'!BJ41/4)</f>
        <v>500</v>
      </c>
      <c r="BP74" s="652">
        <f>$D$74*('Prg. HR'!BK41/4)</f>
        <v>540</v>
      </c>
    </row>
    <row r="75" spans="1:68" s="320" customFormat="1">
      <c r="A75" s="306"/>
      <c r="B75" s="307"/>
      <c r="C75" s="308"/>
      <c r="D75" s="325"/>
      <c r="E75" s="326" t="s">
        <v>237</v>
      </c>
      <c r="G75" s="321"/>
      <c r="H75" s="321"/>
      <c r="I75" s="322">
        <f>SUM(I65:I74)</f>
        <v>5847.5</v>
      </c>
      <c r="J75" s="322">
        <f t="shared" ref="J75:BP75" si="29">SUM(J65:J74)</f>
        <v>5938.9311750400002</v>
      </c>
      <c r="K75" s="322">
        <f t="shared" si="29"/>
        <v>5960.9900467649741</v>
      </c>
      <c r="L75" s="322">
        <f t="shared" si="29"/>
        <v>6103.4890060412663</v>
      </c>
      <c r="M75" s="322">
        <f t="shared" si="29"/>
        <v>6132.0018902394468</v>
      </c>
      <c r="N75" s="322">
        <f t="shared" si="29"/>
        <v>6162.3622843446174</v>
      </c>
      <c r="O75" s="322">
        <f t="shared" si="29"/>
        <v>6194.6798074974358</v>
      </c>
      <c r="P75" s="322">
        <f t="shared" si="29"/>
        <v>6398.0688437739536</v>
      </c>
      <c r="Q75" s="322">
        <f t="shared" si="29"/>
        <v>6438.1348938156589</v>
      </c>
      <c r="R75" s="322">
        <f t="shared" si="29"/>
        <v>6554.7442792290431</v>
      </c>
      <c r="S75" s="322">
        <f t="shared" si="29"/>
        <v>6603.5266823390566</v>
      </c>
      <c r="T75" s="323">
        <f t="shared" si="29"/>
        <v>6729.37348298086</v>
      </c>
      <c r="U75" s="322">
        <f t="shared" si="29"/>
        <v>6788.1017165206013</v>
      </c>
      <c r="V75" s="322">
        <f t="shared" si="29"/>
        <v>7104.6749383907809</v>
      </c>
      <c r="W75" s="322">
        <f t="shared" si="29"/>
        <v>7174.7921951959988</v>
      </c>
      <c r="X75" s="322">
        <f t="shared" si="29"/>
        <v>7344.4482853970203</v>
      </c>
      <c r="Y75" s="322">
        <f t="shared" si="29"/>
        <v>7497.8880884770142</v>
      </c>
      <c r="Z75" s="322">
        <f t="shared" si="29"/>
        <v>7680.8511970679465</v>
      </c>
      <c r="AA75" s="322">
        <f t="shared" si="29"/>
        <v>7821.8416054263753</v>
      </c>
      <c r="AB75" s="322">
        <f t="shared" si="29"/>
        <v>8090.1762791578194</v>
      </c>
      <c r="AC75" s="322">
        <f t="shared" si="29"/>
        <v>8199.1381722882452</v>
      </c>
      <c r="AD75" s="322">
        <f t="shared" si="29"/>
        <v>8388.807889648022</v>
      </c>
      <c r="AE75" s="322">
        <f t="shared" si="29"/>
        <v>8515.0042722937433</v>
      </c>
      <c r="AF75" s="323">
        <f t="shared" si="29"/>
        <v>8817.8446888114086</v>
      </c>
      <c r="AG75" s="322">
        <f t="shared" si="29"/>
        <v>9103.3963538764692</v>
      </c>
      <c r="AH75" s="322">
        <f t="shared" si="29"/>
        <v>9331.8678736255679</v>
      </c>
      <c r="AI75" s="322">
        <f t="shared" si="29"/>
        <v>9573.1670275782944</v>
      </c>
      <c r="AJ75" s="322">
        <f t="shared" si="29"/>
        <v>9827.9969837148401</v>
      </c>
      <c r="AK75" s="322">
        <f t="shared" si="29"/>
        <v>10097.078490850148</v>
      </c>
      <c r="AL75" s="322">
        <f t="shared" si="29"/>
        <v>10381.128537963505</v>
      </c>
      <c r="AM75" s="322">
        <f t="shared" si="29"/>
        <v>10775.890792155438</v>
      </c>
      <c r="AN75" s="322">
        <f t="shared" si="29"/>
        <v>11293.210821354234</v>
      </c>
      <c r="AO75" s="322">
        <f t="shared" si="29"/>
        <v>11623.406569526298</v>
      </c>
      <c r="AP75" s="322">
        <f t="shared" si="29"/>
        <v>11897.643626235564</v>
      </c>
      <c r="AQ75" s="322">
        <f t="shared" si="29"/>
        <v>12306.289587835043</v>
      </c>
      <c r="AR75" s="323">
        <f t="shared" si="29"/>
        <v>12615.560775961698</v>
      </c>
      <c r="AS75" s="322">
        <f t="shared" si="29"/>
        <v>12734.241633036248</v>
      </c>
      <c r="AT75" s="322">
        <f t="shared" si="29"/>
        <v>13083.646018947456</v>
      </c>
      <c r="AU75" s="322">
        <f t="shared" si="29"/>
        <v>13433.715239787807</v>
      </c>
      <c r="AV75" s="322">
        <f t="shared" si="29"/>
        <v>13820.331157289482</v>
      </c>
      <c r="AW75" s="322">
        <f t="shared" si="29"/>
        <v>14304.298703536531</v>
      </c>
      <c r="AX75" s="322">
        <f t="shared" si="29"/>
        <v>14832.882128066583</v>
      </c>
      <c r="AY75" s="322">
        <f t="shared" si="29"/>
        <v>15521.426832139055</v>
      </c>
      <c r="AZ75" s="322">
        <f t="shared" si="29"/>
        <v>15925.727641537991</v>
      </c>
      <c r="BA75" s="322">
        <f t="shared" si="29"/>
        <v>16575.923370499502</v>
      </c>
      <c r="BB75" s="322">
        <f t="shared" si="29"/>
        <v>17102.841040926782</v>
      </c>
      <c r="BC75" s="322">
        <f t="shared" si="29"/>
        <v>17733.168181482972</v>
      </c>
      <c r="BD75" s="323">
        <f t="shared" si="29"/>
        <v>22293.052233125149</v>
      </c>
      <c r="BE75" s="322">
        <f t="shared" si="29"/>
        <v>21283.020908102335</v>
      </c>
      <c r="BF75" s="322">
        <f t="shared" si="29"/>
        <v>21609.763038681558</v>
      </c>
      <c r="BG75" s="322">
        <f t="shared" si="29"/>
        <v>22228.47882936275</v>
      </c>
      <c r="BH75" s="322">
        <f t="shared" si="29"/>
        <v>22542.978839299205</v>
      </c>
      <c r="BI75" s="322">
        <f t="shared" si="29"/>
        <v>23122.025154452818</v>
      </c>
      <c r="BJ75" s="322">
        <f t="shared" si="29"/>
        <v>23928.414960616217</v>
      </c>
      <c r="BK75" s="322">
        <f t="shared" si="29"/>
        <v>24649.038654756238</v>
      </c>
      <c r="BL75" s="322">
        <f t="shared" si="29"/>
        <v>25119.308106425942</v>
      </c>
      <c r="BM75" s="322">
        <f t="shared" si="29"/>
        <v>25858.470082075575</v>
      </c>
      <c r="BN75" s="322">
        <f t="shared" si="29"/>
        <v>26363.676157196664</v>
      </c>
      <c r="BO75" s="322">
        <f t="shared" si="29"/>
        <v>27108.948617584414</v>
      </c>
      <c r="BP75" s="323">
        <f t="shared" si="29"/>
        <v>27942.230479984035</v>
      </c>
    </row>
    <row r="76" spans="1:68" s="160" customFormat="1">
      <c r="A76" s="662"/>
      <c r="B76" s="663"/>
      <c r="C76" s="664"/>
      <c r="D76" s="665"/>
      <c r="E76" s="666"/>
      <c r="G76" s="161"/>
      <c r="H76" s="161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3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3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3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3"/>
      <c r="BE76" s="322"/>
      <c r="BF76" s="322"/>
      <c r="BG76" s="322"/>
      <c r="BH76" s="322"/>
      <c r="BI76" s="322"/>
      <c r="BJ76" s="322"/>
      <c r="BK76" s="322"/>
      <c r="BL76" s="322"/>
      <c r="BM76" s="322"/>
      <c r="BN76" s="322"/>
      <c r="BO76" s="322"/>
      <c r="BP76" s="323"/>
    </row>
    <row r="77" spans="1:68" s="600" customFormat="1" ht="15">
      <c r="A77" s="673"/>
      <c r="B77" s="674"/>
      <c r="C77" s="675"/>
      <c r="D77" s="676"/>
      <c r="E77" s="676" t="s">
        <v>318</v>
      </c>
      <c r="G77" s="677"/>
      <c r="H77" s="677"/>
      <c r="I77" s="678">
        <f>I75+I61+I51</f>
        <v>6137.5</v>
      </c>
      <c r="J77" s="678">
        <f t="shared" ref="J77:BP77" si="30">J75+J61+J51</f>
        <v>6228.9311750400002</v>
      </c>
      <c r="K77" s="678">
        <f t="shared" si="30"/>
        <v>6250.9900467649741</v>
      </c>
      <c r="L77" s="678">
        <f t="shared" si="30"/>
        <v>7461.4890060412663</v>
      </c>
      <c r="M77" s="678">
        <f t="shared" si="30"/>
        <v>6490.0018902394468</v>
      </c>
      <c r="N77" s="678">
        <f t="shared" si="30"/>
        <v>6520.3622843446174</v>
      </c>
      <c r="O77" s="678">
        <f t="shared" si="30"/>
        <v>6552.6798074974358</v>
      </c>
      <c r="P77" s="678">
        <f t="shared" si="30"/>
        <v>7824.0688437739536</v>
      </c>
      <c r="Q77" s="678">
        <f t="shared" si="30"/>
        <v>6864.1348938156589</v>
      </c>
      <c r="R77" s="678">
        <f t="shared" si="30"/>
        <v>6980.7442792290431</v>
      </c>
      <c r="S77" s="678">
        <f t="shared" si="30"/>
        <v>7029.5266823390566</v>
      </c>
      <c r="T77" s="679">
        <f t="shared" si="30"/>
        <v>7155.37348298086</v>
      </c>
      <c r="U77" s="678">
        <f t="shared" si="30"/>
        <v>7214.1017165206013</v>
      </c>
      <c r="V77" s="678">
        <f t="shared" si="30"/>
        <v>8364.0082717241148</v>
      </c>
      <c r="W77" s="678">
        <f t="shared" si="30"/>
        <v>8434.1255285293319</v>
      </c>
      <c r="X77" s="678">
        <f t="shared" si="30"/>
        <v>9671.7816187303542</v>
      </c>
      <c r="Y77" s="678">
        <f t="shared" si="30"/>
        <v>8825.2214218103472</v>
      </c>
      <c r="Z77" s="678">
        <f t="shared" si="30"/>
        <v>10076.18453040128</v>
      </c>
      <c r="AA77" s="678">
        <f t="shared" si="30"/>
        <v>9751.1749387597101</v>
      </c>
      <c r="AB77" s="678">
        <f t="shared" si="30"/>
        <v>10587.509612491152</v>
      </c>
      <c r="AC77" s="678">
        <f t="shared" si="30"/>
        <v>9696.4715056215791</v>
      </c>
      <c r="AD77" s="678">
        <f t="shared" si="30"/>
        <v>9886.1412229813559</v>
      </c>
      <c r="AE77" s="678">
        <f t="shared" si="30"/>
        <v>10012.337605627077</v>
      </c>
      <c r="AF77" s="679">
        <f t="shared" si="30"/>
        <v>11383.178022144742</v>
      </c>
      <c r="AG77" s="678">
        <f t="shared" si="30"/>
        <v>12804.729687209803</v>
      </c>
      <c r="AH77" s="678">
        <f t="shared" si="30"/>
        <v>11033.201206958902</v>
      </c>
      <c r="AI77" s="678">
        <f t="shared" si="30"/>
        <v>11274.500360911628</v>
      </c>
      <c r="AJ77" s="678">
        <f t="shared" si="30"/>
        <v>11529.330317048174</v>
      </c>
      <c r="AK77" s="678">
        <f t="shared" si="30"/>
        <v>11798.411824183482</v>
      </c>
      <c r="AL77" s="678">
        <f t="shared" si="30"/>
        <v>12082.461871296839</v>
      </c>
      <c r="AM77" s="678">
        <f t="shared" si="30"/>
        <v>13545.224125488772</v>
      </c>
      <c r="AN77" s="678">
        <f t="shared" si="30"/>
        <v>14963.8774880209</v>
      </c>
      <c r="AO77" s="678">
        <f t="shared" si="30"/>
        <v>14294.073236192964</v>
      </c>
      <c r="AP77" s="678">
        <f t="shared" si="30"/>
        <v>14568.31029290223</v>
      </c>
      <c r="AQ77" s="678">
        <f t="shared" si="30"/>
        <v>16044.956254501709</v>
      </c>
      <c r="AR77" s="679">
        <f t="shared" si="30"/>
        <v>15354.227442628364</v>
      </c>
      <c r="AS77" s="678">
        <f t="shared" si="30"/>
        <v>15472.908299702915</v>
      </c>
      <c r="AT77" s="678">
        <f t="shared" si="30"/>
        <v>15822.312685614123</v>
      </c>
      <c r="AU77" s="678">
        <f t="shared" si="30"/>
        <v>16172.381906454473</v>
      </c>
      <c r="AV77" s="678">
        <f t="shared" si="30"/>
        <v>16558.99782395615</v>
      </c>
      <c r="AW77" s="678">
        <f t="shared" si="30"/>
        <v>18110.965370203197</v>
      </c>
      <c r="AX77" s="678">
        <f t="shared" si="30"/>
        <v>18707.548794733251</v>
      </c>
      <c r="AY77" s="678">
        <f t="shared" si="30"/>
        <v>19229.426832139055</v>
      </c>
      <c r="AZ77" s="678">
        <f t="shared" si="30"/>
        <v>19633.727641537989</v>
      </c>
      <c r="BA77" s="678">
        <f t="shared" si="30"/>
        <v>21351.923370499502</v>
      </c>
      <c r="BB77" s="678">
        <f t="shared" si="30"/>
        <v>20878.841040926782</v>
      </c>
      <c r="BC77" s="678">
        <f t="shared" si="30"/>
        <v>22577.168181482972</v>
      </c>
      <c r="BD77" s="679">
        <f t="shared" si="30"/>
        <v>28273.052233125149</v>
      </c>
      <c r="BE77" s="678">
        <f t="shared" si="30"/>
        <v>25263.020908102335</v>
      </c>
      <c r="BF77" s="678">
        <f t="shared" si="30"/>
        <v>26423.09637201489</v>
      </c>
      <c r="BG77" s="678">
        <f t="shared" si="30"/>
        <v>27041.812162696082</v>
      </c>
      <c r="BH77" s="678">
        <f t="shared" si="30"/>
        <v>27356.312172632537</v>
      </c>
      <c r="BI77" s="678">
        <f t="shared" si="30"/>
        <v>29003.35848778615</v>
      </c>
      <c r="BJ77" s="678">
        <f t="shared" si="30"/>
        <v>30945.748293949549</v>
      </c>
      <c r="BK77" s="678">
        <f t="shared" si="30"/>
        <v>29666.37198808957</v>
      </c>
      <c r="BL77" s="678">
        <f t="shared" si="30"/>
        <v>30969.97477309261</v>
      </c>
      <c r="BM77" s="678">
        <f t="shared" si="30"/>
        <v>32777.136748742239</v>
      </c>
      <c r="BN77" s="678">
        <f t="shared" si="30"/>
        <v>33350.342823863328</v>
      </c>
      <c r="BO77" s="678">
        <f t="shared" si="30"/>
        <v>33095.615284251078</v>
      </c>
      <c r="BP77" s="679">
        <f t="shared" si="30"/>
        <v>36898.230479984035</v>
      </c>
    </row>
    <row r="78" spans="1:68" s="160" customFormat="1">
      <c r="A78" s="156"/>
      <c r="B78" s="157"/>
      <c r="C78" s="158"/>
      <c r="D78" s="178"/>
      <c r="E78" s="159"/>
      <c r="G78" s="161"/>
      <c r="H78" s="161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3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3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3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3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</row>
    <row r="79" spans="1:68" s="160" customFormat="1">
      <c r="A79" s="156"/>
      <c r="B79" s="157"/>
      <c r="C79" s="158"/>
      <c r="D79" s="178"/>
      <c r="E79" s="159"/>
      <c r="G79" s="161"/>
      <c r="H79" s="161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3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3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3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3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3"/>
    </row>
  </sheetData>
  <mergeCells count="35">
    <mergeCell ref="BF35:BH35"/>
    <mergeCell ref="BF36:BG36"/>
    <mergeCell ref="BF37:BG37"/>
    <mergeCell ref="BF38:BG38"/>
    <mergeCell ref="BF39:BG39"/>
    <mergeCell ref="BE1:BP25"/>
    <mergeCell ref="A46:B46"/>
    <mergeCell ref="V35:X35"/>
    <mergeCell ref="V36:W36"/>
    <mergeCell ref="V37:W37"/>
    <mergeCell ref="V38:W38"/>
    <mergeCell ref="V39:W39"/>
    <mergeCell ref="AH35:AJ35"/>
    <mergeCell ref="AH36:AI36"/>
    <mergeCell ref="AH37:AI37"/>
    <mergeCell ref="AH38:AI38"/>
    <mergeCell ref="AH39:AI39"/>
    <mergeCell ref="AT35:AV35"/>
    <mergeCell ref="AT36:AU36"/>
    <mergeCell ref="AT37:AU37"/>
    <mergeCell ref="AT38:AU38"/>
    <mergeCell ref="A47:B47"/>
    <mergeCell ref="I1:T25"/>
    <mergeCell ref="U1:AF25"/>
    <mergeCell ref="AG1:AR25"/>
    <mergeCell ref="AS1:BD25"/>
    <mergeCell ref="J36:K36"/>
    <mergeCell ref="J37:K37"/>
    <mergeCell ref="J38:K38"/>
    <mergeCell ref="J39:K39"/>
    <mergeCell ref="J35:L35"/>
    <mergeCell ref="B41:C41"/>
    <mergeCell ref="B42:C42"/>
    <mergeCell ref="B43:C43"/>
    <mergeCell ref="AT39:AU39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BZ41"/>
  <sheetViews>
    <sheetView zoomScale="90" zoomScaleNormal="90" zoomScalePageLayoutView="90" workbookViewId="0">
      <pane xSplit="3" ySplit="9" topLeftCell="D10" activePane="bottomRight" state="frozen"/>
      <selection activeCell="D421" sqref="D421"/>
      <selection pane="topRight" activeCell="D421" sqref="D421"/>
      <selection pane="bottomLeft" activeCell="D421" sqref="D421"/>
      <selection pane="bottomRight" activeCell="D41" sqref="D41"/>
    </sheetView>
  </sheetViews>
  <sheetFormatPr defaultColWidth="9.140625" defaultRowHeight="15" outlineLevelRow="1"/>
  <cols>
    <col min="1" max="1" width="27.42578125" style="21" customWidth="1"/>
    <col min="2" max="2" width="10.42578125" style="72" customWidth="1"/>
    <col min="3" max="3" width="10.85546875" style="72" customWidth="1"/>
    <col min="4" max="14" width="9.42578125" style="19" customWidth="1"/>
    <col min="15" max="15" width="9.42578125" style="123" customWidth="1"/>
    <col min="16" max="26" width="9.42578125" style="122" customWidth="1"/>
    <col min="27" max="27" width="9.42578125" style="123" customWidth="1"/>
    <col min="28" max="38" width="9.42578125" style="122" customWidth="1"/>
    <col min="39" max="39" width="9.42578125" style="123" customWidth="1"/>
    <col min="40" max="50" width="9.42578125" style="122" customWidth="1"/>
    <col min="51" max="51" width="9.42578125" style="123" customWidth="1"/>
    <col min="52" max="62" width="9.42578125" style="122" customWidth="1"/>
    <col min="63" max="63" width="9.42578125" style="123" customWidth="1"/>
    <col min="64" max="64" width="26.85546875" style="122" customWidth="1"/>
    <col min="65" max="77" width="9.42578125" style="19" hidden="1" customWidth="1"/>
    <col min="78" max="79" width="0" style="19" hidden="1" customWidth="1"/>
    <col min="80" max="16384" width="9.140625" style="19"/>
  </cols>
  <sheetData>
    <row r="1" spans="1:77" s="59" customFormat="1" ht="15.75">
      <c r="A1" s="519" t="s">
        <v>369</v>
      </c>
      <c r="B1" s="701">
        <v>0.26</v>
      </c>
      <c r="C1" s="66"/>
      <c r="D1" s="1311" t="s">
        <v>189</v>
      </c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07" t="s">
        <v>190</v>
      </c>
      <c r="Q1" s="1308"/>
      <c r="R1" s="1308"/>
      <c r="S1" s="1308"/>
      <c r="T1" s="1308"/>
      <c r="U1" s="1308"/>
      <c r="V1" s="1308"/>
      <c r="W1" s="1308"/>
      <c r="X1" s="1308"/>
      <c r="Y1" s="1308"/>
      <c r="Z1" s="1308"/>
      <c r="AA1" s="1309"/>
      <c r="AB1" s="1307" t="s">
        <v>191</v>
      </c>
      <c r="AC1" s="1308"/>
      <c r="AD1" s="1308"/>
      <c r="AE1" s="1308"/>
      <c r="AF1" s="1308"/>
      <c r="AG1" s="1308"/>
      <c r="AH1" s="1308"/>
      <c r="AI1" s="1308"/>
      <c r="AJ1" s="1308"/>
      <c r="AK1" s="1308"/>
      <c r="AL1" s="1308"/>
      <c r="AM1" s="1309"/>
      <c r="AN1" s="1307" t="s">
        <v>192</v>
      </c>
      <c r="AO1" s="1308"/>
      <c r="AP1" s="1308"/>
      <c r="AQ1" s="1308"/>
      <c r="AR1" s="1308"/>
      <c r="AS1" s="1308"/>
      <c r="AT1" s="1308"/>
      <c r="AU1" s="1308"/>
      <c r="AV1" s="1308"/>
      <c r="AW1" s="1308"/>
      <c r="AX1" s="1308"/>
      <c r="AY1" s="1309"/>
      <c r="AZ1" s="1307" t="s">
        <v>193</v>
      </c>
      <c r="BA1" s="1308"/>
      <c r="BB1" s="1308"/>
      <c r="BC1" s="1308"/>
      <c r="BD1" s="1308"/>
      <c r="BE1" s="1308"/>
      <c r="BF1" s="1308"/>
      <c r="BG1" s="1308"/>
      <c r="BH1" s="1308"/>
      <c r="BI1" s="1308"/>
      <c r="BJ1" s="1308"/>
      <c r="BK1" s="1309"/>
      <c r="BL1" s="688"/>
    </row>
    <row r="2" spans="1:77" s="59" customFormat="1" ht="14.25" hidden="1" customHeight="1" outlineLevel="1">
      <c r="A2" s="331"/>
      <c r="B2" s="73" t="s">
        <v>164</v>
      </c>
      <c r="C2" s="66"/>
      <c r="D2" s="65" t="e">
        <f>#REF!</f>
        <v>#REF!</v>
      </c>
      <c r="E2" s="65" t="e">
        <f>#REF!</f>
        <v>#REF!</v>
      </c>
      <c r="F2" s="65" t="e">
        <f>#REF!</f>
        <v>#REF!</v>
      </c>
      <c r="G2" s="65" t="e">
        <f>#REF!</f>
        <v>#REF!</v>
      </c>
      <c r="H2" s="65" t="e">
        <f>#REF!</f>
        <v>#REF!</v>
      </c>
      <c r="I2" s="65" t="e">
        <f>#REF!</f>
        <v>#REF!</v>
      </c>
      <c r="J2" s="65" t="e">
        <f>#REF!</f>
        <v>#REF!</v>
      </c>
      <c r="K2" s="65" t="e">
        <f>#REF!</f>
        <v>#REF!</v>
      </c>
      <c r="L2" s="65" t="e">
        <f>#REF!</f>
        <v>#REF!</v>
      </c>
      <c r="M2" s="65" t="e">
        <f>#REF!</f>
        <v>#REF!</v>
      </c>
      <c r="N2" s="65" t="e">
        <f>#REF!</f>
        <v>#REF!</v>
      </c>
      <c r="O2" s="117" t="e">
        <f>#REF!</f>
        <v>#REF!</v>
      </c>
      <c r="P2" s="116" t="e">
        <f>#REF!</f>
        <v>#REF!</v>
      </c>
      <c r="Q2" s="116" t="e">
        <f>#REF!</f>
        <v>#REF!</v>
      </c>
      <c r="R2" s="116" t="e">
        <f>#REF!</f>
        <v>#REF!</v>
      </c>
      <c r="S2" s="116" t="e">
        <f>#REF!</f>
        <v>#REF!</v>
      </c>
      <c r="T2" s="116" t="e">
        <f>#REF!</f>
        <v>#REF!</v>
      </c>
      <c r="U2" s="116" t="e">
        <f>#REF!</f>
        <v>#REF!</v>
      </c>
      <c r="V2" s="116" t="e">
        <f>#REF!</f>
        <v>#REF!</v>
      </c>
      <c r="W2" s="116" t="e">
        <f>#REF!</f>
        <v>#REF!</v>
      </c>
      <c r="X2" s="116" t="e">
        <f>#REF!</f>
        <v>#REF!</v>
      </c>
      <c r="Y2" s="116" t="e">
        <f>#REF!</f>
        <v>#REF!</v>
      </c>
      <c r="Z2" s="116" t="e">
        <f>#REF!</f>
        <v>#REF!</v>
      </c>
      <c r="AA2" s="117" t="e">
        <f>#REF!</f>
        <v>#REF!</v>
      </c>
      <c r="AB2" s="116" t="e">
        <f>#REF!</f>
        <v>#REF!</v>
      </c>
      <c r="AC2" s="116" t="e">
        <f>#REF!</f>
        <v>#REF!</v>
      </c>
      <c r="AD2" s="116" t="e">
        <f>#REF!</f>
        <v>#REF!</v>
      </c>
      <c r="AE2" s="116" t="e">
        <f>#REF!</f>
        <v>#REF!</v>
      </c>
      <c r="AF2" s="116" t="e">
        <f>#REF!</f>
        <v>#REF!</v>
      </c>
      <c r="AG2" s="116" t="e">
        <f>#REF!</f>
        <v>#REF!</v>
      </c>
      <c r="AH2" s="116" t="e">
        <f>#REF!</f>
        <v>#REF!</v>
      </c>
      <c r="AI2" s="116" t="e">
        <f>#REF!</f>
        <v>#REF!</v>
      </c>
      <c r="AJ2" s="116" t="e">
        <f>#REF!</f>
        <v>#REF!</v>
      </c>
      <c r="AK2" s="116" t="e">
        <f>#REF!</f>
        <v>#REF!</v>
      </c>
      <c r="AL2" s="116" t="e">
        <f>#REF!</f>
        <v>#REF!</v>
      </c>
      <c r="AM2" s="117" t="e">
        <f>#REF!</f>
        <v>#REF!</v>
      </c>
      <c r="AN2" s="116" t="e">
        <f>#REF!</f>
        <v>#REF!</v>
      </c>
      <c r="AO2" s="116" t="e">
        <f>#REF!</f>
        <v>#REF!</v>
      </c>
      <c r="AP2" s="116" t="e">
        <f>#REF!</f>
        <v>#REF!</v>
      </c>
      <c r="AQ2" s="116" t="e">
        <f>#REF!</f>
        <v>#REF!</v>
      </c>
      <c r="AR2" s="116" t="e">
        <f>#REF!</f>
        <v>#REF!</v>
      </c>
      <c r="AS2" s="116" t="e">
        <f>#REF!</f>
        <v>#REF!</v>
      </c>
      <c r="AT2" s="116" t="e">
        <f>#REF!</f>
        <v>#REF!</v>
      </c>
      <c r="AU2" s="116" t="e">
        <f>#REF!</f>
        <v>#REF!</v>
      </c>
      <c r="AV2" s="116" t="e">
        <f>#REF!</f>
        <v>#REF!</v>
      </c>
      <c r="AW2" s="116" t="e">
        <f>#REF!</f>
        <v>#REF!</v>
      </c>
      <c r="AX2" s="116" t="e">
        <f>#REF!</f>
        <v>#REF!</v>
      </c>
      <c r="AY2" s="117" t="e">
        <f>#REF!</f>
        <v>#REF!</v>
      </c>
      <c r="AZ2" s="116" t="e">
        <f>#REF!</f>
        <v>#REF!</v>
      </c>
      <c r="BA2" s="116" t="e">
        <f>#REF!</f>
        <v>#REF!</v>
      </c>
      <c r="BB2" s="116" t="e">
        <f>#REF!</f>
        <v>#REF!</v>
      </c>
      <c r="BC2" s="116" t="e">
        <f>#REF!</f>
        <v>#REF!</v>
      </c>
      <c r="BD2" s="116" t="e">
        <f>#REF!</f>
        <v>#REF!</v>
      </c>
      <c r="BE2" s="116" t="e">
        <f>#REF!</f>
        <v>#REF!</v>
      </c>
      <c r="BF2" s="116" t="e">
        <f>#REF!</f>
        <v>#REF!</v>
      </c>
      <c r="BG2" s="116" t="e">
        <f>#REF!</f>
        <v>#REF!</v>
      </c>
      <c r="BH2" s="116" t="e">
        <f>#REF!</f>
        <v>#REF!</v>
      </c>
      <c r="BI2" s="116" t="e">
        <f>#REF!</f>
        <v>#REF!</v>
      </c>
      <c r="BJ2" s="116" t="e">
        <f>#REF!</f>
        <v>#REF!</v>
      </c>
      <c r="BK2" s="117" t="e">
        <f>#REF!</f>
        <v>#REF!</v>
      </c>
      <c r="BL2" s="11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77" s="59" customFormat="1" ht="14.25" hidden="1" customHeight="1" outlineLevel="1">
      <c r="A3" s="331"/>
      <c r="B3" s="73" t="s">
        <v>163</v>
      </c>
      <c r="C3" s="66"/>
      <c r="D3" s="65">
        <f t="shared" ref="D3:AI3" si="0">D19+D23+D27</f>
        <v>1</v>
      </c>
      <c r="E3" s="65">
        <f t="shared" si="0"/>
        <v>1</v>
      </c>
      <c r="F3" s="65">
        <f t="shared" si="0"/>
        <v>1</v>
      </c>
      <c r="G3" s="65">
        <f t="shared" si="0"/>
        <v>2</v>
      </c>
      <c r="H3" s="65">
        <f t="shared" si="0"/>
        <v>2</v>
      </c>
      <c r="I3" s="65">
        <f t="shared" si="0"/>
        <v>2</v>
      </c>
      <c r="J3" s="65">
        <f t="shared" si="0"/>
        <v>2</v>
      </c>
      <c r="K3" s="65">
        <f t="shared" si="0"/>
        <v>2</v>
      </c>
      <c r="L3" s="65">
        <f t="shared" si="0"/>
        <v>2</v>
      </c>
      <c r="M3" s="65">
        <f t="shared" si="0"/>
        <v>2</v>
      </c>
      <c r="N3" s="65">
        <f t="shared" si="0"/>
        <v>2</v>
      </c>
      <c r="O3" s="117">
        <f t="shared" si="0"/>
        <v>2</v>
      </c>
      <c r="P3" s="116">
        <f t="shared" si="0"/>
        <v>2</v>
      </c>
      <c r="Q3" s="116">
        <f t="shared" si="0"/>
        <v>2</v>
      </c>
      <c r="R3" s="116">
        <f t="shared" si="0"/>
        <v>2</v>
      </c>
      <c r="S3" s="116">
        <f t="shared" si="0"/>
        <v>2</v>
      </c>
      <c r="T3" s="116">
        <f t="shared" si="0"/>
        <v>2</v>
      </c>
      <c r="U3" s="116">
        <f t="shared" si="0"/>
        <v>3</v>
      </c>
      <c r="V3" s="116">
        <f t="shared" si="0"/>
        <v>3</v>
      </c>
      <c r="W3" s="116">
        <f t="shared" si="0"/>
        <v>4</v>
      </c>
      <c r="X3" s="116">
        <f t="shared" si="0"/>
        <v>4</v>
      </c>
      <c r="Y3" s="116">
        <f t="shared" si="0"/>
        <v>4</v>
      </c>
      <c r="Z3" s="116">
        <f t="shared" si="0"/>
        <v>4</v>
      </c>
      <c r="AA3" s="117">
        <f t="shared" si="0"/>
        <v>4</v>
      </c>
      <c r="AB3" s="116">
        <f t="shared" si="0"/>
        <v>5</v>
      </c>
      <c r="AC3" s="116">
        <f t="shared" si="0"/>
        <v>5</v>
      </c>
      <c r="AD3" s="116">
        <f t="shared" si="0"/>
        <v>5</v>
      </c>
      <c r="AE3" s="116">
        <f t="shared" si="0"/>
        <v>5</v>
      </c>
      <c r="AF3" s="116">
        <f t="shared" si="0"/>
        <v>5</v>
      </c>
      <c r="AG3" s="116">
        <f t="shared" si="0"/>
        <v>5</v>
      </c>
      <c r="AH3" s="116">
        <f t="shared" si="0"/>
        <v>6</v>
      </c>
      <c r="AI3" s="116">
        <f t="shared" si="0"/>
        <v>6</v>
      </c>
      <c r="AJ3" s="116">
        <f t="shared" ref="AJ3:BK3" si="1">AJ19+AJ23+AJ27</f>
        <v>6</v>
      </c>
      <c r="AK3" s="116">
        <f t="shared" si="1"/>
        <v>6</v>
      </c>
      <c r="AL3" s="116">
        <f t="shared" si="1"/>
        <v>7</v>
      </c>
      <c r="AM3" s="117">
        <f t="shared" si="1"/>
        <v>7</v>
      </c>
      <c r="AN3" s="116">
        <f t="shared" si="1"/>
        <v>8</v>
      </c>
      <c r="AO3" s="116">
        <f t="shared" si="1"/>
        <v>8</v>
      </c>
      <c r="AP3" s="116">
        <f t="shared" si="1"/>
        <v>8</v>
      </c>
      <c r="AQ3" s="116">
        <f t="shared" si="1"/>
        <v>8</v>
      </c>
      <c r="AR3" s="116">
        <f t="shared" si="1"/>
        <v>8</v>
      </c>
      <c r="AS3" s="116">
        <f t="shared" si="1"/>
        <v>9</v>
      </c>
      <c r="AT3" s="116">
        <f t="shared" si="1"/>
        <v>9</v>
      </c>
      <c r="AU3" s="116">
        <f t="shared" si="1"/>
        <v>9</v>
      </c>
      <c r="AV3" s="116">
        <f t="shared" si="1"/>
        <v>10</v>
      </c>
      <c r="AW3" s="116">
        <f t="shared" si="1"/>
        <v>10</v>
      </c>
      <c r="AX3" s="116">
        <f t="shared" si="1"/>
        <v>11</v>
      </c>
      <c r="AY3" s="117">
        <f t="shared" si="1"/>
        <v>12</v>
      </c>
      <c r="AZ3" s="116">
        <f t="shared" si="1"/>
        <v>12</v>
      </c>
      <c r="BA3" s="116">
        <f t="shared" si="1"/>
        <v>12</v>
      </c>
      <c r="BB3" s="116">
        <f t="shared" si="1"/>
        <v>12</v>
      </c>
      <c r="BC3" s="116">
        <f t="shared" si="1"/>
        <v>12</v>
      </c>
      <c r="BD3" s="116">
        <f t="shared" si="1"/>
        <v>13</v>
      </c>
      <c r="BE3" s="116">
        <f t="shared" si="1"/>
        <v>14</v>
      </c>
      <c r="BF3" s="116">
        <f t="shared" si="1"/>
        <v>14</v>
      </c>
      <c r="BG3" s="116">
        <f t="shared" si="1"/>
        <v>14</v>
      </c>
      <c r="BH3" s="116">
        <f t="shared" si="1"/>
        <v>15</v>
      </c>
      <c r="BI3" s="116">
        <f t="shared" si="1"/>
        <v>15</v>
      </c>
      <c r="BJ3" s="116">
        <f t="shared" si="1"/>
        <v>15</v>
      </c>
      <c r="BK3" s="117">
        <f t="shared" si="1"/>
        <v>17</v>
      </c>
      <c r="BL3" s="11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</row>
    <row r="4" spans="1:77" s="59" customFormat="1" ht="14.25" hidden="1" customHeight="1" outlineLevel="1">
      <c r="A4" s="331"/>
      <c r="B4" s="73" t="s">
        <v>165</v>
      </c>
      <c r="C4" s="66"/>
      <c r="D4" s="65">
        <f t="shared" ref="D4:AI4" si="2">COUNT(D29:D33)</f>
        <v>3</v>
      </c>
      <c r="E4" s="65">
        <f t="shared" si="2"/>
        <v>3</v>
      </c>
      <c r="F4" s="65">
        <f t="shared" si="2"/>
        <v>3</v>
      </c>
      <c r="G4" s="65">
        <f t="shared" si="2"/>
        <v>3</v>
      </c>
      <c r="H4" s="65">
        <f t="shared" si="2"/>
        <v>3</v>
      </c>
      <c r="I4" s="65">
        <f t="shared" si="2"/>
        <v>3</v>
      </c>
      <c r="J4" s="65">
        <f t="shared" si="2"/>
        <v>3</v>
      </c>
      <c r="K4" s="65">
        <f t="shared" si="2"/>
        <v>3</v>
      </c>
      <c r="L4" s="65">
        <f t="shared" si="2"/>
        <v>3</v>
      </c>
      <c r="M4" s="65">
        <f t="shared" si="2"/>
        <v>3</v>
      </c>
      <c r="N4" s="65">
        <f t="shared" si="2"/>
        <v>3</v>
      </c>
      <c r="O4" s="117">
        <f t="shared" si="2"/>
        <v>3</v>
      </c>
      <c r="P4" s="116">
        <f t="shared" si="2"/>
        <v>3</v>
      </c>
      <c r="Q4" s="116">
        <f t="shared" si="2"/>
        <v>3</v>
      </c>
      <c r="R4" s="116">
        <f t="shared" si="2"/>
        <v>3</v>
      </c>
      <c r="S4" s="116">
        <f t="shared" si="2"/>
        <v>3</v>
      </c>
      <c r="T4" s="116">
        <f t="shared" si="2"/>
        <v>3</v>
      </c>
      <c r="U4" s="116">
        <f t="shared" si="2"/>
        <v>3</v>
      </c>
      <c r="V4" s="116">
        <f t="shared" si="2"/>
        <v>3</v>
      </c>
      <c r="W4" s="116">
        <f t="shared" si="2"/>
        <v>3</v>
      </c>
      <c r="X4" s="116">
        <f t="shared" si="2"/>
        <v>3</v>
      </c>
      <c r="Y4" s="116">
        <f t="shared" si="2"/>
        <v>3</v>
      </c>
      <c r="Z4" s="116">
        <f t="shared" si="2"/>
        <v>3</v>
      </c>
      <c r="AA4" s="117">
        <f t="shared" si="2"/>
        <v>3</v>
      </c>
      <c r="AB4" s="116">
        <f t="shared" si="2"/>
        <v>3</v>
      </c>
      <c r="AC4" s="116">
        <f t="shared" si="2"/>
        <v>3</v>
      </c>
      <c r="AD4" s="116">
        <f t="shared" si="2"/>
        <v>3</v>
      </c>
      <c r="AE4" s="116">
        <f t="shared" si="2"/>
        <v>3</v>
      </c>
      <c r="AF4" s="116">
        <f t="shared" si="2"/>
        <v>3</v>
      </c>
      <c r="AG4" s="116">
        <f t="shared" si="2"/>
        <v>3</v>
      </c>
      <c r="AH4" s="116">
        <f t="shared" si="2"/>
        <v>3</v>
      </c>
      <c r="AI4" s="116">
        <f t="shared" si="2"/>
        <v>3</v>
      </c>
      <c r="AJ4" s="116">
        <f t="shared" ref="AJ4:BK4" si="3">COUNT(AJ29:AJ33)</f>
        <v>3</v>
      </c>
      <c r="AK4" s="116">
        <f t="shared" si="3"/>
        <v>3</v>
      </c>
      <c r="AL4" s="116">
        <f t="shared" si="3"/>
        <v>3</v>
      </c>
      <c r="AM4" s="117">
        <f t="shared" si="3"/>
        <v>3</v>
      </c>
      <c r="AN4" s="116">
        <f t="shared" si="3"/>
        <v>3</v>
      </c>
      <c r="AO4" s="116">
        <f t="shared" si="3"/>
        <v>3</v>
      </c>
      <c r="AP4" s="116">
        <f t="shared" si="3"/>
        <v>3</v>
      </c>
      <c r="AQ4" s="116">
        <f t="shared" si="3"/>
        <v>3</v>
      </c>
      <c r="AR4" s="116">
        <f t="shared" si="3"/>
        <v>3</v>
      </c>
      <c r="AS4" s="116">
        <f t="shared" si="3"/>
        <v>3</v>
      </c>
      <c r="AT4" s="116">
        <f t="shared" si="3"/>
        <v>3</v>
      </c>
      <c r="AU4" s="116">
        <f t="shared" si="3"/>
        <v>3</v>
      </c>
      <c r="AV4" s="116">
        <f t="shared" si="3"/>
        <v>3</v>
      </c>
      <c r="AW4" s="116">
        <f t="shared" si="3"/>
        <v>3</v>
      </c>
      <c r="AX4" s="116">
        <f t="shared" si="3"/>
        <v>3</v>
      </c>
      <c r="AY4" s="117">
        <f t="shared" si="3"/>
        <v>3</v>
      </c>
      <c r="AZ4" s="116">
        <f t="shared" si="3"/>
        <v>3</v>
      </c>
      <c r="BA4" s="116">
        <f t="shared" si="3"/>
        <v>3</v>
      </c>
      <c r="BB4" s="116">
        <f t="shared" si="3"/>
        <v>3</v>
      </c>
      <c r="BC4" s="116">
        <f t="shared" si="3"/>
        <v>3</v>
      </c>
      <c r="BD4" s="116">
        <f t="shared" si="3"/>
        <v>3</v>
      </c>
      <c r="BE4" s="116">
        <f t="shared" si="3"/>
        <v>3</v>
      </c>
      <c r="BF4" s="116">
        <f t="shared" si="3"/>
        <v>3</v>
      </c>
      <c r="BG4" s="116">
        <f t="shared" si="3"/>
        <v>3</v>
      </c>
      <c r="BH4" s="116">
        <f t="shared" si="3"/>
        <v>3</v>
      </c>
      <c r="BI4" s="116">
        <f t="shared" si="3"/>
        <v>3</v>
      </c>
      <c r="BJ4" s="116">
        <f t="shared" si="3"/>
        <v>3</v>
      </c>
      <c r="BK4" s="117">
        <f t="shared" si="3"/>
        <v>3</v>
      </c>
      <c r="BL4" s="11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</row>
    <row r="5" spans="1:77" s="59" customFormat="1" ht="14.25" hidden="1" customHeight="1" outlineLevel="1">
      <c r="A5" s="331"/>
      <c r="B5" s="73" t="s">
        <v>166</v>
      </c>
      <c r="C5" s="66"/>
      <c r="D5" s="65" t="e">
        <f>#REF!</f>
        <v>#REF!</v>
      </c>
      <c r="E5" s="65" t="e">
        <f>#REF!</f>
        <v>#REF!</v>
      </c>
      <c r="F5" s="65" t="e">
        <f>#REF!</f>
        <v>#REF!</v>
      </c>
      <c r="G5" s="65" t="e">
        <f>#REF!</f>
        <v>#REF!</v>
      </c>
      <c r="H5" s="65" t="e">
        <f>#REF!</f>
        <v>#REF!</v>
      </c>
      <c r="I5" s="65" t="e">
        <f>#REF!</f>
        <v>#REF!</v>
      </c>
      <c r="J5" s="65" t="e">
        <f>#REF!</f>
        <v>#REF!</v>
      </c>
      <c r="K5" s="65" t="e">
        <f>#REF!</f>
        <v>#REF!</v>
      </c>
      <c r="L5" s="65" t="e">
        <f>#REF!</f>
        <v>#REF!</v>
      </c>
      <c r="M5" s="65" t="e">
        <f>#REF!</f>
        <v>#REF!</v>
      </c>
      <c r="N5" s="65" t="e">
        <f>#REF!</f>
        <v>#REF!</v>
      </c>
      <c r="O5" s="117" t="e">
        <f>#REF!</f>
        <v>#REF!</v>
      </c>
      <c r="P5" s="116" t="e">
        <f>#REF!</f>
        <v>#REF!</v>
      </c>
      <c r="Q5" s="116" t="e">
        <f>#REF!</f>
        <v>#REF!</v>
      </c>
      <c r="R5" s="116" t="e">
        <f>#REF!</f>
        <v>#REF!</v>
      </c>
      <c r="S5" s="116" t="e">
        <f>#REF!</f>
        <v>#REF!</v>
      </c>
      <c r="T5" s="116" t="e">
        <f>#REF!</f>
        <v>#REF!</v>
      </c>
      <c r="U5" s="116" t="e">
        <f>#REF!</f>
        <v>#REF!</v>
      </c>
      <c r="V5" s="116" t="e">
        <f>#REF!</f>
        <v>#REF!</v>
      </c>
      <c r="W5" s="116" t="e">
        <f>#REF!</f>
        <v>#REF!</v>
      </c>
      <c r="X5" s="116" t="e">
        <f>#REF!</f>
        <v>#REF!</v>
      </c>
      <c r="Y5" s="116" t="e">
        <f>#REF!</f>
        <v>#REF!</v>
      </c>
      <c r="Z5" s="116" t="e">
        <f>#REF!</f>
        <v>#REF!</v>
      </c>
      <c r="AA5" s="117" t="e">
        <f>#REF!</f>
        <v>#REF!</v>
      </c>
      <c r="AB5" s="116" t="e">
        <f>#REF!</f>
        <v>#REF!</v>
      </c>
      <c r="AC5" s="116" t="e">
        <f>#REF!</f>
        <v>#REF!</v>
      </c>
      <c r="AD5" s="116" t="e">
        <f>#REF!</f>
        <v>#REF!</v>
      </c>
      <c r="AE5" s="116" t="e">
        <f>#REF!</f>
        <v>#REF!</v>
      </c>
      <c r="AF5" s="116" t="e">
        <f>#REF!</f>
        <v>#REF!</v>
      </c>
      <c r="AG5" s="116" t="e">
        <f>#REF!</f>
        <v>#REF!</v>
      </c>
      <c r="AH5" s="116" t="e">
        <f>#REF!</f>
        <v>#REF!</v>
      </c>
      <c r="AI5" s="116" t="e">
        <f>#REF!</f>
        <v>#REF!</v>
      </c>
      <c r="AJ5" s="116" t="e">
        <f>#REF!</f>
        <v>#REF!</v>
      </c>
      <c r="AK5" s="116" t="e">
        <f>#REF!</f>
        <v>#REF!</v>
      </c>
      <c r="AL5" s="116" t="e">
        <f>#REF!</f>
        <v>#REF!</v>
      </c>
      <c r="AM5" s="117" t="e">
        <f>#REF!</f>
        <v>#REF!</v>
      </c>
      <c r="AN5" s="116" t="e">
        <f>#REF!</f>
        <v>#REF!</v>
      </c>
      <c r="AO5" s="116" t="e">
        <f>#REF!</f>
        <v>#REF!</v>
      </c>
      <c r="AP5" s="116" t="e">
        <f>#REF!</f>
        <v>#REF!</v>
      </c>
      <c r="AQ5" s="116" t="e">
        <f>#REF!</f>
        <v>#REF!</v>
      </c>
      <c r="AR5" s="116" t="e">
        <f>#REF!</f>
        <v>#REF!</v>
      </c>
      <c r="AS5" s="116" t="e">
        <f>#REF!</f>
        <v>#REF!</v>
      </c>
      <c r="AT5" s="116" t="e">
        <f>#REF!</f>
        <v>#REF!</v>
      </c>
      <c r="AU5" s="116" t="e">
        <f>#REF!</f>
        <v>#REF!</v>
      </c>
      <c r="AV5" s="116" t="e">
        <f>#REF!</f>
        <v>#REF!</v>
      </c>
      <c r="AW5" s="116" t="e">
        <f>#REF!</f>
        <v>#REF!</v>
      </c>
      <c r="AX5" s="116" t="e">
        <f>#REF!</f>
        <v>#REF!</v>
      </c>
      <c r="AY5" s="117" t="e">
        <f>#REF!</f>
        <v>#REF!</v>
      </c>
      <c r="AZ5" s="116" t="e">
        <f>#REF!</f>
        <v>#REF!</v>
      </c>
      <c r="BA5" s="116" t="e">
        <f>#REF!</f>
        <v>#REF!</v>
      </c>
      <c r="BB5" s="116" t="e">
        <f>#REF!</f>
        <v>#REF!</v>
      </c>
      <c r="BC5" s="116" t="e">
        <f>#REF!</f>
        <v>#REF!</v>
      </c>
      <c r="BD5" s="116" t="e">
        <f>#REF!</f>
        <v>#REF!</v>
      </c>
      <c r="BE5" s="116" t="e">
        <f>#REF!</f>
        <v>#REF!</v>
      </c>
      <c r="BF5" s="116" t="e">
        <f>#REF!</f>
        <v>#REF!</v>
      </c>
      <c r="BG5" s="116" t="e">
        <f>#REF!</f>
        <v>#REF!</v>
      </c>
      <c r="BH5" s="116" t="e">
        <f>#REF!</f>
        <v>#REF!</v>
      </c>
      <c r="BI5" s="116" t="e">
        <f>#REF!</f>
        <v>#REF!</v>
      </c>
      <c r="BJ5" s="116" t="e">
        <f>#REF!</f>
        <v>#REF!</v>
      </c>
      <c r="BK5" s="117" t="e">
        <f>#REF!</f>
        <v>#REF!</v>
      </c>
      <c r="BL5" s="11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</row>
    <row r="6" spans="1:77" s="59" customFormat="1" ht="14.25" hidden="1" customHeight="1" outlineLevel="1">
      <c r="A6" s="331"/>
      <c r="B6" s="73" t="s">
        <v>13</v>
      </c>
      <c r="C6" s="66"/>
      <c r="D6" s="65" t="e">
        <f>SUM(D2:D5)</f>
        <v>#REF!</v>
      </c>
      <c r="E6" s="65" t="e">
        <f t="shared" ref="E6:O6" si="4">SUM(E2:E5)</f>
        <v>#REF!</v>
      </c>
      <c r="F6" s="65" t="e">
        <f t="shared" si="4"/>
        <v>#REF!</v>
      </c>
      <c r="G6" s="65" t="e">
        <f t="shared" si="4"/>
        <v>#REF!</v>
      </c>
      <c r="H6" s="65" t="e">
        <f t="shared" si="4"/>
        <v>#REF!</v>
      </c>
      <c r="I6" s="65" t="e">
        <f t="shared" si="4"/>
        <v>#REF!</v>
      </c>
      <c r="J6" s="65" t="e">
        <f t="shared" si="4"/>
        <v>#REF!</v>
      </c>
      <c r="K6" s="65" t="e">
        <f t="shared" si="4"/>
        <v>#REF!</v>
      </c>
      <c r="L6" s="65" t="e">
        <f t="shared" si="4"/>
        <v>#REF!</v>
      </c>
      <c r="M6" s="65" t="e">
        <f t="shared" si="4"/>
        <v>#REF!</v>
      </c>
      <c r="N6" s="65" t="e">
        <f t="shared" si="4"/>
        <v>#REF!</v>
      </c>
      <c r="O6" s="117" t="e">
        <f t="shared" si="4"/>
        <v>#REF!</v>
      </c>
      <c r="P6" s="116" t="e">
        <f>SUM(P2:P5)</f>
        <v>#REF!</v>
      </c>
      <c r="Q6" s="116" t="e">
        <f t="shared" ref="Q6:AA6" si="5">SUM(Q2:Q5)</f>
        <v>#REF!</v>
      </c>
      <c r="R6" s="116" t="e">
        <f t="shared" si="5"/>
        <v>#REF!</v>
      </c>
      <c r="S6" s="116" t="e">
        <f t="shared" si="5"/>
        <v>#REF!</v>
      </c>
      <c r="T6" s="116" t="e">
        <f t="shared" si="5"/>
        <v>#REF!</v>
      </c>
      <c r="U6" s="116" t="e">
        <f t="shared" si="5"/>
        <v>#REF!</v>
      </c>
      <c r="V6" s="116" t="e">
        <f t="shared" si="5"/>
        <v>#REF!</v>
      </c>
      <c r="W6" s="116" t="e">
        <f t="shared" si="5"/>
        <v>#REF!</v>
      </c>
      <c r="X6" s="116" t="e">
        <f t="shared" si="5"/>
        <v>#REF!</v>
      </c>
      <c r="Y6" s="116" t="e">
        <f t="shared" si="5"/>
        <v>#REF!</v>
      </c>
      <c r="Z6" s="116" t="e">
        <f t="shared" si="5"/>
        <v>#REF!</v>
      </c>
      <c r="AA6" s="117" t="e">
        <f t="shared" si="5"/>
        <v>#REF!</v>
      </c>
      <c r="AB6" s="116" t="e">
        <f>SUM(AB2:AB5)</f>
        <v>#REF!</v>
      </c>
      <c r="AC6" s="116" t="e">
        <f t="shared" ref="AC6:AM6" si="6">SUM(AC2:AC5)</f>
        <v>#REF!</v>
      </c>
      <c r="AD6" s="116" t="e">
        <f t="shared" si="6"/>
        <v>#REF!</v>
      </c>
      <c r="AE6" s="116" t="e">
        <f t="shared" si="6"/>
        <v>#REF!</v>
      </c>
      <c r="AF6" s="116" t="e">
        <f t="shared" si="6"/>
        <v>#REF!</v>
      </c>
      <c r="AG6" s="116" t="e">
        <f t="shared" si="6"/>
        <v>#REF!</v>
      </c>
      <c r="AH6" s="116" t="e">
        <f t="shared" si="6"/>
        <v>#REF!</v>
      </c>
      <c r="AI6" s="116" t="e">
        <f t="shared" si="6"/>
        <v>#REF!</v>
      </c>
      <c r="AJ6" s="116" t="e">
        <f t="shared" si="6"/>
        <v>#REF!</v>
      </c>
      <c r="AK6" s="116" t="e">
        <f t="shared" si="6"/>
        <v>#REF!</v>
      </c>
      <c r="AL6" s="116" t="e">
        <f t="shared" si="6"/>
        <v>#REF!</v>
      </c>
      <c r="AM6" s="117" t="e">
        <f t="shared" si="6"/>
        <v>#REF!</v>
      </c>
      <c r="AN6" s="116" t="e">
        <f>SUM(AN2:AN5)</f>
        <v>#REF!</v>
      </c>
      <c r="AO6" s="116" t="e">
        <f t="shared" ref="AO6:AY6" si="7">SUM(AO2:AO5)</f>
        <v>#REF!</v>
      </c>
      <c r="AP6" s="116" t="e">
        <f t="shared" si="7"/>
        <v>#REF!</v>
      </c>
      <c r="AQ6" s="116" t="e">
        <f t="shared" si="7"/>
        <v>#REF!</v>
      </c>
      <c r="AR6" s="116" t="e">
        <f t="shared" si="7"/>
        <v>#REF!</v>
      </c>
      <c r="AS6" s="116" t="e">
        <f t="shared" si="7"/>
        <v>#REF!</v>
      </c>
      <c r="AT6" s="116" t="e">
        <f t="shared" si="7"/>
        <v>#REF!</v>
      </c>
      <c r="AU6" s="116" t="e">
        <f t="shared" si="7"/>
        <v>#REF!</v>
      </c>
      <c r="AV6" s="116" t="e">
        <f t="shared" si="7"/>
        <v>#REF!</v>
      </c>
      <c r="AW6" s="116" t="e">
        <f t="shared" si="7"/>
        <v>#REF!</v>
      </c>
      <c r="AX6" s="116" t="e">
        <f t="shared" si="7"/>
        <v>#REF!</v>
      </c>
      <c r="AY6" s="117" t="e">
        <f t="shared" si="7"/>
        <v>#REF!</v>
      </c>
      <c r="AZ6" s="116" t="e">
        <f>SUM(AZ2:AZ5)</f>
        <v>#REF!</v>
      </c>
      <c r="BA6" s="116" t="e">
        <f t="shared" ref="BA6:BK6" si="8">SUM(BA2:BA5)</f>
        <v>#REF!</v>
      </c>
      <c r="BB6" s="116" t="e">
        <f t="shared" si="8"/>
        <v>#REF!</v>
      </c>
      <c r="BC6" s="116" t="e">
        <f t="shared" si="8"/>
        <v>#REF!</v>
      </c>
      <c r="BD6" s="116" t="e">
        <f t="shared" si="8"/>
        <v>#REF!</v>
      </c>
      <c r="BE6" s="116" t="e">
        <f t="shared" si="8"/>
        <v>#REF!</v>
      </c>
      <c r="BF6" s="116" t="e">
        <f t="shared" si="8"/>
        <v>#REF!</v>
      </c>
      <c r="BG6" s="116" t="e">
        <f t="shared" si="8"/>
        <v>#REF!</v>
      </c>
      <c r="BH6" s="116" t="e">
        <f t="shared" si="8"/>
        <v>#REF!</v>
      </c>
      <c r="BI6" s="116" t="e">
        <f t="shared" si="8"/>
        <v>#REF!</v>
      </c>
      <c r="BJ6" s="116" t="e">
        <f t="shared" si="8"/>
        <v>#REF!</v>
      </c>
      <c r="BK6" s="117" t="e">
        <f t="shared" si="8"/>
        <v>#REF!</v>
      </c>
      <c r="BL6" s="11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</row>
    <row r="7" spans="1:77" s="59" customFormat="1" ht="14.25" customHeight="1" collapsed="1">
      <c r="A7" s="331"/>
      <c r="B7" s="67"/>
      <c r="C7" s="6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19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9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9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9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9"/>
      <c r="BL7" s="118"/>
      <c r="BM7" s="57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</row>
    <row r="8" spans="1:77" s="691" customFormat="1" ht="15.75">
      <c r="A8" s="763"/>
      <c r="B8" s="689" t="s">
        <v>119</v>
      </c>
      <c r="C8" s="551" t="s">
        <v>49</v>
      </c>
      <c r="D8" s="689" t="s">
        <v>1</v>
      </c>
      <c r="E8" s="689" t="s">
        <v>2</v>
      </c>
      <c r="F8" s="689" t="s">
        <v>3</v>
      </c>
      <c r="G8" s="689" t="s">
        <v>4</v>
      </c>
      <c r="H8" s="689" t="s">
        <v>5</v>
      </c>
      <c r="I8" s="689" t="s">
        <v>6</v>
      </c>
      <c r="J8" s="689" t="s">
        <v>7</v>
      </c>
      <c r="K8" s="689" t="s">
        <v>8</v>
      </c>
      <c r="L8" s="689" t="s">
        <v>50</v>
      </c>
      <c r="M8" s="689" t="s">
        <v>10</v>
      </c>
      <c r="N8" s="689" t="s">
        <v>11</v>
      </c>
      <c r="O8" s="690" t="s">
        <v>12</v>
      </c>
      <c r="P8" s="689" t="s">
        <v>1</v>
      </c>
      <c r="Q8" s="689" t="s">
        <v>2</v>
      </c>
      <c r="R8" s="689" t="s">
        <v>3</v>
      </c>
      <c r="S8" s="689" t="s">
        <v>4</v>
      </c>
      <c r="T8" s="689" t="s">
        <v>5</v>
      </c>
      <c r="U8" s="689" t="s">
        <v>6</v>
      </c>
      <c r="V8" s="689" t="s">
        <v>7</v>
      </c>
      <c r="W8" s="689" t="s">
        <v>8</v>
      </c>
      <c r="X8" s="689" t="s">
        <v>50</v>
      </c>
      <c r="Y8" s="689" t="s">
        <v>10</v>
      </c>
      <c r="Z8" s="689" t="s">
        <v>11</v>
      </c>
      <c r="AA8" s="690" t="s">
        <v>12</v>
      </c>
      <c r="AB8" s="689" t="s">
        <v>1</v>
      </c>
      <c r="AC8" s="689" t="s">
        <v>2</v>
      </c>
      <c r="AD8" s="689" t="s">
        <v>3</v>
      </c>
      <c r="AE8" s="689" t="s">
        <v>4</v>
      </c>
      <c r="AF8" s="689" t="s">
        <v>5</v>
      </c>
      <c r="AG8" s="689" t="s">
        <v>6</v>
      </c>
      <c r="AH8" s="689" t="s">
        <v>7</v>
      </c>
      <c r="AI8" s="689" t="s">
        <v>8</v>
      </c>
      <c r="AJ8" s="689" t="s">
        <v>50</v>
      </c>
      <c r="AK8" s="689" t="s">
        <v>10</v>
      </c>
      <c r="AL8" s="689" t="s">
        <v>11</v>
      </c>
      <c r="AM8" s="690" t="s">
        <v>12</v>
      </c>
      <c r="AN8" s="689" t="s">
        <v>1</v>
      </c>
      <c r="AO8" s="689" t="s">
        <v>2</v>
      </c>
      <c r="AP8" s="689" t="s">
        <v>3</v>
      </c>
      <c r="AQ8" s="689" t="s">
        <v>4</v>
      </c>
      <c r="AR8" s="689" t="s">
        <v>5</v>
      </c>
      <c r="AS8" s="689" t="s">
        <v>6</v>
      </c>
      <c r="AT8" s="689" t="s">
        <v>7</v>
      </c>
      <c r="AU8" s="689" t="s">
        <v>8</v>
      </c>
      <c r="AV8" s="689" t="s">
        <v>50</v>
      </c>
      <c r="AW8" s="689" t="s">
        <v>10</v>
      </c>
      <c r="AX8" s="689" t="s">
        <v>11</v>
      </c>
      <c r="AY8" s="690" t="s">
        <v>12</v>
      </c>
      <c r="AZ8" s="689" t="s">
        <v>1</v>
      </c>
      <c r="BA8" s="689" t="s">
        <v>2</v>
      </c>
      <c r="BB8" s="689" t="s">
        <v>3</v>
      </c>
      <c r="BC8" s="689" t="s">
        <v>4</v>
      </c>
      <c r="BD8" s="689" t="s">
        <v>5</v>
      </c>
      <c r="BE8" s="689" t="s">
        <v>6</v>
      </c>
      <c r="BF8" s="689" t="s">
        <v>7</v>
      </c>
      <c r="BG8" s="689" t="s">
        <v>8</v>
      </c>
      <c r="BH8" s="689" t="s">
        <v>50</v>
      </c>
      <c r="BI8" s="689" t="s">
        <v>10</v>
      </c>
      <c r="BJ8" s="689" t="s">
        <v>11</v>
      </c>
      <c r="BK8" s="690" t="s">
        <v>12</v>
      </c>
      <c r="BL8" s="689"/>
      <c r="BM8" s="689"/>
      <c r="BN8" s="689" t="s">
        <v>1</v>
      </c>
      <c r="BO8" s="689" t="s">
        <v>2</v>
      </c>
      <c r="BP8" s="689" t="s">
        <v>3</v>
      </c>
      <c r="BQ8" s="689" t="s">
        <v>4</v>
      </c>
      <c r="BR8" s="689" t="s">
        <v>5</v>
      </c>
      <c r="BS8" s="689" t="s">
        <v>6</v>
      </c>
      <c r="BT8" s="689" t="s">
        <v>7</v>
      </c>
      <c r="BU8" s="689" t="s">
        <v>8</v>
      </c>
      <c r="BV8" s="689" t="s">
        <v>50</v>
      </c>
      <c r="BW8" s="689" t="s">
        <v>10</v>
      </c>
      <c r="BX8" s="689" t="s">
        <v>11</v>
      </c>
      <c r="BY8" s="689" t="s">
        <v>12</v>
      </c>
    </row>
    <row r="9" spans="1:77" hidden="1">
      <c r="A9" s="332" t="s">
        <v>51</v>
      </c>
      <c r="B9" s="69">
        <v>63800</v>
      </c>
      <c r="C9" s="69">
        <f>B9*0.26</f>
        <v>16588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121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121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121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121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121"/>
      <c r="BL9" s="70"/>
      <c r="BM9" s="69"/>
      <c r="BN9" s="71">
        <f t="shared" ref="BN9:BY9" si="9">D9*0.26</f>
        <v>0</v>
      </c>
      <c r="BO9" s="71">
        <f t="shared" si="9"/>
        <v>0</v>
      </c>
      <c r="BP9" s="71">
        <f t="shared" si="9"/>
        <v>0</v>
      </c>
      <c r="BQ9" s="71">
        <f t="shared" si="9"/>
        <v>0</v>
      </c>
      <c r="BR9" s="71">
        <f t="shared" si="9"/>
        <v>0</v>
      </c>
      <c r="BS9" s="71">
        <f t="shared" si="9"/>
        <v>0</v>
      </c>
      <c r="BT9" s="71">
        <f t="shared" si="9"/>
        <v>0</v>
      </c>
      <c r="BU9" s="71">
        <f t="shared" si="9"/>
        <v>0</v>
      </c>
      <c r="BV9" s="71">
        <f t="shared" si="9"/>
        <v>0</v>
      </c>
      <c r="BW9" s="71">
        <f t="shared" si="9"/>
        <v>0</v>
      </c>
      <c r="BX9" s="71">
        <f t="shared" si="9"/>
        <v>0</v>
      </c>
      <c r="BY9" s="71">
        <f t="shared" si="9"/>
        <v>0</v>
      </c>
    </row>
    <row r="10" spans="1:77">
      <c r="A10" s="763" t="s">
        <v>296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21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121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121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121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121"/>
      <c r="BL10" s="70"/>
      <c r="BM10" s="69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</row>
    <row r="11" spans="1:77" s="706" customFormat="1" ht="17.25" customHeight="1">
      <c r="A11" s="766"/>
      <c r="B11" s="329">
        <v>120000</v>
      </c>
      <c r="C11" s="703">
        <f>B11*B1</f>
        <v>31200</v>
      </c>
      <c r="D11" s="703">
        <f>D12*(($C$11+$B$11)/12)</f>
        <v>12600</v>
      </c>
      <c r="E11" s="703">
        <f t="shared" ref="E11:O11" si="10">E12*(($C$11+$B$11)/12)</f>
        <v>12600</v>
      </c>
      <c r="F11" s="703">
        <f t="shared" si="10"/>
        <v>12600</v>
      </c>
      <c r="G11" s="703">
        <f t="shared" si="10"/>
        <v>12600</v>
      </c>
      <c r="H11" s="703">
        <f t="shared" si="10"/>
        <v>12600</v>
      </c>
      <c r="I11" s="703">
        <f t="shared" si="10"/>
        <v>12600</v>
      </c>
      <c r="J11" s="703">
        <f t="shared" si="10"/>
        <v>12600</v>
      </c>
      <c r="K11" s="703">
        <f t="shared" si="10"/>
        <v>12600</v>
      </c>
      <c r="L11" s="703">
        <f t="shared" si="10"/>
        <v>12600</v>
      </c>
      <c r="M11" s="703">
        <f t="shared" si="10"/>
        <v>12600</v>
      </c>
      <c r="N11" s="703">
        <f t="shared" si="10"/>
        <v>12600</v>
      </c>
      <c r="O11" s="704">
        <f t="shared" si="10"/>
        <v>12600</v>
      </c>
      <c r="P11" s="703">
        <f>P12*(($C$11+$B$11)/12)</f>
        <v>12600</v>
      </c>
      <c r="Q11" s="703">
        <f t="shared" ref="Q11:AA11" si="11">Q12*(($C$11+$B$11)/12)</f>
        <v>12600</v>
      </c>
      <c r="R11" s="703">
        <f t="shared" si="11"/>
        <v>12600</v>
      </c>
      <c r="S11" s="703">
        <f t="shared" si="11"/>
        <v>12600</v>
      </c>
      <c r="T11" s="703">
        <f t="shared" si="11"/>
        <v>12600</v>
      </c>
      <c r="U11" s="703">
        <f t="shared" si="11"/>
        <v>12600</v>
      </c>
      <c r="V11" s="703">
        <f t="shared" si="11"/>
        <v>12600</v>
      </c>
      <c r="W11" s="703">
        <f t="shared" si="11"/>
        <v>12600</v>
      </c>
      <c r="X11" s="703">
        <f t="shared" si="11"/>
        <v>12600</v>
      </c>
      <c r="Y11" s="703">
        <f t="shared" si="11"/>
        <v>12600</v>
      </c>
      <c r="Z11" s="703">
        <f t="shared" si="11"/>
        <v>12600</v>
      </c>
      <c r="AA11" s="704">
        <f t="shared" si="11"/>
        <v>12600</v>
      </c>
      <c r="AB11" s="703">
        <f>AB12*(($C$11+$B$11)/12)</f>
        <v>12600</v>
      </c>
      <c r="AC11" s="703">
        <f t="shared" ref="AC11:AM11" si="12">AC12*(($C$11+$B$11)/12)</f>
        <v>12600</v>
      </c>
      <c r="AD11" s="703">
        <f t="shared" si="12"/>
        <v>12600</v>
      </c>
      <c r="AE11" s="703">
        <f t="shared" si="12"/>
        <v>12600</v>
      </c>
      <c r="AF11" s="703">
        <f t="shared" si="12"/>
        <v>12600</v>
      </c>
      <c r="AG11" s="703">
        <f t="shared" si="12"/>
        <v>12600</v>
      </c>
      <c r="AH11" s="703">
        <f t="shared" si="12"/>
        <v>12600</v>
      </c>
      <c r="AI11" s="703">
        <f t="shared" si="12"/>
        <v>12600</v>
      </c>
      <c r="AJ11" s="703">
        <f t="shared" si="12"/>
        <v>12600</v>
      </c>
      <c r="AK11" s="703">
        <f t="shared" si="12"/>
        <v>12600</v>
      </c>
      <c r="AL11" s="703">
        <f t="shared" si="12"/>
        <v>12600</v>
      </c>
      <c r="AM11" s="704">
        <f t="shared" si="12"/>
        <v>12600</v>
      </c>
      <c r="AN11" s="703">
        <f>AN12*(($C$11+$B$11)/12)</f>
        <v>12600</v>
      </c>
      <c r="AO11" s="703">
        <f t="shared" ref="AO11:AY11" si="13">AO12*(($C$11+$B$11)/12)</f>
        <v>12600</v>
      </c>
      <c r="AP11" s="703">
        <f t="shared" si="13"/>
        <v>12600</v>
      </c>
      <c r="AQ11" s="703">
        <f t="shared" si="13"/>
        <v>12600</v>
      </c>
      <c r="AR11" s="703">
        <f t="shared" si="13"/>
        <v>12600</v>
      </c>
      <c r="AS11" s="703">
        <f t="shared" si="13"/>
        <v>12600</v>
      </c>
      <c r="AT11" s="703">
        <f t="shared" si="13"/>
        <v>12600</v>
      </c>
      <c r="AU11" s="703">
        <f t="shared" si="13"/>
        <v>12600</v>
      </c>
      <c r="AV11" s="703">
        <f t="shared" si="13"/>
        <v>12600</v>
      </c>
      <c r="AW11" s="703">
        <f t="shared" si="13"/>
        <v>12600</v>
      </c>
      <c r="AX11" s="703">
        <f t="shared" si="13"/>
        <v>12600</v>
      </c>
      <c r="AY11" s="704">
        <f t="shared" si="13"/>
        <v>12600</v>
      </c>
      <c r="AZ11" s="703">
        <f>AZ12*(($C$11+$B$11)/12)</f>
        <v>12600</v>
      </c>
      <c r="BA11" s="703">
        <f t="shared" ref="BA11:BK11" si="14">BA12*(($C$11+$B$11)/12)</f>
        <v>12600</v>
      </c>
      <c r="BB11" s="703">
        <f t="shared" si="14"/>
        <v>12600</v>
      </c>
      <c r="BC11" s="703">
        <f t="shared" si="14"/>
        <v>12600</v>
      </c>
      <c r="BD11" s="703">
        <f t="shared" si="14"/>
        <v>12600</v>
      </c>
      <c r="BE11" s="703">
        <f t="shared" si="14"/>
        <v>12600</v>
      </c>
      <c r="BF11" s="703">
        <f t="shared" si="14"/>
        <v>12600</v>
      </c>
      <c r="BG11" s="703">
        <f t="shared" si="14"/>
        <v>12600</v>
      </c>
      <c r="BH11" s="703">
        <f t="shared" si="14"/>
        <v>12600</v>
      </c>
      <c r="BI11" s="703">
        <f t="shared" si="14"/>
        <v>12600</v>
      </c>
      <c r="BJ11" s="703">
        <f t="shared" si="14"/>
        <v>12600</v>
      </c>
      <c r="BK11" s="704">
        <f t="shared" si="14"/>
        <v>12600</v>
      </c>
      <c r="BL11" s="703"/>
      <c r="BM11" s="703"/>
      <c r="BN11" s="705"/>
      <c r="BO11" s="705"/>
      <c r="BP11" s="705"/>
      <c r="BQ11" s="705"/>
      <c r="BR11" s="705"/>
      <c r="BS11" s="705"/>
      <c r="BT11" s="705"/>
      <c r="BU11" s="705"/>
      <c r="BV11" s="705"/>
      <c r="BW11" s="705"/>
      <c r="BX11" s="705"/>
      <c r="BY11" s="705"/>
    </row>
    <row r="12" spans="1:77" s="578" customFormat="1" hidden="1">
      <c r="A12" s="739" t="s">
        <v>123</v>
      </c>
      <c r="B12" s="695"/>
      <c r="C12" s="695"/>
      <c r="D12" s="696">
        <v>1</v>
      </c>
      <c r="E12" s="696">
        <v>1</v>
      </c>
      <c r="F12" s="696">
        <v>1</v>
      </c>
      <c r="G12" s="696">
        <v>1</v>
      </c>
      <c r="H12" s="696">
        <v>1</v>
      </c>
      <c r="I12" s="696">
        <v>1</v>
      </c>
      <c r="J12" s="696">
        <v>1</v>
      </c>
      <c r="K12" s="696">
        <v>1</v>
      </c>
      <c r="L12" s="696">
        <v>1</v>
      </c>
      <c r="M12" s="696">
        <v>1</v>
      </c>
      <c r="N12" s="696">
        <v>1</v>
      </c>
      <c r="O12" s="697">
        <v>1</v>
      </c>
      <c r="P12" s="696">
        <v>1</v>
      </c>
      <c r="Q12" s="696">
        <v>1</v>
      </c>
      <c r="R12" s="696">
        <v>1</v>
      </c>
      <c r="S12" s="696">
        <v>1</v>
      </c>
      <c r="T12" s="696">
        <v>1</v>
      </c>
      <c r="U12" s="696">
        <v>1</v>
      </c>
      <c r="V12" s="696">
        <v>1</v>
      </c>
      <c r="W12" s="696">
        <v>1</v>
      </c>
      <c r="X12" s="696">
        <v>1</v>
      </c>
      <c r="Y12" s="696">
        <v>1</v>
      </c>
      <c r="Z12" s="696">
        <v>1</v>
      </c>
      <c r="AA12" s="697">
        <v>1</v>
      </c>
      <c r="AB12" s="696">
        <v>1</v>
      </c>
      <c r="AC12" s="696">
        <v>1</v>
      </c>
      <c r="AD12" s="696">
        <v>1</v>
      </c>
      <c r="AE12" s="696">
        <v>1</v>
      </c>
      <c r="AF12" s="696">
        <v>1</v>
      </c>
      <c r="AG12" s="696">
        <v>1</v>
      </c>
      <c r="AH12" s="696">
        <v>1</v>
      </c>
      <c r="AI12" s="696">
        <v>1</v>
      </c>
      <c r="AJ12" s="696">
        <v>1</v>
      </c>
      <c r="AK12" s="696">
        <v>1</v>
      </c>
      <c r="AL12" s="696">
        <v>1</v>
      </c>
      <c r="AM12" s="697">
        <v>1</v>
      </c>
      <c r="AN12" s="696">
        <v>1</v>
      </c>
      <c r="AO12" s="696">
        <v>1</v>
      </c>
      <c r="AP12" s="696">
        <v>1</v>
      </c>
      <c r="AQ12" s="696">
        <v>1</v>
      </c>
      <c r="AR12" s="696">
        <v>1</v>
      </c>
      <c r="AS12" s="696">
        <v>1</v>
      </c>
      <c r="AT12" s="696">
        <v>1</v>
      </c>
      <c r="AU12" s="696">
        <v>1</v>
      </c>
      <c r="AV12" s="696">
        <v>1</v>
      </c>
      <c r="AW12" s="696">
        <v>1</v>
      </c>
      <c r="AX12" s="696">
        <v>1</v>
      </c>
      <c r="AY12" s="697">
        <v>1</v>
      </c>
      <c r="AZ12" s="696">
        <v>1</v>
      </c>
      <c r="BA12" s="696">
        <v>1</v>
      </c>
      <c r="BB12" s="696">
        <v>1</v>
      </c>
      <c r="BC12" s="696">
        <v>1</v>
      </c>
      <c r="BD12" s="696">
        <v>1</v>
      </c>
      <c r="BE12" s="696">
        <v>1</v>
      </c>
      <c r="BF12" s="696">
        <v>1</v>
      </c>
      <c r="BG12" s="696">
        <v>1</v>
      </c>
      <c r="BH12" s="696">
        <v>1</v>
      </c>
      <c r="BI12" s="696">
        <v>1</v>
      </c>
      <c r="BJ12" s="696">
        <v>1</v>
      </c>
      <c r="BK12" s="697">
        <v>1</v>
      </c>
      <c r="BL12" s="696"/>
      <c r="BM12" s="695">
        <v>1</v>
      </c>
      <c r="BN12" s="698">
        <v>1</v>
      </c>
      <c r="BO12" s="698">
        <v>1</v>
      </c>
      <c r="BP12" s="698">
        <v>1</v>
      </c>
      <c r="BQ12" s="698">
        <v>1</v>
      </c>
      <c r="BR12" s="698">
        <v>1</v>
      </c>
      <c r="BS12" s="698">
        <v>1</v>
      </c>
      <c r="BT12" s="698">
        <v>1</v>
      </c>
      <c r="BU12" s="698">
        <v>1</v>
      </c>
      <c r="BV12" s="698">
        <v>1</v>
      </c>
      <c r="BW12" s="698">
        <v>1</v>
      </c>
      <c r="BX12" s="698">
        <v>1</v>
      </c>
      <c r="BY12" s="698">
        <v>1</v>
      </c>
    </row>
    <row r="13" spans="1:77" s="769" customFormat="1">
      <c r="A13" s="767"/>
      <c r="B13" s="699"/>
      <c r="C13" s="700" t="s">
        <v>335</v>
      </c>
      <c r="D13" s="427">
        <v>0.5</v>
      </c>
      <c r="E13" s="427">
        <f>D13*0.985</f>
        <v>0.49249999999999999</v>
      </c>
      <c r="F13" s="427">
        <f t="shared" ref="F13:AA13" si="15">E13*0.985</f>
        <v>0.4851125</v>
      </c>
      <c r="G13" s="427">
        <f t="shared" si="15"/>
        <v>0.47783581250000001</v>
      </c>
      <c r="H13" s="427">
        <f t="shared" si="15"/>
        <v>0.4706682753125</v>
      </c>
      <c r="I13" s="427">
        <f t="shared" si="15"/>
        <v>0.46360825118281251</v>
      </c>
      <c r="J13" s="427">
        <f t="shared" si="15"/>
        <v>0.45665412741507033</v>
      </c>
      <c r="K13" s="427">
        <f t="shared" si="15"/>
        <v>0.44980431550384425</v>
      </c>
      <c r="L13" s="427">
        <f t="shared" si="15"/>
        <v>0.4430572507712866</v>
      </c>
      <c r="M13" s="427">
        <f t="shared" si="15"/>
        <v>0.43641139200971729</v>
      </c>
      <c r="N13" s="427">
        <f t="shared" si="15"/>
        <v>0.42986522112957154</v>
      </c>
      <c r="O13" s="428">
        <f t="shared" si="15"/>
        <v>0.42341724281262794</v>
      </c>
      <c r="P13" s="427">
        <f t="shared" si="15"/>
        <v>0.4170659841704385</v>
      </c>
      <c r="Q13" s="427">
        <f t="shared" si="15"/>
        <v>0.41080999440788191</v>
      </c>
      <c r="R13" s="427">
        <f t="shared" si="15"/>
        <v>0.40464784449176366</v>
      </c>
      <c r="S13" s="427">
        <f t="shared" si="15"/>
        <v>0.3985781268243872</v>
      </c>
      <c r="T13" s="427">
        <f t="shared" si="15"/>
        <v>0.39259945492202136</v>
      </c>
      <c r="U13" s="427">
        <f t="shared" si="15"/>
        <v>0.38671046309819102</v>
      </c>
      <c r="V13" s="427">
        <f t="shared" si="15"/>
        <v>0.38090980615171816</v>
      </c>
      <c r="W13" s="427">
        <f t="shared" si="15"/>
        <v>0.37519615905944237</v>
      </c>
      <c r="X13" s="427">
        <f t="shared" si="15"/>
        <v>0.36956821667355072</v>
      </c>
      <c r="Y13" s="427">
        <f t="shared" si="15"/>
        <v>0.36402469342344745</v>
      </c>
      <c r="Z13" s="427">
        <f t="shared" si="15"/>
        <v>0.35856432302209573</v>
      </c>
      <c r="AA13" s="428">
        <f t="shared" si="15"/>
        <v>0.35318585817676429</v>
      </c>
      <c r="AB13" s="427">
        <f>AA13*0.95</f>
        <v>0.33552656526792607</v>
      </c>
      <c r="AC13" s="427">
        <f t="shared" ref="AC13:BK13" si="16">AB13*0.95</f>
        <v>0.31875023700452976</v>
      </c>
      <c r="AD13" s="427">
        <f t="shared" si="16"/>
        <v>0.30281272515430324</v>
      </c>
      <c r="AE13" s="427">
        <f t="shared" si="16"/>
        <v>0.28767208889658807</v>
      </c>
      <c r="AF13" s="427">
        <f t="shared" si="16"/>
        <v>0.27328848445175868</v>
      </c>
      <c r="AG13" s="427">
        <f t="shared" si="16"/>
        <v>0.25962406022917073</v>
      </c>
      <c r="AH13" s="427">
        <f t="shared" si="16"/>
        <v>0.24664285721771217</v>
      </c>
      <c r="AI13" s="427">
        <f t="shared" si="16"/>
        <v>0.23431071435682654</v>
      </c>
      <c r="AJ13" s="427">
        <f t="shared" si="16"/>
        <v>0.2225951786389852</v>
      </c>
      <c r="AK13" s="427">
        <f t="shared" si="16"/>
        <v>0.21146541970703595</v>
      </c>
      <c r="AL13" s="427">
        <f t="shared" si="16"/>
        <v>0.20089214872168415</v>
      </c>
      <c r="AM13" s="428">
        <f t="shared" si="16"/>
        <v>0.19084754128559994</v>
      </c>
      <c r="AN13" s="427">
        <f t="shared" si="16"/>
        <v>0.18130516422131993</v>
      </c>
      <c r="AO13" s="427">
        <f t="shared" si="16"/>
        <v>0.17223990601025393</v>
      </c>
      <c r="AP13" s="427">
        <f t="shared" si="16"/>
        <v>0.16362791070974123</v>
      </c>
      <c r="AQ13" s="427">
        <f t="shared" si="16"/>
        <v>0.15544651517425415</v>
      </c>
      <c r="AR13" s="427">
        <f t="shared" si="16"/>
        <v>0.14767418941554145</v>
      </c>
      <c r="AS13" s="427">
        <f t="shared" si="16"/>
        <v>0.14029047994476437</v>
      </c>
      <c r="AT13" s="427">
        <f t="shared" si="16"/>
        <v>0.13327595594752614</v>
      </c>
      <c r="AU13" s="427">
        <f t="shared" si="16"/>
        <v>0.12661215815014984</v>
      </c>
      <c r="AV13" s="427">
        <f t="shared" si="16"/>
        <v>0.12028155024264234</v>
      </c>
      <c r="AW13" s="427">
        <f t="shared" si="16"/>
        <v>0.11426747273051022</v>
      </c>
      <c r="AX13" s="427">
        <f t="shared" si="16"/>
        <v>0.1085540990939847</v>
      </c>
      <c r="AY13" s="428">
        <f t="shared" si="16"/>
        <v>0.10312639413928545</v>
      </c>
      <c r="AZ13" s="427">
        <f t="shared" si="16"/>
        <v>9.7970074432321183E-2</v>
      </c>
      <c r="BA13" s="427">
        <f t="shared" si="16"/>
        <v>9.3071570710705126E-2</v>
      </c>
      <c r="BB13" s="427">
        <f t="shared" si="16"/>
        <v>8.8417992175169866E-2</v>
      </c>
      <c r="BC13" s="427">
        <f t="shared" si="16"/>
        <v>8.3997092566411372E-2</v>
      </c>
      <c r="BD13" s="427">
        <f t="shared" si="16"/>
        <v>7.9797237938090793E-2</v>
      </c>
      <c r="BE13" s="427">
        <f t="shared" si="16"/>
        <v>7.5807376041186245E-2</v>
      </c>
      <c r="BF13" s="427">
        <f t="shared" si="16"/>
        <v>7.2017007239126934E-2</v>
      </c>
      <c r="BG13" s="427">
        <f t="shared" si="16"/>
        <v>6.8416156877170578E-2</v>
      </c>
      <c r="BH13" s="427">
        <f t="shared" si="16"/>
        <v>6.4995349033312041E-2</v>
      </c>
      <c r="BI13" s="427">
        <f t="shared" si="16"/>
        <v>6.1745581581646433E-2</v>
      </c>
      <c r="BJ13" s="427">
        <f t="shared" si="16"/>
        <v>5.8658302502564111E-2</v>
      </c>
      <c r="BK13" s="428">
        <f t="shared" si="16"/>
        <v>5.5725387377435903E-2</v>
      </c>
      <c r="BL13" s="427"/>
      <c r="BM13" s="427"/>
      <c r="BN13" s="768"/>
      <c r="BO13" s="768"/>
      <c r="BP13" s="768"/>
      <c r="BQ13" s="768"/>
      <c r="BR13" s="768"/>
      <c r="BS13" s="768"/>
      <c r="BT13" s="768"/>
      <c r="BU13" s="768"/>
      <c r="BV13" s="768"/>
      <c r="BW13" s="768"/>
      <c r="BX13" s="768"/>
      <c r="BY13" s="768"/>
    </row>
    <row r="14" spans="1:77" s="729" customFormat="1" ht="22.5" customHeight="1">
      <c r="A14" s="762" t="s">
        <v>297</v>
      </c>
      <c r="B14" s="725"/>
      <c r="C14" s="726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7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7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7"/>
      <c r="AN14" s="725"/>
      <c r="AO14" s="725"/>
      <c r="AP14" s="725"/>
      <c r="AQ14" s="725"/>
      <c r="AR14" s="725"/>
      <c r="AS14" s="725"/>
      <c r="AT14" s="725"/>
      <c r="AU14" s="725"/>
      <c r="AV14" s="725"/>
      <c r="AW14" s="725"/>
      <c r="AX14" s="725"/>
      <c r="AY14" s="727"/>
      <c r="AZ14" s="725"/>
      <c r="BA14" s="725"/>
      <c r="BB14" s="725"/>
      <c r="BC14" s="725"/>
      <c r="BD14" s="725"/>
      <c r="BE14" s="725"/>
      <c r="BF14" s="725"/>
      <c r="BG14" s="725"/>
      <c r="BH14" s="725"/>
      <c r="BI14" s="725"/>
      <c r="BJ14" s="725"/>
      <c r="BK14" s="727"/>
      <c r="BL14" s="725"/>
      <c r="BM14" s="725"/>
      <c r="BN14" s="728"/>
      <c r="BO14" s="728"/>
      <c r="BP14" s="728"/>
      <c r="BQ14" s="728"/>
      <c r="BR14" s="728"/>
      <c r="BS14" s="728"/>
      <c r="BT14" s="728"/>
      <c r="BU14" s="728"/>
      <c r="BV14" s="728"/>
      <c r="BW14" s="728"/>
      <c r="BX14" s="728"/>
      <c r="BY14" s="728"/>
    </row>
    <row r="15" spans="1:77" s="706" customFormat="1" ht="17.25" customHeight="1">
      <c r="B15" s="329">
        <v>85000</v>
      </c>
      <c r="C15" s="703">
        <f>B15*B1</f>
        <v>22100</v>
      </c>
      <c r="D15" s="703">
        <f>(($B$15+$C$15)/12)*D16</f>
        <v>4462.5</v>
      </c>
      <c r="E15" s="703">
        <f t="shared" ref="E15:O15" si="17">(($B$15+$C$15)/12)*E16</f>
        <v>4462.5</v>
      </c>
      <c r="F15" s="703">
        <f t="shared" si="17"/>
        <v>4462.5</v>
      </c>
      <c r="G15" s="703">
        <f t="shared" si="17"/>
        <v>4462.5</v>
      </c>
      <c r="H15" s="703">
        <f t="shared" si="17"/>
        <v>4462.5</v>
      </c>
      <c r="I15" s="703">
        <f t="shared" si="17"/>
        <v>4462.5</v>
      </c>
      <c r="J15" s="703">
        <f t="shared" si="17"/>
        <v>4462.5</v>
      </c>
      <c r="K15" s="703">
        <f t="shared" si="17"/>
        <v>4462.5</v>
      </c>
      <c r="L15" s="703">
        <f t="shared" si="17"/>
        <v>4462.5</v>
      </c>
      <c r="M15" s="703">
        <f t="shared" si="17"/>
        <v>4462.5</v>
      </c>
      <c r="N15" s="703">
        <f t="shared" si="17"/>
        <v>4462.5</v>
      </c>
      <c r="O15" s="704">
        <f t="shared" si="17"/>
        <v>4462.5</v>
      </c>
      <c r="P15" s="703">
        <f>(($B$15+$C$15)/12)*P16</f>
        <v>4462.5</v>
      </c>
      <c r="Q15" s="703">
        <f t="shared" ref="Q15:AA15" si="18">(($B$15+$C$15)/12)*Q16</f>
        <v>4462.5</v>
      </c>
      <c r="R15" s="703">
        <f t="shared" si="18"/>
        <v>4462.5</v>
      </c>
      <c r="S15" s="703">
        <f t="shared" si="18"/>
        <v>4462.5</v>
      </c>
      <c r="T15" s="703">
        <f t="shared" si="18"/>
        <v>4462.5</v>
      </c>
      <c r="U15" s="703">
        <f t="shared" si="18"/>
        <v>4462.5</v>
      </c>
      <c r="V15" s="703">
        <f t="shared" si="18"/>
        <v>8925</v>
      </c>
      <c r="W15" s="703">
        <f t="shared" si="18"/>
        <v>8925</v>
      </c>
      <c r="X15" s="703">
        <f t="shared" si="18"/>
        <v>8925</v>
      </c>
      <c r="Y15" s="703">
        <f t="shared" si="18"/>
        <v>8925</v>
      </c>
      <c r="Z15" s="703">
        <f t="shared" si="18"/>
        <v>8925</v>
      </c>
      <c r="AA15" s="704">
        <f t="shared" si="18"/>
        <v>8925</v>
      </c>
      <c r="AB15" s="703">
        <f>(($B$15+$C$15)/12)*AB16</f>
        <v>8925</v>
      </c>
      <c r="AC15" s="703">
        <f t="shared" ref="AC15:AM15" si="19">(($B$15+$C$15)/12)*AC16</f>
        <v>8925</v>
      </c>
      <c r="AD15" s="703">
        <f t="shared" si="19"/>
        <v>8925</v>
      </c>
      <c r="AE15" s="703">
        <f t="shared" si="19"/>
        <v>8925</v>
      </c>
      <c r="AF15" s="703">
        <f t="shared" si="19"/>
        <v>8925</v>
      </c>
      <c r="AG15" s="703">
        <f t="shared" si="19"/>
        <v>8925</v>
      </c>
      <c r="AH15" s="703">
        <f t="shared" si="19"/>
        <v>8925</v>
      </c>
      <c r="AI15" s="703">
        <f t="shared" si="19"/>
        <v>8925</v>
      </c>
      <c r="AJ15" s="703">
        <f t="shared" si="19"/>
        <v>8925</v>
      </c>
      <c r="AK15" s="703">
        <f t="shared" si="19"/>
        <v>8925</v>
      </c>
      <c r="AL15" s="703">
        <f t="shared" si="19"/>
        <v>8925</v>
      </c>
      <c r="AM15" s="704">
        <f t="shared" si="19"/>
        <v>8925</v>
      </c>
      <c r="AN15" s="703">
        <f>(($B$15+$C$15)/12)*AN16</f>
        <v>8925</v>
      </c>
      <c r="AO15" s="703">
        <f t="shared" ref="AO15:AY15" si="20">(($B$15+$C$15)/12)*AO16</f>
        <v>8925</v>
      </c>
      <c r="AP15" s="703">
        <f t="shared" si="20"/>
        <v>8925</v>
      </c>
      <c r="AQ15" s="703">
        <f t="shared" si="20"/>
        <v>8925</v>
      </c>
      <c r="AR15" s="703">
        <f t="shared" si="20"/>
        <v>8925</v>
      </c>
      <c r="AS15" s="703">
        <f t="shared" si="20"/>
        <v>8925</v>
      </c>
      <c r="AT15" s="703">
        <f t="shared" si="20"/>
        <v>8925</v>
      </c>
      <c r="AU15" s="703">
        <f t="shared" si="20"/>
        <v>8925</v>
      </c>
      <c r="AV15" s="703">
        <f t="shared" si="20"/>
        <v>8925</v>
      </c>
      <c r="AW15" s="703">
        <f t="shared" si="20"/>
        <v>8925</v>
      </c>
      <c r="AX15" s="703">
        <f t="shared" si="20"/>
        <v>8925</v>
      </c>
      <c r="AY15" s="704">
        <f t="shared" si="20"/>
        <v>8925</v>
      </c>
      <c r="AZ15" s="703">
        <f>(($B$15+$C$15)/12)*AZ16</f>
        <v>8925</v>
      </c>
      <c r="BA15" s="703">
        <f t="shared" ref="BA15:BK15" si="21">(($B$15+$C$15)/12)*BA16</f>
        <v>8925</v>
      </c>
      <c r="BB15" s="703">
        <f t="shared" si="21"/>
        <v>8925</v>
      </c>
      <c r="BC15" s="703">
        <f t="shared" si="21"/>
        <v>8925</v>
      </c>
      <c r="BD15" s="703">
        <f t="shared" si="21"/>
        <v>8925</v>
      </c>
      <c r="BE15" s="703">
        <f t="shared" si="21"/>
        <v>8925</v>
      </c>
      <c r="BF15" s="703">
        <f t="shared" si="21"/>
        <v>8925</v>
      </c>
      <c r="BG15" s="703">
        <f t="shared" si="21"/>
        <v>8925</v>
      </c>
      <c r="BH15" s="703">
        <f t="shared" si="21"/>
        <v>8925</v>
      </c>
      <c r="BI15" s="703">
        <f t="shared" si="21"/>
        <v>8925</v>
      </c>
      <c r="BJ15" s="703">
        <f t="shared" si="21"/>
        <v>8925</v>
      </c>
      <c r="BK15" s="704">
        <f t="shared" si="21"/>
        <v>8925</v>
      </c>
      <c r="BL15" s="703"/>
      <c r="BM15" s="703"/>
      <c r="BN15" s="705"/>
      <c r="BO15" s="705"/>
      <c r="BP15" s="705"/>
      <c r="BQ15" s="705"/>
      <c r="BR15" s="705"/>
      <c r="BS15" s="705"/>
      <c r="BT15" s="705"/>
      <c r="BU15" s="705"/>
      <c r="BV15" s="705"/>
      <c r="BW15" s="705"/>
      <c r="BX15" s="705"/>
      <c r="BY15" s="705"/>
    </row>
    <row r="16" spans="1:77" s="711" customFormat="1" ht="13.5" customHeight="1">
      <c r="A16" s="707" t="s">
        <v>123</v>
      </c>
      <c r="B16" s="708"/>
      <c r="C16" s="708"/>
      <c r="D16" s="708">
        <v>0.5</v>
      </c>
      <c r="E16" s="708">
        <v>0.5</v>
      </c>
      <c r="F16" s="708">
        <v>0.5</v>
      </c>
      <c r="G16" s="708">
        <v>0.5</v>
      </c>
      <c r="H16" s="708">
        <v>0.5</v>
      </c>
      <c r="I16" s="708">
        <v>0.5</v>
      </c>
      <c r="J16" s="708">
        <v>0.5</v>
      </c>
      <c r="K16" s="708">
        <v>0.5</v>
      </c>
      <c r="L16" s="708">
        <v>0.5</v>
      </c>
      <c r="M16" s="708">
        <v>0.5</v>
      </c>
      <c r="N16" s="708">
        <v>0.5</v>
      </c>
      <c r="O16" s="709">
        <v>0.5</v>
      </c>
      <c r="P16" s="708">
        <v>0.5</v>
      </c>
      <c r="Q16" s="708">
        <v>0.5</v>
      </c>
      <c r="R16" s="708">
        <v>0.5</v>
      </c>
      <c r="S16" s="708">
        <v>0.5</v>
      </c>
      <c r="T16" s="708">
        <v>0.5</v>
      </c>
      <c r="U16" s="708">
        <v>0.5</v>
      </c>
      <c r="V16" s="708">
        <v>1</v>
      </c>
      <c r="W16" s="708">
        <v>1</v>
      </c>
      <c r="X16" s="708">
        <v>1</v>
      </c>
      <c r="Y16" s="708">
        <v>1</v>
      </c>
      <c r="Z16" s="708">
        <v>1</v>
      </c>
      <c r="AA16" s="709">
        <v>1</v>
      </c>
      <c r="AB16" s="708">
        <v>1</v>
      </c>
      <c r="AC16" s="708">
        <v>1</v>
      </c>
      <c r="AD16" s="708">
        <v>1</v>
      </c>
      <c r="AE16" s="708">
        <v>1</v>
      </c>
      <c r="AF16" s="708">
        <v>1</v>
      </c>
      <c r="AG16" s="708">
        <v>1</v>
      </c>
      <c r="AH16" s="708">
        <v>1</v>
      </c>
      <c r="AI16" s="708">
        <v>1</v>
      </c>
      <c r="AJ16" s="708">
        <v>1</v>
      </c>
      <c r="AK16" s="708">
        <v>1</v>
      </c>
      <c r="AL16" s="708">
        <v>1</v>
      </c>
      <c r="AM16" s="709">
        <v>1</v>
      </c>
      <c r="AN16" s="708">
        <v>1</v>
      </c>
      <c r="AO16" s="708">
        <v>1</v>
      </c>
      <c r="AP16" s="708">
        <v>1</v>
      </c>
      <c r="AQ16" s="708">
        <v>1</v>
      </c>
      <c r="AR16" s="708">
        <v>1</v>
      </c>
      <c r="AS16" s="708">
        <v>1</v>
      </c>
      <c r="AT16" s="708">
        <v>1</v>
      </c>
      <c r="AU16" s="708">
        <v>1</v>
      </c>
      <c r="AV16" s="708">
        <v>1</v>
      </c>
      <c r="AW16" s="708">
        <v>1</v>
      </c>
      <c r="AX16" s="708">
        <v>1</v>
      </c>
      <c r="AY16" s="709">
        <v>1</v>
      </c>
      <c r="AZ16" s="708">
        <v>1</v>
      </c>
      <c r="BA16" s="708">
        <v>1</v>
      </c>
      <c r="BB16" s="708">
        <v>1</v>
      </c>
      <c r="BC16" s="708">
        <v>1</v>
      </c>
      <c r="BD16" s="708">
        <v>1</v>
      </c>
      <c r="BE16" s="708">
        <v>1</v>
      </c>
      <c r="BF16" s="708">
        <v>1</v>
      </c>
      <c r="BG16" s="708">
        <v>1</v>
      </c>
      <c r="BH16" s="708">
        <v>1</v>
      </c>
      <c r="BI16" s="708">
        <v>1</v>
      </c>
      <c r="BJ16" s="708">
        <v>1</v>
      </c>
      <c r="BK16" s="709">
        <v>1</v>
      </c>
      <c r="BL16" s="708"/>
      <c r="BM16" s="708">
        <v>0.5</v>
      </c>
      <c r="BN16" s="710">
        <v>0.5</v>
      </c>
      <c r="BO16" s="710">
        <v>0.5</v>
      </c>
      <c r="BP16" s="710">
        <v>0.5</v>
      </c>
      <c r="BQ16" s="710">
        <v>0.5</v>
      </c>
      <c r="BR16" s="710">
        <v>0.5</v>
      </c>
      <c r="BS16" s="710">
        <v>0.5</v>
      </c>
      <c r="BT16" s="710">
        <v>0.5</v>
      </c>
      <c r="BU16" s="710">
        <v>0.5</v>
      </c>
      <c r="BV16" s="710">
        <v>0.5</v>
      </c>
      <c r="BW16" s="710">
        <v>0.5</v>
      </c>
      <c r="BX16" s="710">
        <v>0.5</v>
      </c>
      <c r="BY16" s="710">
        <v>0.5</v>
      </c>
    </row>
    <row r="17" spans="1:77" s="59" customFormat="1" ht="23.25" customHeight="1">
      <c r="A17" s="764" t="s">
        <v>198</v>
      </c>
      <c r="B17" s="730"/>
      <c r="C17" s="730">
        <f>B17+(B17*0.3)</f>
        <v>0</v>
      </c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1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1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2"/>
      <c r="AM17" s="731"/>
      <c r="AN17" s="732"/>
      <c r="AO17" s="732"/>
      <c r="AP17" s="732"/>
      <c r="AQ17" s="732"/>
      <c r="AR17" s="732"/>
      <c r="AS17" s="732"/>
      <c r="AT17" s="732"/>
      <c r="AU17" s="732"/>
      <c r="AV17" s="732"/>
      <c r="AW17" s="732"/>
      <c r="AX17" s="732"/>
      <c r="AY17" s="731"/>
      <c r="AZ17" s="732"/>
      <c r="BA17" s="732"/>
      <c r="BB17" s="732"/>
      <c r="BC17" s="732"/>
      <c r="BD17" s="732"/>
      <c r="BE17" s="732"/>
      <c r="BF17" s="732"/>
      <c r="BG17" s="732"/>
      <c r="BH17" s="732"/>
      <c r="BI17" s="732"/>
      <c r="BJ17" s="732"/>
      <c r="BK17" s="731"/>
      <c r="BL17" s="732"/>
      <c r="BM17" s="730"/>
      <c r="BN17" s="730"/>
      <c r="BO17" s="730"/>
      <c r="BP17" s="730"/>
      <c r="BQ17" s="730"/>
      <c r="BR17" s="730"/>
      <c r="BS17" s="730"/>
      <c r="BT17" s="730"/>
      <c r="BU17" s="730"/>
      <c r="BV17" s="730"/>
      <c r="BW17" s="730"/>
      <c r="BX17" s="730"/>
      <c r="BY17" s="730"/>
    </row>
    <row r="18" spans="1:77" s="706" customFormat="1">
      <c r="B18" s="329">
        <v>45000</v>
      </c>
      <c r="C18" s="703">
        <f>B18*B1</f>
        <v>11700</v>
      </c>
      <c r="D18" s="703">
        <f>(($B18+$C18)/12)*D19</f>
        <v>0</v>
      </c>
      <c r="E18" s="703">
        <f t="shared" ref="E18:O18" si="22">(($B18+$C18)/12)*E19</f>
        <v>0</v>
      </c>
      <c r="F18" s="703">
        <f t="shared" si="22"/>
        <v>0</v>
      </c>
      <c r="G18" s="703">
        <f t="shared" si="22"/>
        <v>0</v>
      </c>
      <c r="H18" s="703">
        <f t="shared" si="22"/>
        <v>0</v>
      </c>
      <c r="I18" s="703">
        <f t="shared" si="22"/>
        <v>0</v>
      </c>
      <c r="J18" s="703">
        <f t="shared" si="22"/>
        <v>0</v>
      </c>
      <c r="K18" s="703">
        <f t="shared" si="22"/>
        <v>0</v>
      </c>
      <c r="L18" s="703">
        <f t="shared" si="22"/>
        <v>0</v>
      </c>
      <c r="M18" s="703">
        <f t="shared" si="22"/>
        <v>0</v>
      </c>
      <c r="N18" s="703">
        <f t="shared" si="22"/>
        <v>0</v>
      </c>
      <c r="O18" s="704">
        <f t="shared" si="22"/>
        <v>0</v>
      </c>
      <c r="P18" s="703">
        <f>(($B18+$C18)/12)*P19</f>
        <v>0</v>
      </c>
      <c r="Q18" s="703">
        <f t="shared" ref="Q18:AA18" si="23">(($B18+$C18)/12)*Q19</f>
        <v>0</v>
      </c>
      <c r="R18" s="703">
        <f t="shared" si="23"/>
        <v>0</v>
      </c>
      <c r="S18" s="703">
        <f t="shared" si="23"/>
        <v>0</v>
      </c>
      <c r="T18" s="703">
        <f t="shared" si="23"/>
        <v>0</v>
      </c>
      <c r="U18" s="703">
        <f t="shared" si="23"/>
        <v>4725</v>
      </c>
      <c r="V18" s="703">
        <f t="shared" si="23"/>
        <v>4725</v>
      </c>
      <c r="W18" s="703">
        <f t="shared" si="23"/>
        <v>4725</v>
      </c>
      <c r="X18" s="703">
        <f t="shared" si="23"/>
        <v>4725</v>
      </c>
      <c r="Y18" s="703">
        <f t="shared" si="23"/>
        <v>4725</v>
      </c>
      <c r="Z18" s="703">
        <f t="shared" si="23"/>
        <v>4725</v>
      </c>
      <c r="AA18" s="704">
        <f t="shared" si="23"/>
        <v>4725</v>
      </c>
      <c r="AB18" s="703">
        <f>(($B18+$C18)/12)*AB19</f>
        <v>4725</v>
      </c>
      <c r="AC18" s="703">
        <f t="shared" ref="AC18:AM18" si="24">(($B18+$C18)/12)*AC19</f>
        <v>4725</v>
      </c>
      <c r="AD18" s="703">
        <f t="shared" si="24"/>
        <v>4725</v>
      </c>
      <c r="AE18" s="703">
        <f t="shared" si="24"/>
        <v>4725</v>
      </c>
      <c r="AF18" s="703">
        <f t="shared" si="24"/>
        <v>4725</v>
      </c>
      <c r="AG18" s="703">
        <f t="shared" si="24"/>
        <v>4725</v>
      </c>
      <c r="AH18" s="703">
        <f t="shared" si="24"/>
        <v>4725</v>
      </c>
      <c r="AI18" s="703">
        <f t="shared" si="24"/>
        <v>4725</v>
      </c>
      <c r="AJ18" s="703">
        <f t="shared" si="24"/>
        <v>4725</v>
      </c>
      <c r="AK18" s="703">
        <f t="shared" si="24"/>
        <v>4725</v>
      </c>
      <c r="AL18" s="703">
        <f t="shared" si="24"/>
        <v>4725</v>
      </c>
      <c r="AM18" s="704">
        <f t="shared" si="24"/>
        <v>4725</v>
      </c>
      <c r="AN18" s="703">
        <f>(($B18+$C18)/12)*AN19</f>
        <v>9450</v>
      </c>
      <c r="AO18" s="703">
        <f t="shared" ref="AO18:AY18" si="25">(($B18+$C18)/12)*AO19</f>
        <v>9450</v>
      </c>
      <c r="AP18" s="703">
        <f t="shared" si="25"/>
        <v>9450</v>
      </c>
      <c r="AQ18" s="703">
        <f t="shared" si="25"/>
        <v>9450</v>
      </c>
      <c r="AR18" s="703">
        <f t="shared" si="25"/>
        <v>9450</v>
      </c>
      <c r="AS18" s="703">
        <f t="shared" si="25"/>
        <v>9450</v>
      </c>
      <c r="AT18" s="703">
        <f t="shared" si="25"/>
        <v>9450</v>
      </c>
      <c r="AU18" s="703">
        <f t="shared" si="25"/>
        <v>9450</v>
      </c>
      <c r="AV18" s="703">
        <f t="shared" si="25"/>
        <v>9450</v>
      </c>
      <c r="AW18" s="703">
        <f t="shared" si="25"/>
        <v>9450</v>
      </c>
      <c r="AX18" s="703">
        <f t="shared" si="25"/>
        <v>14175</v>
      </c>
      <c r="AY18" s="704">
        <f t="shared" si="25"/>
        <v>14175</v>
      </c>
      <c r="AZ18" s="703">
        <f>(($B18+$C18)/12)*AZ19</f>
        <v>14175</v>
      </c>
      <c r="BA18" s="703">
        <f t="shared" ref="BA18:BK18" si="26">(($B18+$C18)/12)*BA19</f>
        <v>14175</v>
      </c>
      <c r="BB18" s="703">
        <f t="shared" si="26"/>
        <v>14175</v>
      </c>
      <c r="BC18" s="703">
        <f t="shared" si="26"/>
        <v>14175</v>
      </c>
      <c r="BD18" s="703">
        <f t="shared" si="26"/>
        <v>14175</v>
      </c>
      <c r="BE18" s="703">
        <f t="shared" si="26"/>
        <v>18900</v>
      </c>
      <c r="BF18" s="703">
        <f t="shared" si="26"/>
        <v>18900</v>
      </c>
      <c r="BG18" s="703">
        <f t="shared" si="26"/>
        <v>18900</v>
      </c>
      <c r="BH18" s="703">
        <f t="shared" si="26"/>
        <v>18900</v>
      </c>
      <c r="BI18" s="703">
        <f t="shared" si="26"/>
        <v>18900</v>
      </c>
      <c r="BJ18" s="703">
        <f t="shared" si="26"/>
        <v>18900</v>
      </c>
      <c r="BK18" s="704">
        <f t="shared" si="26"/>
        <v>23625</v>
      </c>
      <c r="BL18" s="703"/>
      <c r="BM18" s="703"/>
      <c r="BN18" s="705">
        <f t="shared" ref="BN18:BY18" si="27">D18*0.26</f>
        <v>0</v>
      </c>
      <c r="BO18" s="705">
        <f t="shared" si="27"/>
        <v>0</v>
      </c>
      <c r="BP18" s="705">
        <f t="shared" si="27"/>
        <v>0</v>
      </c>
      <c r="BQ18" s="705">
        <f t="shared" si="27"/>
        <v>0</v>
      </c>
      <c r="BR18" s="705">
        <f t="shared" si="27"/>
        <v>0</v>
      </c>
      <c r="BS18" s="705">
        <f t="shared" si="27"/>
        <v>0</v>
      </c>
      <c r="BT18" s="705">
        <f t="shared" si="27"/>
        <v>0</v>
      </c>
      <c r="BU18" s="705">
        <f t="shared" si="27"/>
        <v>0</v>
      </c>
      <c r="BV18" s="705">
        <f t="shared" si="27"/>
        <v>0</v>
      </c>
      <c r="BW18" s="705">
        <f t="shared" si="27"/>
        <v>0</v>
      </c>
      <c r="BX18" s="705">
        <f t="shared" si="27"/>
        <v>0</v>
      </c>
      <c r="BY18" s="705">
        <f t="shared" si="27"/>
        <v>0</v>
      </c>
    </row>
    <row r="19" spans="1:77" s="578" customFormat="1">
      <c r="A19" s="739" t="s">
        <v>123</v>
      </c>
      <c r="B19" s="695"/>
      <c r="C19" s="695"/>
      <c r="D19" s="696">
        <f>ROUND('Program Model'!B27/D20,0)</f>
        <v>0</v>
      </c>
      <c r="E19" s="696">
        <f>ROUND('Program Model'!C27/E20,0)</f>
        <v>0</v>
      </c>
      <c r="F19" s="696">
        <f>ROUND('Program Model'!D27/F20,0)</f>
        <v>0</v>
      </c>
      <c r="G19" s="696">
        <f>ROUND('Program Model'!E27/G20,0)</f>
        <v>0</v>
      </c>
      <c r="H19" s="696">
        <f>ROUND('Program Model'!F27/H20,0)</f>
        <v>0</v>
      </c>
      <c r="I19" s="696">
        <f>ROUND('Program Model'!G27/I20,0)</f>
        <v>0</v>
      </c>
      <c r="J19" s="696">
        <f>ROUND('Program Model'!H27/J20,0)</f>
        <v>0</v>
      </c>
      <c r="K19" s="696">
        <f>ROUND('Program Model'!I27/K20,0)</f>
        <v>0</v>
      </c>
      <c r="L19" s="696">
        <f>ROUND('Program Model'!J27/L20,0)</f>
        <v>0</v>
      </c>
      <c r="M19" s="696">
        <f>ROUND('Program Model'!K27/M20,0)</f>
        <v>0</v>
      </c>
      <c r="N19" s="696">
        <f>ROUND('Program Model'!L27/N20,0)</f>
        <v>0</v>
      </c>
      <c r="O19" s="697">
        <f>ROUND('Program Model'!M27/O20,0)</f>
        <v>0</v>
      </c>
      <c r="P19" s="696">
        <f>ROUND('Program Model'!N27/P20,0)</f>
        <v>0</v>
      </c>
      <c r="Q19" s="696">
        <f>ROUND('Program Model'!O27/Q20,0)</f>
        <v>0</v>
      </c>
      <c r="R19" s="696">
        <f>ROUND('Program Model'!P27/R20,0)</f>
        <v>0</v>
      </c>
      <c r="S19" s="696">
        <f>ROUND('Program Model'!Q27/S20,0)</f>
        <v>0</v>
      </c>
      <c r="T19" s="696">
        <f>ROUND('Program Model'!R27/T20,0)</f>
        <v>0</v>
      </c>
      <c r="U19" s="696">
        <f>ROUND('Program Model'!S27/U20,0)</f>
        <v>1</v>
      </c>
      <c r="V19" s="696">
        <f>ROUND('Program Model'!T27/V20,0)</f>
        <v>1</v>
      </c>
      <c r="W19" s="696">
        <f>ROUND('Program Model'!U27/W20,0)</f>
        <v>1</v>
      </c>
      <c r="X19" s="696">
        <f>ROUND('Program Model'!V27/X20,0)</f>
        <v>1</v>
      </c>
      <c r="Y19" s="696">
        <f>ROUND('Program Model'!W27/Y20,0)</f>
        <v>1</v>
      </c>
      <c r="Z19" s="696">
        <f>ROUND('Program Model'!X27/Z20,0)</f>
        <v>1</v>
      </c>
      <c r="AA19" s="697">
        <f>ROUND('Program Model'!Y27/AA20,0)</f>
        <v>1</v>
      </c>
      <c r="AB19" s="696">
        <f>ROUND('Program Model'!Z27/AB20,0)</f>
        <v>1</v>
      </c>
      <c r="AC19" s="696">
        <f>ROUND('Program Model'!AA27/AC20,0)</f>
        <v>1</v>
      </c>
      <c r="AD19" s="696">
        <f>ROUND('Program Model'!AB27/AD20,0)</f>
        <v>1</v>
      </c>
      <c r="AE19" s="696">
        <f>ROUND('Program Model'!AC27/AE20,0)</f>
        <v>1</v>
      </c>
      <c r="AF19" s="696">
        <f>ROUND('Program Model'!AD27/AF20,0)</f>
        <v>1</v>
      </c>
      <c r="AG19" s="696">
        <f>ROUND('Program Model'!AE27/AG20,0)</f>
        <v>1</v>
      </c>
      <c r="AH19" s="696">
        <f>ROUND('Program Model'!AF27/AH20,0)</f>
        <v>1</v>
      </c>
      <c r="AI19" s="696">
        <f>ROUND('Program Model'!AG27/AI20,0)</f>
        <v>1</v>
      </c>
      <c r="AJ19" s="696">
        <f>ROUND('Program Model'!AH27/AJ20,0)</f>
        <v>1</v>
      </c>
      <c r="AK19" s="696">
        <f>ROUND('Program Model'!AI27/AK20,0)</f>
        <v>1</v>
      </c>
      <c r="AL19" s="696">
        <f>ROUND('Program Model'!AJ27/AL20,0)</f>
        <v>1</v>
      </c>
      <c r="AM19" s="697">
        <f>ROUND('Program Model'!AK27/AM20,0)</f>
        <v>1</v>
      </c>
      <c r="AN19" s="696">
        <f>ROUND('Program Model'!AL27/AN20,0)</f>
        <v>2</v>
      </c>
      <c r="AO19" s="696">
        <f>ROUND('Program Model'!AM27/AO20,0)</f>
        <v>2</v>
      </c>
      <c r="AP19" s="696">
        <f>ROUND('Program Model'!AN27/AP20,0)</f>
        <v>2</v>
      </c>
      <c r="AQ19" s="696">
        <f>ROUND('Program Model'!AO27/AQ20,0)</f>
        <v>2</v>
      </c>
      <c r="AR19" s="696">
        <f>ROUND('Program Model'!AP27/AR20,0)</f>
        <v>2</v>
      </c>
      <c r="AS19" s="696">
        <f>ROUND('Program Model'!AQ27/AS20,0)</f>
        <v>2</v>
      </c>
      <c r="AT19" s="696">
        <f>ROUND('Program Model'!AR27/AT20,0)</f>
        <v>2</v>
      </c>
      <c r="AU19" s="696">
        <f>ROUND('Program Model'!AS27/AU20,0)</f>
        <v>2</v>
      </c>
      <c r="AV19" s="696">
        <f>ROUND('Program Model'!AT27/AV20,0)</f>
        <v>2</v>
      </c>
      <c r="AW19" s="696">
        <f>ROUND('Program Model'!AU27/AW20,0)</f>
        <v>2</v>
      </c>
      <c r="AX19" s="696">
        <f>ROUND('Program Model'!AV27/AX20,0)</f>
        <v>3</v>
      </c>
      <c r="AY19" s="697">
        <f>ROUND('Program Model'!AW27/AY20,0)</f>
        <v>3</v>
      </c>
      <c r="AZ19" s="696">
        <f>ROUND('Program Model'!AX27/AZ20,0)</f>
        <v>3</v>
      </c>
      <c r="BA19" s="696">
        <f>ROUND('Program Model'!AY27/BA20,0)</f>
        <v>3</v>
      </c>
      <c r="BB19" s="696">
        <f>ROUND('Program Model'!AZ27/BB20,0)</f>
        <v>3</v>
      </c>
      <c r="BC19" s="696">
        <f>ROUND('Program Model'!BA27/BC20,0)</f>
        <v>3</v>
      </c>
      <c r="BD19" s="696">
        <f>ROUND('Program Model'!BB27/BD20,0)</f>
        <v>3</v>
      </c>
      <c r="BE19" s="696">
        <f>ROUND('Program Model'!BC27/BE20,0)</f>
        <v>4</v>
      </c>
      <c r="BF19" s="696">
        <f>ROUND('Program Model'!BD27/BF20,0)</f>
        <v>4</v>
      </c>
      <c r="BG19" s="696">
        <f>ROUND('Program Model'!BE27/BG20,0)</f>
        <v>4</v>
      </c>
      <c r="BH19" s="696">
        <f>ROUND('Program Model'!BF27/BH20,0)</f>
        <v>4</v>
      </c>
      <c r="BI19" s="696">
        <f>ROUND('Program Model'!BG27/BI20,0)</f>
        <v>4</v>
      </c>
      <c r="BJ19" s="696">
        <f>ROUND('Program Model'!BH27/BJ20,0)</f>
        <v>4</v>
      </c>
      <c r="BK19" s="697">
        <f>ROUND('Program Model'!BI27/BK20,0)</f>
        <v>5</v>
      </c>
      <c r="BL19" s="696"/>
      <c r="BM19" s="695">
        <f>ROUND('Program Model'!N7/350,0)</f>
        <v>1</v>
      </c>
      <c r="BN19" s="698">
        <f>ROUND('Program Model'!O7/350,0)</f>
        <v>1</v>
      </c>
      <c r="BO19" s="698">
        <f>ROUND('Program Model'!P7/350,0)</f>
        <v>1</v>
      </c>
      <c r="BP19" s="698">
        <f>ROUND('Program Model'!Q7/350,0)</f>
        <v>1</v>
      </c>
      <c r="BQ19" s="698">
        <f>ROUND('Program Model'!R7/350,0)</f>
        <v>1</v>
      </c>
      <c r="BR19" s="698">
        <f>ROUND('Program Model'!S7/350,0)</f>
        <v>1</v>
      </c>
      <c r="BS19" s="698">
        <f>ROUND('Program Model'!T7/350,0)</f>
        <v>1</v>
      </c>
      <c r="BT19" s="698">
        <f>ROUND('Program Model'!U7/350,0)</f>
        <v>1</v>
      </c>
      <c r="BU19" s="698">
        <f>ROUND('Program Model'!V7/350,0)</f>
        <v>1</v>
      </c>
      <c r="BV19" s="698">
        <f>ROUND('Program Model'!W7/350,0)</f>
        <v>1</v>
      </c>
      <c r="BW19" s="698">
        <f>ROUND('Program Model'!X7/350,0)</f>
        <v>1</v>
      </c>
      <c r="BX19" s="698">
        <f>ROUND('Program Model'!Y7/350,0)</f>
        <v>2</v>
      </c>
      <c r="BY19" s="698">
        <f>ROUND('Program Model'!Z7/350,0)</f>
        <v>2</v>
      </c>
    </row>
    <row r="20" spans="1:77" s="772" customFormat="1">
      <c r="A20" s="712"/>
      <c r="B20" s="1310" t="s">
        <v>362</v>
      </c>
      <c r="C20" s="1310"/>
      <c r="D20" s="426">
        <v>300</v>
      </c>
      <c r="E20" s="426">
        <f>D20+4</f>
        <v>304</v>
      </c>
      <c r="F20" s="426">
        <f t="shared" ref="F20:BK20" si="28">E20+4</f>
        <v>308</v>
      </c>
      <c r="G20" s="426">
        <f t="shared" si="28"/>
        <v>312</v>
      </c>
      <c r="H20" s="426">
        <f t="shared" si="28"/>
        <v>316</v>
      </c>
      <c r="I20" s="426">
        <f t="shared" si="28"/>
        <v>320</v>
      </c>
      <c r="J20" s="426">
        <f t="shared" si="28"/>
        <v>324</v>
      </c>
      <c r="K20" s="426">
        <f t="shared" si="28"/>
        <v>328</v>
      </c>
      <c r="L20" s="426">
        <f t="shared" si="28"/>
        <v>332</v>
      </c>
      <c r="M20" s="426">
        <f t="shared" si="28"/>
        <v>336</v>
      </c>
      <c r="N20" s="426">
        <f t="shared" si="28"/>
        <v>340</v>
      </c>
      <c r="O20" s="429">
        <f t="shared" si="28"/>
        <v>344</v>
      </c>
      <c r="P20" s="426">
        <f t="shared" si="28"/>
        <v>348</v>
      </c>
      <c r="Q20" s="426">
        <f t="shared" si="28"/>
        <v>352</v>
      </c>
      <c r="R20" s="426">
        <f t="shared" si="28"/>
        <v>356</v>
      </c>
      <c r="S20" s="426">
        <f t="shared" si="28"/>
        <v>360</v>
      </c>
      <c r="T20" s="426">
        <f t="shared" si="28"/>
        <v>364</v>
      </c>
      <c r="U20" s="426">
        <f t="shared" si="28"/>
        <v>368</v>
      </c>
      <c r="V20" s="426">
        <f t="shared" si="28"/>
        <v>372</v>
      </c>
      <c r="W20" s="426">
        <f t="shared" si="28"/>
        <v>376</v>
      </c>
      <c r="X20" s="426">
        <f t="shared" si="28"/>
        <v>380</v>
      </c>
      <c r="Y20" s="426">
        <f t="shared" si="28"/>
        <v>384</v>
      </c>
      <c r="Z20" s="426">
        <f t="shared" si="28"/>
        <v>388</v>
      </c>
      <c r="AA20" s="429">
        <f t="shared" si="28"/>
        <v>392</v>
      </c>
      <c r="AB20" s="426">
        <f t="shared" si="28"/>
        <v>396</v>
      </c>
      <c r="AC20" s="426">
        <f t="shared" si="28"/>
        <v>400</v>
      </c>
      <c r="AD20" s="426">
        <f t="shared" si="28"/>
        <v>404</v>
      </c>
      <c r="AE20" s="426">
        <f t="shared" si="28"/>
        <v>408</v>
      </c>
      <c r="AF20" s="426">
        <f t="shared" si="28"/>
        <v>412</v>
      </c>
      <c r="AG20" s="426">
        <f t="shared" si="28"/>
        <v>416</v>
      </c>
      <c r="AH20" s="426">
        <f t="shared" si="28"/>
        <v>420</v>
      </c>
      <c r="AI20" s="426">
        <f t="shared" si="28"/>
        <v>424</v>
      </c>
      <c r="AJ20" s="426">
        <f t="shared" si="28"/>
        <v>428</v>
      </c>
      <c r="AK20" s="426">
        <f t="shared" si="28"/>
        <v>432</v>
      </c>
      <c r="AL20" s="426">
        <f t="shared" si="28"/>
        <v>436</v>
      </c>
      <c r="AM20" s="429">
        <f t="shared" si="28"/>
        <v>440</v>
      </c>
      <c r="AN20" s="426">
        <f t="shared" si="28"/>
        <v>444</v>
      </c>
      <c r="AO20" s="426">
        <f t="shared" si="28"/>
        <v>448</v>
      </c>
      <c r="AP20" s="426">
        <f t="shared" si="28"/>
        <v>452</v>
      </c>
      <c r="AQ20" s="426">
        <f t="shared" si="28"/>
        <v>456</v>
      </c>
      <c r="AR20" s="426">
        <f t="shared" si="28"/>
        <v>460</v>
      </c>
      <c r="AS20" s="426">
        <f t="shared" si="28"/>
        <v>464</v>
      </c>
      <c r="AT20" s="426">
        <f t="shared" si="28"/>
        <v>468</v>
      </c>
      <c r="AU20" s="426">
        <f t="shared" si="28"/>
        <v>472</v>
      </c>
      <c r="AV20" s="426">
        <f t="shared" si="28"/>
        <v>476</v>
      </c>
      <c r="AW20" s="426">
        <f t="shared" si="28"/>
        <v>480</v>
      </c>
      <c r="AX20" s="426">
        <f t="shared" si="28"/>
        <v>484</v>
      </c>
      <c r="AY20" s="429">
        <f t="shared" si="28"/>
        <v>488</v>
      </c>
      <c r="AZ20" s="426">
        <f t="shared" si="28"/>
        <v>492</v>
      </c>
      <c r="BA20" s="426">
        <f t="shared" si="28"/>
        <v>496</v>
      </c>
      <c r="BB20" s="426">
        <f t="shared" si="28"/>
        <v>500</v>
      </c>
      <c r="BC20" s="426">
        <f t="shared" si="28"/>
        <v>504</v>
      </c>
      <c r="BD20" s="426">
        <f t="shared" si="28"/>
        <v>508</v>
      </c>
      <c r="BE20" s="426">
        <f t="shared" si="28"/>
        <v>512</v>
      </c>
      <c r="BF20" s="426">
        <f t="shared" si="28"/>
        <v>516</v>
      </c>
      <c r="BG20" s="426">
        <f t="shared" si="28"/>
        <v>520</v>
      </c>
      <c r="BH20" s="426">
        <f t="shared" si="28"/>
        <v>524</v>
      </c>
      <c r="BI20" s="426">
        <f t="shared" si="28"/>
        <v>528</v>
      </c>
      <c r="BJ20" s="426">
        <f t="shared" si="28"/>
        <v>532</v>
      </c>
      <c r="BK20" s="429">
        <f t="shared" si="28"/>
        <v>536</v>
      </c>
      <c r="BL20" s="426"/>
      <c r="BM20" s="770"/>
      <c r="BN20" s="771"/>
      <c r="BO20" s="771"/>
      <c r="BP20" s="771"/>
      <c r="BQ20" s="771"/>
      <c r="BR20" s="771"/>
      <c r="BS20" s="771"/>
      <c r="BT20" s="771"/>
      <c r="BU20" s="771"/>
      <c r="BV20" s="771"/>
      <c r="BW20" s="771"/>
      <c r="BX20" s="771"/>
      <c r="BY20" s="771"/>
    </row>
    <row r="21" spans="1:77" s="59" customFormat="1" ht="18" customHeight="1">
      <c r="A21" s="762" t="s">
        <v>298</v>
      </c>
      <c r="B21" s="732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1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1"/>
      <c r="AB21" s="732"/>
      <c r="AC21" s="732"/>
      <c r="AD21" s="732"/>
      <c r="AE21" s="732"/>
      <c r="AF21" s="732"/>
      <c r="AG21" s="732"/>
      <c r="AH21" s="732"/>
      <c r="AI21" s="732"/>
      <c r="AJ21" s="732"/>
      <c r="AK21" s="732"/>
      <c r="AL21" s="732"/>
      <c r="AM21" s="731"/>
      <c r="AN21" s="732"/>
      <c r="AO21" s="732"/>
      <c r="AP21" s="732"/>
      <c r="AQ21" s="732"/>
      <c r="AR21" s="732"/>
      <c r="AS21" s="732"/>
      <c r="AT21" s="732"/>
      <c r="AU21" s="732"/>
      <c r="AV21" s="732"/>
      <c r="AW21" s="732"/>
      <c r="AX21" s="732"/>
      <c r="AY21" s="731"/>
      <c r="AZ21" s="732"/>
      <c r="BA21" s="732"/>
      <c r="BB21" s="732"/>
      <c r="BC21" s="732"/>
      <c r="BD21" s="732"/>
      <c r="BE21" s="732"/>
      <c r="BF21" s="732"/>
      <c r="BG21" s="732"/>
      <c r="BH21" s="732"/>
      <c r="BI21" s="732"/>
      <c r="BJ21" s="732"/>
      <c r="BK21" s="731"/>
      <c r="BL21" s="732"/>
      <c r="BM21" s="730"/>
      <c r="BN21" s="733"/>
      <c r="BO21" s="733"/>
      <c r="BP21" s="733"/>
      <c r="BQ21" s="733"/>
      <c r="BR21" s="733"/>
      <c r="BS21" s="733"/>
      <c r="BT21" s="733"/>
      <c r="BU21" s="733"/>
      <c r="BV21" s="733"/>
      <c r="BW21" s="733"/>
      <c r="BX21" s="733"/>
      <c r="BY21" s="733"/>
    </row>
    <row r="22" spans="1:77" s="706" customFormat="1">
      <c r="A22" s="702"/>
      <c r="B22" s="330">
        <v>22000</v>
      </c>
      <c r="C22" s="703">
        <f>B22*B1</f>
        <v>5720</v>
      </c>
      <c r="D22" s="703">
        <f t="shared" ref="D22:AI22" si="29">(($B22+$C22)/12)*D23</f>
        <v>0</v>
      </c>
      <c r="E22" s="703">
        <f t="shared" si="29"/>
        <v>0</v>
      </c>
      <c r="F22" s="703">
        <f t="shared" si="29"/>
        <v>0</v>
      </c>
      <c r="G22" s="703">
        <f t="shared" si="29"/>
        <v>2310</v>
      </c>
      <c r="H22" s="703">
        <f t="shared" si="29"/>
        <v>2310</v>
      </c>
      <c r="I22" s="703">
        <f t="shared" si="29"/>
        <v>2310</v>
      </c>
      <c r="J22" s="703">
        <f t="shared" si="29"/>
        <v>2310</v>
      </c>
      <c r="K22" s="703">
        <f t="shared" si="29"/>
        <v>2310</v>
      </c>
      <c r="L22" s="703">
        <f t="shared" si="29"/>
        <v>2310</v>
      </c>
      <c r="M22" s="703">
        <f t="shared" si="29"/>
        <v>2310</v>
      </c>
      <c r="N22" s="703">
        <f t="shared" si="29"/>
        <v>2310</v>
      </c>
      <c r="O22" s="704">
        <f t="shared" si="29"/>
        <v>2310</v>
      </c>
      <c r="P22" s="703">
        <f t="shared" si="29"/>
        <v>2310</v>
      </c>
      <c r="Q22" s="703">
        <f t="shared" si="29"/>
        <v>2310</v>
      </c>
      <c r="R22" s="703">
        <f t="shared" si="29"/>
        <v>2310</v>
      </c>
      <c r="S22" s="703">
        <f t="shared" si="29"/>
        <v>2310</v>
      </c>
      <c r="T22" s="703">
        <f t="shared" si="29"/>
        <v>2310</v>
      </c>
      <c r="U22" s="703">
        <f t="shared" si="29"/>
        <v>2310</v>
      </c>
      <c r="V22" s="703">
        <f t="shared" si="29"/>
        <v>2310</v>
      </c>
      <c r="W22" s="703">
        <f t="shared" si="29"/>
        <v>2310</v>
      </c>
      <c r="X22" s="703">
        <f t="shared" si="29"/>
        <v>2310</v>
      </c>
      <c r="Y22" s="703">
        <f t="shared" si="29"/>
        <v>2310</v>
      </c>
      <c r="Z22" s="703">
        <f t="shared" si="29"/>
        <v>2310</v>
      </c>
      <c r="AA22" s="704">
        <f t="shared" si="29"/>
        <v>2310</v>
      </c>
      <c r="AB22" s="703">
        <f t="shared" si="29"/>
        <v>4620</v>
      </c>
      <c r="AC22" s="703">
        <f t="shared" si="29"/>
        <v>4620</v>
      </c>
      <c r="AD22" s="703">
        <f t="shared" si="29"/>
        <v>4620</v>
      </c>
      <c r="AE22" s="703">
        <f t="shared" si="29"/>
        <v>4620</v>
      </c>
      <c r="AF22" s="703">
        <f t="shared" si="29"/>
        <v>4620</v>
      </c>
      <c r="AG22" s="703">
        <f t="shared" si="29"/>
        <v>4620</v>
      </c>
      <c r="AH22" s="703">
        <f t="shared" si="29"/>
        <v>4620</v>
      </c>
      <c r="AI22" s="703">
        <f t="shared" si="29"/>
        <v>4620</v>
      </c>
      <c r="AJ22" s="703">
        <f t="shared" ref="AJ22:BK22" si="30">(($B22+$C22)/12)*AJ23</f>
        <v>4620</v>
      </c>
      <c r="AK22" s="703">
        <f t="shared" si="30"/>
        <v>4620</v>
      </c>
      <c r="AL22" s="703">
        <f t="shared" si="30"/>
        <v>6930</v>
      </c>
      <c r="AM22" s="704">
        <f t="shared" si="30"/>
        <v>6930</v>
      </c>
      <c r="AN22" s="703">
        <f t="shared" si="30"/>
        <v>6930</v>
      </c>
      <c r="AO22" s="703">
        <f t="shared" si="30"/>
        <v>6930</v>
      </c>
      <c r="AP22" s="703">
        <f t="shared" si="30"/>
        <v>6930</v>
      </c>
      <c r="AQ22" s="703">
        <f t="shared" si="30"/>
        <v>6930</v>
      </c>
      <c r="AR22" s="703">
        <f t="shared" si="30"/>
        <v>6930</v>
      </c>
      <c r="AS22" s="703">
        <f t="shared" si="30"/>
        <v>9240</v>
      </c>
      <c r="AT22" s="703">
        <f t="shared" si="30"/>
        <v>9240</v>
      </c>
      <c r="AU22" s="703">
        <f t="shared" si="30"/>
        <v>9240</v>
      </c>
      <c r="AV22" s="703">
        <f t="shared" si="30"/>
        <v>9240</v>
      </c>
      <c r="AW22" s="703">
        <f t="shared" si="30"/>
        <v>9240</v>
      </c>
      <c r="AX22" s="703">
        <f t="shared" si="30"/>
        <v>9240</v>
      </c>
      <c r="AY22" s="704">
        <f t="shared" si="30"/>
        <v>11550</v>
      </c>
      <c r="AZ22" s="703">
        <f t="shared" si="30"/>
        <v>11550</v>
      </c>
      <c r="BA22" s="703">
        <f t="shared" si="30"/>
        <v>11550</v>
      </c>
      <c r="BB22" s="703">
        <f t="shared" si="30"/>
        <v>11550</v>
      </c>
      <c r="BC22" s="703">
        <f t="shared" si="30"/>
        <v>11550</v>
      </c>
      <c r="BD22" s="703">
        <f t="shared" si="30"/>
        <v>13860</v>
      </c>
      <c r="BE22" s="703">
        <f t="shared" si="30"/>
        <v>13860</v>
      </c>
      <c r="BF22" s="703">
        <f t="shared" si="30"/>
        <v>13860</v>
      </c>
      <c r="BG22" s="703">
        <f t="shared" si="30"/>
        <v>13860</v>
      </c>
      <c r="BH22" s="703">
        <f t="shared" si="30"/>
        <v>16170</v>
      </c>
      <c r="BI22" s="703">
        <f t="shared" si="30"/>
        <v>16170</v>
      </c>
      <c r="BJ22" s="703">
        <f t="shared" si="30"/>
        <v>16170</v>
      </c>
      <c r="BK22" s="704">
        <f t="shared" si="30"/>
        <v>16170</v>
      </c>
      <c r="BL22" s="703"/>
      <c r="BM22" s="703"/>
      <c r="BN22" s="705">
        <f t="shared" ref="BN22:BY23" si="31">D22*0.26</f>
        <v>0</v>
      </c>
      <c r="BO22" s="705">
        <f t="shared" si="31"/>
        <v>0</v>
      </c>
      <c r="BP22" s="705">
        <f t="shared" si="31"/>
        <v>0</v>
      </c>
      <c r="BQ22" s="705">
        <f t="shared" si="31"/>
        <v>600.6</v>
      </c>
      <c r="BR22" s="705">
        <f t="shared" si="31"/>
        <v>600.6</v>
      </c>
      <c r="BS22" s="705">
        <f t="shared" si="31"/>
        <v>600.6</v>
      </c>
      <c r="BT22" s="705">
        <f t="shared" si="31"/>
        <v>600.6</v>
      </c>
      <c r="BU22" s="705">
        <f t="shared" si="31"/>
        <v>600.6</v>
      </c>
      <c r="BV22" s="705">
        <f t="shared" si="31"/>
        <v>600.6</v>
      </c>
      <c r="BW22" s="705">
        <f t="shared" si="31"/>
        <v>600.6</v>
      </c>
      <c r="BX22" s="705">
        <f t="shared" si="31"/>
        <v>600.6</v>
      </c>
      <c r="BY22" s="705">
        <f t="shared" si="31"/>
        <v>600.6</v>
      </c>
    </row>
    <row r="23" spans="1:77" s="578" customFormat="1">
      <c r="A23" s="694" t="s">
        <v>123</v>
      </c>
      <c r="B23" s="695"/>
      <c r="C23" s="695"/>
      <c r="D23" s="696">
        <f>ROUND('Program Model'!B27/D24,0)</f>
        <v>0</v>
      </c>
      <c r="E23" s="696">
        <f>ROUND('Program Model'!C27/E24,0)</f>
        <v>0</v>
      </c>
      <c r="F23" s="696">
        <f>ROUND('Program Model'!D27/F24,0)</f>
        <v>0</v>
      </c>
      <c r="G23" s="696">
        <f>ROUND('Program Model'!E27/G24,0)</f>
        <v>1</v>
      </c>
      <c r="H23" s="696">
        <f>ROUND('Program Model'!F27/H24,0)</f>
        <v>1</v>
      </c>
      <c r="I23" s="696">
        <f>ROUND('Program Model'!G27/I24,0)</f>
        <v>1</v>
      </c>
      <c r="J23" s="696">
        <f>ROUND('Program Model'!H27/J24,0)</f>
        <v>1</v>
      </c>
      <c r="K23" s="696">
        <f>ROUND('Program Model'!I27/K24,0)</f>
        <v>1</v>
      </c>
      <c r="L23" s="696">
        <f>ROUND('Program Model'!J27/L24,0)</f>
        <v>1</v>
      </c>
      <c r="M23" s="696">
        <f>ROUND('Program Model'!K27/M24,0)</f>
        <v>1</v>
      </c>
      <c r="N23" s="696">
        <f>ROUND('Program Model'!L27/N24,0)</f>
        <v>1</v>
      </c>
      <c r="O23" s="697">
        <f>ROUND('Program Model'!M27/O24,0)</f>
        <v>1</v>
      </c>
      <c r="P23" s="696">
        <f>ROUND('Program Model'!N27/P24,0)</f>
        <v>1</v>
      </c>
      <c r="Q23" s="696">
        <f>ROUND('Program Model'!O27/Q24,0)</f>
        <v>1</v>
      </c>
      <c r="R23" s="696">
        <f>ROUND('Program Model'!P27/R24,0)</f>
        <v>1</v>
      </c>
      <c r="S23" s="696">
        <f>ROUND('Program Model'!Q27/S24,0)</f>
        <v>1</v>
      </c>
      <c r="T23" s="696">
        <f>ROUND('Program Model'!R27/T24,0)</f>
        <v>1</v>
      </c>
      <c r="U23" s="696">
        <f>ROUND('Program Model'!S27/U24,0)</f>
        <v>1</v>
      </c>
      <c r="V23" s="696">
        <f>ROUND('Program Model'!T27/V24,0)</f>
        <v>1</v>
      </c>
      <c r="W23" s="696">
        <f>ROUND('Program Model'!U27/W24,0)</f>
        <v>1</v>
      </c>
      <c r="X23" s="696">
        <f>ROUND('Program Model'!V27/X24,0)</f>
        <v>1</v>
      </c>
      <c r="Y23" s="696">
        <f>ROUND('Program Model'!W27/Y24,0)</f>
        <v>1</v>
      </c>
      <c r="Z23" s="696">
        <f>ROUND('Program Model'!X27/Z24,0)</f>
        <v>1</v>
      </c>
      <c r="AA23" s="697">
        <f>ROUND('Program Model'!Y27/AA24,0)</f>
        <v>1</v>
      </c>
      <c r="AB23" s="696">
        <f>ROUND('Program Model'!Z27/AB24,0)</f>
        <v>2</v>
      </c>
      <c r="AC23" s="696">
        <f>ROUND('Program Model'!AA27/AC24,0)</f>
        <v>2</v>
      </c>
      <c r="AD23" s="696">
        <f>ROUND('Program Model'!AB27/AD24,0)</f>
        <v>2</v>
      </c>
      <c r="AE23" s="696">
        <f>ROUND('Program Model'!AC27/AE24,0)</f>
        <v>2</v>
      </c>
      <c r="AF23" s="696">
        <f>ROUND('Program Model'!AD27/AF24,0)</f>
        <v>2</v>
      </c>
      <c r="AG23" s="696">
        <f>ROUND('Program Model'!AE27/AG24,0)</f>
        <v>2</v>
      </c>
      <c r="AH23" s="696">
        <f>ROUND('Program Model'!AF27/AH24,0)</f>
        <v>2</v>
      </c>
      <c r="AI23" s="696">
        <f>ROUND('Program Model'!AG27/AI24,0)</f>
        <v>2</v>
      </c>
      <c r="AJ23" s="696">
        <f>ROUND('Program Model'!AH27/AJ24,0)</f>
        <v>2</v>
      </c>
      <c r="AK23" s="696">
        <f>ROUND('Program Model'!AI27/AK24,0)</f>
        <v>2</v>
      </c>
      <c r="AL23" s="696">
        <f>ROUND('Program Model'!AJ27/AL24,0)</f>
        <v>3</v>
      </c>
      <c r="AM23" s="697">
        <f>ROUND('Program Model'!AK27/AM24,0)</f>
        <v>3</v>
      </c>
      <c r="AN23" s="696">
        <f>ROUND('Program Model'!AL27/AN24,0)</f>
        <v>3</v>
      </c>
      <c r="AO23" s="696">
        <f>ROUND('Program Model'!AM27/AO24,0)</f>
        <v>3</v>
      </c>
      <c r="AP23" s="696">
        <f>ROUND('Program Model'!AN27/AP24,0)</f>
        <v>3</v>
      </c>
      <c r="AQ23" s="696">
        <f>ROUND('Program Model'!AO27/AQ24,0)</f>
        <v>3</v>
      </c>
      <c r="AR23" s="696">
        <f>ROUND('Program Model'!AP27/AR24,0)</f>
        <v>3</v>
      </c>
      <c r="AS23" s="696">
        <f>ROUND('Program Model'!AQ27/AS24,0)</f>
        <v>4</v>
      </c>
      <c r="AT23" s="696">
        <f>ROUND('Program Model'!AR27/AT24,0)</f>
        <v>4</v>
      </c>
      <c r="AU23" s="696">
        <f>ROUND('Program Model'!AS27/AU24,0)</f>
        <v>4</v>
      </c>
      <c r="AV23" s="696">
        <f>ROUND('Program Model'!AT27/AV24,0)</f>
        <v>4</v>
      </c>
      <c r="AW23" s="696">
        <f>ROUND('Program Model'!AU27/AW24,0)</f>
        <v>4</v>
      </c>
      <c r="AX23" s="696">
        <f>ROUND('Program Model'!AV27/AX24,0)</f>
        <v>4</v>
      </c>
      <c r="AY23" s="697">
        <f>ROUND('Program Model'!AW27/AY24,0)</f>
        <v>5</v>
      </c>
      <c r="AZ23" s="696">
        <f>ROUND('Program Model'!AX27/AZ24,0)</f>
        <v>5</v>
      </c>
      <c r="BA23" s="696">
        <f>ROUND('Program Model'!AY27/BA24,0)</f>
        <v>5</v>
      </c>
      <c r="BB23" s="696">
        <f>ROUND('Program Model'!AZ27/BB24,0)</f>
        <v>5</v>
      </c>
      <c r="BC23" s="696">
        <f>ROUND('Program Model'!BA27/BC24,0)</f>
        <v>5</v>
      </c>
      <c r="BD23" s="696">
        <f>ROUND('Program Model'!BB27/BD24,0)</f>
        <v>6</v>
      </c>
      <c r="BE23" s="696">
        <f>ROUND('Program Model'!BC27/BE24,0)</f>
        <v>6</v>
      </c>
      <c r="BF23" s="696">
        <f>ROUND('Program Model'!BD27/BF24,0)</f>
        <v>6</v>
      </c>
      <c r="BG23" s="696">
        <f>ROUND('Program Model'!BE27/BG24,0)</f>
        <v>6</v>
      </c>
      <c r="BH23" s="696">
        <f>ROUND('Program Model'!BF27/BH24,0)</f>
        <v>7</v>
      </c>
      <c r="BI23" s="696">
        <f>ROUND('Program Model'!BG27/BI24,0)</f>
        <v>7</v>
      </c>
      <c r="BJ23" s="696">
        <f>ROUND('Program Model'!BH27/BJ24,0)</f>
        <v>7</v>
      </c>
      <c r="BK23" s="697">
        <f>ROUND('Program Model'!BI27/BK24,0)</f>
        <v>7</v>
      </c>
      <c r="BL23" s="696"/>
      <c r="BM23" s="695"/>
      <c r="BN23" s="698">
        <f t="shared" si="31"/>
        <v>0</v>
      </c>
      <c r="BO23" s="698">
        <f t="shared" si="31"/>
        <v>0</v>
      </c>
      <c r="BP23" s="698">
        <f t="shared" si="31"/>
        <v>0</v>
      </c>
      <c r="BQ23" s="698">
        <f t="shared" si="31"/>
        <v>0.26</v>
      </c>
      <c r="BR23" s="698">
        <f t="shared" si="31"/>
        <v>0.26</v>
      </c>
      <c r="BS23" s="698">
        <f t="shared" si="31"/>
        <v>0.26</v>
      </c>
      <c r="BT23" s="698">
        <f t="shared" si="31"/>
        <v>0.26</v>
      </c>
      <c r="BU23" s="698">
        <f t="shared" si="31"/>
        <v>0.26</v>
      </c>
      <c r="BV23" s="698">
        <f t="shared" si="31"/>
        <v>0.26</v>
      </c>
      <c r="BW23" s="698">
        <f t="shared" si="31"/>
        <v>0.26</v>
      </c>
      <c r="BX23" s="698">
        <f t="shared" si="31"/>
        <v>0.26</v>
      </c>
      <c r="BY23" s="698">
        <f t="shared" si="31"/>
        <v>0.26</v>
      </c>
    </row>
    <row r="24" spans="1:77" s="772" customFormat="1">
      <c r="A24" s="712"/>
      <c r="B24" s="1310" t="s">
        <v>362</v>
      </c>
      <c r="C24" s="1310"/>
      <c r="D24" s="426">
        <v>100</v>
      </c>
      <c r="E24" s="426">
        <f>D24+4</f>
        <v>104</v>
      </c>
      <c r="F24" s="426">
        <f t="shared" ref="F24:BK24" si="32">E24+4</f>
        <v>108</v>
      </c>
      <c r="G24" s="426">
        <f t="shared" si="32"/>
        <v>112</v>
      </c>
      <c r="H24" s="426">
        <f t="shared" si="32"/>
        <v>116</v>
      </c>
      <c r="I24" s="426">
        <f t="shared" si="32"/>
        <v>120</v>
      </c>
      <c r="J24" s="426">
        <f t="shared" si="32"/>
        <v>124</v>
      </c>
      <c r="K24" s="426">
        <f t="shared" si="32"/>
        <v>128</v>
      </c>
      <c r="L24" s="426">
        <f t="shared" si="32"/>
        <v>132</v>
      </c>
      <c r="M24" s="426">
        <f t="shared" si="32"/>
        <v>136</v>
      </c>
      <c r="N24" s="426">
        <f t="shared" si="32"/>
        <v>140</v>
      </c>
      <c r="O24" s="429">
        <f t="shared" si="32"/>
        <v>144</v>
      </c>
      <c r="P24" s="426">
        <f t="shared" si="32"/>
        <v>148</v>
      </c>
      <c r="Q24" s="426">
        <f t="shared" si="32"/>
        <v>152</v>
      </c>
      <c r="R24" s="426">
        <f t="shared" si="32"/>
        <v>156</v>
      </c>
      <c r="S24" s="426">
        <f t="shared" si="32"/>
        <v>160</v>
      </c>
      <c r="T24" s="426">
        <f t="shared" si="32"/>
        <v>164</v>
      </c>
      <c r="U24" s="426">
        <f t="shared" si="32"/>
        <v>168</v>
      </c>
      <c r="V24" s="426">
        <f t="shared" si="32"/>
        <v>172</v>
      </c>
      <c r="W24" s="426">
        <f t="shared" si="32"/>
        <v>176</v>
      </c>
      <c r="X24" s="426">
        <f t="shared" si="32"/>
        <v>180</v>
      </c>
      <c r="Y24" s="426">
        <f t="shared" si="32"/>
        <v>184</v>
      </c>
      <c r="Z24" s="426">
        <f t="shared" si="32"/>
        <v>188</v>
      </c>
      <c r="AA24" s="429">
        <f t="shared" si="32"/>
        <v>192</v>
      </c>
      <c r="AB24" s="426">
        <f t="shared" si="32"/>
        <v>196</v>
      </c>
      <c r="AC24" s="426">
        <f t="shared" si="32"/>
        <v>200</v>
      </c>
      <c r="AD24" s="426">
        <f t="shared" si="32"/>
        <v>204</v>
      </c>
      <c r="AE24" s="426">
        <f t="shared" si="32"/>
        <v>208</v>
      </c>
      <c r="AF24" s="426">
        <f t="shared" si="32"/>
        <v>212</v>
      </c>
      <c r="AG24" s="426">
        <f t="shared" si="32"/>
        <v>216</v>
      </c>
      <c r="AH24" s="426">
        <f t="shared" si="32"/>
        <v>220</v>
      </c>
      <c r="AI24" s="426">
        <f t="shared" si="32"/>
        <v>224</v>
      </c>
      <c r="AJ24" s="426">
        <f t="shared" si="32"/>
        <v>228</v>
      </c>
      <c r="AK24" s="426">
        <f t="shared" si="32"/>
        <v>232</v>
      </c>
      <c r="AL24" s="426">
        <f t="shared" si="32"/>
        <v>236</v>
      </c>
      <c r="AM24" s="429">
        <f t="shared" si="32"/>
        <v>240</v>
      </c>
      <c r="AN24" s="426">
        <f t="shared" si="32"/>
        <v>244</v>
      </c>
      <c r="AO24" s="426">
        <f t="shared" si="32"/>
        <v>248</v>
      </c>
      <c r="AP24" s="426">
        <f t="shared" si="32"/>
        <v>252</v>
      </c>
      <c r="AQ24" s="426">
        <f t="shared" si="32"/>
        <v>256</v>
      </c>
      <c r="AR24" s="426">
        <f t="shared" si="32"/>
        <v>260</v>
      </c>
      <c r="AS24" s="426">
        <f t="shared" si="32"/>
        <v>264</v>
      </c>
      <c r="AT24" s="426">
        <f t="shared" si="32"/>
        <v>268</v>
      </c>
      <c r="AU24" s="426">
        <f t="shared" si="32"/>
        <v>272</v>
      </c>
      <c r="AV24" s="426">
        <f t="shared" si="32"/>
        <v>276</v>
      </c>
      <c r="AW24" s="426">
        <f t="shared" si="32"/>
        <v>280</v>
      </c>
      <c r="AX24" s="426">
        <f t="shared" si="32"/>
        <v>284</v>
      </c>
      <c r="AY24" s="429">
        <f t="shared" si="32"/>
        <v>288</v>
      </c>
      <c r="AZ24" s="426">
        <f t="shared" si="32"/>
        <v>292</v>
      </c>
      <c r="BA24" s="426">
        <f t="shared" si="32"/>
        <v>296</v>
      </c>
      <c r="BB24" s="426">
        <f t="shared" si="32"/>
        <v>300</v>
      </c>
      <c r="BC24" s="426">
        <f t="shared" si="32"/>
        <v>304</v>
      </c>
      <c r="BD24" s="426">
        <f t="shared" si="32"/>
        <v>308</v>
      </c>
      <c r="BE24" s="426">
        <f t="shared" si="32"/>
        <v>312</v>
      </c>
      <c r="BF24" s="426">
        <f t="shared" si="32"/>
        <v>316</v>
      </c>
      <c r="BG24" s="426">
        <f t="shared" si="32"/>
        <v>320</v>
      </c>
      <c r="BH24" s="426">
        <f t="shared" si="32"/>
        <v>324</v>
      </c>
      <c r="BI24" s="426">
        <f t="shared" si="32"/>
        <v>328</v>
      </c>
      <c r="BJ24" s="426">
        <f t="shared" si="32"/>
        <v>332</v>
      </c>
      <c r="BK24" s="429">
        <f t="shared" si="32"/>
        <v>336</v>
      </c>
      <c r="BL24" s="426"/>
      <c r="BM24" s="770"/>
      <c r="BN24" s="771"/>
      <c r="BO24" s="771"/>
      <c r="BP24" s="771"/>
      <c r="BQ24" s="771"/>
      <c r="BR24" s="771"/>
      <c r="BS24" s="771"/>
      <c r="BT24" s="771"/>
      <c r="BU24" s="771"/>
      <c r="BV24" s="771"/>
      <c r="BW24" s="771"/>
      <c r="BX24" s="771"/>
      <c r="BY24" s="771"/>
    </row>
    <row r="25" spans="1:77" s="59" customFormat="1" ht="18.75" customHeight="1">
      <c r="A25" s="762" t="s">
        <v>299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1"/>
      <c r="P25" s="732"/>
      <c r="Q25" s="732"/>
      <c r="R25" s="732"/>
      <c r="S25" s="732"/>
      <c r="T25" s="732"/>
      <c r="U25" s="732"/>
      <c r="V25" s="732"/>
      <c r="W25" s="732"/>
      <c r="X25" s="732"/>
      <c r="Y25" s="732"/>
      <c r="Z25" s="732"/>
      <c r="AA25" s="731"/>
      <c r="AB25" s="732"/>
      <c r="AC25" s="732"/>
      <c r="AD25" s="732"/>
      <c r="AE25" s="732"/>
      <c r="AF25" s="732"/>
      <c r="AG25" s="732"/>
      <c r="AH25" s="732"/>
      <c r="AI25" s="732"/>
      <c r="AJ25" s="732"/>
      <c r="AK25" s="732"/>
      <c r="AL25" s="732"/>
      <c r="AM25" s="731"/>
      <c r="AN25" s="732"/>
      <c r="AO25" s="732"/>
      <c r="AP25" s="732"/>
      <c r="AQ25" s="732"/>
      <c r="AR25" s="732"/>
      <c r="AS25" s="732"/>
      <c r="AT25" s="732"/>
      <c r="AU25" s="732"/>
      <c r="AV25" s="732"/>
      <c r="AW25" s="732"/>
      <c r="AX25" s="732"/>
      <c r="AY25" s="731"/>
      <c r="AZ25" s="732"/>
      <c r="BA25" s="732"/>
      <c r="BB25" s="732"/>
      <c r="BC25" s="732"/>
      <c r="BD25" s="732"/>
      <c r="BE25" s="732"/>
      <c r="BF25" s="732"/>
      <c r="BG25" s="732"/>
      <c r="BH25" s="732"/>
      <c r="BI25" s="732"/>
      <c r="BJ25" s="732"/>
      <c r="BK25" s="731"/>
      <c r="BL25" s="732"/>
      <c r="BM25" s="730"/>
      <c r="BN25" s="733"/>
      <c r="BO25" s="733"/>
      <c r="BP25" s="733"/>
      <c r="BQ25" s="733"/>
      <c r="BR25" s="733"/>
      <c r="BS25" s="733"/>
      <c r="BT25" s="733"/>
      <c r="BU25" s="733"/>
      <c r="BV25" s="733"/>
      <c r="BW25" s="733"/>
      <c r="BX25" s="733"/>
      <c r="BY25" s="733"/>
    </row>
    <row r="26" spans="1:77" s="706" customFormat="1">
      <c r="B26" s="329">
        <v>48000</v>
      </c>
      <c r="C26" s="703">
        <f>B1*B26</f>
        <v>12480</v>
      </c>
      <c r="D26" s="703">
        <f>($B26+$C26)/12*D27</f>
        <v>5040</v>
      </c>
      <c r="E26" s="703">
        <f t="shared" ref="E26:O26" si="33">($B26+$C26)/12*E27</f>
        <v>5040</v>
      </c>
      <c r="F26" s="703">
        <f t="shared" si="33"/>
        <v>5040</v>
      </c>
      <c r="G26" s="703">
        <f t="shared" si="33"/>
        <v>5040</v>
      </c>
      <c r="H26" s="703">
        <f t="shared" si="33"/>
        <v>5040</v>
      </c>
      <c r="I26" s="703">
        <f t="shared" si="33"/>
        <v>5040</v>
      </c>
      <c r="J26" s="703">
        <f t="shared" si="33"/>
        <v>5040</v>
      </c>
      <c r="K26" s="703">
        <f t="shared" si="33"/>
        <v>5040</v>
      </c>
      <c r="L26" s="703">
        <f t="shared" si="33"/>
        <v>5040</v>
      </c>
      <c r="M26" s="703">
        <f t="shared" si="33"/>
        <v>5040</v>
      </c>
      <c r="N26" s="703">
        <f t="shared" si="33"/>
        <v>5040</v>
      </c>
      <c r="O26" s="704">
        <f t="shared" si="33"/>
        <v>5040</v>
      </c>
      <c r="P26" s="703">
        <f>($B26+$C26)/12*P27</f>
        <v>5040</v>
      </c>
      <c r="Q26" s="703">
        <f t="shared" ref="Q26:AA26" si="34">($B26+$C26)/12*Q27</f>
        <v>5040</v>
      </c>
      <c r="R26" s="703">
        <f t="shared" si="34"/>
        <v>5040</v>
      </c>
      <c r="S26" s="703">
        <f t="shared" si="34"/>
        <v>5040</v>
      </c>
      <c r="T26" s="703">
        <f t="shared" si="34"/>
        <v>5040</v>
      </c>
      <c r="U26" s="703">
        <f t="shared" si="34"/>
        <v>5040</v>
      </c>
      <c r="V26" s="703">
        <f t="shared" si="34"/>
        <v>5040</v>
      </c>
      <c r="W26" s="703">
        <f t="shared" si="34"/>
        <v>10080</v>
      </c>
      <c r="X26" s="703">
        <f t="shared" si="34"/>
        <v>10080</v>
      </c>
      <c r="Y26" s="703">
        <f t="shared" si="34"/>
        <v>10080</v>
      </c>
      <c r="Z26" s="703">
        <f t="shared" si="34"/>
        <v>10080</v>
      </c>
      <c r="AA26" s="704">
        <f t="shared" si="34"/>
        <v>10080</v>
      </c>
      <c r="AB26" s="703">
        <f>($B26+$C26)/12*AB27</f>
        <v>10080</v>
      </c>
      <c r="AC26" s="703">
        <f t="shared" ref="AC26:AM26" si="35">($B26+$C26)/12*AC27</f>
        <v>10080</v>
      </c>
      <c r="AD26" s="703">
        <f t="shared" si="35"/>
        <v>10080</v>
      </c>
      <c r="AE26" s="703">
        <f t="shared" si="35"/>
        <v>10080</v>
      </c>
      <c r="AF26" s="703">
        <f t="shared" si="35"/>
        <v>10080</v>
      </c>
      <c r="AG26" s="703">
        <f t="shared" si="35"/>
        <v>10080</v>
      </c>
      <c r="AH26" s="703">
        <f t="shared" si="35"/>
        <v>15120</v>
      </c>
      <c r="AI26" s="703">
        <f t="shared" si="35"/>
        <v>15120</v>
      </c>
      <c r="AJ26" s="703">
        <f t="shared" si="35"/>
        <v>15120</v>
      </c>
      <c r="AK26" s="703">
        <f t="shared" si="35"/>
        <v>15120</v>
      </c>
      <c r="AL26" s="703">
        <f t="shared" si="35"/>
        <v>15120</v>
      </c>
      <c r="AM26" s="704">
        <f t="shared" si="35"/>
        <v>15120</v>
      </c>
      <c r="AN26" s="703">
        <f>($B26+$C26)/12*AN27</f>
        <v>15120</v>
      </c>
      <c r="AO26" s="703">
        <f t="shared" ref="AO26:AY26" si="36">($B26+$C26)/12*AO27</f>
        <v>15120</v>
      </c>
      <c r="AP26" s="703">
        <f t="shared" si="36"/>
        <v>15120</v>
      </c>
      <c r="AQ26" s="703">
        <f t="shared" si="36"/>
        <v>15120</v>
      </c>
      <c r="AR26" s="703">
        <f t="shared" si="36"/>
        <v>15120</v>
      </c>
      <c r="AS26" s="703">
        <f t="shared" si="36"/>
        <v>15120</v>
      </c>
      <c r="AT26" s="703">
        <f t="shared" si="36"/>
        <v>15120</v>
      </c>
      <c r="AU26" s="703">
        <f t="shared" si="36"/>
        <v>15120</v>
      </c>
      <c r="AV26" s="703">
        <f t="shared" si="36"/>
        <v>20160</v>
      </c>
      <c r="AW26" s="703">
        <f t="shared" si="36"/>
        <v>20160</v>
      </c>
      <c r="AX26" s="703">
        <f t="shared" si="36"/>
        <v>20160</v>
      </c>
      <c r="AY26" s="704">
        <f t="shared" si="36"/>
        <v>20160</v>
      </c>
      <c r="AZ26" s="703">
        <f>($B26+$C26)/12*AZ27</f>
        <v>20160</v>
      </c>
      <c r="BA26" s="703">
        <f t="shared" ref="BA26:BK26" si="37">($B26+$C26)/12*BA27</f>
        <v>20160</v>
      </c>
      <c r="BB26" s="703">
        <f t="shared" si="37"/>
        <v>20160</v>
      </c>
      <c r="BC26" s="703">
        <f t="shared" si="37"/>
        <v>20160</v>
      </c>
      <c r="BD26" s="703">
        <f t="shared" si="37"/>
        <v>20160</v>
      </c>
      <c r="BE26" s="703">
        <f t="shared" si="37"/>
        <v>20160</v>
      </c>
      <c r="BF26" s="703">
        <f t="shared" si="37"/>
        <v>20160</v>
      </c>
      <c r="BG26" s="703">
        <f t="shared" si="37"/>
        <v>20160</v>
      </c>
      <c r="BH26" s="703">
        <f t="shared" si="37"/>
        <v>20160</v>
      </c>
      <c r="BI26" s="703">
        <f t="shared" si="37"/>
        <v>20160</v>
      </c>
      <c r="BJ26" s="703">
        <f t="shared" si="37"/>
        <v>20160</v>
      </c>
      <c r="BK26" s="704">
        <f t="shared" si="37"/>
        <v>25200</v>
      </c>
      <c r="BL26" s="703"/>
      <c r="BM26" s="703"/>
      <c r="BN26" s="705"/>
      <c r="BO26" s="705"/>
      <c r="BP26" s="705"/>
      <c r="BQ26" s="705"/>
      <c r="BR26" s="705"/>
      <c r="BS26" s="705"/>
      <c r="BT26" s="705"/>
      <c r="BU26" s="705"/>
      <c r="BV26" s="705"/>
      <c r="BW26" s="705"/>
      <c r="BX26" s="705"/>
      <c r="BY26" s="705"/>
    </row>
    <row r="27" spans="1:77" s="719" customFormat="1">
      <c r="A27" s="717" t="s">
        <v>123</v>
      </c>
      <c r="B27" s="713"/>
      <c r="C27" s="713"/>
      <c r="D27" s="713">
        <f>IF(ROUND('Program Model'!B5/8,0)=0,1,ROUND('Program Model'!B5/8,0))</f>
        <v>1</v>
      </c>
      <c r="E27" s="713">
        <f>IF(ROUND('Program Model'!C5/8,0)=0,1,ROUND('Program Model'!C5/8,0))</f>
        <v>1</v>
      </c>
      <c r="F27" s="713">
        <f>IF(ROUND('Program Model'!D5/8,0)=0,1,ROUND('Program Model'!D5/8,0))</f>
        <v>1</v>
      </c>
      <c r="G27" s="713">
        <f>IF(ROUND('Program Model'!E5/8,0)=0,1,ROUND('Program Model'!E5/8,0))</f>
        <v>1</v>
      </c>
      <c r="H27" s="713">
        <f>IF(ROUND('Program Model'!F5/8,0)=0,1,ROUND('Program Model'!F5/8,0))</f>
        <v>1</v>
      </c>
      <c r="I27" s="713">
        <f>IF(ROUND('Program Model'!G5/8,0)=0,1,ROUND('Program Model'!G5/8,0))</f>
        <v>1</v>
      </c>
      <c r="J27" s="713">
        <f>IF(ROUND('Program Model'!H5/8,0)=0,1,ROUND('Program Model'!H5/8,0))</f>
        <v>1</v>
      </c>
      <c r="K27" s="713">
        <f>IF(ROUND('Program Model'!I5/8,0)=0,1,ROUND('Program Model'!I5/8,0))</f>
        <v>1</v>
      </c>
      <c r="L27" s="713">
        <f>IF(ROUND('Program Model'!J5/8,0)=0,1,ROUND('Program Model'!J5/8,0))</f>
        <v>1</v>
      </c>
      <c r="M27" s="713">
        <f>IF(ROUND('Program Model'!K5/8,0)=0,1,ROUND('Program Model'!K5/8,0))</f>
        <v>1</v>
      </c>
      <c r="N27" s="713">
        <f>IF(ROUND('Program Model'!L5/8,0)=0,1,ROUND('Program Model'!L5/8,0))</f>
        <v>1</v>
      </c>
      <c r="O27" s="714">
        <f>IF(ROUND('Program Model'!M5/8,0)=0,1,ROUND('Program Model'!M5/8,0))</f>
        <v>1</v>
      </c>
      <c r="P27" s="713">
        <f>IF(ROUND('Program Model'!N5/8,0)=0,1,ROUND('Program Model'!N5/8,0))</f>
        <v>1</v>
      </c>
      <c r="Q27" s="713">
        <f>IF(ROUND('Program Model'!O5/8,0)=0,1,ROUND('Program Model'!O5/8,0))</f>
        <v>1</v>
      </c>
      <c r="R27" s="713">
        <f>IF(ROUND('Program Model'!P5/8,0)=0,1,ROUND('Program Model'!P5/8,0))</f>
        <v>1</v>
      </c>
      <c r="S27" s="713">
        <f>IF(ROUND('Program Model'!Q5/8,0)=0,1,ROUND('Program Model'!Q5/8,0))</f>
        <v>1</v>
      </c>
      <c r="T27" s="713">
        <f>IF(ROUND('Program Model'!R5/8,0)=0,1,ROUND('Program Model'!R5/8,0))</f>
        <v>1</v>
      </c>
      <c r="U27" s="713">
        <f>IF(ROUND('Program Model'!S5/8,0)=0,1,ROUND('Program Model'!S5/8,0))</f>
        <v>1</v>
      </c>
      <c r="V27" s="713">
        <f>IF(ROUND('Program Model'!T5/8,0)=0,1,ROUND('Program Model'!T5/8,0))</f>
        <v>1</v>
      </c>
      <c r="W27" s="713">
        <f>IF(ROUND('Program Model'!U5/8,0)=0,1,ROUND('Program Model'!U5/8,0))</f>
        <v>2</v>
      </c>
      <c r="X27" s="713">
        <f>IF(ROUND('Program Model'!V5/8,0)=0,1,ROUND('Program Model'!V5/8,0))</f>
        <v>2</v>
      </c>
      <c r="Y27" s="713">
        <f>IF(ROUND('Program Model'!W5/8,0)=0,1,ROUND('Program Model'!W5/8,0))</f>
        <v>2</v>
      </c>
      <c r="Z27" s="713">
        <f>IF(ROUND('Program Model'!X5/8,0)=0,1,ROUND('Program Model'!X5/8,0))</f>
        <v>2</v>
      </c>
      <c r="AA27" s="714">
        <f>IF(ROUND('Program Model'!Y5/8,0)=0,1,ROUND('Program Model'!Y5/8,0))</f>
        <v>2</v>
      </c>
      <c r="AB27" s="713">
        <f>IF(ROUND('Program Model'!Z5/8,0)=0,1,ROUND('Program Model'!Z5/8,0))</f>
        <v>2</v>
      </c>
      <c r="AC27" s="713">
        <f>IF(ROUND('Program Model'!AA5/8,0)=0,1,ROUND('Program Model'!AA5/8,0))</f>
        <v>2</v>
      </c>
      <c r="AD27" s="713">
        <f>IF(ROUND('Program Model'!AB5/8,0)=0,1,ROUND('Program Model'!AB5/8,0))</f>
        <v>2</v>
      </c>
      <c r="AE27" s="713">
        <f>IF(ROUND('Program Model'!AC5/8,0)=0,1,ROUND('Program Model'!AC5/8,0))</f>
        <v>2</v>
      </c>
      <c r="AF27" s="713">
        <f>IF(ROUND('Program Model'!AD5/8,0)=0,1,ROUND('Program Model'!AD5/8,0))</f>
        <v>2</v>
      </c>
      <c r="AG27" s="713">
        <f>IF(ROUND('Program Model'!AE5/8,0)=0,1,ROUND('Program Model'!AE5/8,0))</f>
        <v>2</v>
      </c>
      <c r="AH27" s="713">
        <f>IF(ROUND('Program Model'!AF5/8,0)=0,1,ROUND('Program Model'!AF5/8,0))</f>
        <v>3</v>
      </c>
      <c r="AI27" s="713">
        <f>IF(ROUND('Program Model'!AG5/8,0)=0,1,ROUND('Program Model'!AG5/8,0))</f>
        <v>3</v>
      </c>
      <c r="AJ27" s="713">
        <f>IF(ROUND('Program Model'!AH5/8,0)=0,1,ROUND('Program Model'!AH5/8,0))</f>
        <v>3</v>
      </c>
      <c r="AK27" s="713">
        <f>IF(ROUND('Program Model'!AI5/8,0)=0,1,ROUND('Program Model'!AI5/8,0))</f>
        <v>3</v>
      </c>
      <c r="AL27" s="713">
        <f>IF(ROUND('Program Model'!AJ5/8,0)=0,1,ROUND('Program Model'!AJ5/8,0))</f>
        <v>3</v>
      </c>
      <c r="AM27" s="714">
        <f>IF(ROUND('Program Model'!AK5/8,0)=0,1,ROUND('Program Model'!AK5/8,0))</f>
        <v>3</v>
      </c>
      <c r="AN27" s="713">
        <f>IF(ROUND('Program Model'!AL5/8,0)=0,1,ROUND('Program Model'!AL5/8,0))</f>
        <v>3</v>
      </c>
      <c r="AO27" s="713">
        <f>IF(ROUND('Program Model'!AM5/8,0)=0,1,ROUND('Program Model'!AM5/8,0))</f>
        <v>3</v>
      </c>
      <c r="AP27" s="713">
        <f>IF(ROUND('Program Model'!AN5/8,0)=0,1,ROUND('Program Model'!AN5/8,0))</f>
        <v>3</v>
      </c>
      <c r="AQ27" s="713">
        <f>IF(ROUND('Program Model'!AO5/8,0)=0,1,ROUND('Program Model'!AO5/8,0))</f>
        <v>3</v>
      </c>
      <c r="AR27" s="713">
        <f>IF(ROUND('Program Model'!AP5/8,0)=0,1,ROUND('Program Model'!AP5/8,0))</f>
        <v>3</v>
      </c>
      <c r="AS27" s="713">
        <f>IF(ROUND('Program Model'!AQ5/8,0)=0,1,ROUND('Program Model'!AQ5/8,0))</f>
        <v>3</v>
      </c>
      <c r="AT27" s="713">
        <f>IF(ROUND('Program Model'!AR5/8,0)=0,1,ROUND('Program Model'!AR5/8,0))</f>
        <v>3</v>
      </c>
      <c r="AU27" s="713">
        <f>IF(ROUND('Program Model'!AS5/8,0)=0,1,ROUND('Program Model'!AS5/8,0))</f>
        <v>3</v>
      </c>
      <c r="AV27" s="713">
        <f>IF(ROUND('Program Model'!AT5/8,0)=0,1,ROUND('Program Model'!AT5/8,0))</f>
        <v>4</v>
      </c>
      <c r="AW27" s="713">
        <f>IF(ROUND('Program Model'!AU5/8,0)=0,1,ROUND('Program Model'!AU5/8,0))</f>
        <v>4</v>
      </c>
      <c r="AX27" s="713">
        <f>IF(ROUND('Program Model'!AV5/8,0)=0,1,ROUND('Program Model'!AV5/8,0))</f>
        <v>4</v>
      </c>
      <c r="AY27" s="714">
        <f>IF(ROUND('Program Model'!AW5/8,0)=0,1,ROUND('Program Model'!AW5/8,0))</f>
        <v>4</v>
      </c>
      <c r="AZ27" s="713">
        <f>IF(ROUND('Program Model'!AX5/8,0)=0,1,ROUND('Program Model'!AX5/8,0))</f>
        <v>4</v>
      </c>
      <c r="BA27" s="713">
        <f>IF(ROUND('Program Model'!AY5/8,0)=0,1,ROUND('Program Model'!AY5/8,0))</f>
        <v>4</v>
      </c>
      <c r="BB27" s="713">
        <f>IF(ROUND('Program Model'!AZ5/8,0)=0,1,ROUND('Program Model'!AZ5/8,0))</f>
        <v>4</v>
      </c>
      <c r="BC27" s="713">
        <f>IF(ROUND('Program Model'!BA5/8,0)=0,1,ROUND('Program Model'!BA5/8,0))</f>
        <v>4</v>
      </c>
      <c r="BD27" s="713">
        <f>IF(ROUND('Program Model'!BB5/8,0)=0,1,ROUND('Program Model'!BB5/8,0))</f>
        <v>4</v>
      </c>
      <c r="BE27" s="713">
        <f>IF(ROUND('Program Model'!BC5/8,0)=0,1,ROUND('Program Model'!BC5/8,0))</f>
        <v>4</v>
      </c>
      <c r="BF27" s="713">
        <f>IF(ROUND('Program Model'!BD5/8,0)=0,1,ROUND('Program Model'!BD5/8,0))</f>
        <v>4</v>
      </c>
      <c r="BG27" s="713">
        <f>IF(ROUND('Program Model'!BE5/8,0)=0,1,ROUND('Program Model'!BE5/8,0))</f>
        <v>4</v>
      </c>
      <c r="BH27" s="713">
        <f>IF(ROUND('Program Model'!BF5/8,0)=0,1,ROUND('Program Model'!BF5/8,0))</f>
        <v>4</v>
      </c>
      <c r="BI27" s="713">
        <f>IF(ROUND('Program Model'!BG5/8,0)=0,1,ROUND('Program Model'!BG5/8,0))</f>
        <v>4</v>
      </c>
      <c r="BJ27" s="713">
        <f>IF(ROUND('Program Model'!BH5/8,0)=0,1,ROUND('Program Model'!BH5/8,0))</f>
        <v>4</v>
      </c>
      <c r="BK27" s="714">
        <f>IF(ROUND('Program Model'!BI5/8,0)=0,1,ROUND('Program Model'!BI5/8,0))</f>
        <v>5</v>
      </c>
      <c r="BL27" s="713"/>
      <c r="BM27" s="713" t="e">
        <f>IF(#REF!&gt;15,1,IF(#REF!&gt;8,0.5,0))</f>
        <v>#REF!</v>
      </c>
      <c r="BN27" s="718" t="e">
        <f>IF(#REF!&gt;15,1,IF(#REF!&gt;8,0.5,0))</f>
        <v>#REF!</v>
      </c>
      <c r="BO27" s="718" t="e">
        <f>IF(#REF!&gt;15,1,IF(#REF!&gt;8,0.5,0))</f>
        <v>#REF!</v>
      </c>
      <c r="BP27" s="718" t="e">
        <f>IF(#REF!&gt;15,1,IF(#REF!&gt;8,0.5,0))</f>
        <v>#REF!</v>
      </c>
      <c r="BQ27" s="718" t="e">
        <f>IF(#REF!&gt;15,1,IF(#REF!&gt;8,0.5,0))</f>
        <v>#REF!</v>
      </c>
      <c r="BR27" s="718" t="e">
        <f>IF(#REF!&gt;15,1,IF(#REF!&gt;8,0.5,0))</f>
        <v>#REF!</v>
      </c>
      <c r="BS27" s="718" t="e">
        <f>IF(#REF!&gt;15,1,IF(#REF!&gt;8,0.5,0))</f>
        <v>#REF!</v>
      </c>
      <c r="BT27" s="718" t="e">
        <f>IF(#REF!&gt;15,1,IF(#REF!&gt;8,0.5,0))</f>
        <v>#REF!</v>
      </c>
      <c r="BU27" s="718" t="e">
        <f>IF(#REF!&gt;15,1,IF(#REF!&gt;8,0.5,0))</f>
        <v>#REF!</v>
      </c>
      <c r="BV27" s="718" t="e">
        <f>IF(#REF!&gt;15,1,IF(#REF!&gt;8,0.5,0))</f>
        <v>#REF!</v>
      </c>
      <c r="BW27" s="718" t="e">
        <f>IF(#REF!&gt;15,1,IF(#REF!&gt;8,0.5,0))</f>
        <v>#REF!</v>
      </c>
      <c r="BX27" s="718" t="e">
        <f>IF(#REF!&gt;15,1,IF(#REF!&gt;8,0.5,0))</f>
        <v>#REF!</v>
      </c>
      <c r="BY27" s="718" t="e">
        <f>IF(#REF!&gt;15,1,IF(#REF!&gt;8,0.5,0))</f>
        <v>#REF!</v>
      </c>
    </row>
    <row r="28" spans="1:77" s="59" customFormat="1" ht="21.75" customHeight="1">
      <c r="A28" s="765" t="s">
        <v>53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1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1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  <c r="AM28" s="731"/>
      <c r="AN28" s="732"/>
      <c r="AO28" s="732"/>
      <c r="AP28" s="732"/>
      <c r="AQ28" s="732"/>
      <c r="AR28" s="732"/>
      <c r="AS28" s="732"/>
      <c r="AT28" s="732"/>
      <c r="AU28" s="732"/>
      <c r="AV28" s="732"/>
      <c r="AW28" s="732"/>
      <c r="AX28" s="732"/>
      <c r="AY28" s="731"/>
      <c r="AZ28" s="732"/>
      <c r="BA28" s="732"/>
      <c r="BB28" s="732"/>
      <c r="BC28" s="732"/>
      <c r="BD28" s="732"/>
      <c r="BE28" s="732"/>
      <c r="BF28" s="732"/>
      <c r="BG28" s="732"/>
      <c r="BH28" s="732"/>
      <c r="BI28" s="732"/>
      <c r="BJ28" s="732"/>
      <c r="BK28" s="731"/>
      <c r="BL28" s="732"/>
      <c r="BM28" s="730"/>
      <c r="BN28" s="733"/>
      <c r="BO28" s="733"/>
      <c r="BP28" s="733"/>
      <c r="BQ28" s="733"/>
      <c r="BR28" s="733"/>
      <c r="BS28" s="733"/>
      <c r="BT28" s="733"/>
      <c r="BU28" s="733"/>
      <c r="BV28" s="733"/>
      <c r="BW28" s="733"/>
      <c r="BX28" s="733"/>
      <c r="BY28" s="733"/>
    </row>
    <row r="29" spans="1:77" s="723" customFormat="1">
      <c r="B29" s="333">
        <v>42000</v>
      </c>
      <c r="C29" s="721">
        <f>B29*B1</f>
        <v>10920</v>
      </c>
      <c r="D29" s="721">
        <f>IF('Contractor Model'!B28&lt;10,0,IF('Contractor Model'!B28&lt;20,0.5*(('Prg. HR'!$B$29+'Prg. HR'!$C$29)/12),SUM('Prg. HR'!$B29:$C29)/12))</f>
        <v>0</v>
      </c>
      <c r="E29" s="721">
        <f>IF('Contractor Model'!C28&lt;10,0,IF('Contractor Model'!C28&lt;20,0.5*(('Prg. HR'!$B$29+'Prg. HR'!$C$29)/12),SUM('Prg. HR'!$B29:$C29)/12))</f>
        <v>0</v>
      </c>
      <c r="F29" s="721">
        <f>IF('Contractor Model'!D28&lt;10,0,IF('Contractor Model'!D28&lt;20,0.5*(('Prg. HR'!$B$29+'Prg. HR'!$C$29)/12),SUM('Prg. HR'!$B29:$C29)/12))</f>
        <v>0</v>
      </c>
      <c r="G29" s="721">
        <f>IF('Contractor Model'!E28&lt;10,0,IF('Contractor Model'!E28&lt;20,0.5*(('Prg. HR'!$B$29+'Prg. HR'!$C$29)/12),SUM('Prg. HR'!$B29:$C29)/12))</f>
        <v>0</v>
      </c>
      <c r="H29" s="721">
        <f>IF('Contractor Model'!F28&lt;10,0,IF('Contractor Model'!F28&lt;20,0.5*(('Prg. HR'!$B$29+'Prg. HR'!$C$29)/12),SUM('Prg. HR'!$B29:$C29)/12))</f>
        <v>0</v>
      </c>
      <c r="I29" s="721">
        <f>IF('Contractor Model'!G28&lt;10,0,IF('Contractor Model'!G28&lt;20,0.5*(('Prg. HR'!$B$29+'Prg. HR'!$C$29)/12),SUM('Prg. HR'!$B29:$C29)/12))</f>
        <v>0</v>
      </c>
      <c r="J29" s="721">
        <f>IF('Contractor Model'!H28&lt;10,0,IF('Contractor Model'!H28&lt;20,0.5*(('Prg. HR'!$B$29+'Prg. HR'!$C$29)/12),SUM('Prg. HR'!$B29:$C29)/12))</f>
        <v>0</v>
      </c>
      <c r="K29" s="721">
        <f>IF('Contractor Model'!I28&lt;10,0,IF('Contractor Model'!I28&lt;20,0.5*(('Prg. HR'!$B$29+'Prg. HR'!$C$29)/12),SUM('Prg. HR'!$B29:$C29)/12))</f>
        <v>0</v>
      </c>
      <c r="L29" s="721">
        <f>IF('Contractor Model'!J28&lt;10,0,IF('Contractor Model'!J28&lt;20,0.5*(('Prg. HR'!$B$29+'Prg. HR'!$C$29)/12),SUM('Prg. HR'!$B29:$C29)/12))</f>
        <v>0</v>
      </c>
      <c r="M29" s="721">
        <f>IF('Contractor Model'!K28&lt;10,0,IF('Contractor Model'!K28&lt;20,0.5*(('Prg. HR'!$B$29+'Prg. HR'!$C$29)/12),SUM('Prg. HR'!$B29:$C29)/12))</f>
        <v>0</v>
      </c>
      <c r="N29" s="721">
        <f>IF('Contractor Model'!L28&lt;10,0,IF('Contractor Model'!L28&lt;20,0.5*(('Prg. HR'!$B$29+'Prg. HR'!$C$29)/12),SUM('Prg. HR'!$B29:$C29)/12))</f>
        <v>0</v>
      </c>
      <c r="O29" s="722">
        <f>IF('Contractor Model'!M28&lt;10,0,IF('Contractor Model'!M28&lt;20,0.5*(('Prg. HR'!$B$29+'Prg. HR'!$C$29)/12),SUM('Prg. HR'!$B29:$C29)/12))</f>
        <v>0</v>
      </c>
      <c r="P29" s="721">
        <f>IF('Contractor Model'!N28&lt;10,0,IF('Contractor Model'!N28&lt;20,0.5*(('Prg. HR'!$B$29+'Prg. HR'!$C$29)/12),SUM('Prg. HR'!$B29:$C29)/12))</f>
        <v>0</v>
      </c>
      <c r="Q29" s="721">
        <f>IF('Contractor Model'!O28&lt;10,0,IF('Contractor Model'!O28&lt;20,0.5*(('Prg. HR'!$B$29+'Prg. HR'!$C$29)/12),SUM('Prg. HR'!$B29:$C29)/12))</f>
        <v>0</v>
      </c>
      <c r="R29" s="721">
        <f>IF('Contractor Model'!P28&lt;10,0,IF('Contractor Model'!P28&lt;20,0.5*(('Prg. HR'!$B$29+'Prg. HR'!$C$29)/12),SUM('Prg. HR'!$B29:$C29)/12))</f>
        <v>0</v>
      </c>
      <c r="S29" s="721">
        <f>IF('Contractor Model'!Q28&lt;10,0,IF('Contractor Model'!Q28&lt;20,0.5*(('Prg. HR'!$B$29+'Prg. HR'!$C$29)/12),SUM('Prg. HR'!$B29:$C29)/12))</f>
        <v>0</v>
      </c>
      <c r="T29" s="721">
        <f>IF('Contractor Model'!R28&lt;10,0,IF('Contractor Model'!R28&lt;20,0.5*(('Prg. HR'!$B$29+'Prg. HR'!$C$29)/12),SUM('Prg. HR'!$B29:$C29)/12))</f>
        <v>0</v>
      </c>
      <c r="U29" s="721">
        <f>IF('Contractor Model'!S28&lt;10,0,IF('Contractor Model'!S28&lt;20,0.5*(('Prg. HR'!$B$29+'Prg. HR'!$C$29)/12),SUM('Prg. HR'!$B29:$C29)/12))</f>
        <v>0</v>
      </c>
      <c r="V29" s="721">
        <f>IF('Contractor Model'!T28&lt;10,0,IF('Contractor Model'!T28&lt;20,0.5*(('Prg. HR'!$B$29+'Prg. HR'!$C$29)/12),SUM('Prg. HR'!$B29:$C29)/12))</f>
        <v>0</v>
      </c>
      <c r="W29" s="721">
        <f>IF('Contractor Model'!U28&lt;10,0,IF('Contractor Model'!U28&lt;20,0.5*(('Prg. HR'!$B$29+'Prg. HR'!$C$29)/12),SUM('Prg. HR'!$B29:$C29)/12))</f>
        <v>0</v>
      </c>
      <c r="X29" s="721">
        <f>IF('Contractor Model'!V28&lt;10,0,IF('Contractor Model'!V28&lt;20,0.5*(('Prg. HR'!$B$29+'Prg. HR'!$C$29)/12),SUM('Prg. HR'!$B29:$C29)/12))</f>
        <v>0</v>
      </c>
      <c r="Y29" s="721">
        <f>IF('Contractor Model'!W28&lt;10,0,IF('Contractor Model'!W28&lt;20,0.5*(('Prg. HR'!$B$29+'Prg. HR'!$C$29)/12),SUM('Prg. HR'!$B29:$C29)/12))</f>
        <v>0</v>
      </c>
      <c r="Z29" s="721">
        <f>IF('Contractor Model'!X28&lt;10,0,IF('Contractor Model'!X28&lt;20,0.5*(('Prg. HR'!$B$29+'Prg. HR'!$C$29)/12),SUM('Prg. HR'!$B29:$C29)/12))</f>
        <v>0</v>
      </c>
      <c r="AA29" s="722">
        <f>IF('Contractor Model'!Y28&lt;10,0,IF('Contractor Model'!Y28&lt;20,0.5*(('Prg. HR'!$B$29+'Prg. HR'!$C$29)/12),SUM('Prg. HR'!$B29:$C29)/12))</f>
        <v>0</v>
      </c>
      <c r="AB29" s="721">
        <f>IF('Contractor Model'!Z28&lt;10,0,IF('Contractor Model'!Z28&lt;20,0.5*(('Prg. HR'!$B$29+'Prg. HR'!$C$29)/12),SUM('Prg. HR'!$B29:$C29)/12))</f>
        <v>2205</v>
      </c>
      <c r="AC29" s="721">
        <f>IF('Contractor Model'!AA28&lt;10,0,IF('Contractor Model'!AA28&lt;20,0.5*(('Prg. HR'!$B$29+'Prg. HR'!$C$29)/12),SUM('Prg. HR'!$B29:$C29)/12))</f>
        <v>2205</v>
      </c>
      <c r="AD29" s="721">
        <f>IF('Contractor Model'!AB28&lt;10,0,IF('Contractor Model'!AB28&lt;20,0.5*(('Prg. HR'!$B$29+'Prg. HR'!$C$29)/12),SUM('Prg. HR'!$B29:$C29)/12))</f>
        <v>2205</v>
      </c>
      <c r="AE29" s="721">
        <f>IF('Contractor Model'!AC28&lt;10,0,IF('Contractor Model'!AC28&lt;20,0.5*(('Prg. HR'!$B$29+'Prg. HR'!$C$29)/12),SUM('Prg. HR'!$B29:$C29)/12))</f>
        <v>2205</v>
      </c>
      <c r="AF29" s="721">
        <f>IF('Contractor Model'!AD28&lt;10,0,IF('Contractor Model'!AD28&lt;20,0.5*(('Prg. HR'!$B$29+'Prg. HR'!$C$29)/12),SUM('Prg. HR'!$B29:$C29)/12))</f>
        <v>2205</v>
      </c>
      <c r="AG29" s="721">
        <f>IF('Contractor Model'!AE28&lt;10,0,IF('Contractor Model'!AE28&lt;20,0.5*(('Prg. HR'!$B$29+'Prg. HR'!$C$29)/12),SUM('Prg. HR'!$B29:$C29)/12))</f>
        <v>2205</v>
      </c>
      <c r="AH29" s="721">
        <f>IF('Contractor Model'!AF28&lt;10,0,IF('Contractor Model'!AF28&lt;20,0.5*(('Prg. HR'!$B$29+'Prg. HR'!$C$29)/12),SUM('Prg. HR'!$B29:$C29)/12))</f>
        <v>2205</v>
      </c>
      <c r="AI29" s="721">
        <f>IF('Contractor Model'!AG28&lt;10,0,IF('Contractor Model'!AG28&lt;20,0.5*(('Prg. HR'!$B$29+'Prg. HR'!$C$29)/12),SUM('Prg. HR'!$B29:$C29)/12))</f>
        <v>2205</v>
      </c>
      <c r="AJ29" s="721">
        <f>IF('Contractor Model'!AH28&lt;10,0,IF('Contractor Model'!AH28&lt;20,0.5*(('Prg. HR'!$B$29+'Prg. HR'!$C$29)/12),SUM('Prg. HR'!$B29:$C29)/12))</f>
        <v>2205</v>
      </c>
      <c r="AK29" s="721">
        <f>IF('Contractor Model'!AI28&lt;10,0,IF('Contractor Model'!AI28&lt;20,0.5*(('Prg. HR'!$B$29+'Prg. HR'!$C$29)/12),SUM('Prg. HR'!$B29:$C29)/12))</f>
        <v>2205</v>
      </c>
      <c r="AL29" s="721">
        <f>IF('Contractor Model'!AJ28&lt;10,0,IF('Contractor Model'!AJ28&lt;20,0.5*(('Prg. HR'!$B$29+'Prg. HR'!$C$29)/12),SUM('Prg. HR'!$B29:$C29)/12))</f>
        <v>4410</v>
      </c>
      <c r="AM29" s="722">
        <f>IF('Contractor Model'!AK28&lt;10,0,IF('Contractor Model'!AK28&lt;20,0.5*(('Prg. HR'!$B$29+'Prg. HR'!$C$29)/12),SUM('Prg. HR'!$B29:$C29)/12))</f>
        <v>4410</v>
      </c>
      <c r="AN29" s="721">
        <f>IF('Contractor Model'!AL28&lt;10,0,IF('Contractor Model'!AL28&lt;20,0.5*(('Prg. HR'!$B$29+'Prg. HR'!$C$29)/12),SUM('Prg. HR'!$B29:$C29)/12))</f>
        <v>4410</v>
      </c>
      <c r="AO29" s="721">
        <f>IF('Contractor Model'!AM28&lt;10,0,IF('Contractor Model'!AM28&lt;20,0.5*(('Prg. HR'!$B$29+'Prg. HR'!$C$29)/12),SUM('Prg. HR'!$B29:$C29)/12))</f>
        <v>4410</v>
      </c>
      <c r="AP29" s="721">
        <f>IF('Contractor Model'!AN28&lt;10,0,IF('Contractor Model'!AN28&lt;20,0.5*(('Prg. HR'!$B$29+'Prg. HR'!$C$29)/12),SUM('Prg. HR'!$B29:$C29)/12))</f>
        <v>4410</v>
      </c>
      <c r="AQ29" s="721">
        <f>IF('Contractor Model'!AO28&lt;10,0,IF('Contractor Model'!AO28&lt;20,0.5*(('Prg. HR'!$B$29+'Prg. HR'!$C$29)/12),SUM('Prg. HR'!$B29:$C29)/12))</f>
        <v>4410</v>
      </c>
      <c r="AR29" s="721">
        <f>IF('Contractor Model'!AP28&lt;10,0,IF('Contractor Model'!AP28&lt;20,0.5*(('Prg. HR'!$B$29+'Prg. HR'!$C$29)/12),SUM('Prg. HR'!$B29:$C29)/12))</f>
        <v>4410</v>
      </c>
      <c r="AS29" s="721">
        <f>IF('Contractor Model'!AQ28&lt;10,0,IF('Contractor Model'!AQ28&lt;20,0.5*(('Prg. HR'!$B$29+'Prg. HR'!$C$29)/12),SUM('Prg. HR'!$B29:$C29)/12))</f>
        <v>4410</v>
      </c>
      <c r="AT29" s="721">
        <f>IF('Contractor Model'!AR28&lt;10,0,IF('Contractor Model'!AR28&lt;20,0.5*(('Prg. HR'!$B$29+'Prg. HR'!$C$29)/12),SUM('Prg. HR'!$B29:$C29)/12))</f>
        <v>4410</v>
      </c>
      <c r="AU29" s="721">
        <f>IF('Contractor Model'!AS28&lt;10,0,IF('Contractor Model'!AS28&lt;20,0.5*(('Prg. HR'!$B$29+'Prg. HR'!$C$29)/12),SUM('Prg. HR'!$B29:$C29)/12))</f>
        <v>4410</v>
      </c>
      <c r="AV29" s="721">
        <f>IF('Contractor Model'!AT28&lt;10,0,IF('Contractor Model'!AT28&lt;20,0.5*(('Prg. HR'!$B$29+'Prg. HR'!$C$29)/12),SUM('Prg. HR'!$B29:$C29)/12))</f>
        <v>4410</v>
      </c>
      <c r="AW29" s="721">
        <f>IF('Contractor Model'!AU28&lt;10,0,IF('Contractor Model'!AU28&lt;20,0.5*(('Prg. HR'!$B$29+'Prg. HR'!$C$29)/12),SUM('Prg. HR'!$B29:$C29)/12))</f>
        <v>4410</v>
      </c>
      <c r="AX29" s="721">
        <f>IF('Contractor Model'!AV28&lt;10,0,IF('Contractor Model'!AV28&lt;20,0.5*(('Prg. HR'!$B$29+'Prg. HR'!$C$29)/12),SUM('Prg. HR'!$B29:$C29)/12))</f>
        <v>4410</v>
      </c>
      <c r="AY29" s="722">
        <f>IF('Contractor Model'!AW28&lt;10,0,IF('Contractor Model'!AW28&lt;20,0.5*(('Prg. HR'!$B$29+'Prg. HR'!$C$29)/12),SUM('Prg. HR'!$B29:$C29)/12))</f>
        <v>4410</v>
      </c>
      <c r="AZ29" s="721">
        <f>IF('Contractor Model'!AX28&lt;10,0,IF('Contractor Model'!AX28&lt;20,0.5*(('Prg. HR'!$B$29+'Prg. HR'!$C$29)/12),SUM('Prg. HR'!$B29:$C29)/12))</f>
        <v>4410</v>
      </c>
      <c r="BA29" s="721">
        <f>IF('Contractor Model'!AY28&lt;10,0,IF('Contractor Model'!AY28&lt;20,0.5*(('Prg. HR'!$B$29+'Prg. HR'!$C$29)/12),SUM('Prg. HR'!$B29:$C29)/12))</f>
        <v>4410</v>
      </c>
      <c r="BB29" s="721">
        <f>IF('Contractor Model'!AZ28&lt;10,0,IF('Contractor Model'!AZ28&lt;20,0.5*(('Prg. HR'!$B$29+'Prg. HR'!$C$29)/12),SUM('Prg. HR'!$B29:$C29)/12))</f>
        <v>4410</v>
      </c>
      <c r="BC29" s="721">
        <f>IF('Contractor Model'!BA28&lt;10,0,IF('Contractor Model'!BA28&lt;20,0.5*(('Prg. HR'!$B$29+'Prg. HR'!$C$29)/12),SUM('Prg. HR'!$B29:$C29)/12))</f>
        <v>4410</v>
      </c>
      <c r="BD29" s="721">
        <f>IF('Contractor Model'!BB28&lt;10,0,IF('Contractor Model'!BB28&lt;20,0.5*(('Prg. HR'!$B$29+'Prg. HR'!$C$29)/12),SUM('Prg. HR'!$B29:$C29)/12))</f>
        <v>4410</v>
      </c>
      <c r="BE29" s="721">
        <f>IF('Contractor Model'!BC28&lt;10,0,IF('Contractor Model'!BC28&lt;20,0.5*(('Prg. HR'!$B$29+'Prg. HR'!$C$29)/12),SUM('Prg. HR'!$B29:$C29)/12))</f>
        <v>4410</v>
      </c>
      <c r="BF29" s="721">
        <f>IF('Contractor Model'!BD28&lt;10,0,IF('Contractor Model'!BD28&lt;20,0.5*(('Prg. HR'!$B$29+'Prg. HR'!$C$29)/12),SUM('Prg. HR'!$B29:$C29)/12))</f>
        <v>4410</v>
      </c>
      <c r="BG29" s="721">
        <f>IF('Contractor Model'!BE28&lt;10,0,IF('Contractor Model'!BE28&lt;20,0.5*(('Prg. HR'!$B$29+'Prg. HR'!$C$29)/12),SUM('Prg. HR'!$B29:$C29)/12))</f>
        <v>4410</v>
      </c>
      <c r="BH29" s="721">
        <f>IF('Contractor Model'!BF28&lt;10,0,IF('Contractor Model'!BF28&lt;20,0.5*(('Prg. HR'!$B$29+'Prg. HR'!$C$29)/12),SUM('Prg. HR'!$B29:$C29)/12))</f>
        <v>4410</v>
      </c>
      <c r="BI29" s="721">
        <f>IF('Contractor Model'!BG28&lt;10,0,IF('Contractor Model'!BG28&lt;20,0.5*(('Prg. HR'!$B$29+'Prg. HR'!$C$29)/12),SUM('Prg. HR'!$B29:$C29)/12))</f>
        <v>4410</v>
      </c>
      <c r="BJ29" s="721">
        <f>IF('Contractor Model'!BH28&lt;10,0,IF('Contractor Model'!BH28&lt;20,0.5*(('Prg. HR'!$B$29+'Prg. HR'!$C$29)/12),SUM('Prg. HR'!$B29:$C29)/12))</f>
        <v>4410</v>
      </c>
      <c r="BK29" s="722">
        <f>IF('Contractor Model'!BI28&lt;10,0,IF('Contractor Model'!BI28&lt;20,0.5*(('Prg. HR'!$B$29+'Prg. HR'!$C$29)/12),SUM('Prg. HR'!$B29:$C29)/12))</f>
        <v>4410</v>
      </c>
      <c r="BL29" s="721"/>
      <c r="BM29" s="721">
        <f>IF('Contractor Model'!N28&lt;10,0,IF('Contractor Model'!N28&lt;20,0.5*(('Prg. HR'!$B$29+'Prg. HR'!$C$29)/12),SUM('Prg. HR'!$B29:$C29)/12))</f>
        <v>0</v>
      </c>
      <c r="BN29" s="720">
        <f>IF('Contractor Model'!O28&lt;10,0,IF('Contractor Model'!O28&lt;20,0.5*(('Prg. HR'!$B$29+'Prg. HR'!$C$29)/12),SUM('Prg. HR'!$B29:$C29)/12))</f>
        <v>0</v>
      </c>
      <c r="BO29" s="720">
        <f>IF('Contractor Model'!P28&lt;10,0,IF('Contractor Model'!P28&lt;20,0.5*(('Prg. HR'!$B$29+'Prg. HR'!$C$29)/12),SUM('Prg. HR'!$B29:$C29)/12))</f>
        <v>0</v>
      </c>
      <c r="BP29" s="720">
        <f>IF('Contractor Model'!Q28&lt;10,0,IF('Contractor Model'!Q28&lt;20,0.5*(('Prg. HR'!$B$29+'Prg. HR'!$C$29)/12),SUM('Prg. HR'!$B29:$C29)/12))</f>
        <v>0</v>
      </c>
      <c r="BQ29" s="720">
        <f>IF('Contractor Model'!R28&lt;10,0,IF('Contractor Model'!R28&lt;20,0.5*(('Prg. HR'!$B$29+'Prg. HR'!$C$29)/12),SUM('Prg. HR'!$B29:$C29)/12))</f>
        <v>0</v>
      </c>
      <c r="BR29" s="720">
        <f>IF('Contractor Model'!S28&lt;10,0,IF('Contractor Model'!S28&lt;20,0.5*(('Prg. HR'!$B$29+'Prg. HR'!$C$29)/12),SUM('Prg. HR'!$B29:$C29)/12))</f>
        <v>0</v>
      </c>
      <c r="BS29" s="720">
        <f>IF('Contractor Model'!T28&lt;10,0,IF('Contractor Model'!T28&lt;20,0.5*(('Prg. HR'!$B$29+'Prg. HR'!$C$29)/12),SUM('Prg. HR'!$B29:$C29)/12))</f>
        <v>0</v>
      </c>
      <c r="BT29" s="720">
        <f>IF('Contractor Model'!U28&lt;10,0,IF('Contractor Model'!U28&lt;20,0.5*(('Prg. HR'!$B$29+'Prg. HR'!$C$29)/12),SUM('Prg. HR'!$B29:$C29)/12))</f>
        <v>0</v>
      </c>
      <c r="BU29" s="720">
        <f>IF('Contractor Model'!V28&lt;10,0,IF('Contractor Model'!V28&lt;20,0.5*(('Prg. HR'!$B$29+'Prg. HR'!$C$29)/12),SUM('Prg. HR'!$B29:$C29)/12))</f>
        <v>0</v>
      </c>
      <c r="BV29" s="720">
        <f>IF('Contractor Model'!W28&lt;10,0,IF('Contractor Model'!W28&lt;20,0.5*(('Prg. HR'!$B$29+'Prg. HR'!$C$29)/12),SUM('Prg. HR'!$B29:$C29)/12))</f>
        <v>0</v>
      </c>
      <c r="BW29" s="720">
        <f>IF('Contractor Model'!X28&lt;10,0,IF('Contractor Model'!X28&lt;20,0.5*(('Prg. HR'!$B$29+'Prg. HR'!$C$29)/12),SUM('Prg. HR'!$B29:$C29)/12))</f>
        <v>0</v>
      </c>
      <c r="BX29" s="720">
        <f>IF('Contractor Model'!Y28&lt;10,0,IF('Contractor Model'!Y28&lt;20,0.5*(('Prg. HR'!$B$29+'Prg. HR'!$C$29)/12),SUM('Prg. HR'!$B29:$C29)/12))</f>
        <v>0</v>
      </c>
      <c r="BY29" s="720">
        <f>IF('Contractor Model'!Z28&lt;10,0,IF('Contractor Model'!Z28&lt;20,0.5*(('Prg. HR'!$B$29+'Prg. HR'!$C$29)/12),SUM('Prg. HR'!$B29:$C29)/12))</f>
        <v>2205</v>
      </c>
    </row>
    <row r="30" spans="1:77" s="738" customFormat="1" ht="18" customHeight="1">
      <c r="A30" s="765" t="s">
        <v>54</v>
      </c>
      <c r="B30" s="734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6"/>
      <c r="P30" s="737"/>
      <c r="Q30" s="737"/>
      <c r="R30" s="737"/>
      <c r="S30" s="737"/>
      <c r="T30" s="737"/>
      <c r="U30" s="737"/>
      <c r="V30" s="737"/>
      <c r="W30" s="737"/>
      <c r="X30" s="737"/>
      <c r="Y30" s="737"/>
      <c r="Z30" s="737"/>
      <c r="AA30" s="736"/>
      <c r="AB30" s="737"/>
      <c r="AC30" s="737"/>
      <c r="AD30" s="737"/>
      <c r="AE30" s="737"/>
      <c r="AF30" s="737"/>
      <c r="AG30" s="737"/>
      <c r="AH30" s="737"/>
      <c r="AI30" s="737"/>
      <c r="AJ30" s="737"/>
      <c r="AK30" s="737"/>
      <c r="AL30" s="737"/>
      <c r="AM30" s="736"/>
      <c r="AN30" s="737"/>
      <c r="AO30" s="737"/>
      <c r="AP30" s="737"/>
      <c r="AQ30" s="737"/>
      <c r="AR30" s="737"/>
      <c r="AS30" s="737"/>
      <c r="AT30" s="737"/>
      <c r="AU30" s="737"/>
      <c r="AV30" s="737"/>
      <c r="AW30" s="737"/>
      <c r="AX30" s="737"/>
      <c r="AY30" s="736"/>
      <c r="AZ30" s="737"/>
      <c r="BA30" s="737"/>
      <c r="BB30" s="737"/>
      <c r="BC30" s="737"/>
      <c r="BD30" s="737"/>
      <c r="BE30" s="737"/>
      <c r="BF30" s="737"/>
      <c r="BG30" s="737"/>
      <c r="BH30" s="737"/>
      <c r="BI30" s="737"/>
      <c r="BJ30" s="737"/>
      <c r="BK30" s="736"/>
      <c r="BL30" s="737"/>
      <c r="BM30" s="735"/>
      <c r="BN30" s="734"/>
      <c r="BO30" s="734"/>
      <c r="BP30" s="734"/>
      <c r="BQ30" s="734"/>
      <c r="BR30" s="734"/>
      <c r="BS30" s="734"/>
      <c r="BT30" s="734"/>
      <c r="BU30" s="734"/>
      <c r="BV30" s="734"/>
      <c r="BW30" s="734"/>
      <c r="BX30" s="734"/>
      <c r="BY30" s="734"/>
    </row>
    <row r="31" spans="1:77" s="723" customFormat="1">
      <c r="B31" s="333">
        <v>32000</v>
      </c>
      <c r="C31" s="721">
        <f>B31*0.26</f>
        <v>8320</v>
      </c>
      <c r="D31" s="721">
        <v>0</v>
      </c>
      <c r="E31" s="721">
        <v>0</v>
      </c>
      <c r="F31" s="721">
        <v>0</v>
      </c>
      <c r="G31" s="721">
        <v>0</v>
      </c>
      <c r="H31" s="721">
        <v>0</v>
      </c>
      <c r="I31" s="721">
        <v>0</v>
      </c>
      <c r="J31" s="721">
        <v>0</v>
      </c>
      <c r="K31" s="721">
        <v>0</v>
      </c>
      <c r="L31" s="721">
        <v>0</v>
      </c>
      <c r="M31" s="721">
        <v>0</v>
      </c>
      <c r="N31" s="721">
        <v>0</v>
      </c>
      <c r="O31" s="722">
        <v>0</v>
      </c>
      <c r="P31" s="721">
        <v>0</v>
      </c>
      <c r="Q31" s="721">
        <v>0</v>
      </c>
      <c r="R31" s="721">
        <v>0</v>
      </c>
      <c r="S31" s="721">
        <f>(($B$31+$C$31)/12)</f>
        <v>3360</v>
      </c>
      <c r="T31" s="721">
        <f t="shared" ref="T31:BK31" si="38">(($B$31+$C$31)/12)</f>
        <v>3360</v>
      </c>
      <c r="U31" s="721">
        <f t="shared" si="38"/>
        <v>3360</v>
      </c>
      <c r="V31" s="721">
        <f t="shared" si="38"/>
        <v>3360</v>
      </c>
      <c r="W31" s="721">
        <f t="shared" si="38"/>
        <v>3360</v>
      </c>
      <c r="X31" s="721">
        <f t="shared" si="38"/>
        <v>3360</v>
      </c>
      <c r="Y31" s="721">
        <f t="shared" si="38"/>
        <v>3360</v>
      </c>
      <c r="Z31" s="721">
        <f t="shared" si="38"/>
        <v>3360</v>
      </c>
      <c r="AA31" s="722">
        <f t="shared" si="38"/>
        <v>3360</v>
      </c>
      <c r="AB31" s="721">
        <f t="shared" si="38"/>
        <v>3360</v>
      </c>
      <c r="AC31" s="721">
        <f t="shared" si="38"/>
        <v>3360</v>
      </c>
      <c r="AD31" s="721">
        <f t="shared" si="38"/>
        <v>3360</v>
      </c>
      <c r="AE31" s="721">
        <f t="shared" si="38"/>
        <v>3360</v>
      </c>
      <c r="AF31" s="721">
        <f t="shared" si="38"/>
        <v>3360</v>
      </c>
      <c r="AG31" s="721">
        <f t="shared" si="38"/>
        <v>3360</v>
      </c>
      <c r="AH31" s="721">
        <f t="shared" si="38"/>
        <v>3360</v>
      </c>
      <c r="AI31" s="721">
        <f t="shared" si="38"/>
        <v>3360</v>
      </c>
      <c r="AJ31" s="721">
        <f t="shared" si="38"/>
        <v>3360</v>
      </c>
      <c r="AK31" s="721">
        <f t="shared" si="38"/>
        <v>3360</v>
      </c>
      <c r="AL31" s="721">
        <f t="shared" si="38"/>
        <v>3360</v>
      </c>
      <c r="AM31" s="722">
        <f t="shared" si="38"/>
        <v>3360</v>
      </c>
      <c r="AN31" s="721">
        <f t="shared" si="38"/>
        <v>3360</v>
      </c>
      <c r="AO31" s="721">
        <f t="shared" si="38"/>
        <v>3360</v>
      </c>
      <c r="AP31" s="721">
        <f t="shared" si="38"/>
        <v>3360</v>
      </c>
      <c r="AQ31" s="721">
        <f t="shared" si="38"/>
        <v>3360</v>
      </c>
      <c r="AR31" s="721">
        <f t="shared" si="38"/>
        <v>3360</v>
      </c>
      <c r="AS31" s="721">
        <f t="shared" si="38"/>
        <v>3360</v>
      </c>
      <c r="AT31" s="721">
        <f t="shared" si="38"/>
        <v>3360</v>
      </c>
      <c r="AU31" s="721">
        <f t="shared" si="38"/>
        <v>3360</v>
      </c>
      <c r="AV31" s="721">
        <f t="shared" si="38"/>
        <v>3360</v>
      </c>
      <c r="AW31" s="721">
        <f t="shared" si="38"/>
        <v>3360</v>
      </c>
      <c r="AX31" s="721">
        <f t="shared" si="38"/>
        <v>3360</v>
      </c>
      <c r="AY31" s="722">
        <f t="shared" si="38"/>
        <v>3360</v>
      </c>
      <c r="AZ31" s="721">
        <f t="shared" si="38"/>
        <v>3360</v>
      </c>
      <c r="BA31" s="721">
        <f t="shared" si="38"/>
        <v>3360</v>
      </c>
      <c r="BB31" s="721">
        <f t="shared" si="38"/>
        <v>3360</v>
      </c>
      <c r="BC31" s="721">
        <f t="shared" si="38"/>
        <v>3360</v>
      </c>
      <c r="BD31" s="721">
        <f t="shared" si="38"/>
        <v>3360</v>
      </c>
      <c r="BE31" s="721">
        <f t="shared" si="38"/>
        <v>3360</v>
      </c>
      <c r="BF31" s="721">
        <f t="shared" si="38"/>
        <v>3360</v>
      </c>
      <c r="BG31" s="721">
        <f t="shared" si="38"/>
        <v>3360</v>
      </c>
      <c r="BH31" s="721">
        <f t="shared" si="38"/>
        <v>3360</v>
      </c>
      <c r="BI31" s="721">
        <f t="shared" si="38"/>
        <v>3360</v>
      </c>
      <c r="BJ31" s="721">
        <f t="shared" si="38"/>
        <v>3360</v>
      </c>
      <c r="BK31" s="722">
        <f t="shared" si="38"/>
        <v>3360</v>
      </c>
      <c r="BL31" s="721"/>
      <c r="BM31" s="721">
        <f>IF(BM34=2,($B31+O31)/12,0)</f>
        <v>0</v>
      </c>
      <c r="BN31" s="720">
        <f t="shared" ref="BN31:BY31" si="39">IF(BN34=2,($B31+BM31)/12,0)</f>
        <v>0</v>
      </c>
      <c r="BO31" s="720">
        <f t="shared" si="39"/>
        <v>0</v>
      </c>
      <c r="BP31" s="720">
        <f t="shared" si="39"/>
        <v>0</v>
      </c>
      <c r="BQ31" s="720">
        <f t="shared" si="39"/>
        <v>0</v>
      </c>
      <c r="BR31" s="720">
        <f t="shared" si="39"/>
        <v>0</v>
      </c>
      <c r="BS31" s="720">
        <f t="shared" si="39"/>
        <v>0</v>
      </c>
      <c r="BT31" s="720">
        <f t="shared" si="39"/>
        <v>0</v>
      </c>
      <c r="BU31" s="720">
        <f t="shared" si="39"/>
        <v>0</v>
      </c>
      <c r="BV31" s="720">
        <f t="shared" si="39"/>
        <v>0</v>
      </c>
      <c r="BW31" s="720">
        <f t="shared" si="39"/>
        <v>0</v>
      </c>
      <c r="BX31" s="720">
        <f t="shared" si="39"/>
        <v>0</v>
      </c>
      <c r="BY31" s="720">
        <f t="shared" si="39"/>
        <v>0</v>
      </c>
    </row>
    <row r="32" spans="1:77" s="738" customFormat="1" ht="21.75" customHeight="1">
      <c r="A32" s="764" t="s">
        <v>336</v>
      </c>
      <c r="B32" s="734"/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6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6"/>
      <c r="AB32" s="737"/>
      <c r="AC32" s="737"/>
      <c r="AD32" s="737"/>
      <c r="AE32" s="737"/>
      <c r="AF32" s="737"/>
      <c r="AG32" s="737"/>
      <c r="AH32" s="737"/>
      <c r="AI32" s="737"/>
      <c r="AJ32" s="737"/>
      <c r="AK32" s="737"/>
      <c r="AL32" s="737"/>
      <c r="AM32" s="736"/>
      <c r="AN32" s="737"/>
      <c r="AO32" s="737"/>
      <c r="AP32" s="737"/>
      <c r="AQ32" s="737"/>
      <c r="AR32" s="737"/>
      <c r="AS32" s="737"/>
      <c r="AT32" s="737"/>
      <c r="AU32" s="737"/>
      <c r="AV32" s="737"/>
      <c r="AW32" s="737"/>
      <c r="AX32" s="737"/>
      <c r="AY32" s="736"/>
      <c r="AZ32" s="737"/>
      <c r="BA32" s="737"/>
      <c r="BB32" s="737"/>
      <c r="BC32" s="737"/>
      <c r="BD32" s="737"/>
      <c r="BE32" s="737"/>
      <c r="BF32" s="737"/>
      <c r="BG32" s="737"/>
      <c r="BH32" s="737"/>
      <c r="BI32" s="737"/>
      <c r="BJ32" s="737"/>
      <c r="BK32" s="736"/>
      <c r="BL32" s="737"/>
      <c r="BM32" s="735"/>
      <c r="BN32" s="734"/>
      <c r="BO32" s="734"/>
      <c r="BP32" s="734"/>
      <c r="BQ32" s="734"/>
      <c r="BR32" s="734"/>
      <c r="BS32" s="734"/>
      <c r="BT32" s="734"/>
      <c r="BU32" s="734"/>
      <c r="BV32" s="734"/>
      <c r="BW32" s="734"/>
      <c r="BX32" s="734"/>
      <c r="BY32" s="734"/>
    </row>
    <row r="33" spans="1:78" s="706" customFormat="1">
      <c r="B33" s="330">
        <v>28000</v>
      </c>
      <c r="C33" s="703">
        <f>B33*B1</f>
        <v>7280</v>
      </c>
      <c r="D33" s="703">
        <f>($B33+C33)/12*D34</f>
        <v>0</v>
      </c>
      <c r="E33" s="703">
        <f t="shared" ref="E33:BC33" si="40">($B33+D33)/12*E34</f>
        <v>0</v>
      </c>
      <c r="F33" s="703">
        <f t="shared" si="40"/>
        <v>0</v>
      </c>
      <c r="G33" s="703">
        <f t="shared" si="40"/>
        <v>0</v>
      </c>
      <c r="H33" s="703">
        <f t="shared" si="40"/>
        <v>0</v>
      </c>
      <c r="I33" s="703">
        <f t="shared" si="40"/>
        <v>0</v>
      </c>
      <c r="J33" s="703">
        <f t="shared" si="40"/>
        <v>0</v>
      </c>
      <c r="K33" s="703">
        <f t="shared" si="40"/>
        <v>2333.3333333333335</v>
      </c>
      <c r="L33" s="703">
        <f t="shared" si="40"/>
        <v>2527.7777777777778</v>
      </c>
      <c r="M33" s="703">
        <f t="shared" si="40"/>
        <v>2543.9814814814813</v>
      </c>
      <c r="N33" s="703">
        <f t="shared" si="40"/>
        <v>2545.3317901234568</v>
      </c>
      <c r="O33" s="704">
        <f t="shared" si="40"/>
        <v>2545.4443158436211</v>
      </c>
      <c r="P33" s="703">
        <f>($B33+BY33)/12*P34</f>
        <v>2333.3333333333335</v>
      </c>
      <c r="Q33" s="703">
        <f t="shared" si="40"/>
        <v>2527.7777777777778</v>
      </c>
      <c r="R33" s="703">
        <f t="shared" si="40"/>
        <v>2543.9814814814813</v>
      </c>
      <c r="S33" s="703">
        <f t="shared" si="40"/>
        <v>2545.3317901234568</v>
      </c>
      <c r="T33" s="703">
        <f t="shared" si="40"/>
        <v>2545.4443158436211</v>
      </c>
      <c r="U33" s="703">
        <f t="shared" si="40"/>
        <v>2545.4536929869687</v>
      </c>
      <c r="V33" s="703">
        <f t="shared" si="40"/>
        <v>2545.4544744155805</v>
      </c>
      <c r="W33" s="703">
        <f t="shared" si="40"/>
        <v>2545.4545395346317</v>
      </c>
      <c r="X33" s="703">
        <f t="shared" si="40"/>
        <v>2545.4545449612192</v>
      </c>
      <c r="Y33" s="703">
        <f t="shared" si="40"/>
        <v>2545.454545413435</v>
      </c>
      <c r="Z33" s="703">
        <f t="shared" si="40"/>
        <v>2545.4545454511194</v>
      </c>
      <c r="AA33" s="704">
        <f t="shared" si="40"/>
        <v>5090.9090909085198</v>
      </c>
      <c r="AB33" s="703">
        <f t="shared" si="40"/>
        <v>5515.1515151514204</v>
      </c>
      <c r="AC33" s="703">
        <f t="shared" si="40"/>
        <v>5585.8585858585693</v>
      </c>
      <c r="AD33" s="703">
        <f t="shared" si="40"/>
        <v>5597.6430976430956</v>
      </c>
      <c r="AE33" s="703">
        <f t="shared" si="40"/>
        <v>5599.6071829405155</v>
      </c>
      <c r="AF33" s="703">
        <f t="shared" si="40"/>
        <v>5599.9345304900853</v>
      </c>
      <c r="AG33" s="703">
        <f t="shared" si="40"/>
        <v>5599.9890884150145</v>
      </c>
      <c r="AH33" s="703">
        <f t="shared" si="40"/>
        <v>5599.9981814025023</v>
      </c>
      <c r="AI33" s="703">
        <f t="shared" si="40"/>
        <v>8399.9995453506253</v>
      </c>
      <c r="AJ33" s="703">
        <f t="shared" si="40"/>
        <v>9099.9998863376568</v>
      </c>
      <c r="AK33" s="703">
        <f t="shared" si="40"/>
        <v>9274.9999715844133</v>
      </c>
      <c r="AL33" s="703">
        <f t="shared" si="40"/>
        <v>9318.7499928961042</v>
      </c>
      <c r="AM33" s="704">
        <f t="shared" si="40"/>
        <v>9329.6874982240261</v>
      </c>
      <c r="AN33" s="703">
        <f t="shared" si="40"/>
        <v>6221.614583037338</v>
      </c>
      <c r="AO33" s="703">
        <f t="shared" si="40"/>
        <v>5703.6024305062228</v>
      </c>
      <c r="AP33" s="703">
        <f t="shared" si="40"/>
        <v>5617.2670717510373</v>
      </c>
      <c r="AQ33" s="703">
        <f t="shared" si="40"/>
        <v>5602.8778452918386</v>
      </c>
      <c r="AR33" s="703">
        <f t="shared" si="40"/>
        <v>8400.7194613229603</v>
      </c>
      <c r="AS33" s="703">
        <f t="shared" si="40"/>
        <v>9100.1798653307396</v>
      </c>
      <c r="AT33" s="703">
        <f t="shared" si="40"/>
        <v>9275.0449663326854</v>
      </c>
      <c r="AU33" s="703">
        <f t="shared" si="40"/>
        <v>9318.7612415831718</v>
      </c>
      <c r="AV33" s="703">
        <f t="shared" si="40"/>
        <v>9329.690310395792</v>
      </c>
      <c r="AW33" s="703">
        <f t="shared" si="40"/>
        <v>9332.4225775989471</v>
      </c>
      <c r="AX33" s="703">
        <f t="shared" si="40"/>
        <v>9333.1056443997368</v>
      </c>
      <c r="AY33" s="704">
        <f t="shared" si="40"/>
        <v>12444.368548133245</v>
      </c>
      <c r="AZ33" s="703">
        <f t="shared" si="40"/>
        <v>13481.456182711081</v>
      </c>
      <c r="BA33" s="703">
        <f t="shared" si="40"/>
        <v>13827.152060903694</v>
      </c>
      <c r="BB33" s="703">
        <f t="shared" si="40"/>
        <v>13942.384020301231</v>
      </c>
      <c r="BC33" s="703">
        <f t="shared" si="40"/>
        <v>13980.794673433744</v>
      </c>
      <c r="BD33" s="703">
        <f t="shared" ref="BD33:BJ33" si="41">($B33+BC33)/12*BD34</f>
        <v>13993.598224477915</v>
      </c>
      <c r="BE33" s="703">
        <f t="shared" si="41"/>
        <v>17497.332593532465</v>
      </c>
      <c r="BF33" s="703">
        <f t="shared" si="41"/>
        <v>18957.221913971862</v>
      </c>
      <c r="BG33" s="703">
        <f t="shared" si="41"/>
        <v>19565.509130821611</v>
      </c>
      <c r="BH33" s="703">
        <f t="shared" si="41"/>
        <v>19818.962137842336</v>
      </c>
      <c r="BI33" s="703">
        <f t="shared" si="41"/>
        <v>23909.481068921166</v>
      </c>
      <c r="BJ33" s="703">
        <f t="shared" si="41"/>
        <v>25954.740534460587</v>
      </c>
      <c r="BK33" s="704">
        <f>($B33+BJ33)/12*BK34</f>
        <v>26977.370267230293</v>
      </c>
      <c r="BL33" s="703"/>
      <c r="BM33" s="703">
        <f>($B33+O33)/12*BM34</f>
        <v>0</v>
      </c>
      <c r="BN33" s="705">
        <f t="shared" ref="BN33:BY33" si="42">($B33+BM33)/12*BN34</f>
        <v>0</v>
      </c>
      <c r="BO33" s="705">
        <f t="shared" si="42"/>
        <v>0</v>
      </c>
      <c r="BP33" s="705">
        <f t="shared" si="42"/>
        <v>0</v>
      </c>
      <c r="BQ33" s="705">
        <f t="shared" si="42"/>
        <v>0</v>
      </c>
      <c r="BR33" s="705">
        <f t="shared" si="42"/>
        <v>0</v>
      </c>
      <c r="BS33" s="705">
        <f t="shared" si="42"/>
        <v>0</v>
      </c>
      <c r="BT33" s="705">
        <f t="shared" si="42"/>
        <v>0</v>
      </c>
      <c r="BU33" s="705">
        <f t="shared" si="42"/>
        <v>0</v>
      </c>
      <c r="BV33" s="705">
        <f t="shared" si="42"/>
        <v>0</v>
      </c>
      <c r="BW33" s="705">
        <f t="shared" si="42"/>
        <v>0</v>
      </c>
      <c r="BX33" s="705">
        <f t="shared" si="42"/>
        <v>0</v>
      </c>
      <c r="BY33" s="705">
        <f t="shared" si="42"/>
        <v>0</v>
      </c>
      <c r="BZ33" s="724"/>
    </row>
    <row r="34" spans="1:78" s="472" customFormat="1">
      <c r="A34" s="739" t="s">
        <v>123</v>
      </c>
      <c r="B34" s="740"/>
      <c r="C34" s="696"/>
      <c r="D34" s="696">
        <f>ROUND(('Program Model'!B7/350),0)</f>
        <v>0</v>
      </c>
      <c r="E34" s="696">
        <f>ROUND(('Program Model'!C7/350),0)</f>
        <v>0</v>
      </c>
      <c r="F34" s="696">
        <f>ROUND(('Program Model'!D7/350),0)</f>
        <v>0</v>
      </c>
      <c r="G34" s="696">
        <f>ROUND(('Program Model'!E7/350),0)</f>
        <v>0</v>
      </c>
      <c r="H34" s="696">
        <f>ROUND(('Program Model'!F7/350),0)</f>
        <v>0</v>
      </c>
      <c r="I34" s="696">
        <f>ROUND(('Program Model'!G7/350),0)</f>
        <v>0</v>
      </c>
      <c r="J34" s="696">
        <f>ROUND(('Program Model'!H7/350),0)</f>
        <v>0</v>
      </c>
      <c r="K34" s="696">
        <f>ROUND(('Program Model'!I7/350),0)</f>
        <v>1</v>
      </c>
      <c r="L34" s="696">
        <f>ROUND(('Program Model'!J7/350),0)</f>
        <v>1</v>
      </c>
      <c r="M34" s="696">
        <f>ROUND(('Program Model'!K7/350),0)</f>
        <v>1</v>
      </c>
      <c r="N34" s="696">
        <f>ROUND(('Program Model'!L7/350),0)</f>
        <v>1</v>
      </c>
      <c r="O34" s="697">
        <f>ROUND(('Program Model'!M7/350),0)</f>
        <v>1</v>
      </c>
      <c r="P34" s="696">
        <f>ROUND(('Program Model'!N7/350),0)</f>
        <v>1</v>
      </c>
      <c r="Q34" s="696">
        <f>ROUND(('Program Model'!O7/350),0)</f>
        <v>1</v>
      </c>
      <c r="R34" s="696">
        <f>ROUND(('Program Model'!P7/350),0)</f>
        <v>1</v>
      </c>
      <c r="S34" s="696">
        <f>ROUND(('Program Model'!Q7/350),0)</f>
        <v>1</v>
      </c>
      <c r="T34" s="696">
        <f>ROUND(('Program Model'!R7/350),0)</f>
        <v>1</v>
      </c>
      <c r="U34" s="696">
        <f>ROUND(('Program Model'!S7/350),0)</f>
        <v>1</v>
      </c>
      <c r="V34" s="696">
        <f>ROUND(('Program Model'!T7/350),0)</f>
        <v>1</v>
      </c>
      <c r="W34" s="696">
        <f>ROUND(('Program Model'!U7/350),0)</f>
        <v>1</v>
      </c>
      <c r="X34" s="696">
        <f>ROUND(('Program Model'!V7/350),0)</f>
        <v>1</v>
      </c>
      <c r="Y34" s="696">
        <f>ROUND(('Program Model'!W7/350),0)</f>
        <v>1</v>
      </c>
      <c r="Z34" s="696">
        <f>ROUND(('Program Model'!X7/350),0)</f>
        <v>1</v>
      </c>
      <c r="AA34" s="697">
        <f>ROUND(('Program Model'!Y7/350),0)</f>
        <v>2</v>
      </c>
      <c r="AB34" s="696">
        <f>ROUND(('Program Model'!Z7/350),0)</f>
        <v>2</v>
      </c>
      <c r="AC34" s="696">
        <f>ROUND(('Program Model'!AA7/350),0)</f>
        <v>2</v>
      </c>
      <c r="AD34" s="696">
        <f>ROUND(('Program Model'!AB7/350),0)</f>
        <v>2</v>
      </c>
      <c r="AE34" s="696">
        <f>ROUND(('Program Model'!AC7/350),0)</f>
        <v>2</v>
      </c>
      <c r="AF34" s="696">
        <f>ROUND(('Program Model'!AD7/350),0)</f>
        <v>2</v>
      </c>
      <c r="AG34" s="696">
        <f>ROUND(('Program Model'!AE7/350),0)</f>
        <v>2</v>
      </c>
      <c r="AH34" s="696">
        <f>ROUND(('Program Model'!AF7/350),0)</f>
        <v>2</v>
      </c>
      <c r="AI34" s="696">
        <f>ROUND(('Program Model'!AG7/350),0)</f>
        <v>3</v>
      </c>
      <c r="AJ34" s="696">
        <f>ROUND(('Program Model'!AH7/350),0)</f>
        <v>3</v>
      </c>
      <c r="AK34" s="696">
        <f>ROUND(('Program Model'!AI7/350),0)</f>
        <v>3</v>
      </c>
      <c r="AL34" s="696">
        <f>ROUND(('Program Model'!AJ7/350),0)</f>
        <v>3</v>
      </c>
      <c r="AM34" s="697">
        <f>ROUND(('Program Model'!AK7/350),0)</f>
        <v>3</v>
      </c>
      <c r="AN34" s="696">
        <f>ROUND(('Program Model'!AL7/550),0)</f>
        <v>2</v>
      </c>
      <c r="AO34" s="696">
        <f>ROUND(('Program Model'!AM7/550),0)</f>
        <v>2</v>
      </c>
      <c r="AP34" s="696">
        <f>ROUND(('Program Model'!AN7/550),0)</f>
        <v>2</v>
      </c>
      <c r="AQ34" s="696">
        <f>ROUND(('Program Model'!AO7/550),0)</f>
        <v>2</v>
      </c>
      <c r="AR34" s="696">
        <f>ROUND(('Program Model'!AP7/550),0)</f>
        <v>3</v>
      </c>
      <c r="AS34" s="696">
        <f>ROUND(('Program Model'!AQ7/550),0)</f>
        <v>3</v>
      </c>
      <c r="AT34" s="696">
        <f>ROUND(('Program Model'!AR7/550),0)</f>
        <v>3</v>
      </c>
      <c r="AU34" s="696">
        <f>ROUND(('Program Model'!AS7/550),0)</f>
        <v>3</v>
      </c>
      <c r="AV34" s="696">
        <f>ROUND(('Program Model'!AT7/550),0)</f>
        <v>3</v>
      </c>
      <c r="AW34" s="696">
        <f>ROUND(('Program Model'!AU7/550),0)</f>
        <v>3</v>
      </c>
      <c r="AX34" s="696">
        <f>ROUND(('Program Model'!AV7/550),0)</f>
        <v>3</v>
      </c>
      <c r="AY34" s="697">
        <f>ROUND(('Program Model'!AW7/550),0)</f>
        <v>4</v>
      </c>
      <c r="AZ34" s="696">
        <f>ROUND(('Program Model'!AX7/550),0)</f>
        <v>4</v>
      </c>
      <c r="BA34" s="696">
        <f>ROUND(('Program Model'!AY7/550),0)</f>
        <v>4</v>
      </c>
      <c r="BB34" s="696">
        <f>ROUND(('Program Model'!AZ7/550),0)</f>
        <v>4</v>
      </c>
      <c r="BC34" s="696">
        <f>ROUND(('Program Model'!BA7/550),0)</f>
        <v>4</v>
      </c>
      <c r="BD34" s="696">
        <f>ROUND(('Program Model'!BB7/550),0)</f>
        <v>4</v>
      </c>
      <c r="BE34" s="696">
        <f>ROUND(('Program Model'!BC7/550),0)</f>
        <v>5</v>
      </c>
      <c r="BF34" s="696">
        <f>ROUND(('Program Model'!BD7/550),0)</f>
        <v>5</v>
      </c>
      <c r="BG34" s="696">
        <f>ROUND(('Program Model'!BE7/550),0)</f>
        <v>5</v>
      </c>
      <c r="BH34" s="696">
        <f>ROUND(('Program Model'!BF7/550),0)</f>
        <v>5</v>
      </c>
      <c r="BI34" s="696">
        <f>ROUND(('Program Model'!BG7/550),0)</f>
        <v>6</v>
      </c>
      <c r="BJ34" s="696">
        <f>ROUND(('Program Model'!BH7/550),0)</f>
        <v>6</v>
      </c>
      <c r="BK34" s="697">
        <f>ROUND(('Program Model'!BI7/550),0)</f>
        <v>6</v>
      </c>
      <c r="BL34" s="696"/>
      <c r="BM34" s="696">
        <f t="shared" ref="BM34:BY34" si="43">IF((BM2+BM3+BM5)&gt;60,3,IF((BM2+BM3+BM5)&gt;30,2,IF((BM2+BM3+BM5)&lt;10,0,1)))</f>
        <v>0</v>
      </c>
      <c r="BN34" s="740">
        <f t="shared" si="43"/>
        <v>0</v>
      </c>
      <c r="BO34" s="740">
        <f t="shared" si="43"/>
        <v>0</v>
      </c>
      <c r="BP34" s="740">
        <f t="shared" si="43"/>
        <v>0</v>
      </c>
      <c r="BQ34" s="740">
        <f t="shared" si="43"/>
        <v>0</v>
      </c>
      <c r="BR34" s="740">
        <f t="shared" si="43"/>
        <v>0</v>
      </c>
      <c r="BS34" s="740">
        <f t="shared" si="43"/>
        <v>0</v>
      </c>
      <c r="BT34" s="740">
        <f t="shared" si="43"/>
        <v>0</v>
      </c>
      <c r="BU34" s="740">
        <f t="shared" si="43"/>
        <v>0</v>
      </c>
      <c r="BV34" s="740">
        <f t="shared" si="43"/>
        <v>0</v>
      </c>
      <c r="BW34" s="740">
        <f t="shared" si="43"/>
        <v>0</v>
      </c>
      <c r="BX34" s="740">
        <f t="shared" si="43"/>
        <v>0</v>
      </c>
      <c r="BY34" s="740">
        <f t="shared" si="43"/>
        <v>0</v>
      </c>
    </row>
    <row r="35" spans="1:78" s="774" customFormat="1">
      <c r="A35" s="712"/>
      <c r="B35" s="718"/>
      <c r="C35" s="700" t="s">
        <v>335</v>
      </c>
      <c r="D35" s="427">
        <v>0.75</v>
      </c>
      <c r="E35" s="427">
        <v>0.75</v>
      </c>
      <c r="F35" s="427">
        <v>0.75</v>
      </c>
      <c r="G35" s="427">
        <v>0.75</v>
      </c>
      <c r="H35" s="427">
        <v>0.75</v>
      </c>
      <c r="I35" s="427">
        <v>0.75</v>
      </c>
      <c r="J35" s="427">
        <v>0.75</v>
      </c>
      <c r="K35" s="427">
        <v>0.75</v>
      </c>
      <c r="L35" s="427">
        <v>0.75</v>
      </c>
      <c r="M35" s="427">
        <v>0.75</v>
      </c>
      <c r="N35" s="427">
        <v>0.75</v>
      </c>
      <c r="O35" s="428">
        <v>0.75</v>
      </c>
      <c r="P35" s="427">
        <v>0.75</v>
      </c>
      <c r="Q35" s="427">
        <v>0.75</v>
      </c>
      <c r="R35" s="427">
        <v>0.75</v>
      </c>
      <c r="S35" s="427">
        <v>0.75</v>
      </c>
      <c r="T35" s="427">
        <v>0.75</v>
      </c>
      <c r="U35" s="427">
        <v>0.75</v>
      </c>
      <c r="V35" s="427">
        <v>0.75</v>
      </c>
      <c r="W35" s="427">
        <v>0.75</v>
      </c>
      <c r="X35" s="427">
        <v>0.75</v>
      </c>
      <c r="Y35" s="427">
        <v>0.75</v>
      </c>
      <c r="Z35" s="427">
        <v>0.75</v>
      </c>
      <c r="AA35" s="428">
        <v>0.75</v>
      </c>
      <c r="AB35" s="427">
        <v>0.75</v>
      </c>
      <c r="AC35" s="427">
        <v>0.75</v>
      </c>
      <c r="AD35" s="427">
        <v>0.75</v>
      </c>
      <c r="AE35" s="427">
        <v>0.75</v>
      </c>
      <c r="AF35" s="427">
        <v>0.75</v>
      </c>
      <c r="AG35" s="427">
        <v>0.75</v>
      </c>
      <c r="AH35" s="427">
        <v>0.75</v>
      </c>
      <c r="AI35" s="427">
        <v>0.75</v>
      </c>
      <c r="AJ35" s="427">
        <v>0.75</v>
      </c>
      <c r="AK35" s="427">
        <v>0.75</v>
      </c>
      <c r="AL35" s="427">
        <v>0.75</v>
      </c>
      <c r="AM35" s="428">
        <v>0.75</v>
      </c>
      <c r="AN35" s="427">
        <v>0.75</v>
      </c>
      <c r="AO35" s="427">
        <v>0.75</v>
      </c>
      <c r="AP35" s="427">
        <v>0.75</v>
      </c>
      <c r="AQ35" s="427">
        <v>0.75</v>
      </c>
      <c r="AR35" s="427">
        <v>0.75</v>
      </c>
      <c r="AS35" s="427">
        <v>0.75</v>
      </c>
      <c r="AT35" s="427">
        <v>0.75</v>
      </c>
      <c r="AU35" s="427">
        <v>0.75</v>
      </c>
      <c r="AV35" s="427">
        <v>0.75</v>
      </c>
      <c r="AW35" s="427">
        <v>0.75</v>
      </c>
      <c r="AX35" s="427">
        <v>0.75</v>
      </c>
      <c r="AY35" s="428">
        <v>0.75</v>
      </c>
      <c r="AZ35" s="427">
        <v>0.75</v>
      </c>
      <c r="BA35" s="427">
        <v>0.75</v>
      </c>
      <c r="BB35" s="427">
        <v>0.75</v>
      </c>
      <c r="BC35" s="427">
        <v>0.75</v>
      </c>
      <c r="BD35" s="427">
        <v>0.75</v>
      </c>
      <c r="BE35" s="427">
        <v>0.75</v>
      </c>
      <c r="BF35" s="427">
        <v>0.75</v>
      </c>
      <c r="BG35" s="427">
        <v>0.75</v>
      </c>
      <c r="BH35" s="427">
        <v>0.75</v>
      </c>
      <c r="BI35" s="427">
        <v>0.75</v>
      </c>
      <c r="BJ35" s="427">
        <v>0.75</v>
      </c>
      <c r="BK35" s="428">
        <v>0.75</v>
      </c>
      <c r="BL35" s="426"/>
      <c r="BM35" s="426"/>
      <c r="BN35" s="773"/>
      <c r="BO35" s="773"/>
      <c r="BP35" s="773"/>
      <c r="BQ35" s="773"/>
      <c r="BR35" s="773"/>
      <c r="BS35" s="773"/>
      <c r="BT35" s="773"/>
      <c r="BU35" s="773"/>
      <c r="BV35" s="773"/>
      <c r="BW35" s="773"/>
      <c r="BX35" s="773"/>
      <c r="BY35" s="773"/>
    </row>
    <row r="36" spans="1:78" s="187" customFormat="1">
      <c r="A36" s="741"/>
      <c r="B36" s="116"/>
      <c r="C36" s="742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27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27"/>
      <c r="AB36" s="743"/>
      <c r="AC36" s="743"/>
      <c r="AD36" s="743"/>
      <c r="AE36" s="743"/>
      <c r="AF36" s="743"/>
      <c r="AG36" s="743"/>
      <c r="AH36" s="743"/>
      <c r="AI36" s="743"/>
      <c r="AJ36" s="743"/>
      <c r="AK36" s="743"/>
      <c r="AL36" s="743"/>
      <c r="AM36" s="727"/>
      <c r="AN36" s="743"/>
      <c r="AO36" s="743"/>
      <c r="AP36" s="743"/>
      <c r="AQ36" s="743"/>
      <c r="AR36" s="743"/>
      <c r="AS36" s="743"/>
      <c r="AT36" s="743"/>
      <c r="AU36" s="743"/>
      <c r="AV36" s="743"/>
      <c r="AW36" s="743"/>
      <c r="AX36" s="743"/>
      <c r="AY36" s="727"/>
      <c r="AZ36" s="743"/>
      <c r="BA36" s="743"/>
      <c r="BB36" s="743"/>
      <c r="BC36" s="743"/>
      <c r="BD36" s="743"/>
      <c r="BE36" s="743"/>
      <c r="BF36" s="743"/>
      <c r="BG36" s="743"/>
      <c r="BH36" s="743"/>
      <c r="BI36" s="743"/>
      <c r="BJ36" s="743"/>
      <c r="BK36" s="727"/>
      <c r="BL36" s="744"/>
      <c r="BM36" s="74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</row>
    <row r="37" spans="1:78" s="750" customFormat="1" ht="16.5" customHeight="1">
      <c r="A37" s="746"/>
      <c r="B37" s="747"/>
      <c r="C37" s="748" t="s">
        <v>337</v>
      </c>
      <c r="D37" s="747">
        <f t="shared" ref="D37:AI37" si="44">D33+D31+D29+D26+D22+D18+D15+D11</f>
        <v>22102.5</v>
      </c>
      <c r="E37" s="747">
        <f t="shared" si="44"/>
        <v>22102.5</v>
      </c>
      <c r="F37" s="747">
        <f t="shared" si="44"/>
        <v>22102.5</v>
      </c>
      <c r="G37" s="747">
        <f t="shared" si="44"/>
        <v>24412.5</v>
      </c>
      <c r="H37" s="747">
        <f t="shared" si="44"/>
        <v>24412.5</v>
      </c>
      <c r="I37" s="747">
        <f t="shared" si="44"/>
        <v>24412.5</v>
      </c>
      <c r="J37" s="747">
        <f t="shared" si="44"/>
        <v>24412.5</v>
      </c>
      <c r="K37" s="747">
        <f t="shared" si="44"/>
        <v>26745.833333333336</v>
      </c>
      <c r="L37" s="747">
        <f t="shared" si="44"/>
        <v>26940.277777777777</v>
      </c>
      <c r="M37" s="747">
        <f t="shared" si="44"/>
        <v>26956.481481481482</v>
      </c>
      <c r="N37" s="747">
        <f t="shared" si="44"/>
        <v>26957.831790123455</v>
      </c>
      <c r="O37" s="749">
        <f t="shared" si="44"/>
        <v>26957.944315843619</v>
      </c>
      <c r="P37" s="747">
        <f t="shared" si="44"/>
        <v>26745.833333333336</v>
      </c>
      <c r="Q37" s="747">
        <f t="shared" si="44"/>
        <v>26940.277777777777</v>
      </c>
      <c r="R37" s="747">
        <f t="shared" si="44"/>
        <v>26956.481481481482</v>
      </c>
      <c r="S37" s="747">
        <f t="shared" si="44"/>
        <v>30317.831790123455</v>
      </c>
      <c r="T37" s="747">
        <f t="shared" si="44"/>
        <v>30317.944315843619</v>
      </c>
      <c r="U37" s="747">
        <f t="shared" si="44"/>
        <v>35042.953692986965</v>
      </c>
      <c r="V37" s="747">
        <f t="shared" si="44"/>
        <v>39505.454474415579</v>
      </c>
      <c r="W37" s="747">
        <f t="shared" si="44"/>
        <v>44545.454539534636</v>
      </c>
      <c r="X37" s="747">
        <f t="shared" si="44"/>
        <v>44545.45454496122</v>
      </c>
      <c r="Y37" s="747">
        <f t="shared" si="44"/>
        <v>44545.454545413435</v>
      </c>
      <c r="Z37" s="747">
        <f t="shared" si="44"/>
        <v>44545.454545451117</v>
      </c>
      <c r="AA37" s="749">
        <f t="shared" si="44"/>
        <v>47090.909090908521</v>
      </c>
      <c r="AB37" s="747">
        <f t="shared" si="44"/>
        <v>52030.151515151418</v>
      </c>
      <c r="AC37" s="747">
        <f t="shared" si="44"/>
        <v>52100.858585858572</v>
      </c>
      <c r="AD37" s="747">
        <f t="shared" si="44"/>
        <v>52112.6430976431</v>
      </c>
      <c r="AE37" s="747">
        <f t="shared" si="44"/>
        <v>52114.607182940512</v>
      </c>
      <c r="AF37" s="747">
        <f t="shared" si="44"/>
        <v>52114.934530490085</v>
      </c>
      <c r="AG37" s="747">
        <f t="shared" si="44"/>
        <v>52114.989088415015</v>
      </c>
      <c r="AH37" s="747">
        <f t="shared" si="44"/>
        <v>57154.998181402501</v>
      </c>
      <c r="AI37" s="747">
        <f t="shared" si="44"/>
        <v>59954.999545350627</v>
      </c>
      <c r="AJ37" s="747">
        <f t="shared" ref="AJ37:BK37" si="45">AJ33+AJ31+AJ29+AJ26+AJ22+AJ18+AJ15+AJ11</f>
        <v>60654.999886337653</v>
      </c>
      <c r="AK37" s="747">
        <f t="shared" si="45"/>
        <v>60829.999971584417</v>
      </c>
      <c r="AL37" s="747">
        <f t="shared" si="45"/>
        <v>65388.749992896104</v>
      </c>
      <c r="AM37" s="749">
        <f t="shared" si="45"/>
        <v>65399.687498224026</v>
      </c>
      <c r="AN37" s="747">
        <f t="shared" si="45"/>
        <v>67016.614583037343</v>
      </c>
      <c r="AO37" s="747">
        <f t="shared" si="45"/>
        <v>66498.602430506231</v>
      </c>
      <c r="AP37" s="747">
        <f t="shared" si="45"/>
        <v>66412.267071751034</v>
      </c>
      <c r="AQ37" s="747">
        <f t="shared" si="45"/>
        <v>66397.877845291834</v>
      </c>
      <c r="AR37" s="747">
        <f t="shared" si="45"/>
        <v>69195.719461322966</v>
      </c>
      <c r="AS37" s="747">
        <f t="shared" si="45"/>
        <v>72205.179865330749</v>
      </c>
      <c r="AT37" s="747">
        <f t="shared" si="45"/>
        <v>72380.044966332687</v>
      </c>
      <c r="AU37" s="747">
        <f t="shared" si="45"/>
        <v>72423.761241583168</v>
      </c>
      <c r="AV37" s="747">
        <f t="shared" si="45"/>
        <v>77474.690310395788</v>
      </c>
      <c r="AW37" s="747">
        <f t="shared" si="45"/>
        <v>77477.422577598947</v>
      </c>
      <c r="AX37" s="747">
        <f t="shared" si="45"/>
        <v>82203.105644399737</v>
      </c>
      <c r="AY37" s="749">
        <f t="shared" si="45"/>
        <v>87624.368548133236</v>
      </c>
      <c r="AZ37" s="747">
        <f t="shared" si="45"/>
        <v>88661.456182711088</v>
      </c>
      <c r="BA37" s="747">
        <f t="shared" si="45"/>
        <v>89007.152060903696</v>
      </c>
      <c r="BB37" s="747">
        <f t="shared" si="45"/>
        <v>89122.384020301222</v>
      </c>
      <c r="BC37" s="747">
        <f t="shared" si="45"/>
        <v>89160.794673433746</v>
      </c>
      <c r="BD37" s="747">
        <f t="shared" si="45"/>
        <v>91483.598224477915</v>
      </c>
      <c r="BE37" s="747">
        <f t="shared" si="45"/>
        <v>99712.332593532468</v>
      </c>
      <c r="BF37" s="747">
        <f t="shared" si="45"/>
        <v>101172.22191397187</v>
      </c>
      <c r="BG37" s="747">
        <f t="shared" si="45"/>
        <v>101780.50913082161</v>
      </c>
      <c r="BH37" s="747">
        <f t="shared" si="45"/>
        <v>104343.96213784233</v>
      </c>
      <c r="BI37" s="747">
        <f t="shared" si="45"/>
        <v>108434.48106892116</v>
      </c>
      <c r="BJ37" s="747">
        <f t="shared" si="45"/>
        <v>110479.74053446058</v>
      </c>
      <c r="BK37" s="749">
        <f t="shared" si="45"/>
        <v>121267.37026723029</v>
      </c>
      <c r="BL37" s="747"/>
      <c r="BM37" s="747">
        <f t="shared" ref="BM37:BY37" si="46">SUM(BM29:BM34)</f>
        <v>0</v>
      </c>
      <c r="BN37" s="747">
        <f t="shared" si="46"/>
        <v>0</v>
      </c>
      <c r="BO37" s="747">
        <f t="shared" si="46"/>
        <v>0</v>
      </c>
      <c r="BP37" s="747">
        <f t="shared" si="46"/>
        <v>0</v>
      </c>
      <c r="BQ37" s="747">
        <f t="shared" si="46"/>
        <v>0</v>
      </c>
      <c r="BR37" s="747">
        <f t="shared" si="46"/>
        <v>0</v>
      </c>
      <c r="BS37" s="747">
        <f t="shared" si="46"/>
        <v>0</v>
      </c>
      <c r="BT37" s="747">
        <f t="shared" si="46"/>
        <v>0</v>
      </c>
      <c r="BU37" s="747">
        <f t="shared" si="46"/>
        <v>0</v>
      </c>
      <c r="BV37" s="747">
        <f t="shared" si="46"/>
        <v>0</v>
      </c>
      <c r="BW37" s="747">
        <f t="shared" si="46"/>
        <v>0</v>
      </c>
      <c r="BX37" s="747">
        <f t="shared" si="46"/>
        <v>0</v>
      </c>
      <c r="BY37" s="747">
        <f t="shared" si="46"/>
        <v>2205</v>
      </c>
    </row>
    <row r="38" spans="1:78" s="755" customFormat="1" ht="16.5" customHeight="1">
      <c r="A38" s="751"/>
      <c r="B38" s="752"/>
      <c r="C38" s="753" t="s">
        <v>338</v>
      </c>
      <c r="D38" s="752">
        <f t="shared" ref="D38:AI38" si="47">D35*D33+D22+D18+D13*D11</f>
        <v>6300</v>
      </c>
      <c r="E38" s="752">
        <f t="shared" si="47"/>
        <v>6205.5</v>
      </c>
      <c r="F38" s="752">
        <f t="shared" si="47"/>
        <v>6112.4175000000005</v>
      </c>
      <c r="G38" s="752">
        <f t="shared" si="47"/>
        <v>8330.7312375000001</v>
      </c>
      <c r="H38" s="752">
        <f t="shared" si="47"/>
        <v>8240.4202689374997</v>
      </c>
      <c r="I38" s="752">
        <f t="shared" si="47"/>
        <v>8151.463964903438</v>
      </c>
      <c r="J38" s="752">
        <f t="shared" si="47"/>
        <v>8063.8420054298858</v>
      </c>
      <c r="K38" s="752">
        <f t="shared" si="47"/>
        <v>9727.5343753484376</v>
      </c>
      <c r="L38" s="752">
        <f t="shared" si="47"/>
        <v>9788.354693051544</v>
      </c>
      <c r="M38" s="752">
        <f t="shared" si="47"/>
        <v>9716.769650433549</v>
      </c>
      <c r="N38" s="752">
        <f t="shared" si="47"/>
        <v>9635.3006288251945</v>
      </c>
      <c r="O38" s="754">
        <f t="shared" si="47"/>
        <v>9554.1404963218283</v>
      </c>
      <c r="P38" s="752">
        <f t="shared" si="47"/>
        <v>9315.0314005475248</v>
      </c>
      <c r="Q38" s="752">
        <f t="shared" si="47"/>
        <v>9382.0392628726458</v>
      </c>
      <c r="R38" s="752">
        <f t="shared" si="47"/>
        <v>9316.5489517073329</v>
      </c>
      <c r="S38" s="752">
        <f t="shared" si="47"/>
        <v>9241.0832405798719</v>
      </c>
      <c r="T38" s="752">
        <f t="shared" si="47"/>
        <v>9165.8363689001853</v>
      </c>
      <c r="U38" s="752">
        <f t="shared" si="47"/>
        <v>13816.642104777435</v>
      </c>
      <c r="V38" s="752">
        <f t="shared" si="47"/>
        <v>13743.554413323334</v>
      </c>
      <c r="W38" s="752">
        <f t="shared" si="47"/>
        <v>13671.562508799947</v>
      </c>
      <c r="X38" s="752">
        <f t="shared" si="47"/>
        <v>13600.650438807654</v>
      </c>
      <c r="Y38" s="752">
        <f t="shared" si="47"/>
        <v>13530.802046195513</v>
      </c>
      <c r="Z38" s="752">
        <f t="shared" si="47"/>
        <v>13462.001379166746</v>
      </c>
      <c r="AA38" s="754">
        <f t="shared" si="47"/>
        <v>15303.323631208621</v>
      </c>
      <c r="AB38" s="752">
        <f t="shared" si="47"/>
        <v>17708.998358739434</v>
      </c>
      <c r="AC38" s="752">
        <f t="shared" si="47"/>
        <v>17550.646925651003</v>
      </c>
      <c r="AD38" s="752">
        <f t="shared" si="47"/>
        <v>17358.67266017654</v>
      </c>
      <c r="AE38" s="752">
        <f t="shared" si="47"/>
        <v>17169.373707302399</v>
      </c>
      <c r="AF38" s="752">
        <f t="shared" si="47"/>
        <v>16988.385801959725</v>
      </c>
      <c r="AG38" s="752">
        <f t="shared" si="47"/>
        <v>16816.254975198812</v>
      </c>
      <c r="AH38" s="752">
        <f t="shared" si="47"/>
        <v>16652.69863699505</v>
      </c>
      <c r="AI38" s="752">
        <f t="shared" si="47"/>
        <v>18597.314659908981</v>
      </c>
      <c r="AJ38" s="752">
        <f t="shared" ref="AJ38:BK38" si="48">AJ35*AJ33+AJ22+AJ18+AJ13*AJ11</f>
        <v>18974.699165604456</v>
      </c>
      <c r="AK38" s="752">
        <f t="shared" si="48"/>
        <v>18965.714266996962</v>
      </c>
      <c r="AL38" s="752">
        <f t="shared" si="48"/>
        <v>21175.303568565298</v>
      </c>
      <c r="AM38" s="754">
        <f t="shared" si="48"/>
        <v>21056.94464386658</v>
      </c>
      <c r="AN38" s="752">
        <f t="shared" si="48"/>
        <v>23330.656006466634</v>
      </c>
      <c r="AO38" s="752">
        <f t="shared" si="48"/>
        <v>22827.924638608867</v>
      </c>
      <c r="AP38" s="752">
        <f t="shared" si="48"/>
        <v>22654.661978756019</v>
      </c>
      <c r="AQ38" s="752">
        <f t="shared" si="48"/>
        <v>22540.784475164481</v>
      </c>
      <c r="AR38" s="752">
        <f t="shared" si="48"/>
        <v>24541.234382628041</v>
      </c>
      <c r="AS38" s="752">
        <f t="shared" si="48"/>
        <v>27282.794946302085</v>
      </c>
      <c r="AT38" s="752">
        <f t="shared" si="48"/>
        <v>27325.560769688342</v>
      </c>
      <c r="AU38" s="752">
        <f t="shared" si="48"/>
        <v>27274.384123879267</v>
      </c>
      <c r="AV38" s="752">
        <f t="shared" si="48"/>
        <v>27202.815265854137</v>
      </c>
      <c r="AW38" s="752">
        <f t="shared" si="48"/>
        <v>27129.087089603639</v>
      </c>
      <c r="AX38" s="752">
        <f t="shared" si="48"/>
        <v>31782.610881884011</v>
      </c>
      <c r="AY38" s="754">
        <f t="shared" si="48"/>
        <v>36357.668977254929</v>
      </c>
      <c r="AZ38" s="752">
        <f t="shared" si="48"/>
        <v>37070.515074880554</v>
      </c>
      <c r="BA38" s="752">
        <f t="shared" si="48"/>
        <v>37268.065836632653</v>
      </c>
      <c r="BB38" s="752">
        <f t="shared" si="48"/>
        <v>37295.854716633061</v>
      </c>
      <c r="BC38" s="752">
        <f t="shared" si="48"/>
        <v>37268.959371412086</v>
      </c>
      <c r="BD38" s="752">
        <f t="shared" si="48"/>
        <v>39535.643866378385</v>
      </c>
      <c r="BE38" s="752">
        <f t="shared" si="48"/>
        <v>46838.172383268291</v>
      </c>
      <c r="BF38" s="752">
        <f t="shared" si="48"/>
        <v>47885.330726691893</v>
      </c>
      <c r="BG38" s="752">
        <f t="shared" si="48"/>
        <v>48296.17542476856</v>
      </c>
      <c r="BH38" s="752">
        <f t="shared" si="48"/>
        <v>50753.163001201487</v>
      </c>
      <c r="BI38" s="752">
        <f t="shared" si="48"/>
        <v>53780.105129619624</v>
      </c>
      <c r="BJ38" s="752">
        <f t="shared" si="48"/>
        <v>55275.150012377751</v>
      </c>
      <c r="BK38" s="754">
        <f t="shared" si="48"/>
        <v>60730.167581378417</v>
      </c>
      <c r="BL38" s="752"/>
      <c r="BM38" s="752"/>
      <c r="BN38" s="752"/>
      <c r="BO38" s="752"/>
      <c r="BP38" s="752"/>
      <c r="BQ38" s="752"/>
      <c r="BR38" s="752"/>
      <c r="BS38" s="752"/>
      <c r="BT38" s="752"/>
      <c r="BU38" s="752"/>
      <c r="BV38" s="752"/>
      <c r="BW38" s="752"/>
      <c r="BX38" s="752"/>
      <c r="BY38" s="752"/>
    </row>
    <row r="39" spans="1:78" s="760" customFormat="1" ht="16.5" customHeight="1">
      <c r="A39" s="756"/>
      <c r="B39" s="757"/>
      <c r="C39" s="758" t="s">
        <v>339</v>
      </c>
      <c r="D39" s="757">
        <f>D37-D38</f>
        <v>15802.5</v>
      </c>
      <c r="E39" s="757">
        <f t="shared" ref="E39:BK39" si="49">E37-E38</f>
        <v>15897</v>
      </c>
      <c r="F39" s="757">
        <f t="shared" si="49"/>
        <v>15990.0825</v>
      </c>
      <c r="G39" s="757">
        <f t="shared" si="49"/>
        <v>16081.7687625</v>
      </c>
      <c r="H39" s="757">
        <f t="shared" si="49"/>
        <v>16172.0797310625</v>
      </c>
      <c r="I39" s="757">
        <f t="shared" si="49"/>
        <v>16261.036035096562</v>
      </c>
      <c r="J39" s="757">
        <f t="shared" si="49"/>
        <v>16348.657994570114</v>
      </c>
      <c r="K39" s="757">
        <f t="shared" si="49"/>
        <v>17018.298957984898</v>
      </c>
      <c r="L39" s="757">
        <f t="shared" si="49"/>
        <v>17151.923084726233</v>
      </c>
      <c r="M39" s="757">
        <f t="shared" si="49"/>
        <v>17239.711831047935</v>
      </c>
      <c r="N39" s="757">
        <f t="shared" si="49"/>
        <v>17322.531161298262</v>
      </c>
      <c r="O39" s="759">
        <f t="shared" si="49"/>
        <v>17403.803819521789</v>
      </c>
      <c r="P39" s="757">
        <f t="shared" si="49"/>
        <v>17430.801932785813</v>
      </c>
      <c r="Q39" s="757">
        <f t="shared" si="49"/>
        <v>17558.238514905133</v>
      </c>
      <c r="R39" s="757">
        <f t="shared" si="49"/>
        <v>17639.932529774149</v>
      </c>
      <c r="S39" s="757">
        <f t="shared" si="49"/>
        <v>21076.748549543583</v>
      </c>
      <c r="T39" s="757">
        <f t="shared" si="49"/>
        <v>21152.107946943433</v>
      </c>
      <c r="U39" s="757">
        <f t="shared" si="49"/>
        <v>21226.31158820953</v>
      </c>
      <c r="V39" s="757">
        <f t="shared" si="49"/>
        <v>25761.900061092245</v>
      </c>
      <c r="W39" s="757">
        <f t="shared" si="49"/>
        <v>30873.892030734689</v>
      </c>
      <c r="X39" s="757">
        <f t="shared" si="49"/>
        <v>30944.804106153566</v>
      </c>
      <c r="Y39" s="757">
        <f t="shared" si="49"/>
        <v>31014.652499217922</v>
      </c>
      <c r="Z39" s="757">
        <f t="shared" si="49"/>
        <v>31083.453166284373</v>
      </c>
      <c r="AA39" s="759">
        <f t="shared" si="49"/>
        <v>31787.585459699898</v>
      </c>
      <c r="AB39" s="757">
        <f t="shared" si="49"/>
        <v>34321.15315641198</v>
      </c>
      <c r="AC39" s="757">
        <f t="shared" si="49"/>
        <v>34550.211660207569</v>
      </c>
      <c r="AD39" s="757">
        <f t="shared" si="49"/>
        <v>34753.97043746656</v>
      </c>
      <c r="AE39" s="757">
        <f t="shared" si="49"/>
        <v>34945.233475638117</v>
      </c>
      <c r="AF39" s="757">
        <f t="shared" si="49"/>
        <v>35126.548728530361</v>
      </c>
      <c r="AG39" s="757">
        <f t="shared" si="49"/>
        <v>35298.734113216204</v>
      </c>
      <c r="AH39" s="757">
        <f t="shared" si="49"/>
        <v>40502.299544407448</v>
      </c>
      <c r="AI39" s="757">
        <f t="shared" si="49"/>
        <v>41357.684885441646</v>
      </c>
      <c r="AJ39" s="757">
        <f t="shared" si="49"/>
        <v>41680.300720733198</v>
      </c>
      <c r="AK39" s="757">
        <f t="shared" si="49"/>
        <v>41864.285704587455</v>
      </c>
      <c r="AL39" s="757">
        <f t="shared" si="49"/>
        <v>44213.446424330803</v>
      </c>
      <c r="AM39" s="759">
        <f t="shared" si="49"/>
        <v>44342.74285435745</v>
      </c>
      <c r="AN39" s="757">
        <f t="shared" si="49"/>
        <v>43685.958576570709</v>
      </c>
      <c r="AO39" s="757">
        <f t="shared" si="49"/>
        <v>43670.677791897368</v>
      </c>
      <c r="AP39" s="757">
        <f t="shared" si="49"/>
        <v>43757.605092995014</v>
      </c>
      <c r="AQ39" s="757">
        <f t="shared" si="49"/>
        <v>43857.093370127353</v>
      </c>
      <c r="AR39" s="757">
        <f t="shared" si="49"/>
        <v>44654.485078694925</v>
      </c>
      <c r="AS39" s="757">
        <f t="shared" si="49"/>
        <v>44922.384919028664</v>
      </c>
      <c r="AT39" s="757">
        <f t="shared" si="49"/>
        <v>45054.484196644349</v>
      </c>
      <c r="AU39" s="757">
        <f t="shared" si="49"/>
        <v>45149.377117703902</v>
      </c>
      <c r="AV39" s="757">
        <f t="shared" si="49"/>
        <v>50271.875044541652</v>
      </c>
      <c r="AW39" s="757">
        <f t="shared" si="49"/>
        <v>50348.335487995311</v>
      </c>
      <c r="AX39" s="757">
        <f t="shared" si="49"/>
        <v>50420.494762515722</v>
      </c>
      <c r="AY39" s="759">
        <f t="shared" si="49"/>
        <v>51266.699570878307</v>
      </c>
      <c r="AZ39" s="757">
        <f t="shared" si="49"/>
        <v>51590.941107830535</v>
      </c>
      <c r="BA39" s="757">
        <f t="shared" si="49"/>
        <v>51739.086224271043</v>
      </c>
      <c r="BB39" s="757">
        <f t="shared" si="49"/>
        <v>51826.529303668161</v>
      </c>
      <c r="BC39" s="757">
        <f t="shared" si="49"/>
        <v>51891.83530202166</v>
      </c>
      <c r="BD39" s="757">
        <f t="shared" si="49"/>
        <v>51947.954358099531</v>
      </c>
      <c r="BE39" s="757">
        <f t="shared" si="49"/>
        <v>52874.160210264177</v>
      </c>
      <c r="BF39" s="757">
        <f t="shared" si="49"/>
        <v>53286.891187279973</v>
      </c>
      <c r="BG39" s="757">
        <f t="shared" si="49"/>
        <v>53484.333706053047</v>
      </c>
      <c r="BH39" s="757">
        <f t="shared" si="49"/>
        <v>53590.799136640846</v>
      </c>
      <c r="BI39" s="757">
        <f t="shared" si="49"/>
        <v>54654.375939301535</v>
      </c>
      <c r="BJ39" s="757">
        <f t="shared" si="49"/>
        <v>55204.590522082828</v>
      </c>
      <c r="BK39" s="759">
        <f t="shared" si="49"/>
        <v>60537.202685851873</v>
      </c>
      <c r="BL39" s="757"/>
      <c r="BM39" s="757"/>
      <c r="BN39" s="757"/>
      <c r="BO39" s="757"/>
      <c r="BP39" s="757"/>
      <c r="BQ39" s="757"/>
      <c r="BR39" s="757"/>
      <c r="BS39" s="757"/>
      <c r="BT39" s="757"/>
      <c r="BU39" s="757"/>
      <c r="BV39" s="757"/>
      <c r="BW39" s="757"/>
      <c r="BX39" s="757"/>
      <c r="BY39" s="757"/>
    </row>
    <row r="40" spans="1:78" s="59" customFormat="1">
      <c r="A40" s="496"/>
      <c r="B40" s="733"/>
      <c r="C40" s="733"/>
      <c r="O40" s="761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761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761"/>
      <c r="AN40" s="529"/>
      <c r="AO40" s="529"/>
      <c r="AP40" s="529"/>
      <c r="AQ40" s="529"/>
      <c r="AR40" s="529"/>
      <c r="AS40" s="529"/>
      <c r="AT40" s="529"/>
      <c r="AU40" s="529"/>
      <c r="AV40" s="529"/>
      <c r="AW40" s="529"/>
      <c r="AX40" s="529"/>
      <c r="AY40" s="761"/>
      <c r="AZ40" s="529"/>
      <c r="BA40" s="529"/>
      <c r="BB40" s="529"/>
      <c r="BC40" s="529"/>
      <c r="BD40" s="529"/>
      <c r="BE40" s="529"/>
      <c r="BF40" s="529"/>
      <c r="BG40" s="529"/>
      <c r="BH40" s="529"/>
      <c r="BI40" s="529"/>
      <c r="BJ40" s="529"/>
      <c r="BK40" s="761"/>
      <c r="BL40" s="529"/>
    </row>
    <row r="41" spans="1:78" s="779" customFormat="1" ht="16.5" customHeight="1">
      <c r="A41" s="775" t="s">
        <v>370</v>
      </c>
      <c r="B41" s="776"/>
      <c r="C41" s="777"/>
      <c r="D41" s="776">
        <f t="shared" ref="D41:AI41" si="50">D34+IF(D31&gt;0,1,0)+IF(D29&gt;0,1,0)+D27+D23+D19+D16+D12</f>
        <v>2.5</v>
      </c>
      <c r="E41" s="776">
        <f t="shared" si="50"/>
        <v>2.5</v>
      </c>
      <c r="F41" s="776">
        <f t="shared" si="50"/>
        <v>2.5</v>
      </c>
      <c r="G41" s="776">
        <f t="shared" si="50"/>
        <v>3.5</v>
      </c>
      <c r="H41" s="776">
        <f t="shared" si="50"/>
        <v>3.5</v>
      </c>
      <c r="I41" s="776">
        <f t="shared" si="50"/>
        <v>3.5</v>
      </c>
      <c r="J41" s="776">
        <f t="shared" si="50"/>
        <v>3.5</v>
      </c>
      <c r="K41" s="776">
        <f t="shared" si="50"/>
        <v>4.5</v>
      </c>
      <c r="L41" s="776">
        <f t="shared" si="50"/>
        <v>4.5</v>
      </c>
      <c r="M41" s="776">
        <f t="shared" si="50"/>
        <v>4.5</v>
      </c>
      <c r="N41" s="776">
        <f t="shared" si="50"/>
        <v>4.5</v>
      </c>
      <c r="O41" s="778">
        <f t="shared" si="50"/>
        <v>4.5</v>
      </c>
      <c r="P41" s="776">
        <f t="shared" si="50"/>
        <v>4.5</v>
      </c>
      <c r="Q41" s="776">
        <f t="shared" si="50"/>
        <v>4.5</v>
      </c>
      <c r="R41" s="776">
        <f t="shared" si="50"/>
        <v>4.5</v>
      </c>
      <c r="S41" s="776">
        <f t="shared" si="50"/>
        <v>5.5</v>
      </c>
      <c r="T41" s="776">
        <f t="shared" si="50"/>
        <v>5.5</v>
      </c>
      <c r="U41" s="776">
        <f t="shared" si="50"/>
        <v>6.5</v>
      </c>
      <c r="V41" s="776">
        <f t="shared" si="50"/>
        <v>7</v>
      </c>
      <c r="W41" s="776">
        <f t="shared" si="50"/>
        <v>8</v>
      </c>
      <c r="X41" s="776">
        <f t="shared" si="50"/>
        <v>8</v>
      </c>
      <c r="Y41" s="776">
        <f t="shared" si="50"/>
        <v>8</v>
      </c>
      <c r="Z41" s="776">
        <f t="shared" si="50"/>
        <v>8</v>
      </c>
      <c r="AA41" s="778">
        <f t="shared" si="50"/>
        <v>9</v>
      </c>
      <c r="AB41" s="776">
        <f t="shared" si="50"/>
        <v>11</v>
      </c>
      <c r="AC41" s="776">
        <f t="shared" si="50"/>
        <v>11</v>
      </c>
      <c r="AD41" s="776">
        <f t="shared" si="50"/>
        <v>11</v>
      </c>
      <c r="AE41" s="776">
        <f t="shared" si="50"/>
        <v>11</v>
      </c>
      <c r="AF41" s="776">
        <f t="shared" si="50"/>
        <v>11</v>
      </c>
      <c r="AG41" s="776">
        <f t="shared" si="50"/>
        <v>11</v>
      </c>
      <c r="AH41" s="776">
        <f t="shared" si="50"/>
        <v>12</v>
      </c>
      <c r="AI41" s="776">
        <f t="shared" si="50"/>
        <v>13</v>
      </c>
      <c r="AJ41" s="776">
        <f t="shared" ref="AJ41:BK41" si="51">AJ34+IF(AJ31&gt;0,1,0)+IF(AJ29&gt;0,1,0)+AJ27+AJ23+AJ19+AJ16+AJ12</f>
        <v>13</v>
      </c>
      <c r="AK41" s="776">
        <f t="shared" si="51"/>
        <v>13</v>
      </c>
      <c r="AL41" s="776">
        <f t="shared" si="51"/>
        <v>14</v>
      </c>
      <c r="AM41" s="778">
        <f t="shared" si="51"/>
        <v>14</v>
      </c>
      <c r="AN41" s="776">
        <f t="shared" si="51"/>
        <v>14</v>
      </c>
      <c r="AO41" s="776">
        <f t="shared" si="51"/>
        <v>14</v>
      </c>
      <c r="AP41" s="776">
        <f t="shared" si="51"/>
        <v>14</v>
      </c>
      <c r="AQ41" s="776">
        <f t="shared" si="51"/>
        <v>14</v>
      </c>
      <c r="AR41" s="776">
        <f t="shared" si="51"/>
        <v>15</v>
      </c>
      <c r="AS41" s="776">
        <f t="shared" si="51"/>
        <v>16</v>
      </c>
      <c r="AT41" s="776">
        <f t="shared" si="51"/>
        <v>16</v>
      </c>
      <c r="AU41" s="776">
        <f t="shared" si="51"/>
        <v>16</v>
      </c>
      <c r="AV41" s="776">
        <f t="shared" si="51"/>
        <v>17</v>
      </c>
      <c r="AW41" s="776">
        <f t="shared" si="51"/>
        <v>17</v>
      </c>
      <c r="AX41" s="776">
        <f t="shared" si="51"/>
        <v>18</v>
      </c>
      <c r="AY41" s="778">
        <f t="shared" si="51"/>
        <v>20</v>
      </c>
      <c r="AZ41" s="776">
        <f t="shared" si="51"/>
        <v>20</v>
      </c>
      <c r="BA41" s="776">
        <f t="shared" si="51"/>
        <v>20</v>
      </c>
      <c r="BB41" s="776">
        <f t="shared" si="51"/>
        <v>20</v>
      </c>
      <c r="BC41" s="776">
        <f t="shared" si="51"/>
        <v>20</v>
      </c>
      <c r="BD41" s="776">
        <f t="shared" si="51"/>
        <v>21</v>
      </c>
      <c r="BE41" s="776">
        <f t="shared" si="51"/>
        <v>23</v>
      </c>
      <c r="BF41" s="776">
        <f t="shared" si="51"/>
        <v>23</v>
      </c>
      <c r="BG41" s="776">
        <f t="shared" si="51"/>
        <v>23</v>
      </c>
      <c r="BH41" s="776">
        <f t="shared" si="51"/>
        <v>24</v>
      </c>
      <c r="BI41" s="776">
        <f t="shared" si="51"/>
        <v>25</v>
      </c>
      <c r="BJ41" s="776">
        <f t="shared" si="51"/>
        <v>25</v>
      </c>
      <c r="BK41" s="778">
        <f t="shared" si="51"/>
        <v>27</v>
      </c>
      <c r="BL41" s="776"/>
      <c r="BM41" s="776"/>
      <c r="BN41" s="776"/>
      <c r="BO41" s="776"/>
      <c r="BP41" s="776"/>
      <c r="BQ41" s="776"/>
      <c r="BR41" s="776"/>
      <c r="BS41" s="776"/>
      <c r="BT41" s="776"/>
      <c r="BU41" s="776"/>
      <c r="BV41" s="776"/>
      <c r="BW41" s="776"/>
      <c r="BX41" s="776"/>
      <c r="BY41" s="776"/>
    </row>
  </sheetData>
  <mergeCells count="7">
    <mergeCell ref="AN1:AY1"/>
    <mergeCell ref="AZ1:BK1"/>
    <mergeCell ref="B24:C24"/>
    <mergeCell ref="B20:C20"/>
    <mergeCell ref="D1:O1"/>
    <mergeCell ref="P1:AA1"/>
    <mergeCell ref="AB1:AM1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AJ129"/>
  <sheetViews>
    <sheetView showGridLines="0" topLeftCell="A2" zoomScale="110" zoomScaleNormal="110" zoomScalePageLayoutView="110" workbookViewId="0">
      <pane xSplit="2" ySplit="3" topLeftCell="AA5" activePane="bottomRight" state="frozen"/>
      <selection activeCell="F4" sqref="F4"/>
      <selection pane="topRight" activeCell="F4" sqref="F4"/>
      <selection pane="bottomLeft" activeCell="F4" sqref="F4"/>
      <selection pane="bottomRight" activeCell="AD17" sqref="AD17"/>
    </sheetView>
  </sheetViews>
  <sheetFormatPr defaultColWidth="11.42578125" defaultRowHeight="15"/>
  <cols>
    <col min="1" max="1" width="16.85546875" customWidth="1"/>
    <col min="2" max="2" width="24.42578125" style="195" customWidth="1"/>
    <col min="3" max="24" width="9.85546875" hidden="1" customWidth="1"/>
    <col min="25" max="25" width="7.28515625" hidden="1" customWidth="1"/>
    <col min="26" max="26" width="5.85546875" hidden="1" customWidth="1"/>
    <col min="27" max="27" width="16" customWidth="1"/>
  </cols>
  <sheetData>
    <row r="1" spans="1:36" s="19" customFormat="1" ht="22.5" customHeight="1">
      <c r="B1" s="19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36" s="19" customFormat="1" ht="22.5" customHeight="1">
      <c r="A2" s="1312" t="s">
        <v>320</v>
      </c>
      <c r="B2" s="1312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36" s="228" customFormat="1" ht="18" customHeight="1">
      <c r="A3" s="225" t="s">
        <v>232</v>
      </c>
      <c r="B3" s="226"/>
      <c r="C3" s="227">
        <v>40360</v>
      </c>
      <c r="D3" s="227">
        <v>40391</v>
      </c>
      <c r="E3" s="227">
        <v>40422</v>
      </c>
      <c r="F3" s="227">
        <v>40452</v>
      </c>
      <c r="G3" s="227">
        <v>40483</v>
      </c>
      <c r="H3" s="227">
        <v>40513</v>
      </c>
      <c r="I3" s="227">
        <v>40544</v>
      </c>
      <c r="J3" s="227">
        <v>40575</v>
      </c>
      <c r="K3" s="227">
        <v>40603</v>
      </c>
      <c r="L3" s="227" t="s">
        <v>321</v>
      </c>
      <c r="M3" s="227">
        <v>40664</v>
      </c>
      <c r="N3" s="227">
        <v>40695</v>
      </c>
      <c r="O3" s="227">
        <v>40725</v>
      </c>
      <c r="P3" s="227">
        <v>40756</v>
      </c>
      <c r="Q3" s="227">
        <v>40787</v>
      </c>
      <c r="R3" s="227">
        <v>40817</v>
      </c>
      <c r="S3" s="227">
        <v>40848</v>
      </c>
      <c r="T3" s="227">
        <v>40878</v>
      </c>
      <c r="U3" s="227">
        <v>40909</v>
      </c>
      <c r="V3" s="227">
        <v>40940</v>
      </c>
      <c r="W3" s="227">
        <v>40969</v>
      </c>
      <c r="X3" s="227">
        <v>41000</v>
      </c>
      <c r="Y3" s="227">
        <v>41030</v>
      </c>
      <c r="Z3" s="227">
        <v>41061</v>
      </c>
      <c r="AA3" s="225" t="s">
        <v>322</v>
      </c>
    </row>
    <row r="4" spans="1:36" s="62" customFormat="1" ht="9.9499999999999993" customHeight="1">
      <c r="B4" s="229"/>
    </row>
    <row r="5" spans="1:36">
      <c r="A5" s="255" t="s">
        <v>276</v>
      </c>
      <c r="B5" s="191" t="s">
        <v>256</v>
      </c>
      <c r="AA5" s="2">
        <f>AA8/AA7</f>
        <v>0.42857142857142855</v>
      </c>
    </row>
    <row r="6" spans="1:36">
      <c r="B6" s="191" t="s">
        <v>257</v>
      </c>
      <c r="AA6" s="2">
        <f>AA9/AA8</f>
        <v>0.66666666666666663</v>
      </c>
    </row>
    <row r="7" spans="1:36">
      <c r="B7" s="191" t="s">
        <v>226</v>
      </c>
      <c r="AA7" s="230">
        <v>70</v>
      </c>
      <c r="AJ7" t="s">
        <v>323</v>
      </c>
    </row>
    <row r="8" spans="1:36">
      <c r="B8" s="191" t="s">
        <v>258</v>
      </c>
      <c r="AA8" s="230">
        <v>30</v>
      </c>
    </row>
    <row r="9" spans="1:36">
      <c r="B9" s="191" t="s">
        <v>259</v>
      </c>
      <c r="AA9" s="230">
        <v>20</v>
      </c>
    </row>
    <row r="10" spans="1:36">
      <c r="B10" s="192" t="s">
        <v>260</v>
      </c>
      <c r="AA10" s="254">
        <v>7800</v>
      </c>
      <c r="AE10" s="231"/>
    </row>
    <row r="11" spans="1:36">
      <c r="B11" s="192" t="s">
        <v>261</v>
      </c>
      <c r="AA11" s="193">
        <f>AA9*AA10</f>
        <v>156000</v>
      </c>
    </row>
    <row r="12" spans="1:36">
      <c r="B12" s="192"/>
    </row>
    <row r="13" spans="1:36" s="62" customFormat="1" ht="9.9499999999999993" customHeight="1">
      <c r="B13" s="229"/>
    </row>
    <row r="14" spans="1:36">
      <c r="A14" s="255" t="s">
        <v>281</v>
      </c>
      <c r="B14" s="191" t="s">
        <v>256</v>
      </c>
      <c r="AA14" s="2">
        <f>AA17/AA16</f>
        <v>0.6</v>
      </c>
    </row>
    <row r="15" spans="1:36">
      <c r="B15" s="191" t="s">
        <v>257</v>
      </c>
      <c r="AA15" s="2">
        <f>AA18/AA17</f>
        <v>0.55555555555555558</v>
      </c>
    </row>
    <row r="16" spans="1:36">
      <c r="B16" s="191" t="s">
        <v>226</v>
      </c>
      <c r="AA16" s="230">
        <v>30</v>
      </c>
    </row>
    <row r="17" spans="1:27">
      <c r="B17" s="191" t="s">
        <v>258</v>
      </c>
      <c r="AA17" s="230">
        <v>18</v>
      </c>
    </row>
    <row r="18" spans="1:27">
      <c r="B18" s="191" t="s">
        <v>259</v>
      </c>
      <c r="AA18" s="230">
        <v>10</v>
      </c>
    </row>
    <row r="19" spans="1:27">
      <c r="B19" s="192" t="s">
        <v>260</v>
      </c>
      <c r="AA19" s="254">
        <v>7500</v>
      </c>
    </row>
    <row r="20" spans="1:27">
      <c r="B20" s="192" t="s">
        <v>261</v>
      </c>
      <c r="AA20" s="193">
        <f>AA18*AA19</f>
        <v>75000</v>
      </c>
    </row>
    <row r="21" spans="1:27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</row>
    <row r="22" spans="1:27" s="62" customFormat="1" ht="9.9499999999999993" customHeight="1">
      <c r="B22" s="229"/>
    </row>
    <row r="23" spans="1:27">
      <c r="A23" s="255" t="s">
        <v>236</v>
      </c>
      <c r="B23" s="191" t="s">
        <v>256</v>
      </c>
      <c r="AA23" s="2">
        <f>AA26/AA25</f>
        <v>0.62857142857142856</v>
      </c>
    </row>
    <row r="24" spans="1:27">
      <c r="B24" s="191" t="s">
        <v>257</v>
      </c>
      <c r="AA24" s="2">
        <f>AA27/AA26</f>
        <v>0.54545454545454541</v>
      </c>
    </row>
    <row r="25" spans="1:27">
      <c r="B25" s="191" t="s">
        <v>226</v>
      </c>
      <c r="AA25" s="230">
        <v>35</v>
      </c>
    </row>
    <row r="26" spans="1:27">
      <c r="B26" s="191" t="s">
        <v>258</v>
      </c>
      <c r="AA26" s="230">
        <v>22</v>
      </c>
    </row>
    <row r="27" spans="1:27">
      <c r="B27" s="191" t="s">
        <v>259</v>
      </c>
      <c r="AA27" s="230">
        <v>12</v>
      </c>
    </row>
    <row r="28" spans="1:27">
      <c r="B28" s="192" t="s">
        <v>260</v>
      </c>
      <c r="AA28" s="254">
        <v>6840</v>
      </c>
    </row>
    <row r="29" spans="1:27">
      <c r="B29" s="192" t="s">
        <v>261</v>
      </c>
      <c r="AA29" s="193">
        <f>AA27*AA28</f>
        <v>82080</v>
      </c>
    </row>
    <row r="30" spans="1:27"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</row>
    <row r="31" spans="1:27" s="62" customFormat="1" ht="9.9499999999999993" customHeight="1">
      <c r="B31" s="229"/>
    </row>
    <row r="32" spans="1:27">
      <c r="A32" s="255" t="s">
        <v>230</v>
      </c>
      <c r="B32" s="191" t="s">
        <v>256</v>
      </c>
      <c r="AA32" s="2">
        <f>AA35/AA34</f>
        <v>0.41666666666666669</v>
      </c>
    </row>
    <row r="33" spans="1:27">
      <c r="B33" s="191" t="s">
        <v>257</v>
      </c>
      <c r="AA33" s="2">
        <f>AA36/AA35</f>
        <v>0.38333333333333336</v>
      </c>
    </row>
    <row r="34" spans="1:27">
      <c r="B34" s="191" t="s">
        <v>226</v>
      </c>
      <c r="AA34" s="230">
        <v>144</v>
      </c>
    </row>
    <row r="35" spans="1:27">
      <c r="B35" s="191" t="s">
        <v>258</v>
      </c>
      <c r="AA35" s="230">
        <v>60</v>
      </c>
    </row>
    <row r="36" spans="1:27">
      <c r="B36" s="191" t="s">
        <v>259</v>
      </c>
      <c r="AA36" s="230">
        <v>23</v>
      </c>
    </row>
    <row r="37" spans="1:27">
      <c r="B37" s="192" t="s">
        <v>260</v>
      </c>
      <c r="AA37" s="254">
        <v>5432</v>
      </c>
    </row>
    <row r="38" spans="1:27">
      <c r="B38" s="192" t="s">
        <v>261</v>
      </c>
      <c r="AA38" s="193">
        <f>AA36*AA37</f>
        <v>124936</v>
      </c>
    </row>
    <row r="39" spans="1:27">
      <c r="B39" s="192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</row>
    <row r="40" spans="1:27" s="62" customFormat="1" ht="9.9499999999999993" customHeight="1">
      <c r="B40" s="229"/>
    </row>
    <row r="41" spans="1:27">
      <c r="A41" s="255" t="s">
        <v>277</v>
      </c>
      <c r="B41" s="191" t="s">
        <v>256</v>
      </c>
      <c r="AA41" s="2">
        <f>AA44/AA43</f>
        <v>0.75</v>
      </c>
    </row>
    <row r="42" spans="1:27">
      <c r="B42" s="191" t="s">
        <v>257</v>
      </c>
      <c r="AA42" s="2">
        <f>AA45/AA44</f>
        <v>0.73333333333333328</v>
      </c>
    </row>
    <row r="43" spans="1:27">
      <c r="B43" s="191" t="s">
        <v>226</v>
      </c>
      <c r="AA43" s="230">
        <v>160</v>
      </c>
    </row>
    <row r="44" spans="1:27">
      <c r="B44" s="191" t="s">
        <v>258</v>
      </c>
      <c r="AA44" s="230">
        <v>120</v>
      </c>
    </row>
    <row r="45" spans="1:27">
      <c r="B45" s="191" t="s">
        <v>259</v>
      </c>
      <c r="AA45" s="230">
        <v>88</v>
      </c>
    </row>
    <row r="46" spans="1:27">
      <c r="B46" s="192" t="s">
        <v>260</v>
      </c>
      <c r="AA46" s="254">
        <v>9442</v>
      </c>
    </row>
    <row r="47" spans="1:27">
      <c r="B47" s="192" t="s">
        <v>261</v>
      </c>
      <c r="AA47" s="193">
        <f>AA45*AA46</f>
        <v>830896</v>
      </c>
    </row>
    <row r="48" spans="1:27"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</row>
    <row r="49" spans="1:27" s="62" customFormat="1" ht="9.9499999999999993" customHeight="1">
      <c r="B49" s="229"/>
    </row>
    <row r="50" spans="1:27">
      <c r="A50" s="255" t="s">
        <v>278</v>
      </c>
      <c r="B50" s="191" t="s">
        <v>256</v>
      </c>
      <c r="AA50" s="2">
        <f>AA53/AA52</f>
        <v>0.61428571428571432</v>
      </c>
    </row>
    <row r="51" spans="1:27">
      <c r="B51" s="191" t="s">
        <v>257</v>
      </c>
      <c r="AA51" s="2">
        <f>AA54/AA53</f>
        <v>0.51162790697674421</v>
      </c>
    </row>
    <row r="52" spans="1:27">
      <c r="B52" s="191" t="s">
        <v>226</v>
      </c>
      <c r="AA52" s="230">
        <v>70</v>
      </c>
    </row>
    <row r="53" spans="1:27">
      <c r="B53" s="191" t="s">
        <v>258</v>
      </c>
      <c r="AA53" s="230">
        <v>43</v>
      </c>
    </row>
    <row r="54" spans="1:27">
      <c r="B54" s="191" t="s">
        <v>259</v>
      </c>
      <c r="AA54" s="230">
        <v>22</v>
      </c>
    </row>
    <row r="55" spans="1:27">
      <c r="B55" s="192" t="s">
        <v>260</v>
      </c>
      <c r="AA55" s="254">
        <v>9212</v>
      </c>
    </row>
    <row r="56" spans="1:27">
      <c r="B56" s="194" t="s">
        <v>261</v>
      </c>
      <c r="AA56" s="193">
        <f>AA54*AA55</f>
        <v>202664</v>
      </c>
    </row>
    <row r="57" spans="1:27">
      <c r="B57" s="19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</row>
    <row r="58" spans="1:27" s="62" customFormat="1" ht="9.9499999999999993" customHeight="1">
      <c r="B58" s="229"/>
    </row>
    <row r="59" spans="1:27">
      <c r="A59" s="255" t="s">
        <v>279</v>
      </c>
      <c r="B59" s="191" t="s">
        <v>256</v>
      </c>
      <c r="AA59" s="2">
        <f>AA62/AA61</f>
        <v>0.41860465116279072</v>
      </c>
    </row>
    <row r="60" spans="1:27">
      <c r="B60" s="191" t="s">
        <v>257</v>
      </c>
      <c r="AA60" s="2">
        <f>AA63/AA62</f>
        <v>0.44444444444444442</v>
      </c>
    </row>
    <row r="61" spans="1:27">
      <c r="B61" s="191" t="s">
        <v>226</v>
      </c>
      <c r="AA61" s="230">
        <v>43</v>
      </c>
    </row>
    <row r="62" spans="1:27">
      <c r="B62" s="191" t="s">
        <v>258</v>
      </c>
      <c r="AA62" s="230">
        <v>18</v>
      </c>
    </row>
    <row r="63" spans="1:27">
      <c r="B63" s="191" t="s">
        <v>259</v>
      </c>
      <c r="AA63" s="230">
        <v>8</v>
      </c>
    </row>
    <row r="64" spans="1:27">
      <c r="B64" s="192" t="s">
        <v>260</v>
      </c>
      <c r="AA64" s="254">
        <v>5665</v>
      </c>
    </row>
    <row r="65" spans="1:27">
      <c r="B65" s="194" t="s">
        <v>261</v>
      </c>
      <c r="AA65" s="193">
        <f>AA63*AA64</f>
        <v>45320</v>
      </c>
    </row>
    <row r="66" spans="1:27">
      <c r="B66" s="192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</row>
    <row r="67" spans="1:27" s="62" customFormat="1" ht="9.9499999999999993" customHeight="1">
      <c r="B67" s="229"/>
    </row>
    <row r="68" spans="1:27">
      <c r="A68" s="255" t="s">
        <v>342</v>
      </c>
      <c r="B68" s="191" t="s">
        <v>256</v>
      </c>
      <c r="AA68" s="2">
        <f>AA71/AA70</f>
        <v>0.10909090909090909</v>
      </c>
    </row>
    <row r="69" spans="1:27">
      <c r="B69" s="191" t="s">
        <v>257</v>
      </c>
      <c r="AA69" s="2">
        <f>AA72/AA71</f>
        <v>0.83333333333333337</v>
      </c>
    </row>
    <row r="70" spans="1:27">
      <c r="B70" s="191" t="s">
        <v>226</v>
      </c>
      <c r="AA70" s="230">
        <v>1100</v>
      </c>
    </row>
    <row r="71" spans="1:27">
      <c r="B71" s="191" t="s">
        <v>258</v>
      </c>
      <c r="AA71" s="230">
        <v>120</v>
      </c>
    </row>
    <row r="72" spans="1:27">
      <c r="B72" s="191" t="s">
        <v>259</v>
      </c>
      <c r="AA72" s="230">
        <v>100</v>
      </c>
    </row>
    <row r="73" spans="1:27">
      <c r="B73" s="192" t="s">
        <v>260</v>
      </c>
      <c r="AA73" s="254">
        <v>7800</v>
      </c>
    </row>
    <row r="74" spans="1:27">
      <c r="B74" s="194" t="s">
        <v>261</v>
      </c>
      <c r="AA74" s="193">
        <f>AA72*AA73</f>
        <v>780000</v>
      </c>
    </row>
    <row r="75" spans="1:27">
      <c r="B75" s="192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</row>
    <row r="76" spans="1:27" s="62" customFormat="1" ht="9.9499999999999993" customHeight="1">
      <c r="B76" s="229"/>
    </row>
    <row r="77" spans="1:27">
      <c r="A77" s="255" t="s">
        <v>282</v>
      </c>
      <c r="B77" s="191" t="s">
        <v>256</v>
      </c>
      <c r="AA77" s="2">
        <f>AA80/AA79</f>
        <v>0.25454545454545452</v>
      </c>
    </row>
    <row r="78" spans="1:27">
      <c r="B78" s="191" t="s">
        <v>257</v>
      </c>
      <c r="AA78" s="2">
        <f>AA81/AA80</f>
        <v>0.35714285714285715</v>
      </c>
    </row>
    <row r="79" spans="1:27">
      <c r="B79" s="191" t="s">
        <v>226</v>
      </c>
      <c r="AA79" s="230">
        <v>55</v>
      </c>
    </row>
    <row r="80" spans="1:27">
      <c r="B80" s="191" t="s">
        <v>258</v>
      </c>
      <c r="AA80" s="230">
        <v>14</v>
      </c>
    </row>
    <row r="81" spans="1:27">
      <c r="B81" s="191" t="s">
        <v>259</v>
      </c>
      <c r="AA81" s="230">
        <v>5</v>
      </c>
    </row>
    <row r="82" spans="1:27">
      <c r="B82" s="192" t="s">
        <v>260</v>
      </c>
      <c r="AA82" s="254">
        <v>3244</v>
      </c>
    </row>
    <row r="83" spans="1:27">
      <c r="B83" s="194" t="s">
        <v>261</v>
      </c>
      <c r="AA83" s="193">
        <f>AA81*AA82</f>
        <v>16220</v>
      </c>
    </row>
    <row r="84" spans="1:27">
      <c r="B84" s="192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1:27" s="62" customFormat="1" ht="9.9499999999999993" customHeight="1">
      <c r="B85" s="229"/>
    </row>
    <row r="86" spans="1:27">
      <c r="A86" s="255" t="s">
        <v>231</v>
      </c>
      <c r="B86" s="191" t="s">
        <v>256</v>
      </c>
      <c r="AA86" s="2">
        <f>AA89/AA88</f>
        <v>0.84051724137931039</v>
      </c>
    </row>
    <row r="87" spans="1:27">
      <c r="B87" s="191" t="s">
        <v>257</v>
      </c>
      <c r="AA87" s="2">
        <f>AA90/AA89</f>
        <v>0.76923076923076927</v>
      </c>
    </row>
    <row r="88" spans="1:27">
      <c r="B88" s="191" t="s">
        <v>226</v>
      </c>
      <c r="AA88" s="230">
        <v>232</v>
      </c>
    </row>
    <row r="89" spans="1:27">
      <c r="B89" s="191" t="s">
        <v>258</v>
      </c>
      <c r="AA89" s="230">
        <v>195</v>
      </c>
    </row>
    <row r="90" spans="1:27">
      <c r="B90" s="191" t="s">
        <v>259</v>
      </c>
      <c r="AA90" s="230">
        <v>150</v>
      </c>
    </row>
    <row r="91" spans="1:27">
      <c r="B91" s="192" t="s">
        <v>260</v>
      </c>
      <c r="AA91" s="193">
        <v>9753</v>
      </c>
    </row>
    <row r="92" spans="1:27">
      <c r="B92" s="194" t="s">
        <v>261</v>
      </c>
      <c r="AA92" s="193">
        <f>AA90*AA91</f>
        <v>1462950</v>
      </c>
    </row>
    <row r="93" spans="1:27">
      <c r="B93" s="192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</row>
    <row r="94" spans="1:27" s="62" customFormat="1" ht="9.9499999999999993" customHeight="1">
      <c r="B94" s="229"/>
    </row>
    <row r="95" spans="1:27">
      <c r="A95" s="109" t="s">
        <v>324</v>
      </c>
      <c r="B95" s="191" t="s">
        <v>256</v>
      </c>
      <c r="AA95" s="2">
        <f>AA98/AA97</f>
        <v>0.7583333333333333</v>
      </c>
    </row>
    <row r="96" spans="1:27">
      <c r="B96" s="191" t="s">
        <v>257</v>
      </c>
      <c r="AA96" s="2">
        <f>AA99/AA98</f>
        <v>0.65934065934065933</v>
      </c>
    </row>
    <row r="97" spans="1:27">
      <c r="B97" s="191" t="s">
        <v>226</v>
      </c>
      <c r="AA97" s="230">
        <v>120</v>
      </c>
    </row>
    <row r="98" spans="1:27">
      <c r="B98" s="191" t="s">
        <v>258</v>
      </c>
      <c r="AA98" s="230">
        <v>91</v>
      </c>
    </row>
    <row r="99" spans="1:27">
      <c r="B99" s="191" t="s">
        <v>259</v>
      </c>
      <c r="AA99" s="230">
        <v>60</v>
      </c>
    </row>
    <row r="100" spans="1:27">
      <c r="B100" s="192" t="s">
        <v>260</v>
      </c>
      <c r="AA100" s="193">
        <v>7622</v>
      </c>
    </row>
    <row r="101" spans="1:27">
      <c r="B101" s="194" t="s">
        <v>261</v>
      </c>
      <c r="AA101" s="193">
        <f>AA99*AA100</f>
        <v>457320</v>
      </c>
    </row>
    <row r="102" spans="1:27">
      <c r="B102" s="192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</row>
    <row r="103" spans="1:27" s="62" customFormat="1" ht="9.9499999999999993" customHeight="1">
      <c r="B103" s="229"/>
    </row>
    <row r="104" spans="1:27">
      <c r="A104" s="109" t="s">
        <v>325</v>
      </c>
      <c r="B104" s="191" t="s">
        <v>256</v>
      </c>
      <c r="AA104" s="2">
        <f>AA107/AA106</f>
        <v>0.6</v>
      </c>
    </row>
    <row r="105" spans="1:27">
      <c r="B105" s="191" t="s">
        <v>257</v>
      </c>
      <c r="AA105" s="2">
        <f>AA108/AA107</f>
        <v>0.875</v>
      </c>
    </row>
    <row r="106" spans="1:27">
      <c r="B106" s="191" t="s">
        <v>226</v>
      </c>
      <c r="AA106" s="230">
        <v>200</v>
      </c>
    </row>
    <row r="107" spans="1:27">
      <c r="B107" s="191" t="s">
        <v>258</v>
      </c>
      <c r="AA107" s="230">
        <v>120</v>
      </c>
    </row>
    <row r="108" spans="1:27">
      <c r="B108" s="191" t="s">
        <v>259</v>
      </c>
      <c r="AA108" s="230">
        <v>105</v>
      </c>
    </row>
    <row r="109" spans="1:27">
      <c r="B109" s="192" t="s">
        <v>260</v>
      </c>
      <c r="AA109" s="254">
        <v>7900</v>
      </c>
    </row>
    <row r="110" spans="1:27">
      <c r="B110" s="194" t="s">
        <v>261</v>
      </c>
      <c r="AA110" s="193">
        <f>AA108*AA109</f>
        <v>829500</v>
      </c>
    </row>
    <row r="111" spans="1:27">
      <c r="B111" s="192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</row>
    <row r="112" spans="1:27" s="62" customFormat="1" ht="9.9499999999999993" customHeight="1">
      <c r="B112" s="229"/>
    </row>
    <row r="113" spans="1:29">
      <c r="A113" s="109" t="s">
        <v>31</v>
      </c>
      <c r="B113" s="191" t="s">
        <v>256</v>
      </c>
      <c r="AA113" s="2">
        <f>AA116/AA115</f>
        <v>0.45263157894736844</v>
      </c>
    </row>
    <row r="114" spans="1:29">
      <c r="B114" s="191" t="s">
        <v>257</v>
      </c>
      <c r="AA114" s="2">
        <f>AA117/AA116</f>
        <v>0.55813953488372092</v>
      </c>
    </row>
    <row r="115" spans="1:29">
      <c r="B115" s="191" t="s">
        <v>226</v>
      </c>
      <c r="AA115" s="230">
        <v>95</v>
      </c>
    </row>
    <row r="116" spans="1:29">
      <c r="B116" s="191" t="s">
        <v>258</v>
      </c>
      <c r="AA116" s="230">
        <v>43</v>
      </c>
    </row>
    <row r="117" spans="1:29">
      <c r="B117" s="191" t="s">
        <v>259</v>
      </c>
      <c r="AA117" s="230">
        <v>24</v>
      </c>
    </row>
    <row r="118" spans="1:29">
      <c r="B118" s="192" t="s">
        <v>260</v>
      </c>
      <c r="AA118" s="193">
        <v>6553</v>
      </c>
    </row>
    <row r="119" spans="1:29">
      <c r="B119" s="194" t="s">
        <v>261</v>
      </c>
      <c r="AA119" s="193">
        <f>AA117*AA118</f>
        <v>157272</v>
      </c>
    </row>
    <row r="120" spans="1:29">
      <c r="B120" s="192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C120" t="s">
        <v>323</v>
      </c>
    </row>
    <row r="121" spans="1:29" s="62" customFormat="1" ht="9.9499999999999993" customHeight="1">
      <c r="B121" s="229"/>
    </row>
    <row r="122" spans="1:29">
      <c r="A122" s="109" t="s">
        <v>262</v>
      </c>
      <c r="B122" s="191" t="s">
        <v>256</v>
      </c>
      <c r="AA122" s="256">
        <f>AA125/AA124</f>
        <v>0.61722488038277512</v>
      </c>
    </row>
    <row r="123" spans="1:29">
      <c r="B123" s="191" t="s">
        <v>257</v>
      </c>
      <c r="AA123" s="256">
        <f>AA126/AA125</f>
        <v>0.68087855297157618</v>
      </c>
    </row>
    <row r="124" spans="1:29">
      <c r="B124" s="191" t="s">
        <v>226</v>
      </c>
      <c r="AA124" s="57">
        <f>AA115+AA106+AA97+AA88+AA79+AA61+AA52+AA43+AA34+AA25+AA16+AA7</f>
        <v>1254</v>
      </c>
    </row>
    <row r="125" spans="1:29">
      <c r="B125" s="191" t="s">
        <v>258</v>
      </c>
      <c r="AA125" s="57">
        <f>AA116+AA107+AA98+AA89+AA80+AA62+AA53+AA44+AA35+AA26+AA17+AA8</f>
        <v>774</v>
      </c>
    </row>
    <row r="126" spans="1:29">
      <c r="B126" s="191" t="s">
        <v>259</v>
      </c>
      <c r="AA126" s="57">
        <f>AA117+AA108+AA99+AA90+AA81+AA63+AA54+AA45+AA36+AA27+AA18+AA9</f>
        <v>527</v>
      </c>
    </row>
    <row r="127" spans="1:29">
      <c r="B127" s="192" t="s">
        <v>260</v>
      </c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257">
        <f>AA118+AA109+AA100+AA91+AA82+AA64+AA55+AA46+AA37+AA28+AA19+AA10</f>
        <v>86963</v>
      </c>
    </row>
    <row r="128" spans="1:29">
      <c r="B128" s="194" t="s">
        <v>261</v>
      </c>
      <c r="AA128" s="257">
        <f>AA119+AA110+AA101+AA92+AA83+AA65+AA56+AA47+AA38+AA29+AA20+AA11</f>
        <v>4440158</v>
      </c>
    </row>
    <row r="129" spans="27:27">
      <c r="AA129" s="57"/>
    </row>
  </sheetData>
  <mergeCells count="1">
    <mergeCell ref="A2:B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R17"/>
  <sheetViews>
    <sheetView showGridLines="0" zoomScale="110" zoomScaleNormal="110" zoomScalePageLayoutView="110" workbookViewId="0">
      <pane xSplit="1" ySplit="2" topLeftCell="B3" activePane="bottomRight" state="frozen"/>
      <selection activeCell="AB110" sqref="AB110"/>
      <selection pane="topRight" activeCell="AB110" sqref="AB110"/>
      <selection pane="bottomLeft" activeCell="AB110" sqref="AB110"/>
      <selection pane="bottomRight" activeCell="B5" sqref="B5"/>
    </sheetView>
  </sheetViews>
  <sheetFormatPr defaultColWidth="11.42578125" defaultRowHeight="15"/>
  <cols>
    <col min="1" max="1" width="19.85546875" customWidth="1"/>
    <col min="2" max="4" width="14.7109375" customWidth="1"/>
    <col min="5" max="8" width="13.7109375" customWidth="1"/>
    <col min="9" max="12" width="13" customWidth="1"/>
    <col min="13" max="13" width="14.85546875" customWidth="1"/>
    <col min="14" max="14" width="14.42578125" customWidth="1"/>
    <col min="15" max="16" width="13" customWidth="1"/>
    <col min="17" max="17" width="17.85546875" customWidth="1"/>
  </cols>
  <sheetData>
    <row r="1" spans="1:18" s="75" customFormat="1" ht="18.75">
      <c r="B1" s="1313" t="s">
        <v>326</v>
      </c>
      <c r="C1" s="1313"/>
      <c r="D1" s="1313"/>
      <c r="E1" s="1313"/>
      <c r="F1" s="1313"/>
      <c r="G1" s="1313"/>
      <c r="H1" s="1313"/>
      <c r="I1" s="1314"/>
      <c r="J1" s="1314"/>
      <c r="K1" s="1314"/>
      <c r="L1" s="1314"/>
      <c r="M1" s="1314"/>
      <c r="N1" s="1314"/>
      <c r="O1" s="1314"/>
      <c r="P1" s="1314"/>
      <c r="Q1" s="210"/>
    </row>
    <row r="2" spans="1:18" s="196" customFormat="1" ht="27.95" customHeight="1">
      <c r="A2" s="232" t="s">
        <v>232</v>
      </c>
      <c r="B2" s="232" t="s">
        <v>263</v>
      </c>
      <c r="C2" s="232" t="s">
        <v>341</v>
      </c>
      <c r="D2" s="232" t="s">
        <v>264</v>
      </c>
      <c r="E2" s="232" t="s">
        <v>265</v>
      </c>
      <c r="F2" s="232" t="s">
        <v>14</v>
      </c>
      <c r="G2" s="232" t="s">
        <v>266</v>
      </c>
      <c r="H2" s="232" t="s">
        <v>268</v>
      </c>
      <c r="I2" s="232" t="s">
        <v>270</v>
      </c>
      <c r="J2" s="232" t="s">
        <v>267</v>
      </c>
      <c r="K2" s="232" t="s">
        <v>269</v>
      </c>
      <c r="L2" s="232" t="s">
        <v>271</v>
      </c>
      <c r="M2" s="232" t="s">
        <v>273</v>
      </c>
      <c r="N2" s="232" t="s">
        <v>274</v>
      </c>
      <c r="O2" s="232" t="s">
        <v>321</v>
      </c>
      <c r="P2" s="232" t="s">
        <v>261</v>
      </c>
      <c r="Q2" s="232" t="s">
        <v>272</v>
      </c>
    </row>
    <row r="3" spans="1:18">
      <c r="A3" s="191" t="str">
        <f>'Prg. Actuals'!A5</f>
        <v>Earned Media</v>
      </c>
      <c r="B3" s="233">
        <v>4000</v>
      </c>
      <c r="C3" s="252">
        <v>0.11</v>
      </c>
      <c r="D3" s="251">
        <f>C3*'Prg. HR'!$F$38*12</f>
        <v>8068.3911000000007</v>
      </c>
      <c r="E3" s="197">
        <f t="shared" ref="E3:E15" si="0">SUM(B3:D3)</f>
        <v>12068.501100000001</v>
      </c>
      <c r="F3" s="250">
        <f>IF(G3=0,0,G3/$G$17)</f>
        <v>2.9736618521665252E-2</v>
      </c>
      <c r="G3" s="198">
        <f>'Prg. Actuals'!AA7</f>
        <v>70</v>
      </c>
      <c r="H3" s="198">
        <f>'Prg. Actuals'!AA8</f>
        <v>30</v>
      </c>
      <c r="I3" s="198">
        <f>'Prg. Actuals'!AA9</f>
        <v>20</v>
      </c>
      <c r="J3" s="197">
        <f t="shared" ref="J3:J15" si="1">E3/G3</f>
        <v>172.4071585714286</v>
      </c>
      <c r="K3" s="197">
        <f t="shared" ref="K3:K15" si="2">E3/H3</f>
        <v>402.28337000000005</v>
      </c>
      <c r="L3" s="197">
        <f t="shared" ref="L3:L15" si="3">E3/I3</f>
        <v>603.42505500000004</v>
      </c>
      <c r="M3" s="200">
        <f t="shared" ref="M3:M15" si="4">H3/G3</f>
        <v>0.42857142857142855</v>
      </c>
      <c r="N3" s="200">
        <f t="shared" ref="N3:N15" si="5">I3/H3</f>
        <v>0.66666666666666663</v>
      </c>
      <c r="O3" s="198">
        <f>'Prg. Actuals'!AA10</f>
        <v>7800</v>
      </c>
      <c r="P3" s="197">
        <f>I3*O3</f>
        <v>156000</v>
      </c>
      <c r="Q3" s="199">
        <f t="shared" ref="Q3:Q15" si="6">P3/E3</f>
        <v>12.92621169003332</v>
      </c>
    </row>
    <row r="4" spans="1:18">
      <c r="A4" s="191" t="str">
        <f>'Prg. Actuals'!A14</f>
        <v>TV</v>
      </c>
      <c r="B4" s="233">
        <v>12000</v>
      </c>
      <c r="C4" s="252">
        <v>0.05</v>
      </c>
      <c r="D4" s="251">
        <f>C4*'Prg. HR'!$F$38*12</f>
        <v>3667.4504999999999</v>
      </c>
      <c r="E4" s="197">
        <f t="shared" si="0"/>
        <v>15667.500499999998</v>
      </c>
      <c r="F4" s="250">
        <f t="shared" ref="F4:F15" si="7">IF(G4=0,0,G4/$G$17)</f>
        <v>1.2744265080713678E-2</v>
      </c>
      <c r="G4" s="198">
        <f>'Prg. Actuals'!AA16</f>
        <v>30</v>
      </c>
      <c r="H4" s="198">
        <f>'Prg. Actuals'!AA17</f>
        <v>18</v>
      </c>
      <c r="I4" s="198">
        <f>'Prg. Actuals'!AA18</f>
        <v>10</v>
      </c>
      <c r="J4" s="197">
        <f t="shared" si="1"/>
        <v>522.25001666666662</v>
      </c>
      <c r="K4" s="197">
        <f t="shared" si="2"/>
        <v>870.41669444444437</v>
      </c>
      <c r="L4" s="197">
        <f t="shared" si="3"/>
        <v>1566.7500499999999</v>
      </c>
      <c r="M4" s="200">
        <f t="shared" si="4"/>
        <v>0.6</v>
      </c>
      <c r="N4" s="200">
        <f t="shared" si="5"/>
        <v>0.55555555555555558</v>
      </c>
      <c r="O4" s="198">
        <f>'Prg. Actuals'!AA19</f>
        <v>7500</v>
      </c>
      <c r="P4" s="197">
        <f t="shared" ref="P4:P15" si="8">I4*O4</f>
        <v>75000</v>
      </c>
      <c r="Q4" s="199">
        <f t="shared" si="6"/>
        <v>4.7869792632207036</v>
      </c>
    </row>
    <row r="5" spans="1:18">
      <c r="A5" s="191" t="str">
        <f>'Prg. Actuals'!A23</f>
        <v>Radio</v>
      </c>
      <c r="B5" s="233">
        <v>6000</v>
      </c>
      <c r="C5" s="252">
        <v>0.03</v>
      </c>
      <c r="D5" s="251">
        <f>C5*'Prg. HR'!$F$38*12</f>
        <v>2200.4703</v>
      </c>
      <c r="E5" s="197">
        <f t="shared" si="0"/>
        <v>8200.5002999999997</v>
      </c>
      <c r="F5" s="250">
        <f t="shared" si="7"/>
        <v>1.4868309260832626E-2</v>
      </c>
      <c r="G5" s="198">
        <f>'Prg. Actuals'!AA25</f>
        <v>35</v>
      </c>
      <c r="H5" s="198">
        <f>'Prg. Actuals'!AA26</f>
        <v>22</v>
      </c>
      <c r="I5" s="198">
        <f>'Prg. Actuals'!AA27</f>
        <v>12</v>
      </c>
      <c r="J5" s="197">
        <f t="shared" si="1"/>
        <v>234.30000857142855</v>
      </c>
      <c r="K5" s="197">
        <f t="shared" si="2"/>
        <v>372.75001363636363</v>
      </c>
      <c r="L5" s="197">
        <f t="shared" si="3"/>
        <v>683.37502499999994</v>
      </c>
      <c r="M5" s="200">
        <f t="shared" si="4"/>
        <v>0.62857142857142856</v>
      </c>
      <c r="N5" s="200">
        <f t="shared" si="5"/>
        <v>0.54545454545454541</v>
      </c>
      <c r="O5" s="198">
        <f>'Prg. Actuals'!AA28</f>
        <v>6840</v>
      </c>
      <c r="P5" s="197">
        <f t="shared" si="8"/>
        <v>82080</v>
      </c>
      <c r="Q5" s="199">
        <f t="shared" si="6"/>
        <v>10.009145417627751</v>
      </c>
    </row>
    <row r="6" spans="1:18">
      <c r="A6" s="191" t="str">
        <f>'Prg. Actuals'!A32</f>
        <v>Print</v>
      </c>
      <c r="B6" s="233">
        <v>8000</v>
      </c>
      <c r="C6" s="252">
        <v>0.03</v>
      </c>
      <c r="D6" s="251">
        <f>C6*'Prg. HR'!$F$38*12</f>
        <v>2200.4703</v>
      </c>
      <c r="E6" s="197">
        <f t="shared" si="0"/>
        <v>10200.5003</v>
      </c>
      <c r="F6" s="250">
        <f t="shared" si="7"/>
        <v>6.117247238742566E-2</v>
      </c>
      <c r="G6" s="198">
        <f>'Prg. Actuals'!AA34</f>
        <v>144</v>
      </c>
      <c r="H6" s="198">
        <f>'Prg. Actuals'!AA35</f>
        <v>60</v>
      </c>
      <c r="I6" s="198">
        <f>'Prg. Actuals'!AA36</f>
        <v>23</v>
      </c>
      <c r="J6" s="197">
        <f t="shared" si="1"/>
        <v>70.836807638888885</v>
      </c>
      <c r="K6" s="197">
        <f t="shared" si="2"/>
        <v>170.00833833333334</v>
      </c>
      <c r="L6" s="197">
        <f t="shared" si="3"/>
        <v>443.50001304347825</v>
      </c>
      <c r="M6" s="200">
        <f t="shared" si="4"/>
        <v>0.41666666666666669</v>
      </c>
      <c r="N6" s="200">
        <f t="shared" si="5"/>
        <v>0.38333333333333336</v>
      </c>
      <c r="O6" s="198">
        <f>'Prg. Actuals'!AA37</f>
        <v>5432</v>
      </c>
      <c r="P6" s="197">
        <f t="shared" si="8"/>
        <v>124936</v>
      </c>
      <c r="Q6" s="199">
        <f t="shared" si="6"/>
        <v>12.24802669727876</v>
      </c>
    </row>
    <row r="7" spans="1:18">
      <c r="A7" s="191" t="str">
        <f>'Prg. Actuals'!A41</f>
        <v>Public Workshops</v>
      </c>
      <c r="B7" s="233">
        <v>15000</v>
      </c>
      <c r="C7" s="252">
        <v>0.12</v>
      </c>
      <c r="D7" s="251">
        <f>C7*'Prg. HR'!$F$38*12</f>
        <v>8801.8811999999998</v>
      </c>
      <c r="E7" s="197">
        <f t="shared" si="0"/>
        <v>23802.001199999999</v>
      </c>
      <c r="F7" s="250">
        <f t="shared" si="7"/>
        <v>6.7969413763806288E-2</v>
      </c>
      <c r="G7" s="198">
        <f>'Prg. Actuals'!AA43</f>
        <v>160</v>
      </c>
      <c r="H7" s="198">
        <f>'Prg. Actuals'!AA44</f>
        <v>120</v>
      </c>
      <c r="I7" s="198">
        <f>'Prg. Actuals'!AA45</f>
        <v>88</v>
      </c>
      <c r="J7" s="197">
        <f t="shared" si="1"/>
        <v>148.7625075</v>
      </c>
      <c r="K7" s="197">
        <f t="shared" si="2"/>
        <v>198.35001</v>
      </c>
      <c r="L7" s="197">
        <f t="shared" si="3"/>
        <v>270.47728636363632</v>
      </c>
      <c r="M7" s="200">
        <f t="shared" si="4"/>
        <v>0.75</v>
      </c>
      <c r="N7" s="200">
        <f t="shared" si="5"/>
        <v>0.73333333333333328</v>
      </c>
      <c r="O7" s="198">
        <f>'Prg. Actuals'!AA46</f>
        <v>9442</v>
      </c>
      <c r="P7" s="197">
        <f t="shared" si="8"/>
        <v>830896</v>
      </c>
      <c r="Q7" s="199">
        <f t="shared" si="6"/>
        <v>34.90866137759879</v>
      </c>
    </row>
    <row r="8" spans="1:18">
      <c r="A8" s="191" t="str">
        <f>'Prg. Actuals'!A50</f>
        <v xml:space="preserve">Presentations </v>
      </c>
      <c r="B8" s="233">
        <v>4000</v>
      </c>
      <c r="C8" s="252">
        <v>0.18</v>
      </c>
      <c r="D8" s="251">
        <f>C8*'Prg. HR'!$F$38*12</f>
        <v>13202.8218</v>
      </c>
      <c r="E8" s="197">
        <f t="shared" si="0"/>
        <v>17203.001799999998</v>
      </c>
      <c r="F8" s="250">
        <f t="shared" si="7"/>
        <v>2.9736618521665252E-2</v>
      </c>
      <c r="G8" s="198">
        <f>'Prg. Actuals'!AA52</f>
        <v>70</v>
      </c>
      <c r="H8" s="198">
        <f>'Prg. Actuals'!AA53</f>
        <v>43</v>
      </c>
      <c r="I8" s="198">
        <f>'Prg. Actuals'!AA54</f>
        <v>22</v>
      </c>
      <c r="J8" s="197">
        <f t="shared" si="1"/>
        <v>245.75716857142854</v>
      </c>
      <c r="K8" s="197">
        <f t="shared" si="2"/>
        <v>400.06980930232555</v>
      </c>
      <c r="L8" s="197">
        <f t="shared" si="3"/>
        <v>781.95462727272718</v>
      </c>
      <c r="M8" s="200">
        <f t="shared" si="4"/>
        <v>0.61428571428571432</v>
      </c>
      <c r="N8" s="200">
        <f t="shared" si="5"/>
        <v>0.51162790697674421</v>
      </c>
      <c r="O8" s="198">
        <f>'Prg. Actuals'!AA55</f>
        <v>9212</v>
      </c>
      <c r="P8" s="197">
        <f t="shared" si="8"/>
        <v>202664</v>
      </c>
      <c r="Q8" s="199">
        <f t="shared" si="6"/>
        <v>11.780734685501226</v>
      </c>
    </row>
    <row r="9" spans="1:18">
      <c r="A9" s="191" t="str">
        <f>'Prg. Actuals'!A59</f>
        <v>Tabling</v>
      </c>
      <c r="B9" s="233">
        <v>4000</v>
      </c>
      <c r="C9" s="252">
        <v>0.08</v>
      </c>
      <c r="D9" s="251">
        <f>C9*'Prg. HR'!$F$38*12</f>
        <v>5867.9208000000008</v>
      </c>
      <c r="E9" s="197">
        <f t="shared" si="0"/>
        <v>9868.0008000000016</v>
      </c>
      <c r="F9" s="250">
        <f t="shared" si="7"/>
        <v>1.826677994902294E-2</v>
      </c>
      <c r="G9" s="198">
        <f>'Prg. Actuals'!AA61</f>
        <v>43</v>
      </c>
      <c r="H9" s="198">
        <f>'Prg. Actuals'!AA62</f>
        <v>18</v>
      </c>
      <c r="I9" s="198">
        <f>'Prg. Actuals'!AA63</f>
        <v>8</v>
      </c>
      <c r="J9" s="197">
        <f t="shared" si="1"/>
        <v>229.48839069767445</v>
      </c>
      <c r="K9" s="197">
        <f t="shared" si="2"/>
        <v>548.22226666666677</v>
      </c>
      <c r="L9" s="197">
        <f t="shared" si="3"/>
        <v>1233.5001000000002</v>
      </c>
      <c r="M9" s="200">
        <f t="shared" si="4"/>
        <v>0.41860465116279072</v>
      </c>
      <c r="N9" s="200">
        <f t="shared" si="5"/>
        <v>0.44444444444444442</v>
      </c>
      <c r="O9" s="198">
        <f>'Prg. Actuals'!AA64</f>
        <v>5665</v>
      </c>
      <c r="P9" s="197">
        <f t="shared" si="8"/>
        <v>45320</v>
      </c>
      <c r="Q9" s="199">
        <f t="shared" si="6"/>
        <v>4.5926222462405955</v>
      </c>
    </row>
    <row r="10" spans="1:18">
      <c r="A10" s="191" t="str">
        <f>'Prg. Actuals'!A68</f>
        <v>Door-to-door</v>
      </c>
      <c r="B10" s="233">
        <v>23000</v>
      </c>
      <c r="C10" s="252">
        <v>0.02</v>
      </c>
      <c r="D10" s="251">
        <f>C10*'Prg. HR'!$F$38*12</f>
        <v>1466.9802000000002</v>
      </c>
      <c r="E10" s="197">
        <f t="shared" si="0"/>
        <v>24467.000200000002</v>
      </c>
      <c r="F10" s="250">
        <f t="shared" si="7"/>
        <v>0.46728971962616822</v>
      </c>
      <c r="G10" s="198">
        <f>'Prg. Actuals'!AA70</f>
        <v>1100</v>
      </c>
      <c r="H10" s="198">
        <f>'Prg. Actuals'!AA71</f>
        <v>120</v>
      </c>
      <c r="I10" s="198">
        <f>'Prg. Actuals'!AA72</f>
        <v>100</v>
      </c>
      <c r="J10" s="197">
        <f t="shared" si="1"/>
        <v>22.242727454545456</v>
      </c>
      <c r="K10" s="197">
        <f t="shared" si="2"/>
        <v>203.89166833333334</v>
      </c>
      <c r="L10" s="197">
        <f t="shared" si="3"/>
        <v>244.67000200000001</v>
      </c>
      <c r="M10" s="200">
        <f t="shared" si="4"/>
        <v>0.10909090909090909</v>
      </c>
      <c r="N10" s="200">
        <f t="shared" si="5"/>
        <v>0.83333333333333337</v>
      </c>
      <c r="O10" s="198">
        <f>'Prg. Actuals'!AA73</f>
        <v>7800</v>
      </c>
      <c r="P10" s="197">
        <f t="shared" si="8"/>
        <v>780000</v>
      </c>
      <c r="Q10" s="199">
        <f t="shared" si="6"/>
        <v>31.879674403239672</v>
      </c>
    </row>
    <row r="11" spans="1:18">
      <c r="A11" s="191" t="str">
        <f>'Prg. Actuals'!A77</f>
        <v>Bill Inserts</v>
      </c>
      <c r="B11" s="233">
        <v>8000</v>
      </c>
      <c r="C11" s="252">
        <v>0.02</v>
      </c>
      <c r="D11" s="251">
        <f>C11*'Prg. HR'!$F$38*12</f>
        <v>1466.9802000000002</v>
      </c>
      <c r="E11" s="197">
        <f t="shared" si="0"/>
        <v>9467.0002000000004</v>
      </c>
      <c r="F11" s="250">
        <f t="shared" si="7"/>
        <v>2.336448598130841E-2</v>
      </c>
      <c r="G11" s="198">
        <f>'Prg. Actuals'!AA79</f>
        <v>55</v>
      </c>
      <c r="H11" s="198">
        <f>'Prg. Actuals'!AA80</f>
        <v>14</v>
      </c>
      <c r="I11" s="198">
        <f>'Prg. Actuals'!AA81</f>
        <v>5</v>
      </c>
      <c r="J11" s="197">
        <f t="shared" si="1"/>
        <v>172.12727636363638</v>
      </c>
      <c r="K11" s="197">
        <f t="shared" si="2"/>
        <v>676.21429999999998</v>
      </c>
      <c r="L11" s="197">
        <f t="shared" si="3"/>
        <v>1893.40004</v>
      </c>
      <c r="M11" s="200">
        <f t="shared" si="4"/>
        <v>0.25454545454545452</v>
      </c>
      <c r="N11" s="200">
        <f t="shared" si="5"/>
        <v>0.35714285714285715</v>
      </c>
      <c r="O11" s="198">
        <f>'Prg. Actuals'!AA82</f>
        <v>3244</v>
      </c>
      <c r="P11" s="197">
        <f t="shared" si="8"/>
        <v>16220</v>
      </c>
      <c r="Q11" s="199">
        <f t="shared" si="6"/>
        <v>1.7133199173271381</v>
      </c>
    </row>
    <row r="12" spans="1:18">
      <c r="A12" s="191" t="str">
        <f>'Prg. Actuals'!A86</f>
        <v>Referrals</v>
      </c>
      <c r="B12" s="233">
        <v>5000</v>
      </c>
      <c r="C12" s="252">
        <v>0.05</v>
      </c>
      <c r="D12" s="251">
        <f>C12*'Prg. HR'!$F$38*12</f>
        <v>3667.4504999999999</v>
      </c>
      <c r="E12" s="197">
        <f t="shared" si="0"/>
        <v>8667.5005000000001</v>
      </c>
      <c r="F12" s="250">
        <f t="shared" si="7"/>
        <v>9.8555649957519115E-2</v>
      </c>
      <c r="G12" s="198">
        <f>'Prg. Actuals'!AA88</f>
        <v>232</v>
      </c>
      <c r="H12" s="198">
        <f>'Prg. Actuals'!AA89</f>
        <v>195</v>
      </c>
      <c r="I12" s="198">
        <f>'Prg. Actuals'!AA90</f>
        <v>150</v>
      </c>
      <c r="J12" s="197">
        <f t="shared" si="1"/>
        <v>37.359915948275862</v>
      </c>
      <c r="K12" s="197">
        <f t="shared" si="2"/>
        <v>44.448720512820515</v>
      </c>
      <c r="L12" s="197">
        <f t="shared" si="3"/>
        <v>57.783336666666671</v>
      </c>
      <c r="M12" s="197">
        <f t="shared" si="4"/>
        <v>0.84051724137931039</v>
      </c>
      <c r="N12" s="197">
        <f t="shared" si="5"/>
        <v>0.76923076923076927</v>
      </c>
      <c r="O12" s="198">
        <f>'Prg. Actuals'!AA91</f>
        <v>9753</v>
      </c>
      <c r="P12" s="197">
        <f t="shared" si="8"/>
        <v>1462950</v>
      </c>
      <c r="Q12" s="197">
        <f t="shared" si="6"/>
        <v>168.7856839466003</v>
      </c>
    </row>
    <row r="13" spans="1:18">
      <c r="A13" s="191" t="str">
        <f>'Prg. Actuals'!A95</f>
        <v>Affiliate Partners</v>
      </c>
      <c r="B13" s="233">
        <v>10000</v>
      </c>
      <c r="C13" s="253">
        <v>0.12</v>
      </c>
      <c r="D13" s="251">
        <f>C13*'Prg. HR'!$F$38*12</f>
        <v>8801.8811999999998</v>
      </c>
      <c r="E13" s="197">
        <f t="shared" si="0"/>
        <v>18802.001199999999</v>
      </c>
      <c r="F13" s="250">
        <f t="shared" si="7"/>
        <v>5.0977060322854713E-2</v>
      </c>
      <c r="G13" s="198">
        <f>'Prg. Actuals'!AA97</f>
        <v>120</v>
      </c>
      <c r="H13" s="198">
        <f>'Prg. Actuals'!AA98</f>
        <v>91</v>
      </c>
      <c r="I13" s="198">
        <f>'Prg. Actuals'!AA99</f>
        <v>60</v>
      </c>
      <c r="J13" s="197">
        <f t="shared" si="1"/>
        <v>156.68334333333331</v>
      </c>
      <c r="K13" s="197">
        <f t="shared" si="2"/>
        <v>206.61539780219778</v>
      </c>
      <c r="L13" s="197">
        <f t="shared" si="3"/>
        <v>313.36668666666662</v>
      </c>
      <c r="M13" s="200">
        <f t="shared" si="4"/>
        <v>0.7583333333333333</v>
      </c>
      <c r="N13" s="200">
        <f t="shared" si="5"/>
        <v>0.65934065934065933</v>
      </c>
      <c r="O13" s="198">
        <f>'Prg. Actuals'!AA100</f>
        <v>7622</v>
      </c>
      <c r="P13" s="197">
        <f t="shared" si="8"/>
        <v>457320</v>
      </c>
      <c r="Q13" s="199">
        <f t="shared" si="6"/>
        <v>24.322942815257349</v>
      </c>
    </row>
    <row r="14" spans="1:18">
      <c r="A14" s="191" t="str">
        <f>'Prg. Actuals'!A104</f>
        <v>Utility Partners</v>
      </c>
      <c r="B14" s="233">
        <v>10000</v>
      </c>
      <c r="C14" s="252">
        <v>0.12</v>
      </c>
      <c r="D14" s="251">
        <f>C14*'Prg. HR'!$F$38*12</f>
        <v>8801.8811999999998</v>
      </c>
      <c r="E14" s="197">
        <f t="shared" si="0"/>
        <v>18802.001199999999</v>
      </c>
      <c r="F14" s="250">
        <f t="shared" si="7"/>
        <v>8.4961767204757857E-2</v>
      </c>
      <c r="G14" s="198">
        <f>'Prg. Actuals'!AA106</f>
        <v>200</v>
      </c>
      <c r="H14" s="198">
        <f>'Prg. Actuals'!AA107</f>
        <v>120</v>
      </c>
      <c r="I14" s="198">
        <f>'Prg. Actuals'!AA108</f>
        <v>105</v>
      </c>
      <c r="J14" s="197">
        <f t="shared" si="1"/>
        <v>94.01000599999999</v>
      </c>
      <c r="K14" s="197">
        <f t="shared" si="2"/>
        <v>156.68334333333331</v>
      </c>
      <c r="L14" s="197">
        <f t="shared" si="3"/>
        <v>179.06667809523807</v>
      </c>
      <c r="M14" s="200">
        <f t="shared" si="4"/>
        <v>0.6</v>
      </c>
      <c r="N14" s="200">
        <f t="shared" si="5"/>
        <v>0.875</v>
      </c>
      <c r="O14" s="198">
        <f>'Prg. Actuals'!AA109</f>
        <v>7900</v>
      </c>
      <c r="P14" s="197">
        <f t="shared" si="8"/>
        <v>829500</v>
      </c>
      <c r="Q14" s="199">
        <f t="shared" si="6"/>
        <v>44.117644243103229</v>
      </c>
    </row>
    <row r="15" spans="1:18">
      <c r="A15" s="191" t="str">
        <f>'Prg. Actuals'!A113</f>
        <v>Other</v>
      </c>
      <c r="B15" s="233">
        <v>5000</v>
      </c>
      <c r="C15" s="252">
        <v>7.0000000000000007E-2</v>
      </c>
      <c r="D15" s="251">
        <f>C15*'Prg. HR'!$F$38*12</f>
        <v>5134.4307000000008</v>
      </c>
      <c r="E15" s="197">
        <f t="shared" si="0"/>
        <v>10134.500700000001</v>
      </c>
      <c r="F15" s="250">
        <f t="shared" si="7"/>
        <v>4.0356839422259982E-2</v>
      </c>
      <c r="G15" s="198">
        <f>'Prg. Actuals'!AA115</f>
        <v>95</v>
      </c>
      <c r="H15" s="198">
        <f>'Prg. Actuals'!AA116</f>
        <v>43</v>
      </c>
      <c r="I15" s="198">
        <f>'Prg. Actuals'!AA117</f>
        <v>24</v>
      </c>
      <c r="J15" s="197">
        <f t="shared" si="1"/>
        <v>106.67895473684212</v>
      </c>
      <c r="K15" s="197">
        <f t="shared" si="2"/>
        <v>235.68606279069769</v>
      </c>
      <c r="L15" s="197">
        <f t="shared" si="3"/>
        <v>422.27086250000002</v>
      </c>
      <c r="M15" s="200">
        <f t="shared" si="4"/>
        <v>0.45263157894736844</v>
      </c>
      <c r="N15" s="200">
        <f t="shared" si="5"/>
        <v>0.55813953488372092</v>
      </c>
      <c r="O15" s="198">
        <f>'Prg. Actuals'!AA118</f>
        <v>6553</v>
      </c>
      <c r="P15" s="197">
        <f t="shared" si="8"/>
        <v>157272</v>
      </c>
      <c r="Q15" s="199">
        <f t="shared" si="6"/>
        <v>15.518475419316907</v>
      </c>
    </row>
    <row r="16" spans="1:18">
      <c r="A16" s="191"/>
      <c r="C16" s="2">
        <f>SUM(C3:C15)</f>
        <v>1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</row>
    <row r="17" spans="1:17">
      <c r="A17" s="234" t="s">
        <v>275</v>
      </c>
      <c r="B17" s="235">
        <f t="shared" ref="B17:I17" si="9">SUM(B3:B16)</f>
        <v>114000</v>
      </c>
      <c r="C17" s="235"/>
      <c r="D17" s="235">
        <f t="shared" si="9"/>
        <v>73349.009999999995</v>
      </c>
      <c r="E17" s="235">
        <f t="shared" si="9"/>
        <v>187350.01</v>
      </c>
      <c r="F17" s="235"/>
      <c r="G17" s="236">
        <f t="shared" si="9"/>
        <v>2354</v>
      </c>
      <c r="H17" s="236">
        <f t="shared" si="9"/>
        <v>894</v>
      </c>
      <c r="I17" s="236">
        <f t="shared" si="9"/>
        <v>627</v>
      </c>
      <c r="J17" s="236"/>
      <c r="K17" s="236"/>
      <c r="L17" s="237"/>
      <c r="M17" s="237"/>
      <c r="N17" s="237"/>
      <c r="O17" s="237"/>
      <c r="P17" s="237">
        <f>SUM(P3:P16)</f>
        <v>5220158</v>
      </c>
      <c r="Q17" s="237"/>
    </row>
  </sheetData>
  <mergeCells count="1">
    <mergeCell ref="B1:P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BP80"/>
  <sheetViews>
    <sheetView showGridLines="0" zoomScale="90" zoomScaleNormal="90" zoomScalePageLayoutView="90" workbookViewId="0">
      <pane xSplit="1" ySplit="3" topLeftCell="B4" activePane="bottomRight" state="frozen"/>
      <selection activeCell="AB110" sqref="AB110"/>
      <selection pane="topRight" activeCell="AB110" sqref="AB110"/>
      <selection pane="bottomLeft" activeCell="AB110" sqref="AB110"/>
      <selection pane="bottomRight" activeCell="A4" sqref="A4"/>
    </sheetView>
  </sheetViews>
  <sheetFormatPr defaultColWidth="11.42578125" defaultRowHeight="15"/>
  <cols>
    <col min="1" max="1" width="13.85546875" customWidth="1"/>
    <col min="2" max="3" width="8.7109375" customWidth="1"/>
    <col min="4" max="4" width="8.42578125" customWidth="1"/>
    <col min="5" max="5" width="10.28515625" customWidth="1"/>
    <col min="6" max="7" width="11.28515625" customWidth="1"/>
    <col min="8" max="8" width="28.85546875" customWidth="1"/>
  </cols>
  <sheetData>
    <row r="1" spans="1:68" ht="27.95" customHeight="1" thickBot="1">
      <c r="A1" s="1318" t="s">
        <v>327</v>
      </c>
      <c r="B1" s="1318"/>
      <c r="C1" s="1318"/>
      <c r="D1" s="1318"/>
      <c r="E1" s="1318"/>
      <c r="F1" s="1318"/>
      <c r="G1" s="1318"/>
      <c r="H1" s="1318"/>
    </row>
    <row r="2" spans="1:68" ht="18.75">
      <c r="A2" s="1315" t="s">
        <v>328</v>
      </c>
      <c r="B2" s="1319"/>
      <c r="C2" s="1319"/>
      <c r="D2" s="1319"/>
      <c r="E2" s="1319"/>
      <c r="F2" s="1319"/>
      <c r="G2" s="238"/>
      <c r="H2" s="239"/>
      <c r="I2" s="1319" t="s">
        <v>203</v>
      </c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7"/>
      <c r="U2" s="1315" t="s">
        <v>204</v>
      </c>
      <c r="V2" s="1316"/>
      <c r="W2" s="1316"/>
      <c r="X2" s="1316"/>
      <c r="Y2" s="1316"/>
      <c r="Z2" s="1316"/>
      <c r="AA2" s="1316"/>
      <c r="AB2" s="1316"/>
      <c r="AC2" s="1316"/>
      <c r="AD2" s="1316"/>
      <c r="AE2" s="1316"/>
      <c r="AF2" s="1317"/>
      <c r="AG2" s="1315" t="s">
        <v>205</v>
      </c>
      <c r="AH2" s="1316"/>
      <c r="AI2" s="1316"/>
      <c r="AJ2" s="1316"/>
      <c r="AK2" s="1316"/>
      <c r="AL2" s="1316"/>
      <c r="AM2" s="1316"/>
      <c r="AN2" s="1316"/>
      <c r="AO2" s="1316"/>
      <c r="AP2" s="1316"/>
      <c r="AQ2" s="1316"/>
      <c r="AR2" s="1317"/>
      <c r="AS2" s="1315" t="s">
        <v>206</v>
      </c>
      <c r="AT2" s="1316"/>
      <c r="AU2" s="1316"/>
      <c r="AV2" s="1316"/>
      <c r="AW2" s="1316"/>
      <c r="AX2" s="1316"/>
      <c r="AY2" s="1316"/>
      <c r="AZ2" s="1316"/>
      <c r="BA2" s="1316"/>
      <c r="BB2" s="1316"/>
      <c r="BC2" s="1316"/>
      <c r="BD2" s="1317"/>
      <c r="BE2" s="1315" t="s">
        <v>207</v>
      </c>
      <c r="BF2" s="1316"/>
      <c r="BG2" s="1316"/>
      <c r="BH2" s="1316"/>
      <c r="BI2" s="1316"/>
      <c r="BJ2" s="1316"/>
      <c r="BK2" s="1316"/>
      <c r="BL2" s="1316"/>
      <c r="BM2" s="1316"/>
      <c r="BN2" s="1316"/>
      <c r="BO2" s="1316"/>
      <c r="BP2" s="1317"/>
    </row>
    <row r="3" spans="1:68" s="196" customFormat="1" ht="45" customHeight="1" thickBot="1">
      <c r="A3" s="240" t="s">
        <v>232</v>
      </c>
      <c r="B3" s="241" t="str">
        <f>'Prg. Costs'!J2</f>
        <v>Cost / lead</v>
      </c>
      <c r="C3" s="241" t="str">
        <f>'Prg. Costs'!K2</f>
        <v>Cost / audit</v>
      </c>
      <c r="D3" s="241" t="str">
        <f>'Prg. Costs'!L2</f>
        <v>Cost / job</v>
      </c>
      <c r="E3" s="241" t="str">
        <f>'Prg. Costs'!M2</f>
        <v>Conversion rate - lead to audit</v>
      </c>
      <c r="F3" s="241" t="str">
        <f>'Prg. Costs'!N2</f>
        <v>Conversion rate - audit to retrofit</v>
      </c>
      <c r="G3" s="241" t="str">
        <f>'Prg. Costs'!O2</f>
        <v>Avg job size</v>
      </c>
      <c r="H3" s="242" t="s">
        <v>329</v>
      </c>
      <c r="I3" s="243" t="s">
        <v>1</v>
      </c>
      <c r="J3" s="243" t="s">
        <v>2</v>
      </c>
      <c r="K3" s="243" t="s">
        <v>159</v>
      </c>
      <c r="L3" s="243" t="s">
        <v>160</v>
      </c>
      <c r="M3" s="243" t="s">
        <v>5</v>
      </c>
      <c r="N3" s="243" t="s">
        <v>161</v>
      </c>
      <c r="O3" s="243" t="s">
        <v>145</v>
      </c>
      <c r="P3" s="243" t="s">
        <v>8</v>
      </c>
      <c r="Q3" s="243" t="s">
        <v>9</v>
      </c>
      <c r="R3" s="243" t="s">
        <v>10</v>
      </c>
      <c r="S3" s="243" t="s">
        <v>11</v>
      </c>
      <c r="T3" s="244" t="s">
        <v>12</v>
      </c>
      <c r="U3" s="245" t="s">
        <v>1</v>
      </c>
      <c r="V3" s="243" t="s">
        <v>2</v>
      </c>
      <c r="W3" s="243" t="s">
        <v>159</v>
      </c>
      <c r="X3" s="243" t="s">
        <v>160</v>
      </c>
      <c r="Y3" s="243" t="s">
        <v>5</v>
      </c>
      <c r="Z3" s="243" t="s">
        <v>161</v>
      </c>
      <c r="AA3" s="243" t="s">
        <v>145</v>
      </c>
      <c r="AB3" s="243" t="s">
        <v>8</v>
      </c>
      <c r="AC3" s="243" t="s">
        <v>9</v>
      </c>
      <c r="AD3" s="243" t="s">
        <v>10</v>
      </c>
      <c r="AE3" s="243" t="s">
        <v>11</v>
      </c>
      <c r="AF3" s="244" t="s">
        <v>12</v>
      </c>
      <c r="AG3" s="245" t="s">
        <v>1</v>
      </c>
      <c r="AH3" s="243" t="s">
        <v>2</v>
      </c>
      <c r="AI3" s="243" t="s">
        <v>159</v>
      </c>
      <c r="AJ3" s="243" t="s">
        <v>160</v>
      </c>
      <c r="AK3" s="243" t="s">
        <v>5</v>
      </c>
      <c r="AL3" s="243" t="s">
        <v>161</v>
      </c>
      <c r="AM3" s="243" t="s">
        <v>145</v>
      </c>
      <c r="AN3" s="243" t="s">
        <v>8</v>
      </c>
      <c r="AO3" s="243" t="s">
        <v>9</v>
      </c>
      <c r="AP3" s="243" t="s">
        <v>10</v>
      </c>
      <c r="AQ3" s="243" t="s">
        <v>11</v>
      </c>
      <c r="AR3" s="244" t="s">
        <v>12</v>
      </c>
      <c r="AS3" s="245" t="s">
        <v>1</v>
      </c>
      <c r="AT3" s="243" t="s">
        <v>2</v>
      </c>
      <c r="AU3" s="243" t="s">
        <v>159</v>
      </c>
      <c r="AV3" s="243" t="s">
        <v>160</v>
      </c>
      <c r="AW3" s="243" t="s">
        <v>5</v>
      </c>
      <c r="AX3" s="243" t="s">
        <v>161</v>
      </c>
      <c r="AY3" s="243" t="s">
        <v>145</v>
      </c>
      <c r="AZ3" s="243" t="s">
        <v>8</v>
      </c>
      <c r="BA3" s="243" t="s">
        <v>9</v>
      </c>
      <c r="BB3" s="243" t="s">
        <v>10</v>
      </c>
      <c r="BC3" s="243" t="s">
        <v>11</v>
      </c>
      <c r="BD3" s="244" t="s">
        <v>12</v>
      </c>
      <c r="BE3" s="245" t="s">
        <v>1</v>
      </c>
      <c r="BF3" s="243" t="s">
        <v>2</v>
      </c>
      <c r="BG3" s="243" t="s">
        <v>159</v>
      </c>
      <c r="BH3" s="243" t="s">
        <v>160</v>
      </c>
      <c r="BI3" s="243" t="s">
        <v>5</v>
      </c>
      <c r="BJ3" s="243" t="s">
        <v>161</v>
      </c>
      <c r="BK3" s="243" t="s">
        <v>145</v>
      </c>
      <c r="BL3" s="243" t="s">
        <v>8</v>
      </c>
      <c r="BM3" s="243" t="s">
        <v>9</v>
      </c>
      <c r="BN3" s="243" t="s">
        <v>10</v>
      </c>
      <c r="BO3" s="243" t="s">
        <v>11</v>
      </c>
      <c r="BP3" s="244" t="s">
        <v>12</v>
      </c>
    </row>
    <row r="4" spans="1:68">
      <c r="A4" t="str">
        <f>'Prg. Costs'!A3</f>
        <v>Earned Media</v>
      </c>
      <c r="B4" s="193">
        <f>'Prg. Costs'!J3</f>
        <v>172.4071585714286</v>
      </c>
      <c r="C4" s="193">
        <f>'Prg. Costs'!K3</f>
        <v>402.28337000000005</v>
      </c>
      <c r="D4" s="193">
        <f>'Prg. Costs'!L3</f>
        <v>603.42505500000004</v>
      </c>
      <c r="E4" s="2">
        <f>'Prg. Costs'!M3</f>
        <v>0.42857142857142855</v>
      </c>
      <c r="F4" s="2">
        <f>'Prg. Costs'!N3</f>
        <v>0.66666666666666663</v>
      </c>
      <c r="G4" s="201">
        <f>'Prg. Costs'!O3</f>
        <v>7800</v>
      </c>
      <c r="H4" t="s">
        <v>330</v>
      </c>
      <c r="I4" s="60">
        <f>'Prg. Costs'!J3</f>
        <v>172.4071585714286</v>
      </c>
      <c r="J4" s="60">
        <f>'Prg. Costs'!K3</f>
        <v>402.28337000000005</v>
      </c>
      <c r="K4" s="60">
        <f>'Prg. Costs'!L3</f>
        <v>603.42505500000004</v>
      </c>
      <c r="L4" s="60">
        <f>'Prg. Costs'!M3</f>
        <v>0.42857142857142855</v>
      </c>
      <c r="M4" s="60">
        <f>'Prg. Costs'!N3</f>
        <v>0.66666666666666663</v>
      </c>
      <c r="N4" s="60">
        <f>'Prg. Costs'!O3</f>
        <v>7800</v>
      </c>
      <c r="O4" s="60">
        <f>'Prg. Costs'!P3</f>
        <v>156000</v>
      </c>
      <c r="P4" s="60">
        <f>'Prg. Costs'!Q3</f>
        <v>12.92621169003332</v>
      </c>
      <c r="Q4" s="60">
        <f>'Prg. Costs'!R3</f>
        <v>0</v>
      </c>
      <c r="R4" s="60">
        <f>'Prg. Costs'!S3</f>
        <v>0</v>
      </c>
      <c r="S4" s="60">
        <f>'Prg. Costs'!T3</f>
        <v>0</v>
      </c>
      <c r="T4" s="60">
        <f>'Prg. Costs'!U3</f>
        <v>0</v>
      </c>
      <c r="U4" s="60">
        <f>'Prg. Costs'!V3</f>
        <v>0</v>
      </c>
      <c r="V4" s="60">
        <f>'Prg. Costs'!W3</f>
        <v>0</v>
      </c>
      <c r="W4" s="60">
        <f>'Prg. Costs'!X3</f>
        <v>0</v>
      </c>
      <c r="X4" s="60">
        <f>'Prg. Costs'!Y3</f>
        <v>0</v>
      </c>
      <c r="Y4" s="60">
        <f>'Prg. Costs'!Z3</f>
        <v>0</v>
      </c>
      <c r="Z4" s="60">
        <f>'Prg. Costs'!AA3</f>
        <v>0</v>
      </c>
      <c r="AA4" s="60">
        <f>'Prg. Costs'!AB3</f>
        <v>0</v>
      </c>
      <c r="AB4" s="60">
        <f>'Prg. Costs'!AC3</f>
        <v>0</v>
      </c>
      <c r="AC4" s="60">
        <f>'Prg. Costs'!AD3</f>
        <v>0</v>
      </c>
      <c r="AD4" s="60">
        <f>'Prg. Costs'!AE3</f>
        <v>0</v>
      </c>
      <c r="AE4" s="60">
        <f>'Prg. Costs'!AF3</f>
        <v>0</v>
      </c>
      <c r="AF4" s="60">
        <f>'Prg. Costs'!AG3</f>
        <v>0</v>
      </c>
      <c r="AG4" s="60">
        <f>'Prg. Costs'!AH3</f>
        <v>0</v>
      </c>
      <c r="AH4" s="60">
        <f>'Prg. Costs'!AI3</f>
        <v>0</v>
      </c>
      <c r="AI4" s="60">
        <f>'Prg. Costs'!AJ3</f>
        <v>0</v>
      </c>
      <c r="AJ4" s="60">
        <f>'Prg. Costs'!AK3</f>
        <v>0</v>
      </c>
      <c r="AK4" s="60">
        <f>'Prg. Costs'!AL3</f>
        <v>0</v>
      </c>
      <c r="AL4" s="60">
        <f>'Prg. Costs'!AM3</f>
        <v>0</v>
      </c>
      <c r="AM4" s="60">
        <f>'Prg. Costs'!AN3</f>
        <v>0</v>
      </c>
      <c r="AN4" s="60">
        <f>'Prg. Costs'!AO3</f>
        <v>0</v>
      </c>
      <c r="AO4" s="60">
        <f>'Prg. Costs'!AP3</f>
        <v>0</v>
      </c>
      <c r="AP4" s="60">
        <f>'Prg. Costs'!AQ3</f>
        <v>0</v>
      </c>
      <c r="AQ4" s="60">
        <f>'Prg. Costs'!AR3</f>
        <v>0</v>
      </c>
      <c r="AR4" s="60">
        <f>'Prg. Costs'!AS3</f>
        <v>0</v>
      </c>
      <c r="AS4" s="60">
        <f>'Prg. Costs'!AT3</f>
        <v>0</v>
      </c>
      <c r="AT4" s="60">
        <f>'Prg. Costs'!AU3</f>
        <v>0</v>
      </c>
      <c r="AU4" s="60">
        <f>'Prg. Costs'!AV3</f>
        <v>0</v>
      </c>
      <c r="AV4" s="60">
        <f>'Prg. Costs'!AW3</f>
        <v>0</v>
      </c>
      <c r="AW4" s="60">
        <f>'Prg. Costs'!AX3</f>
        <v>0</v>
      </c>
      <c r="AX4" s="60">
        <f>'Prg. Costs'!AY3</f>
        <v>0</v>
      </c>
      <c r="AY4" s="60">
        <f>'Prg. Costs'!AZ3</f>
        <v>0</v>
      </c>
      <c r="AZ4" s="60">
        <f>'Prg. Costs'!BA3</f>
        <v>0</v>
      </c>
      <c r="BA4" s="60">
        <f>'Prg. Costs'!BB3</f>
        <v>0</v>
      </c>
      <c r="BB4" s="60">
        <f>'Prg. Costs'!BC3</f>
        <v>0</v>
      </c>
      <c r="BC4" s="60">
        <f>'Prg. Costs'!BD3</f>
        <v>0</v>
      </c>
      <c r="BD4" s="60">
        <f>'Prg. Costs'!BE3</f>
        <v>0</v>
      </c>
      <c r="BE4" s="60">
        <f>'Prg. Costs'!BF3</f>
        <v>0</v>
      </c>
      <c r="BF4" s="60">
        <f>'Prg. Costs'!BG3</f>
        <v>0</v>
      </c>
      <c r="BG4" s="60">
        <f>'Prg. Costs'!BH3</f>
        <v>0</v>
      </c>
      <c r="BH4" s="60">
        <f>'Prg. Costs'!BI3</f>
        <v>0</v>
      </c>
      <c r="BI4" s="60">
        <f>'Prg. Costs'!BJ3</f>
        <v>0</v>
      </c>
      <c r="BJ4" s="60">
        <f>'Prg. Costs'!BK3</f>
        <v>0</v>
      </c>
      <c r="BK4" s="60">
        <f>'Prg. Costs'!BL3</f>
        <v>0</v>
      </c>
      <c r="BL4" s="60">
        <f>'Prg. Costs'!BM3</f>
        <v>0</v>
      </c>
      <c r="BM4" s="60">
        <f>'Prg. Costs'!BN3</f>
        <v>0</v>
      </c>
      <c r="BN4" s="60">
        <f>'Prg. Costs'!BO3</f>
        <v>0</v>
      </c>
      <c r="BO4" s="60">
        <f>'Prg. Costs'!BP3</f>
        <v>0</v>
      </c>
      <c r="BP4" s="60">
        <f>'Prg. Costs'!BQ3</f>
        <v>0</v>
      </c>
    </row>
    <row r="5" spans="1:68">
      <c r="H5" t="s">
        <v>331</v>
      </c>
      <c r="I5" s="2">
        <v>0.43</v>
      </c>
      <c r="J5" s="2">
        <v>0.43</v>
      </c>
      <c r="K5" s="2">
        <v>0.43</v>
      </c>
      <c r="L5" s="2">
        <v>0.43</v>
      </c>
      <c r="M5" s="2">
        <v>0.43</v>
      </c>
      <c r="N5" s="2">
        <v>0.43</v>
      </c>
      <c r="O5" s="2">
        <v>0.43</v>
      </c>
      <c r="P5" s="2">
        <v>0.43</v>
      </c>
      <c r="Q5" s="2">
        <v>0.43</v>
      </c>
      <c r="R5" s="2">
        <v>0.43</v>
      </c>
      <c r="S5" s="2">
        <v>0.43</v>
      </c>
      <c r="T5" s="2">
        <v>0.43</v>
      </c>
    </row>
    <row r="6" spans="1:68">
      <c r="H6" t="s">
        <v>332</v>
      </c>
      <c r="I6" s="2">
        <v>0.65</v>
      </c>
      <c r="J6" s="2">
        <v>0.65</v>
      </c>
      <c r="K6" s="2">
        <v>0.65</v>
      </c>
      <c r="L6" s="2">
        <v>0.65</v>
      </c>
      <c r="M6" s="2">
        <v>0.65</v>
      </c>
      <c r="N6" s="2">
        <v>0.65</v>
      </c>
      <c r="O6" s="2">
        <v>0.65</v>
      </c>
      <c r="P6" s="2">
        <v>0.65</v>
      </c>
      <c r="Q6" s="2">
        <v>0.65</v>
      </c>
      <c r="R6" s="2">
        <v>0.65</v>
      </c>
      <c r="S6" s="2">
        <v>0.65</v>
      </c>
      <c r="T6" s="2">
        <v>0.65</v>
      </c>
    </row>
    <row r="7" spans="1:68">
      <c r="H7" t="s">
        <v>333</v>
      </c>
      <c r="I7" s="193">
        <v>1000</v>
      </c>
      <c r="J7" s="193">
        <v>1000</v>
      </c>
      <c r="K7" s="193">
        <v>1000</v>
      </c>
      <c r="L7" s="193">
        <v>1000</v>
      </c>
      <c r="M7" s="193">
        <v>1000</v>
      </c>
      <c r="N7" s="193">
        <v>1000</v>
      </c>
      <c r="O7" s="193">
        <v>1000</v>
      </c>
      <c r="P7" s="193">
        <v>1000</v>
      </c>
      <c r="Q7" s="193">
        <v>1000</v>
      </c>
      <c r="R7" s="193">
        <v>1000</v>
      </c>
      <c r="S7" s="193">
        <v>1000</v>
      </c>
      <c r="T7" s="193">
        <v>1000</v>
      </c>
    </row>
    <row r="8" spans="1:68">
      <c r="H8" t="s">
        <v>260</v>
      </c>
      <c r="I8" s="193">
        <v>8000</v>
      </c>
      <c r="J8" s="193">
        <v>8000</v>
      </c>
      <c r="K8" s="193">
        <v>8000</v>
      </c>
      <c r="L8" s="193">
        <v>8000</v>
      </c>
      <c r="M8" s="193">
        <v>8000</v>
      </c>
      <c r="N8" s="193">
        <v>8000</v>
      </c>
      <c r="O8" s="193">
        <v>8000</v>
      </c>
      <c r="P8" s="193">
        <v>8000</v>
      </c>
      <c r="Q8" s="193">
        <v>8000</v>
      </c>
      <c r="R8" s="193">
        <v>8000</v>
      </c>
      <c r="S8" s="193">
        <v>8000</v>
      </c>
      <c r="T8" s="193">
        <v>8000</v>
      </c>
    </row>
    <row r="9" spans="1:68" s="62" customFormat="1" ht="6.95" customHeight="1"/>
    <row r="10" spans="1:68">
      <c r="A10" t="str">
        <f>'Prg. Costs'!A4</f>
        <v>TV</v>
      </c>
      <c r="B10">
        <f>'Prg. Costs'!J4</f>
        <v>522.25001666666662</v>
      </c>
      <c r="C10">
        <f>'Prg. Costs'!K4</f>
        <v>870.41669444444437</v>
      </c>
      <c r="D10">
        <f>'Prg. Costs'!L4</f>
        <v>1566.7500499999999</v>
      </c>
      <c r="E10">
        <f>'Prg. Costs'!M4</f>
        <v>0.6</v>
      </c>
      <c r="F10">
        <f>'Prg. Costs'!N4</f>
        <v>0.55555555555555558</v>
      </c>
      <c r="G10">
        <f>'Prg. Costs'!O4</f>
        <v>7500</v>
      </c>
      <c r="H10" t="s">
        <v>330</v>
      </c>
    </row>
    <row r="11" spans="1:68">
      <c r="H11" t="s">
        <v>331</v>
      </c>
    </row>
    <row r="12" spans="1:68">
      <c r="H12" t="s">
        <v>334</v>
      </c>
    </row>
    <row r="13" spans="1:68">
      <c r="H13" t="s">
        <v>333</v>
      </c>
    </row>
    <row r="14" spans="1:68">
      <c r="H14" t="s">
        <v>260</v>
      </c>
    </row>
    <row r="15" spans="1:68" s="62" customFormat="1" ht="6.95" customHeight="1">
      <c r="H15" s="246"/>
    </row>
    <row r="16" spans="1:68">
      <c r="A16" t="str">
        <f>'Prg. Costs'!A5</f>
        <v>Radio</v>
      </c>
      <c r="B16">
        <f>'Prg. Costs'!J5</f>
        <v>234.30000857142855</v>
      </c>
      <c r="C16">
        <f>'Prg. Costs'!K5</f>
        <v>372.75001363636363</v>
      </c>
      <c r="D16">
        <f>'Prg. Costs'!L5</f>
        <v>683.37502499999994</v>
      </c>
      <c r="E16">
        <f>'Prg. Costs'!M5</f>
        <v>0.62857142857142856</v>
      </c>
      <c r="F16">
        <f>'Prg. Costs'!N5</f>
        <v>0.54545454545454541</v>
      </c>
      <c r="G16">
        <f>'Prg. Costs'!O5</f>
        <v>6840</v>
      </c>
      <c r="H16" t="s">
        <v>330</v>
      </c>
    </row>
    <row r="17" spans="1:8">
      <c r="H17" t="s">
        <v>331</v>
      </c>
    </row>
    <row r="18" spans="1:8">
      <c r="H18" t="s">
        <v>332</v>
      </c>
    </row>
    <row r="19" spans="1:8">
      <c r="H19" t="s">
        <v>333</v>
      </c>
    </row>
    <row r="20" spans="1:8">
      <c r="H20" t="s">
        <v>260</v>
      </c>
    </row>
    <row r="21" spans="1:8" s="62" customFormat="1" ht="6.95" customHeight="1">
      <c r="H21" s="246"/>
    </row>
    <row r="22" spans="1:8">
      <c r="A22" t="str">
        <f>'Prg. Costs'!A6</f>
        <v>Print</v>
      </c>
      <c r="B22">
        <f>'Prg. Costs'!J6</f>
        <v>70.836807638888885</v>
      </c>
      <c r="C22">
        <f>'Prg. Costs'!K6</f>
        <v>170.00833833333334</v>
      </c>
      <c r="D22">
        <f>'Prg. Costs'!L6</f>
        <v>443.50001304347825</v>
      </c>
      <c r="E22">
        <f>'Prg. Costs'!M6</f>
        <v>0.41666666666666669</v>
      </c>
      <c r="F22">
        <f>'Prg. Costs'!N6</f>
        <v>0.38333333333333336</v>
      </c>
      <c r="G22">
        <f>'Prg. Costs'!O6</f>
        <v>5432</v>
      </c>
      <c r="H22" t="s">
        <v>330</v>
      </c>
    </row>
    <row r="23" spans="1:8">
      <c r="H23" t="s">
        <v>331</v>
      </c>
    </row>
    <row r="24" spans="1:8">
      <c r="H24" t="s">
        <v>332</v>
      </c>
    </row>
    <row r="25" spans="1:8">
      <c r="H25" t="s">
        <v>333</v>
      </c>
    </row>
    <row r="26" spans="1:8">
      <c r="H26" t="s">
        <v>260</v>
      </c>
    </row>
    <row r="27" spans="1:8" s="62" customFormat="1" ht="6.95" customHeight="1">
      <c r="H27" s="246"/>
    </row>
    <row r="28" spans="1:8">
      <c r="A28" t="str">
        <f>'Prg. Costs'!A7</f>
        <v>Public Workshops</v>
      </c>
      <c r="B28">
        <f>'Prg. Costs'!J7</f>
        <v>148.7625075</v>
      </c>
      <c r="C28">
        <f>'Prg. Costs'!K7</f>
        <v>198.35001</v>
      </c>
      <c r="D28">
        <f>'Prg. Costs'!L7</f>
        <v>270.47728636363632</v>
      </c>
      <c r="E28">
        <f>'Prg. Costs'!M7</f>
        <v>0.75</v>
      </c>
      <c r="F28">
        <f>'Prg. Costs'!N7</f>
        <v>0.73333333333333328</v>
      </c>
      <c r="G28">
        <f>'Prg. Costs'!O7</f>
        <v>9442</v>
      </c>
      <c r="H28" t="s">
        <v>330</v>
      </c>
    </row>
    <row r="29" spans="1:8">
      <c r="H29" t="s">
        <v>331</v>
      </c>
    </row>
    <row r="30" spans="1:8">
      <c r="H30" t="s">
        <v>332</v>
      </c>
    </row>
    <row r="31" spans="1:8">
      <c r="H31" t="s">
        <v>333</v>
      </c>
    </row>
    <row r="32" spans="1:8">
      <c r="H32" t="s">
        <v>260</v>
      </c>
    </row>
    <row r="33" spans="1:8" s="62" customFormat="1" ht="6.95" customHeight="1">
      <c r="H33" s="246"/>
    </row>
    <row r="34" spans="1:8">
      <c r="A34" t="str">
        <f>'Prg. Costs'!A8</f>
        <v xml:space="preserve">Presentations </v>
      </c>
      <c r="B34">
        <f>'Prg. Costs'!J8</f>
        <v>245.75716857142854</v>
      </c>
      <c r="C34">
        <f>'Prg. Costs'!K8</f>
        <v>400.06980930232555</v>
      </c>
      <c r="D34">
        <f>'Prg. Costs'!L8</f>
        <v>781.95462727272718</v>
      </c>
      <c r="E34">
        <f>'Prg. Costs'!M8</f>
        <v>0.61428571428571432</v>
      </c>
      <c r="F34">
        <f>'Prg. Costs'!N8</f>
        <v>0.51162790697674421</v>
      </c>
      <c r="G34">
        <f>'Prg. Costs'!O8</f>
        <v>9212</v>
      </c>
      <c r="H34" t="s">
        <v>330</v>
      </c>
    </row>
    <row r="35" spans="1:8">
      <c r="H35" t="s">
        <v>331</v>
      </c>
    </row>
    <row r="36" spans="1:8">
      <c r="H36" t="s">
        <v>332</v>
      </c>
    </row>
    <row r="37" spans="1:8">
      <c r="H37" t="s">
        <v>333</v>
      </c>
    </row>
    <row r="38" spans="1:8">
      <c r="H38" t="s">
        <v>260</v>
      </c>
    </row>
    <row r="39" spans="1:8" s="62" customFormat="1" ht="6.95" customHeight="1">
      <c r="H39" s="246"/>
    </row>
    <row r="40" spans="1:8">
      <c r="A40" t="str">
        <f>'Prg. Costs'!A9</f>
        <v>Tabling</v>
      </c>
      <c r="B40">
        <f>'Prg. Costs'!J9</f>
        <v>229.48839069767445</v>
      </c>
      <c r="C40">
        <f>'Prg. Costs'!K9</f>
        <v>548.22226666666677</v>
      </c>
      <c r="D40">
        <f>'Prg. Costs'!L9</f>
        <v>1233.5001000000002</v>
      </c>
      <c r="E40">
        <f>'Prg. Costs'!M9</f>
        <v>0.41860465116279072</v>
      </c>
      <c r="F40">
        <f>'Prg. Costs'!N9</f>
        <v>0.44444444444444442</v>
      </c>
      <c r="G40">
        <f>'Prg. Costs'!O9</f>
        <v>5665</v>
      </c>
      <c r="H40" t="s">
        <v>330</v>
      </c>
    </row>
    <row r="41" spans="1:8">
      <c r="H41" t="s">
        <v>331</v>
      </c>
    </row>
    <row r="42" spans="1:8">
      <c r="H42" t="s">
        <v>332</v>
      </c>
    </row>
    <row r="43" spans="1:8">
      <c r="H43" t="s">
        <v>333</v>
      </c>
    </row>
    <row r="44" spans="1:8">
      <c r="H44" t="s">
        <v>260</v>
      </c>
    </row>
    <row r="45" spans="1:8" s="62" customFormat="1" ht="6.95" customHeight="1">
      <c r="H45" s="246"/>
    </row>
    <row r="46" spans="1:8">
      <c r="A46" t="str">
        <f>'Prg. Costs'!A10</f>
        <v>Door-to-door</v>
      </c>
      <c r="B46">
        <f>'Prg. Costs'!J10</f>
        <v>22.242727454545456</v>
      </c>
      <c r="C46">
        <f>'Prg. Costs'!K10</f>
        <v>203.89166833333334</v>
      </c>
      <c r="D46">
        <f>'Prg. Costs'!L10</f>
        <v>244.67000200000001</v>
      </c>
      <c r="E46">
        <f>'Prg. Costs'!M10</f>
        <v>0.10909090909090909</v>
      </c>
      <c r="F46">
        <f>'Prg. Costs'!N10</f>
        <v>0.83333333333333337</v>
      </c>
      <c r="G46">
        <f>'Prg. Costs'!O10</f>
        <v>7800</v>
      </c>
      <c r="H46" t="s">
        <v>330</v>
      </c>
    </row>
    <row r="47" spans="1:8">
      <c r="H47" t="s">
        <v>331</v>
      </c>
    </row>
    <row r="48" spans="1:8">
      <c r="H48" t="s">
        <v>332</v>
      </c>
    </row>
    <row r="49" spans="1:8">
      <c r="H49" t="s">
        <v>333</v>
      </c>
    </row>
    <row r="50" spans="1:8">
      <c r="H50" s="247" t="s">
        <v>260</v>
      </c>
    </row>
    <row r="51" spans="1:8" s="62" customFormat="1" ht="6.95" customHeight="1">
      <c r="H51" s="246"/>
    </row>
    <row r="52" spans="1:8">
      <c r="A52" t="str">
        <f>'Prg. Costs'!A11</f>
        <v>Bill Inserts</v>
      </c>
      <c r="B52">
        <f>'Prg. Costs'!J11</f>
        <v>172.12727636363638</v>
      </c>
      <c r="C52">
        <f>'Prg. Costs'!K11</f>
        <v>676.21429999999998</v>
      </c>
      <c r="D52">
        <f>'Prg. Costs'!L11</f>
        <v>1893.40004</v>
      </c>
      <c r="E52">
        <f>'Prg. Costs'!M11</f>
        <v>0.25454545454545452</v>
      </c>
      <c r="F52">
        <f>'Prg. Costs'!N11</f>
        <v>0.35714285714285715</v>
      </c>
      <c r="G52">
        <f>'Prg. Costs'!O11</f>
        <v>3244</v>
      </c>
      <c r="H52" t="s">
        <v>330</v>
      </c>
    </row>
    <row r="53" spans="1:8">
      <c r="H53" t="s">
        <v>331</v>
      </c>
    </row>
    <row r="54" spans="1:8">
      <c r="H54" t="s">
        <v>332</v>
      </c>
    </row>
    <row r="55" spans="1:8">
      <c r="H55" t="s">
        <v>333</v>
      </c>
    </row>
    <row r="56" spans="1:8">
      <c r="H56" s="247" t="s">
        <v>260</v>
      </c>
    </row>
    <row r="57" spans="1:8" s="62" customFormat="1" ht="6.95" customHeight="1">
      <c r="H57" s="246"/>
    </row>
    <row r="58" spans="1:8">
      <c r="A58" t="str">
        <f>'Prg. Costs'!A12</f>
        <v>Referrals</v>
      </c>
      <c r="B58">
        <f>'Prg. Costs'!J12</f>
        <v>37.359915948275862</v>
      </c>
      <c r="C58">
        <f>'Prg. Costs'!K12</f>
        <v>44.448720512820515</v>
      </c>
      <c r="D58">
        <f>'Prg. Costs'!L12</f>
        <v>57.783336666666671</v>
      </c>
      <c r="E58">
        <f>'Prg. Costs'!M12</f>
        <v>0.84051724137931039</v>
      </c>
      <c r="F58">
        <f>'Prg. Costs'!N12</f>
        <v>0.76923076923076927</v>
      </c>
      <c r="G58">
        <f>'Prg. Costs'!O12</f>
        <v>9753</v>
      </c>
      <c r="H58" s="247" t="s">
        <v>330</v>
      </c>
    </row>
    <row r="59" spans="1:8">
      <c r="H59" s="247" t="s">
        <v>331</v>
      </c>
    </row>
    <row r="60" spans="1:8">
      <c r="H60" s="247" t="s">
        <v>332</v>
      </c>
    </row>
    <row r="61" spans="1:8">
      <c r="H61" s="247" t="s">
        <v>333</v>
      </c>
    </row>
    <row r="62" spans="1:8">
      <c r="H62" s="247" t="s">
        <v>260</v>
      </c>
    </row>
    <row r="63" spans="1:8" s="62" customFormat="1" ht="6.95" customHeight="1">
      <c r="H63" s="246"/>
    </row>
    <row r="64" spans="1:8">
      <c r="A64" t="str">
        <f>'Prg. Costs'!A13</f>
        <v>Affiliate Partners</v>
      </c>
      <c r="B64">
        <f>'Prg. Costs'!J13</f>
        <v>156.68334333333331</v>
      </c>
      <c r="C64">
        <f>'Prg. Costs'!K13</f>
        <v>206.61539780219778</v>
      </c>
      <c r="D64">
        <f>'Prg. Costs'!L13</f>
        <v>313.36668666666662</v>
      </c>
      <c r="E64">
        <f>'Prg. Costs'!M13</f>
        <v>0.7583333333333333</v>
      </c>
      <c r="F64">
        <f>'Prg. Costs'!N13</f>
        <v>0.65934065934065933</v>
      </c>
      <c r="G64">
        <f>'Prg. Costs'!O13</f>
        <v>7622</v>
      </c>
      <c r="H64" s="247" t="s">
        <v>330</v>
      </c>
    </row>
    <row r="65" spans="1:8">
      <c r="H65" s="247" t="s">
        <v>331</v>
      </c>
    </row>
    <row r="66" spans="1:8">
      <c r="H66" s="247" t="s">
        <v>332</v>
      </c>
    </row>
    <row r="67" spans="1:8">
      <c r="H67" s="247" t="s">
        <v>333</v>
      </c>
    </row>
    <row r="68" spans="1:8">
      <c r="H68" s="247" t="s">
        <v>260</v>
      </c>
    </row>
    <row r="69" spans="1:8" s="62" customFormat="1" ht="6.95" customHeight="1">
      <c r="H69" s="246"/>
    </row>
    <row r="70" spans="1:8">
      <c r="A70" t="str">
        <f>'Prg. Costs'!A14</f>
        <v>Utility Partners</v>
      </c>
      <c r="B70">
        <f>'Prg. Costs'!J14</f>
        <v>94.01000599999999</v>
      </c>
      <c r="C70">
        <f>'Prg. Costs'!K14</f>
        <v>156.68334333333331</v>
      </c>
      <c r="D70">
        <f>'Prg. Costs'!L14</f>
        <v>179.06667809523807</v>
      </c>
      <c r="E70">
        <f>'Prg. Costs'!M14</f>
        <v>0.6</v>
      </c>
      <c r="F70">
        <f>'Prg. Costs'!N14</f>
        <v>0.875</v>
      </c>
      <c r="G70">
        <f>'Prg. Costs'!O14</f>
        <v>7900</v>
      </c>
      <c r="H70" s="247" t="s">
        <v>330</v>
      </c>
    </row>
    <row r="71" spans="1:8">
      <c r="H71" s="247" t="s">
        <v>331</v>
      </c>
    </row>
    <row r="72" spans="1:8">
      <c r="H72" s="247" t="s">
        <v>332</v>
      </c>
    </row>
    <row r="73" spans="1:8">
      <c r="H73" s="247" t="s">
        <v>333</v>
      </c>
    </row>
    <row r="74" spans="1:8">
      <c r="H74" s="247" t="s">
        <v>260</v>
      </c>
    </row>
    <row r="75" spans="1:8" s="62" customFormat="1" ht="6.95" customHeight="1">
      <c r="H75" s="246"/>
    </row>
    <row r="76" spans="1:8">
      <c r="A76" t="str">
        <f>'Prg. Costs'!A15</f>
        <v>Other</v>
      </c>
      <c r="B76">
        <f>'Prg. Costs'!J15</f>
        <v>106.67895473684212</v>
      </c>
      <c r="C76">
        <f>'Prg. Costs'!K15</f>
        <v>235.68606279069769</v>
      </c>
      <c r="D76">
        <f>'Prg. Costs'!L15</f>
        <v>422.27086250000002</v>
      </c>
      <c r="E76">
        <f>'Prg. Costs'!M15</f>
        <v>0.45263157894736844</v>
      </c>
      <c r="F76">
        <f>'Prg. Costs'!N15</f>
        <v>0.55813953488372092</v>
      </c>
      <c r="G76">
        <f>'Prg. Costs'!O15</f>
        <v>6553</v>
      </c>
      <c r="H76" s="247" t="s">
        <v>330</v>
      </c>
    </row>
    <row r="77" spans="1:8">
      <c r="H77" s="247" t="s">
        <v>331</v>
      </c>
    </row>
    <row r="78" spans="1:8">
      <c r="H78" s="247" t="s">
        <v>332</v>
      </c>
    </row>
    <row r="79" spans="1:8">
      <c r="H79" s="247" t="s">
        <v>333</v>
      </c>
    </row>
    <row r="80" spans="1:8">
      <c r="H80" s="247" t="s">
        <v>260</v>
      </c>
    </row>
  </sheetData>
  <mergeCells count="7">
    <mergeCell ref="BE2:BP2"/>
    <mergeCell ref="A1:H1"/>
    <mergeCell ref="A2:F2"/>
    <mergeCell ref="I2:T2"/>
    <mergeCell ref="U2:AF2"/>
    <mergeCell ref="AG2:AR2"/>
    <mergeCell ref="AS2:B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BK1048576"/>
  <sheetViews>
    <sheetView showGridLines="0" topLeftCell="A18" zoomScale="80" zoomScaleNormal="80" zoomScalePageLayoutView="80" workbookViewId="0">
      <selection activeCell="E26" sqref="E26"/>
    </sheetView>
  </sheetViews>
  <sheetFormatPr defaultColWidth="11.42578125" defaultRowHeight="18.75" outlineLevelRow="1"/>
  <cols>
    <col min="1" max="1" width="18.140625" style="343" customWidth="1"/>
    <col min="2" max="2" width="16.7109375" style="370" customWidth="1"/>
    <col min="3" max="3" width="14.85546875" style="363" customWidth="1"/>
    <col min="4" max="4" width="14.85546875" style="54" customWidth="1"/>
    <col min="5" max="14" width="14.85546875" style="50" customWidth="1"/>
    <col min="15" max="15" width="14.85546875" style="111" customWidth="1"/>
    <col min="16" max="26" width="14.85546875" style="50" customWidth="1"/>
    <col min="27" max="27" width="14.85546875" style="111" customWidth="1"/>
    <col min="28" max="38" width="14.85546875" style="50" customWidth="1"/>
    <col min="39" max="39" width="14.85546875" style="111" customWidth="1"/>
    <col min="40" max="50" width="14.85546875" style="50" customWidth="1"/>
    <col min="51" max="51" width="14.85546875" style="111" customWidth="1"/>
    <col min="52" max="62" width="14.85546875" style="50" customWidth="1"/>
    <col min="63" max="63" width="14.85546875" style="111" customWidth="1"/>
    <col min="64" max="16384" width="11.42578125" style="50"/>
  </cols>
  <sheetData>
    <row r="1" spans="1:63" s="529" customFormat="1" ht="30" customHeight="1">
      <c r="A1" s="823"/>
      <c r="B1" s="824"/>
      <c r="C1" s="825"/>
      <c r="D1" s="1320" t="s">
        <v>203</v>
      </c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3" t="s">
        <v>204</v>
      </c>
      <c r="Q1" s="1321"/>
      <c r="R1" s="1321"/>
      <c r="S1" s="1321"/>
      <c r="T1" s="1321"/>
      <c r="U1" s="1321"/>
      <c r="V1" s="1321"/>
      <c r="W1" s="1321"/>
      <c r="X1" s="1321"/>
      <c r="Y1" s="1321"/>
      <c r="Z1" s="1321"/>
      <c r="AA1" s="1321"/>
      <c r="AB1" s="1323" t="s">
        <v>205</v>
      </c>
      <c r="AC1" s="1321"/>
      <c r="AD1" s="1321"/>
      <c r="AE1" s="1321"/>
      <c r="AF1" s="1321"/>
      <c r="AG1" s="1321"/>
      <c r="AH1" s="1321"/>
      <c r="AI1" s="1321"/>
      <c r="AJ1" s="1321"/>
      <c r="AK1" s="1321"/>
      <c r="AL1" s="1321"/>
      <c r="AM1" s="1321"/>
      <c r="AN1" s="1323" t="s">
        <v>206</v>
      </c>
      <c r="AO1" s="1321"/>
      <c r="AP1" s="1321"/>
      <c r="AQ1" s="1321"/>
      <c r="AR1" s="1321"/>
      <c r="AS1" s="1321"/>
      <c r="AT1" s="1321"/>
      <c r="AU1" s="1321"/>
      <c r="AV1" s="1321"/>
      <c r="AW1" s="1321"/>
      <c r="AX1" s="1321"/>
      <c r="AY1" s="1321"/>
      <c r="AZ1" s="1323" t="s">
        <v>207</v>
      </c>
      <c r="BA1" s="1321"/>
      <c r="BB1" s="1321"/>
      <c r="BC1" s="1321"/>
      <c r="BD1" s="1321"/>
      <c r="BE1" s="1321"/>
      <c r="BF1" s="1321"/>
      <c r="BG1" s="1321"/>
      <c r="BH1" s="1321"/>
      <c r="BI1" s="1321"/>
      <c r="BJ1" s="1321"/>
      <c r="BK1" s="1321"/>
    </row>
    <row r="2" spans="1:63" s="829" customFormat="1" ht="19.5" thickBot="1">
      <c r="A2" s="826"/>
      <c r="B2" s="827"/>
      <c r="C2" s="828" t="s">
        <v>349</v>
      </c>
      <c r="D2" s="821" t="s">
        <v>1</v>
      </c>
      <c r="E2" s="821" t="s">
        <v>2</v>
      </c>
      <c r="F2" s="821" t="s">
        <v>159</v>
      </c>
      <c r="G2" s="821" t="s">
        <v>160</v>
      </c>
      <c r="H2" s="821" t="s">
        <v>5</v>
      </c>
      <c r="I2" s="821" t="s">
        <v>161</v>
      </c>
      <c r="J2" s="821" t="s">
        <v>145</v>
      </c>
      <c r="K2" s="821" t="s">
        <v>8</v>
      </c>
      <c r="L2" s="821" t="s">
        <v>9</v>
      </c>
      <c r="M2" s="821" t="s">
        <v>10</v>
      </c>
      <c r="N2" s="821" t="s">
        <v>11</v>
      </c>
      <c r="O2" s="822" t="s">
        <v>12</v>
      </c>
      <c r="P2" s="821" t="s">
        <v>1</v>
      </c>
      <c r="Q2" s="821" t="s">
        <v>2</v>
      </c>
      <c r="R2" s="821" t="s">
        <v>159</v>
      </c>
      <c r="S2" s="821" t="s">
        <v>160</v>
      </c>
      <c r="T2" s="821" t="s">
        <v>5</v>
      </c>
      <c r="U2" s="821" t="s">
        <v>161</v>
      </c>
      <c r="V2" s="821" t="s">
        <v>145</v>
      </c>
      <c r="W2" s="821" t="s">
        <v>8</v>
      </c>
      <c r="X2" s="821" t="s">
        <v>9</v>
      </c>
      <c r="Y2" s="821" t="s">
        <v>10</v>
      </c>
      <c r="Z2" s="821" t="s">
        <v>11</v>
      </c>
      <c r="AA2" s="822" t="s">
        <v>12</v>
      </c>
      <c r="AB2" s="821" t="s">
        <v>1</v>
      </c>
      <c r="AC2" s="821" t="s">
        <v>2</v>
      </c>
      <c r="AD2" s="821" t="s">
        <v>159</v>
      </c>
      <c r="AE2" s="821" t="s">
        <v>160</v>
      </c>
      <c r="AF2" s="821" t="s">
        <v>5</v>
      </c>
      <c r="AG2" s="821" t="s">
        <v>161</v>
      </c>
      <c r="AH2" s="821" t="s">
        <v>145</v>
      </c>
      <c r="AI2" s="821" t="s">
        <v>8</v>
      </c>
      <c r="AJ2" s="821" t="s">
        <v>9</v>
      </c>
      <c r="AK2" s="821" t="s">
        <v>10</v>
      </c>
      <c r="AL2" s="821" t="s">
        <v>11</v>
      </c>
      <c r="AM2" s="822" t="s">
        <v>12</v>
      </c>
      <c r="AN2" s="821" t="s">
        <v>1</v>
      </c>
      <c r="AO2" s="821" t="s">
        <v>2</v>
      </c>
      <c r="AP2" s="821" t="s">
        <v>159</v>
      </c>
      <c r="AQ2" s="821" t="s">
        <v>160</v>
      </c>
      <c r="AR2" s="821" t="s">
        <v>5</v>
      </c>
      <c r="AS2" s="821" t="s">
        <v>161</v>
      </c>
      <c r="AT2" s="821" t="s">
        <v>145</v>
      </c>
      <c r="AU2" s="821" t="s">
        <v>8</v>
      </c>
      <c r="AV2" s="821" t="s">
        <v>9</v>
      </c>
      <c r="AW2" s="821" t="s">
        <v>10</v>
      </c>
      <c r="AX2" s="821" t="s">
        <v>11</v>
      </c>
      <c r="AY2" s="822" t="s">
        <v>12</v>
      </c>
      <c r="AZ2" s="821" t="s">
        <v>1</v>
      </c>
      <c r="BA2" s="821" t="s">
        <v>2</v>
      </c>
      <c r="BB2" s="821" t="s">
        <v>159</v>
      </c>
      <c r="BC2" s="821" t="s">
        <v>160</v>
      </c>
      <c r="BD2" s="821" t="s">
        <v>5</v>
      </c>
      <c r="BE2" s="821" t="s">
        <v>161</v>
      </c>
      <c r="BF2" s="821" t="s">
        <v>145</v>
      </c>
      <c r="BG2" s="821" t="s">
        <v>8</v>
      </c>
      <c r="BH2" s="821" t="s">
        <v>9</v>
      </c>
      <c r="BI2" s="821" t="s">
        <v>10</v>
      </c>
      <c r="BJ2" s="821" t="s">
        <v>11</v>
      </c>
      <c r="BK2" s="822" t="s">
        <v>12</v>
      </c>
    </row>
    <row r="3" spans="1:63" s="835" customFormat="1" ht="19.5" thickBot="1">
      <c r="A3" s="830"/>
      <c r="B3" s="831"/>
      <c r="C3" s="832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4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4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4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4"/>
      <c r="AZ3" s="833"/>
      <c r="BA3" s="833"/>
      <c r="BB3" s="833"/>
      <c r="BC3" s="833"/>
      <c r="BD3" s="833"/>
      <c r="BE3" s="833"/>
      <c r="BF3" s="833"/>
      <c r="BG3" s="833"/>
      <c r="BH3" s="833"/>
      <c r="BI3" s="833"/>
      <c r="BJ3" s="833"/>
      <c r="BK3" s="834"/>
    </row>
    <row r="4" spans="1:63" s="872" customFormat="1" ht="23.25" customHeight="1" thickBot="1">
      <c r="A4" s="1324" t="s">
        <v>361</v>
      </c>
      <c r="B4" s="1325"/>
      <c r="C4" s="1325"/>
      <c r="D4" s="1281">
        <v>5</v>
      </c>
      <c r="E4" s="870">
        <v>6</v>
      </c>
      <c r="F4" s="870">
        <v>6</v>
      </c>
      <c r="G4" s="870">
        <v>7</v>
      </c>
      <c r="H4" s="870">
        <v>7</v>
      </c>
      <c r="I4" s="870">
        <v>7</v>
      </c>
      <c r="J4" s="870">
        <v>7</v>
      </c>
      <c r="K4" s="870">
        <v>8</v>
      </c>
      <c r="L4" s="870">
        <v>8</v>
      </c>
      <c r="M4" s="870">
        <v>9</v>
      </c>
      <c r="N4" s="870">
        <v>8</v>
      </c>
      <c r="O4" s="871">
        <v>9</v>
      </c>
      <c r="P4" s="870">
        <v>9</v>
      </c>
      <c r="Q4" s="870">
        <v>10</v>
      </c>
      <c r="R4" s="870">
        <v>10</v>
      </c>
      <c r="S4" s="870">
        <v>10</v>
      </c>
      <c r="T4" s="870">
        <v>11</v>
      </c>
      <c r="U4" s="870">
        <v>11</v>
      </c>
      <c r="V4" s="870">
        <v>11</v>
      </c>
      <c r="W4" s="870">
        <v>12</v>
      </c>
      <c r="X4" s="870">
        <v>12</v>
      </c>
      <c r="Y4" s="870">
        <v>13</v>
      </c>
      <c r="Z4" s="870">
        <v>13</v>
      </c>
      <c r="AA4" s="871">
        <v>14</v>
      </c>
      <c r="AB4" s="870">
        <v>14</v>
      </c>
      <c r="AC4" s="870">
        <v>15</v>
      </c>
      <c r="AD4" s="870">
        <v>16</v>
      </c>
      <c r="AE4" s="870">
        <v>17</v>
      </c>
      <c r="AF4" s="870">
        <v>18</v>
      </c>
      <c r="AG4" s="870">
        <v>19</v>
      </c>
      <c r="AH4" s="870">
        <v>20</v>
      </c>
      <c r="AI4" s="870">
        <v>20</v>
      </c>
      <c r="AJ4" s="870">
        <v>21</v>
      </c>
      <c r="AK4" s="870">
        <v>21</v>
      </c>
      <c r="AL4" s="870">
        <v>22</v>
      </c>
      <c r="AM4" s="871">
        <v>22</v>
      </c>
      <c r="AN4" s="870">
        <v>23</v>
      </c>
      <c r="AO4" s="870">
        <v>24</v>
      </c>
      <c r="AP4" s="870">
        <v>24</v>
      </c>
      <c r="AQ4" s="870">
        <v>25</v>
      </c>
      <c r="AR4" s="870">
        <v>25</v>
      </c>
      <c r="AS4" s="870">
        <v>26</v>
      </c>
      <c r="AT4" s="870">
        <v>27</v>
      </c>
      <c r="AU4" s="870">
        <v>27</v>
      </c>
      <c r="AV4" s="870">
        <v>28</v>
      </c>
      <c r="AW4" s="870">
        <v>29</v>
      </c>
      <c r="AX4" s="870">
        <v>29</v>
      </c>
      <c r="AY4" s="871">
        <v>30</v>
      </c>
      <c r="AZ4" s="870">
        <v>31</v>
      </c>
      <c r="BA4" s="870">
        <v>31</v>
      </c>
      <c r="BB4" s="870">
        <v>32</v>
      </c>
      <c r="BC4" s="870">
        <v>33</v>
      </c>
      <c r="BD4" s="870">
        <v>33</v>
      </c>
      <c r="BE4" s="870">
        <v>33</v>
      </c>
      <c r="BF4" s="870">
        <v>34</v>
      </c>
      <c r="BG4" s="870">
        <v>34</v>
      </c>
      <c r="BH4" s="870">
        <v>34</v>
      </c>
      <c r="BI4" s="870">
        <v>35</v>
      </c>
      <c r="BJ4" s="870">
        <v>35</v>
      </c>
      <c r="BK4" s="871">
        <v>36</v>
      </c>
    </row>
    <row r="5" spans="1:63" s="835" customFormat="1">
      <c r="A5" s="830"/>
      <c r="B5" s="831"/>
      <c r="C5" s="832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4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4"/>
      <c r="AB5" s="833"/>
      <c r="AC5" s="833"/>
      <c r="AD5" s="833"/>
      <c r="AE5" s="833"/>
      <c r="AF5" s="833"/>
      <c r="AG5" s="833"/>
      <c r="AH5" s="833"/>
      <c r="AI5" s="833"/>
      <c r="AJ5" s="833"/>
      <c r="AK5" s="833"/>
      <c r="AL5" s="833"/>
      <c r="AM5" s="834"/>
      <c r="AN5" s="833"/>
      <c r="AO5" s="833"/>
      <c r="AP5" s="833"/>
      <c r="AQ5" s="833"/>
      <c r="AR5" s="833"/>
      <c r="AS5" s="833"/>
      <c r="AT5" s="833"/>
      <c r="AU5" s="833"/>
      <c r="AV5" s="833"/>
      <c r="AW5" s="833"/>
      <c r="AX5" s="833"/>
      <c r="AY5" s="834"/>
      <c r="AZ5" s="833"/>
      <c r="BA5" s="833"/>
      <c r="BB5" s="833"/>
      <c r="BC5" s="833"/>
      <c r="BD5" s="833"/>
      <c r="BE5" s="833"/>
      <c r="BF5" s="833"/>
      <c r="BG5" s="833"/>
      <c r="BH5" s="833"/>
      <c r="BI5" s="833"/>
      <c r="BJ5" s="833"/>
      <c r="BK5" s="834"/>
    </row>
    <row r="6" spans="1:63" s="424" customFormat="1" ht="15.75">
      <c r="A6" s="420"/>
      <c r="B6" s="423"/>
      <c r="C6" s="894" t="s">
        <v>363</v>
      </c>
      <c r="D6" s="889">
        <f>'Program Model'!B27</f>
        <v>40</v>
      </c>
      <c r="E6" s="889">
        <f>'Program Model'!C27</f>
        <v>49.912000000000006</v>
      </c>
      <c r="F6" s="889">
        <f>'Program Model'!D27</f>
        <v>52.332480512000004</v>
      </c>
      <c r="G6" s="889">
        <f>'Program Model'!E27</f>
        <v>62.912125395738634</v>
      </c>
      <c r="H6" s="889">
        <f>'Program Model'!F27</f>
        <v>66.043143787617424</v>
      </c>
      <c r="I6" s="889">
        <f>'Program Model'!G27</f>
        <v>69.378612508508439</v>
      </c>
      <c r="J6" s="889">
        <f>'Program Model'!H27</f>
        <v>72.930829696250413</v>
      </c>
      <c r="K6" s="889">
        <f>'Program Model'!I27</f>
        <v>84.712643284514925</v>
      </c>
      <c r="L6" s="889">
        <f>'Program Model'!J27</f>
        <v>89.119865488287019</v>
      </c>
      <c r="M6" s="889">
        <f>'Program Model'!K27</f>
        <v>101.80930349987366</v>
      </c>
      <c r="N6" s="889">
        <f>'Program Model'!L27</f>
        <v>107.17951555196666</v>
      </c>
      <c r="O6" s="890">
        <f>'Program Model'!M27</f>
        <v>120.89015799332256</v>
      </c>
      <c r="P6" s="889">
        <f>'Program Model'!N27</f>
        <v>127.36033106421188</v>
      </c>
      <c r="Q6" s="889">
        <f>'Program Model'!O27</f>
        <v>142.25772676858566</v>
      </c>
      <c r="R6" s="889">
        <f>'Program Model'!P27</f>
        <v>149.98877899944461</v>
      </c>
      <c r="S6" s="889">
        <f>'Program Model'!Q27</f>
        <v>158.2247526327069</v>
      </c>
      <c r="T6" s="889">
        <f>'Program Model'!R27</f>
        <v>174.99335451846872</v>
      </c>
      <c r="U6" s="889">
        <f>'Program Model'!S27</f>
        <v>184.70568974306988</v>
      </c>
      <c r="V6" s="889">
        <f>'Program Model'!T27</f>
        <v>195.03429206165131</v>
      </c>
      <c r="W6" s="889">
        <f>'Program Model'!U27</f>
        <v>214.01499726992841</v>
      </c>
      <c r="X6" s="889">
        <f>'Program Model'!V27</f>
        <v>226.06393039327131</v>
      </c>
      <c r="Y6" s="889">
        <f>'Program Model'!W27</f>
        <v>246.8622832671717</v>
      </c>
      <c r="Z6" s="889">
        <f>'Program Model'!X27</f>
        <v>260.83032866632516</v>
      </c>
      <c r="AA6" s="890">
        <f>'Program Model'!Y27</f>
        <v>283.65351391088927</v>
      </c>
      <c r="AB6" s="889">
        <f>'Program Model'!Z27</f>
        <v>299.77962246797415</v>
      </c>
      <c r="AC6" s="889">
        <f>'Program Model'!AA27</f>
        <v>324.90441173416701</v>
      </c>
      <c r="AD6" s="889">
        <f>'Program Model'!AB27</f>
        <v>351.45846622873165</v>
      </c>
      <c r="AE6" s="889">
        <f>'Program Model'!AC27</f>
        <v>379.52116887622532</v>
      </c>
      <c r="AF6" s="889">
        <f>'Program Model'!AD27</f>
        <v>409.17397217773572</v>
      </c>
      <c r="AG6" s="889">
        <f>'Program Model'!AE27</f>
        <v>440.49811430399961</v>
      </c>
      <c r="AH6" s="889">
        <f>'Program Model'!AF27</f>
        <v>473.57793803333089</v>
      </c>
      <c r="AI6" s="889">
        <f>'Program Model'!AG27</f>
        <v>500.50913333273917</v>
      </c>
      <c r="AJ6" s="889">
        <f>'Program Model'!AH27</f>
        <v>537.00067757343322</v>
      </c>
      <c r="AK6" s="889">
        <f>'Program Model'!AI27</f>
        <v>567.51267022152092</v>
      </c>
      <c r="AL6" s="889">
        <f>'Program Model'!AJ27</f>
        <v>607.75994040074158</v>
      </c>
      <c r="AM6" s="890">
        <f>'Program Model'!AK27</f>
        <v>642.20857496603765</v>
      </c>
      <c r="AN6" s="889">
        <f>'Program Model'!AL27</f>
        <v>686.57953435590855</v>
      </c>
      <c r="AO6" s="889">
        <f>'Program Model'!AM27</f>
        <v>733.34518979182928</v>
      </c>
      <c r="AP6" s="889">
        <f>'Program Model'!AN27</f>
        <v>774.6188665833555</v>
      </c>
      <c r="AQ6" s="889">
        <f>'Program Model'!AO27</f>
        <v>826.13563540376833</v>
      </c>
      <c r="AR6" s="889">
        <f>'Program Model'!AP27</f>
        <v>872.37906570142354</v>
      </c>
      <c r="AS6" s="889">
        <f>'Program Model'!AQ27</f>
        <v>929.0916151652558</v>
      </c>
      <c r="AT6" s="889">
        <f>'Program Model'!AR27</f>
        <v>988.75982431094064</v>
      </c>
      <c r="AU6" s="889">
        <f>'Program Model'!AS27</f>
        <v>1043.5172477999249</v>
      </c>
      <c r="AV6" s="889">
        <f>'Program Model'!AT27</f>
        <v>1109.1186347931873</v>
      </c>
      <c r="AW6" s="889">
        <f>'Program Model'!AU27</f>
        <v>1178.0643456414562</v>
      </c>
      <c r="AX6" s="889">
        <f>'Program Model'!AV27</f>
        <v>1242.4999236310998</v>
      </c>
      <c r="AY6" s="890">
        <f>'Program Model'!AW27</f>
        <v>1318.1948312001575</v>
      </c>
      <c r="AZ6" s="889">
        <f>'Program Model'!AX27</f>
        <v>1397.6623653176141</v>
      </c>
      <c r="BA6" s="889">
        <f>'Program Model'!AY27</f>
        <v>1473.0673052036907</v>
      </c>
      <c r="BB6" s="889">
        <f>'Program Model'!AZ27</f>
        <v>1560.194517622898</v>
      </c>
      <c r="BC6" s="889">
        <f>'Program Model'!BA27</f>
        <v>1651.5779038007126</v>
      </c>
      <c r="BD6" s="889">
        <f>'Program Model'!BB27</f>
        <v>1739.3955436261838</v>
      </c>
      <c r="BE6" s="889">
        <f>'Program Model'!BC27</f>
        <v>1831.4529652653439</v>
      </c>
      <c r="BF6" s="889">
        <f>'Program Model'!BD27</f>
        <v>1935.919753700766</v>
      </c>
      <c r="BG6" s="889">
        <f>'Program Model'!BE27</f>
        <v>2037.3453112337411</v>
      </c>
      <c r="BH6" s="889">
        <f>'Program Model'!BF27</f>
        <v>2143.5528381315094</v>
      </c>
      <c r="BI6" s="889">
        <f>'Program Model'!BG27</f>
        <v>2262.7256620268295</v>
      </c>
      <c r="BJ6" s="889">
        <f>'Program Model'!BH27</f>
        <v>2379.4366826755436</v>
      </c>
      <c r="BK6" s="890">
        <f>'Program Model'!BI27</f>
        <v>2509.5243748874282</v>
      </c>
    </row>
    <row r="7" spans="1:63" s="425" customFormat="1" ht="15.75">
      <c r="A7" s="620"/>
      <c r="B7" s="873"/>
      <c r="C7" s="895" t="s">
        <v>364</v>
      </c>
      <c r="D7" s="891">
        <f>'Program Model'!B28</f>
        <v>37.833333333333329</v>
      </c>
      <c r="E7" s="891">
        <f>'Program Model'!C28</f>
        <v>41.493749999999999</v>
      </c>
      <c r="F7" s="891">
        <f>'Program Model'!D28</f>
        <v>45.602656250000003</v>
      </c>
      <c r="G7" s="891">
        <f>'Program Model'!E28</f>
        <v>50.225717013888897</v>
      </c>
      <c r="H7" s="891">
        <f>'Program Model'!F28</f>
        <v>55.439397721956986</v>
      </c>
      <c r="I7" s="891">
        <f>'Program Model'!G28</f>
        <v>61.332871057462967</v>
      </c>
      <c r="J7" s="891">
        <f>'Program Model'!H28</f>
        <v>68.01027489342205</v>
      </c>
      <c r="K7" s="891">
        <f>'Program Model'!I28</f>
        <v>75.593387770602305</v>
      </c>
      <c r="L7" s="891">
        <f>'Program Model'!J28</f>
        <v>84.224801012695238</v>
      </c>
      <c r="M7" s="891">
        <f>'Program Model'!K28</f>
        <v>94.071681782840301</v>
      </c>
      <c r="N7" s="891">
        <f>'Program Model'!L28</f>
        <v>105.33023954583022</v>
      </c>
      <c r="O7" s="892">
        <f>'Program Model'!M28</f>
        <v>118.23103008893722</v>
      </c>
      <c r="P7" s="891">
        <f>'Program Model'!N28</f>
        <v>125.57606484430841</v>
      </c>
      <c r="Q7" s="891">
        <f>'Program Model'!O28</f>
        <v>133.64059443921192</v>
      </c>
      <c r="R7" s="891">
        <f>'Program Model'!P28</f>
        <v>142.50928449057056</v>
      </c>
      <c r="S7" s="891">
        <f>'Program Model'!Q28</f>
        <v>152.27739732009837</v>
      </c>
      <c r="T7" s="891">
        <f>'Program Model'!R28</f>
        <v>163.05214997702629</v>
      </c>
      <c r="U7" s="891">
        <f>'Program Model'!S28</f>
        <v>174.95424832427929</v>
      </c>
      <c r="V7" s="891">
        <f>'Program Model'!T28</f>
        <v>188.11962017459092</v>
      </c>
      <c r="W7" s="891">
        <f>'Program Model'!U28</f>
        <v>202.70137347866557</v>
      </c>
      <c r="X7" s="891">
        <f>'Program Model'!V28</f>
        <v>218.87200898015993</v>
      </c>
      <c r="Y7" s="891">
        <f>'Program Model'!W28</f>
        <v>236.82592061438089</v>
      </c>
      <c r="Z7" s="891">
        <f>'Program Model'!X28</f>
        <v>256.78222129853225</v>
      </c>
      <c r="AA7" s="892">
        <f>'Program Model'!Y28</f>
        <v>278.98793670830793</v>
      </c>
      <c r="AB7" s="891">
        <f>'Program Model'!Z28</f>
        <v>296.86292418803214</v>
      </c>
      <c r="AC7" s="891">
        <f>'Program Model'!AA28</f>
        <v>316.32480806111812</v>
      </c>
      <c r="AD7" s="891">
        <f>'Program Model'!AB28</f>
        <v>337.52521369023827</v>
      </c>
      <c r="AE7" s="891">
        <f>'Program Model'!AC28</f>
        <v>360.63049957355003</v>
      </c>
      <c r="AF7" s="891">
        <f>'Program Model'!AD28</f>
        <v>385.82319765091955</v>
      </c>
      <c r="AG7" s="891">
        <f>'Program Model'!AE28</f>
        <v>413.30359494039857</v>
      </c>
      <c r="AH7" s="891">
        <f>'Program Model'!AF28</f>
        <v>443.29147041388143</v>
      </c>
      <c r="AI7" s="891">
        <f>'Program Model'!AG28</f>
        <v>476.02800239310801</v>
      </c>
      <c r="AJ7" s="891">
        <f>'Program Model'!AH28</f>
        <v>511.77786325507873</v>
      </c>
      <c r="AK7" s="891">
        <f>'Program Model'!AI28</f>
        <v>550.83151989296414</v>
      </c>
      <c r="AL7" s="891">
        <f>'Program Model'!AJ28</f>
        <v>593.5077601994758</v>
      </c>
      <c r="AM7" s="892">
        <f>'Program Model'!AK28</f>
        <v>640.15646784066928</v>
      </c>
      <c r="AN7" s="891">
        <f>'Program Model'!AL28</f>
        <v>678.57055439716851</v>
      </c>
      <c r="AO7" s="891">
        <f>'Program Model'!AM28</f>
        <v>719.484677067951</v>
      </c>
      <c r="AP7" s="891">
        <f>'Program Model'!AN28</f>
        <v>763.06662650834551</v>
      </c>
      <c r="AQ7" s="891">
        <f>'Program Model'!AO28</f>
        <v>809.49561797823833</v>
      </c>
      <c r="AR7" s="891">
        <f>'Program Model'!AP28</f>
        <v>858.96307578645178</v>
      </c>
      <c r="AS7" s="891">
        <f>'Program Model'!AQ28</f>
        <v>911.67347191563749</v>
      </c>
      <c r="AT7" s="891">
        <f>'Program Model'!AR28</f>
        <v>967.84522258761274</v>
      </c>
      <c r="AU7" s="891">
        <f>'Program Model'!AS28</f>
        <v>1027.7116467910821</v>
      </c>
      <c r="AV7" s="891">
        <f>'Program Model'!AT28</f>
        <v>1091.5219910740263</v>
      </c>
      <c r="AW7" s="891">
        <f>'Program Model'!AU28</f>
        <v>1159.5425252029968</v>
      </c>
      <c r="AX7" s="891">
        <f>'Program Model'!AV28</f>
        <v>1232.0577136125089</v>
      </c>
      <c r="AY7" s="892">
        <f>'Program Model'!AW28</f>
        <v>1309.3714679111465</v>
      </c>
      <c r="AZ7" s="891">
        <f>'Program Model'!AX28</f>
        <v>1381.1445054446938</v>
      </c>
      <c r="BA7" s="891">
        <f>'Program Model'!AY28</f>
        <v>1457.0377498497649</v>
      </c>
      <c r="BB7" s="891">
        <f>'Program Model'!AZ28</f>
        <v>1537.2945368164339</v>
      </c>
      <c r="BC7" s="891">
        <f>'Program Model'!BA28</f>
        <v>1622.1728342852825</v>
      </c>
      <c r="BD7" s="891">
        <f>'Program Model'!BB28</f>
        <v>1711.9461327581687</v>
      </c>
      <c r="BE7" s="891">
        <f>'Program Model'!BC28</f>
        <v>1806.9043902126068</v>
      </c>
      <c r="BF7" s="891">
        <f>'Program Model'!BD28</f>
        <v>1907.3550349869549</v>
      </c>
      <c r="BG7" s="891">
        <f>'Program Model'!BE28</f>
        <v>2013.6240302120029</v>
      </c>
      <c r="BH7" s="891">
        <f>'Program Model'!BF28</f>
        <v>2126.0570035859505</v>
      </c>
      <c r="BI7" s="891">
        <f>'Program Model'!BG28</f>
        <v>2245.0204465248516</v>
      </c>
      <c r="BJ7" s="891">
        <f>'Program Model'!BH28</f>
        <v>2370.9029869702977</v>
      </c>
      <c r="BK7" s="892">
        <f>'Program Model'!BI28</f>
        <v>2504.1167404013345</v>
      </c>
    </row>
    <row r="8" spans="1:63" s="835" customFormat="1">
      <c r="A8" s="830"/>
      <c r="B8" s="831"/>
      <c r="C8" s="896" t="s">
        <v>365</v>
      </c>
      <c r="D8" s="893">
        <f>D7/D6</f>
        <v>0.94583333333333319</v>
      </c>
      <c r="E8" s="893">
        <f t="shared" ref="E8:BK8" si="0">E7/E6</f>
        <v>0.8313381551530693</v>
      </c>
      <c r="F8" s="893">
        <f t="shared" si="0"/>
        <v>0.87140253631859033</v>
      </c>
      <c r="G8" s="893">
        <f t="shared" si="0"/>
        <v>0.7983471659549265</v>
      </c>
      <c r="H8" s="893">
        <f t="shared" si="0"/>
        <v>0.83944213649549859</v>
      </c>
      <c r="I8" s="893">
        <f t="shared" si="0"/>
        <v>0.88403138719358565</v>
      </c>
      <c r="J8" s="893">
        <f t="shared" si="0"/>
        <v>0.93253121041784415</v>
      </c>
      <c r="K8" s="893">
        <f t="shared" si="0"/>
        <v>0.89235071460012416</v>
      </c>
      <c r="L8" s="893">
        <f t="shared" si="0"/>
        <v>0.94507325107851359</v>
      </c>
      <c r="M8" s="893">
        <f t="shared" si="0"/>
        <v>0.92399887386477442</v>
      </c>
      <c r="N8" s="893">
        <f t="shared" si="0"/>
        <v>0.98274599398389895</v>
      </c>
      <c r="O8" s="897">
        <f t="shared" si="0"/>
        <v>0.97800376847441772</v>
      </c>
      <c r="P8" s="893">
        <f t="shared" si="0"/>
        <v>0.98599040843413099</v>
      </c>
      <c r="Q8" s="893">
        <f t="shared" si="0"/>
        <v>0.93942591010615928</v>
      </c>
      <c r="R8" s="893">
        <f t="shared" si="0"/>
        <v>0.95013297288791354</v>
      </c>
      <c r="S8" s="893">
        <f t="shared" si="0"/>
        <v>0.96241197907628051</v>
      </c>
      <c r="T8" s="893">
        <f t="shared" si="0"/>
        <v>0.93176195419362529</v>
      </c>
      <c r="U8" s="893">
        <f t="shared" si="0"/>
        <v>0.94720551688280374</v>
      </c>
      <c r="V8" s="893">
        <f t="shared" si="0"/>
        <v>0.96454637892666262</v>
      </c>
      <c r="W8" s="893">
        <f t="shared" si="0"/>
        <v>0.94713630383111225</v>
      </c>
      <c r="X8" s="893">
        <f t="shared" si="0"/>
        <v>0.9681863382601551</v>
      </c>
      <c r="Y8" s="893">
        <f t="shared" si="0"/>
        <v>0.95934428491885593</v>
      </c>
      <c r="Z8" s="893">
        <f t="shared" si="0"/>
        <v>0.98447992076499824</v>
      </c>
      <c r="AA8" s="897">
        <f t="shared" si="0"/>
        <v>0.98355184415572916</v>
      </c>
      <c r="AB8" s="893">
        <f t="shared" si="0"/>
        <v>0.99027052520805148</v>
      </c>
      <c r="AC8" s="893">
        <f t="shared" si="0"/>
        <v>0.97359345283354104</v>
      </c>
      <c r="AD8" s="893">
        <f t="shared" si="0"/>
        <v>0.96035590581156882</v>
      </c>
      <c r="AE8" s="893">
        <f t="shared" si="0"/>
        <v>0.95022499177421071</v>
      </c>
      <c r="AF8" s="893">
        <f t="shared" si="0"/>
        <v>0.94293191621515671</v>
      </c>
      <c r="AG8" s="893">
        <f t="shared" si="0"/>
        <v>0.93826416395318923</v>
      </c>
      <c r="AH8" s="893">
        <f t="shared" si="0"/>
        <v>0.93604755376649773</v>
      </c>
      <c r="AI8" s="893">
        <f t="shared" si="0"/>
        <v>0.95108754404416418</v>
      </c>
      <c r="AJ8" s="893">
        <f t="shared" si="0"/>
        <v>0.95303020019950468</v>
      </c>
      <c r="AK8" s="893">
        <f t="shared" si="0"/>
        <v>0.97060655875392965</v>
      </c>
      <c r="AL8" s="893">
        <f t="shared" si="0"/>
        <v>0.97654965512885195</v>
      </c>
      <c r="AM8" s="897">
        <f t="shared" si="0"/>
        <v>0.99680460958423533</v>
      </c>
      <c r="AN8" s="893">
        <f t="shared" si="0"/>
        <v>0.98833495675595195</v>
      </c>
      <c r="AO8" s="893">
        <f t="shared" si="0"/>
        <v>0.98109960641070981</v>
      </c>
      <c r="AP8" s="893">
        <f t="shared" si="0"/>
        <v>0.98508654956215569</v>
      </c>
      <c r="AQ8" s="893">
        <f t="shared" si="0"/>
        <v>0.97985800791973188</v>
      </c>
      <c r="AR8" s="893">
        <f t="shared" si="0"/>
        <v>0.98462137568124142</v>
      </c>
      <c r="AS8" s="893">
        <f t="shared" si="0"/>
        <v>0.981252501943503</v>
      </c>
      <c r="AT8" s="893">
        <f t="shared" si="0"/>
        <v>0.97884764205715669</v>
      </c>
      <c r="AU8" s="893">
        <f t="shared" si="0"/>
        <v>0.98485353160940448</v>
      </c>
      <c r="AV8" s="893">
        <f t="shared" si="0"/>
        <v>0.98413457030911566</v>
      </c>
      <c r="AW8" s="893">
        <f t="shared" si="0"/>
        <v>0.98427775145985408</v>
      </c>
      <c r="AX8" s="893">
        <f t="shared" si="0"/>
        <v>0.99159580630952926</v>
      </c>
      <c r="AY8" s="897">
        <f t="shared" si="0"/>
        <v>0.99330648013467193</v>
      </c>
      <c r="AZ8" s="893">
        <f t="shared" si="0"/>
        <v>0.98818179534428063</v>
      </c>
      <c r="BA8" s="893">
        <f t="shared" si="0"/>
        <v>0.98911824646619972</v>
      </c>
      <c r="BB8" s="893">
        <f t="shared" si="0"/>
        <v>0.98532235529108614</v>
      </c>
      <c r="BC8" s="893">
        <f t="shared" si="0"/>
        <v>0.98219577202639885</v>
      </c>
      <c r="BD8" s="893">
        <f t="shared" si="0"/>
        <v>0.9842189943692794</v>
      </c>
      <c r="BE8" s="893">
        <f t="shared" si="0"/>
        <v>0.98659612039276123</v>
      </c>
      <c r="BF8" s="893">
        <f t="shared" si="0"/>
        <v>0.98524488493946827</v>
      </c>
      <c r="BG8" s="893">
        <f t="shared" si="0"/>
        <v>0.98835676952211238</v>
      </c>
      <c r="BH8" s="893">
        <f t="shared" si="0"/>
        <v>0.99183792709266283</v>
      </c>
      <c r="BI8" s="893">
        <f t="shared" si="0"/>
        <v>0.99217527082531143</v>
      </c>
      <c r="BJ8" s="893">
        <f t="shared" si="0"/>
        <v>0.99641356470320097</v>
      </c>
      <c r="BK8" s="897">
        <f t="shared" si="0"/>
        <v>0.99784515562382758</v>
      </c>
    </row>
    <row r="9" spans="1:63" s="835" customFormat="1">
      <c r="A9" s="830"/>
      <c r="B9" s="831"/>
      <c r="C9" s="832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4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4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AM9" s="834"/>
      <c r="AN9" s="833"/>
      <c r="AO9" s="833"/>
      <c r="AP9" s="833"/>
      <c r="AQ9" s="833"/>
      <c r="AR9" s="833"/>
      <c r="AS9" s="833"/>
      <c r="AT9" s="833"/>
      <c r="AU9" s="833"/>
      <c r="AV9" s="833"/>
      <c r="AW9" s="833"/>
      <c r="AX9" s="833"/>
      <c r="AY9" s="834"/>
      <c r="AZ9" s="833"/>
      <c r="BA9" s="833"/>
      <c r="BB9" s="833"/>
      <c r="BC9" s="833"/>
      <c r="BD9" s="833"/>
      <c r="BE9" s="833"/>
      <c r="BF9" s="833"/>
      <c r="BG9" s="833"/>
      <c r="BH9" s="833"/>
      <c r="BI9" s="833"/>
      <c r="BJ9" s="833"/>
      <c r="BK9" s="834"/>
    </row>
    <row r="10" spans="1:63" s="876" customFormat="1" ht="24" customHeight="1">
      <c r="A10" s="874"/>
      <c r="B10" s="875" t="s">
        <v>226</v>
      </c>
      <c r="C10" s="880">
        <f t="shared" ref="C10:AH10" si="1">C30+C48+C66+C84+C102+C120+C138+C156+C174+C192+C210+C228</f>
        <v>454</v>
      </c>
      <c r="D10" s="883">
        <f t="shared" si="1"/>
        <v>37.833333333333329</v>
      </c>
      <c r="E10" s="883">
        <f t="shared" si="1"/>
        <v>41.493749999999999</v>
      </c>
      <c r="F10" s="883">
        <f t="shared" si="1"/>
        <v>45.602656250000003</v>
      </c>
      <c r="G10" s="883">
        <f t="shared" si="1"/>
        <v>50.225717013888897</v>
      </c>
      <c r="H10" s="883">
        <f t="shared" si="1"/>
        <v>55.439397721956986</v>
      </c>
      <c r="I10" s="883">
        <f t="shared" si="1"/>
        <v>61.332871057462967</v>
      </c>
      <c r="J10" s="883">
        <f t="shared" si="1"/>
        <v>68.01027489342205</v>
      </c>
      <c r="K10" s="883">
        <f t="shared" si="1"/>
        <v>75.593387770602305</v>
      </c>
      <c r="L10" s="883">
        <f t="shared" si="1"/>
        <v>84.224801012695238</v>
      </c>
      <c r="M10" s="883">
        <f t="shared" si="1"/>
        <v>94.071681782840301</v>
      </c>
      <c r="N10" s="883">
        <f t="shared" si="1"/>
        <v>105.33023954583022</v>
      </c>
      <c r="O10" s="884">
        <f t="shared" si="1"/>
        <v>118.23103008893722</v>
      </c>
      <c r="P10" s="883">
        <f t="shared" si="1"/>
        <v>125.57606484430841</v>
      </c>
      <c r="Q10" s="883">
        <f t="shared" si="1"/>
        <v>133.64059443921192</v>
      </c>
      <c r="R10" s="883">
        <f t="shared" si="1"/>
        <v>142.50928449057056</v>
      </c>
      <c r="S10" s="883">
        <f t="shared" si="1"/>
        <v>152.27739732009837</v>
      </c>
      <c r="T10" s="883">
        <f t="shared" si="1"/>
        <v>163.05214997702629</v>
      </c>
      <c r="U10" s="883">
        <f t="shared" si="1"/>
        <v>174.95424832427929</v>
      </c>
      <c r="V10" s="883">
        <f t="shared" si="1"/>
        <v>188.11962017459092</v>
      </c>
      <c r="W10" s="883">
        <f t="shared" si="1"/>
        <v>202.70137347866557</v>
      </c>
      <c r="X10" s="883">
        <f t="shared" si="1"/>
        <v>218.87200898015993</v>
      </c>
      <c r="Y10" s="883">
        <f t="shared" si="1"/>
        <v>236.82592061438089</v>
      </c>
      <c r="Z10" s="883">
        <f t="shared" si="1"/>
        <v>256.78222129853225</v>
      </c>
      <c r="AA10" s="884">
        <f t="shared" si="1"/>
        <v>278.98793670830793</v>
      </c>
      <c r="AB10" s="883">
        <f t="shared" si="1"/>
        <v>296.86292418803214</v>
      </c>
      <c r="AC10" s="883">
        <f t="shared" si="1"/>
        <v>316.32480806111812</v>
      </c>
      <c r="AD10" s="883">
        <f t="shared" si="1"/>
        <v>337.52521369023827</v>
      </c>
      <c r="AE10" s="883">
        <f t="shared" si="1"/>
        <v>360.63049957355003</v>
      </c>
      <c r="AF10" s="883">
        <f t="shared" si="1"/>
        <v>385.82319765091955</v>
      </c>
      <c r="AG10" s="883">
        <f t="shared" si="1"/>
        <v>413.30359494039857</v>
      </c>
      <c r="AH10" s="883">
        <f t="shared" si="1"/>
        <v>443.29147041388143</v>
      </c>
      <c r="AI10" s="883">
        <f t="shared" ref="AI10:BK10" si="2">AI30+AI48+AI66+AI84+AI102+AI120+AI138+AI156+AI174+AI192+AI210+AI228</f>
        <v>476.02800239310801</v>
      </c>
      <c r="AJ10" s="883">
        <f t="shared" si="2"/>
        <v>511.77786325507873</v>
      </c>
      <c r="AK10" s="883">
        <f t="shared" si="2"/>
        <v>550.83151989296414</v>
      </c>
      <c r="AL10" s="883">
        <f t="shared" si="2"/>
        <v>593.5077601994758</v>
      </c>
      <c r="AM10" s="884">
        <f t="shared" si="2"/>
        <v>640.15646784066928</v>
      </c>
      <c r="AN10" s="883">
        <f t="shared" si="2"/>
        <v>678.57055439716851</v>
      </c>
      <c r="AO10" s="883">
        <f t="shared" si="2"/>
        <v>719.484677067951</v>
      </c>
      <c r="AP10" s="883">
        <f t="shared" si="2"/>
        <v>763.06662650834551</v>
      </c>
      <c r="AQ10" s="883">
        <f t="shared" si="2"/>
        <v>809.49561797823833</v>
      </c>
      <c r="AR10" s="883">
        <f t="shared" si="2"/>
        <v>858.96307578645178</v>
      </c>
      <c r="AS10" s="883">
        <f t="shared" si="2"/>
        <v>911.67347191563749</v>
      </c>
      <c r="AT10" s="883">
        <f t="shared" si="2"/>
        <v>967.84522258761274</v>
      </c>
      <c r="AU10" s="883">
        <f t="shared" si="2"/>
        <v>1027.7116467910821</v>
      </c>
      <c r="AV10" s="883">
        <f t="shared" si="2"/>
        <v>1091.5219910740263</v>
      </c>
      <c r="AW10" s="883">
        <f t="shared" si="2"/>
        <v>1159.5425252029968</v>
      </c>
      <c r="AX10" s="883">
        <f t="shared" si="2"/>
        <v>1232.0577136125089</v>
      </c>
      <c r="AY10" s="884">
        <f t="shared" si="2"/>
        <v>1309.3714679111465</v>
      </c>
      <c r="AZ10" s="883">
        <f t="shared" si="2"/>
        <v>1381.1445054446938</v>
      </c>
      <c r="BA10" s="883">
        <f t="shared" si="2"/>
        <v>1457.0377498497649</v>
      </c>
      <c r="BB10" s="883">
        <f t="shared" si="2"/>
        <v>1537.2945368164339</v>
      </c>
      <c r="BC10" s="883">
        <f t="shared" si="2"/>
        <v>1622.1728342852825</v>
      </c>
      <c r="BD10" s="883">
        <f t="shared" si="2"/>
        <v>1711.9461327581687</v>
      </c>
      <c r="BE10" s="883">
        <f t="shared" si="2"/>
        <v>1806.9043902126068</v>
      </c>
      <c r="BF10" s="883">
        <f t="shared" si="2"/>
        <v>1907.3550349869549</v>
      </c>
      <c r="BG10" s="883">
        <f t="shared" si="2"/>
        <v>2013.6240302120029</v>
      </c>
      <c r="BH10" s="883">
        <f t="shared" si="2"/>
        <v>2126.0570035859505</v>
      </c>
      <c r="BI10" s="883">
        <f t="shared" si="2"/>
        <v>2245.0204465248516</v>
      </c>
      <c r="BJ10" s="883">
        <f t="shared" si="2"/>
        <v>2370.9029869702977</v>
      </c>
      <c r="BK10" s="884">
        <f t="shared" si="2"/>
        <v>2504.1167404013345</v>
      </c>
    </row>
    <row r="11" spans="1:63" s="1199" customFormat="1" ht="21.75" customHeight="1">
      <c r="A11" s="1198"/>
      <c r="B11" s="1199" t="s">
        <v>347</v>
      </c>
      <c r="C11" s="1200">
        <f>C12/C10</f>
        <v>0.53083700440528636</v>
      </c>
      <c r="D11" s="1201">
        <f t="shared" ref="D11:BK11" si="3">D12/D10</f>
        <v>0.53083700440528636</v>
      </c>
      <c r="E11" s="1201">
        <f t="shared" si="3"/>
        <v>0.53378702169559233</v>
      </c>
      <c r="F11" s="1201">
        <f t="shared" si="3"/>
        <v>0.53688999185392483</v>
      </c>
      <c r="G11" s="1201">
        <f t="shared" si="3"/>
        <v>0.54014973743824024</v>
      </c>
      <c r="H11" s="1201">
        <f t="shared" si="3"/>
        <v>0.54356896410253286</v>
      </c>
      <c r="I11" s="1201">
        <f t="shared" si="3"/>
        <v>0.54714911895536023</v>
      </c>
      <c r="J11" s="1201">
        <f t="shared" si="3"/>
        <v>0.55089026625288529</v>
      </c>
      <c r="K11" s="1201">
        <f t="shared" si="3"/>
        <v>0.55479098659207571</v>
      </c>
      <c r="L11" s="1201">
        <f t="shared" si="3"/>
        <v>0.5588483053777723</v>
      </c>
      <c r="M11" s="1201">
        <f t="shared" si="3"/>
        <v>0.5630576555495459</v>
      </c>
      <c r="N11" s="1201">
        <f t="shared" si="3"/>
        <v>0.56741287838004928</v>
      </c>
      <c r="O11" s="1202">
        <f t="shared" si="3"/>
        <v>0.57190626464236616</v>
      </c>
      <c r="P11" s="1201">
        <f t="shared" si="3"/>
        <v>0.57642754789087547</v>
      </c>
      <c r="Q11" s="1201">
        <f t="shared" si="3"/>
        <v>0.58110244886335527</v>
      </c>
      <c r="R11" s="1201">
        <f t="shared" si="3"/>
        <v>0.58592245295794587</v>
      </c>
      <c r="S11" s="1201">
        <f t="shared" si="3"/>
        <v>0.59087748409088703</v>
      </c>
      <c r="T11" s="1201">
        <f t="shared" si="3"/>
        <v>0.5959560052475491</v>
      </c>
      <c r="U11" s="1201">
        <f t="shared" si="3"/>
        <v>0.60114515783338751</v>
      </c>
      <c r="V11" s="1201">
        <f t="shared" si="3"/>
        <v>0.60643093665358938</v>
      </c>
      <c r="W11" s="1201">
        <f t="shared" si="3"/>
        <v>0.61179839562984917</v>
      </c>
      <c r="X11" s="1201">
        <f t="shared" si="3"/>
        <v>0.61723187786313505</v>
      </c>
      <c r="Y11" s="1201">
        <f t="shared" si="3"/>
        <v>0.62271526248692266</v>
      </c>
      <c r="Z11" s="1201">
        <f t="shared" si="3"/>
        <v>0.62823222001439094</v>
      </c>
      <c r="AA11" s="1202">
        <f t="shared" si="3"/>
        <v>0.63376646761768607</v>
      </c>
      <c r="AB11" s="1201">
        <f t="shared" si="3"/>
        <v>0.6383358815893434</v>
      </c>
      <c r="AC11" s="1201">
        <f t="shared" si="3"/>
        <v>0.6428798195498816</v>
      </c>
      <c r="AD11" s="1201">
        <f t="shared" si="3"/>
        <v>0.64738936916986001</v>
      </c>
      <c r="AE11" s="1201">
        <f t="shared" si="3"/>
        <v>0.65185615775716477</v>
      </c>
      <c r="AF11" s="1201">
        <f t="shared" si="3"/>
        <v>0.65627241974434936</v>
      </c>
      <c r="AG11" s="1201">
        <f t="shared" si="3"/>
        <v>0.66063105061274319</v>
      </c>
      <c r="AH11" s="1201">
        <f t="shared" si="3"/>
        <v>0.66492564692405209</v>
      </c>
      <c r="AI11" s="1201">
        <f t="shared" si="3"/>
        <v>0.66915053256961909</v>
      </c>
      <c r="AJ11" s="1201">
        <f t="shared" si="3"/>
        <v>0.67330077174274761</v>
      </c>
      <c r="AK11" s="1201">
        <f t="shared" si="3"/>
        <v>0.6773721694767102</v>
      </c>
      <c r="AL11" s="1201">
        <f t="shared" si="3"/>
        <v>0.68136126086151128</v>
      </c>
      <c r="AM11" s="1202">
        <f t="shared" si="3"/>
        <v>0.68526529025203331</v>
      </c>
      <c r="AN11" s="1201">
        <f t="shared" si="3"/>
        <v>0.68704974056551271</v>
      </c>
      <c r="AO11" s="1201">
        <f t="shared" si="3"/>
        <v>0.68879756711402063</v>
      </c>
      <c r="AP11" s="1201">
        <f t="shared" si="3"/>
        <v>0.69050922729071518</v>
      </c>
      <c r="AQ11" s="1201">
        <f t="shared" si="3"/>
        <v>0.69218521179386217</v>
      </c>
      <c r="AR11" s="1201">
        <f t="shared" si="3"/>
        <v>0.69382604124228109</v>
      </c>
      <c r="AS11" s="1201">
        <f t="shared" si="3"/>
        <v>0.6954322629113342</v>
      </c>
      <c r="AT11" s="1201">
        <f t="shared" si="3"/>
        <v>0.69700444759811153</v>
      </c>
      <c r="AU11" s="1201">
        <f t="shared" si="3"/>
        <v>0.69854318662265746</v>
      </c>
      <c r="AV11" s="1201">
        <f t="shared" si="3"/>
        <v>0.7000490889704245</v>
      </c>
      <c r="AW11" s="1201">
        <f t="shared" si="3"/>
        <v>0.70152277857959289</v>
      </c>
      <c r="AX11" s="1201">
        <f t="shared" si="3"/>
        <v>0.70296489177548516</v>
      </c>
      <c r="AY11" s="1202">
        <f t="shared" si="3"/>
        <v>0.70437607485303866</v>
      </c>
      <c r="AZ11" s="1201">
        <f t="shared" si="3"/>
        <v>0.70629461407491678</v>
      </c>
      <c r="BA11" s="1201">
        <f t="shared" si="3"/>
        <v>0.70820108491444345</v>
      </c>
      <c r="BB11" s="1201">
        <f t="shared" si="3"/>
        <v>0.71009540750951339</v>
      </c>
      <c r="BC11" s="1201">
        <f t="shared" si="3"/>
        <v>0.71197751131761322</v>
      </c>
      <c r="BD11" s="1201">
        <f t="shared" si="3"/>
        <v>0.71384733488037011</v>
      </c>
      <c r="BE11" s="1201">
        <f t="shared" si="3"/>
        <v>0.71570482558363679</v>
      </c>
      <c r="BF11" s="1201">
        <f t="shared" si="3"/>
        <v>0.71754993941384693</v>
      </c>
      <c r="BG11" s="1201">
        <f t="shared" si="3"/>
        <v>0.71938264071135671</v>
      </c>
      <c r="BH11" s="1201">
        <f t="shared" si="3"/>
        <v>0.7212029019214371</v>
      </c>
      <c r="BI11" s="1201">
        <f t="shared" si="3"/>
        <v>0.72301070334357143</v>
      </c>
      <c r="BJ11" s="1201">
        <f t="shared" si="3"/>
        <v>0.72480603287966772</v>
      </c>
      <c r="BK11" s="1202">
        <f t="shared" si="3"/>
        <v>0.72658888578176695</v>
      </c>
    </row>
    <row r="12" spans="1:63" s="1204" customFormat="1" ht="29.25" customHeight="1">
      <c r="A12" s="1203"/>
      <c r="B12" s="1204" t="s">
        <v>258</v>
      </c>
      <c r="C12" s="881">
        <f t="shared" ref="C12:AH12" si="4">C32+C50+C68+C86+C104+C122+C140+C158+C176+C194+C212+C230</f>
        <v>241</v>
      </c>
      <c r="D12" s="885">
        <f t="shared" si="4"/>
        <v>20.083333333333332</v>
      </c>
      <c r="E12" s="885">
        <f t="shared" si="4"/>
        <v>22.148825231481485</v>
      </c>
      <c r="F12" s="885">
        <f t="shared" si="4"/>
        <v>24.483609742579837</v>
      </c>
      <c r="G12" s="885">
        <f t="shared" si="4"/>
        <v>27.129407857699444</v>
      </c>
      <c r="H12" s="885">
        <f t="shared" si="4"/>
        <v>30.135135990192481</v>
      </c>
      <c r="I12" s="885">
        <f t="shared" si="4"/>
        <v>33.558226362093578</v>
      </c>
      <c r="J12" s="885">
        <f t="shared" si="4"/>
        <v>37.466198443969191</v>
      </c>
      <c r="K12" s="885">
        <f t="shared" si="4"/>
        <v>41.938530181089803</v>
      </c>
      <c r="L12" s="885">
        <f t="shared" si="4"/>
        <v>47.068887316724819</v>
      </c>
      <c r="M12" s="885">
        <f t="shared" si="4"/>
        <v>52.967780598248986</v>
      </c>
      <c r="N12" s="885">
        <f t="shared" si="4"/>
        <v>59.765734401159619</v>
      </c>
      <c r="O12" s="886">
        <f t="shared" si="4"/>
        <v>67.617066782983287</v>
      </c>
      <c r="P12" s="885">
        <f t="shared" si="4"/>
        <v>72.385503131990262</v>
      </c>
      <c r="Q12" s="885">
        <f t="shared" si="4"/>
        <v>77.658876696180542</v>
      </c>
      <c r="R12" s="885">
        <f t="shared" si="4"/>
        <v>83.499389537996862</v>
      </c>
      <c r="S12" s="885">
        <f t="shared" si="4"/>
        <v>89.977285412408108</v>
      </c>
      <c r="T12" s="885">
        <f t="shared" si="4"/>
        <v>97.171907947332841</v>
      </c>
      <c r="U12" s="885">
        <f t="shared" si="4"/>
        <v>105.17289922252056</v>
      </c>
      <c r="V12" s="885">
        <f t="shared" si="4"/>
        <v>114.08155746539464</v>
      </c>
      <c r="W12" s="885">
        <f t="shared" si="4"/>
        <v>124.01237508621445</v>
      </c>
      <c r="X12" s="885">
        <f t="shared" si="4"/>
        <v>135.09478111450107</v>
      </c>
      <c r="Y12" s="885">
        <f t="shared" si="4"/>
        <v>147.47511531909132</v>
      </c>
      <c r="Z12" s="885">
        <f t="shared" si="4"/>
        <v>161.31886494660353</v>
      </c>
      <c r="AA12" s="886">
        <f t="shared" si="4"/>
        <v>176.81319915557089</v>
      </c>
      <c r="AB12" s="885">
        <f t="shared" si="4"/>
        <v>189.49825642275792</v>
      </c>
      <c r="AC12" s="885">
        <f t="shared" si="4"/>
        <v>203.35883552548253</v>
      </c>
      <c r="AD12" s="885">
        <f t="shared" si="4"/>
        <v>218.51023516984554</v>
      </c>
      <c r="AE12" s="885">
        <f t="shared" si="4"/>
        <v>235.07921182206118</v>
      </c>
      <c r="AF12" s="885">
        <f t="shared" si="4"/>
        <v>253.20512351587132</v>
      </c>
      <c r="AG12" s="885">
        <f t="shared" si="4"/>
        <v>273.04118814749916</v>
      </c>
      <c r="AH12" s="885">
        <f t="shared" si="4"/>
        <v>294.7558677408644</v>
      </c>
      <c r="AI12" s="885">
        <f t="shared" ref="AI12:BK12" si="5">AI32+AI50+AI68+AI86+AI104+AI122+AI140+AI158+AI176+AI194+AI212+AI230</f>
        <v>318.53439131940013</v>
      </c>
      <c r="AJ12" s="885">
        <f t="shared" si="5"/>
        <v>344.58043029049884</v>
      </c>
      <c r="AK12" s="885">
        <f t="shared" si="5"/>
        <v>373.11794164605078</v>
      </c>
      <c r="AL12" s="885">
        <f t="shared" si="5"/>
        <v>404.39319582060631</v>
      </c>
      <c r="AM12" s="886">
        <f t="shared" si="5"/>
        <v>438.67700774155264</v>
      </c>
      <c r="AN12" s="885">
        <f t="shared" si="5"/>
        <v>466.21172335397074</v>
      </c>
      <c r="AO12" s="885">
        <f t="shared" si="5"/>
        <v>495.57929514022146</v>
      </c>
      <c r="AP12" s="885">
        <f t="shared" si="5"/>
        <v>526.90454664161041</v>
      </c>
      <c r="AQ12" s="885">
        <f t="shared" si="5"/>
        <v>560.32089577647025</v>
      </c>
      <c r="AR12" s="885">
        <f t="shared" si="5"/>
        <v>595.97095044620733</v>
      </c>
      <c r="AS12" s="885">
        <f t="shared" si="5"/>
        <v>634.0071456105245</v>
      </c>
      <c r="AT12" s="885">
        <f t="shared" si="5"/>
        <v>674.59242473015036</v>
      </c>
      <c r="AU12" s="885">
        <f t="shared" si="5"/>
        <v>717.90096867866146</v>
      </c>
      <c r="AV12" s="885">
        <f t="shared" si="5"/>
        <v>764.11897544255601</v>
      </c>
      <c r="AW12" s="885">
        <f t="shared" si="5"/>
        <v>813.44549416160396</v>
      </c>
      <c r="AX12" s="885">
        <f t="shared" si="5"/>
        <v>866.09331731076895</v>
      </c>
      <c r="AY12" s="886">
        <f t="shared" si="5"/>
        <v>922.28993509181487</v>
      </c>
      <c r="AZ12" s="885">
        <f t="shared" si="5"/>
        <v>975.49492545475175</v>
      </c>
      <c r="BA12" s="885">
        <f t="shared" si="5"/>
        <v>1031.8757152049029</v>
      </c>
      <c r="BB12" s="885">
        <f t="shared" si="5"/>
        <v>1091.6257905828143</v>
      </c>
      <c r="BC12" s="885">
        <f t="shared" si="5"/>
        <v>1154.9505774814745</v>
      </c>
      <c r="BD12" s="885">
        <f t="shared" si="5"/>
        <v>1222.068184328175</v>
      </c>
      <c r="BE12" s="885">
        <f t="shared" si="5"/>
        <v>1293.2101914434213</v>
      </c>
      <c r="BF12" s="885">
        <f t="shared" si="5"/>
        <v>1368.6224897955854</v>
      </c>
      <c r="BG12" s="885">
        <f t="shared" si="5"/>
        <v>1448.5661722537554</v>
      </c>
      <c r="BH12" s="885">
        <f t="shared" si="5"/>
        <v>1533.3184806365828</v>
      </c>
      <c r="BI12" s="885">
        <f t="shared" si="5"/>
        <v>1623.1738120626317</v>
      </c>
      <c r="BJ12" s="885">
        <f t="shared" si="5"/>
        <v>1718.4447883284961</v>
      </c>
      <c r="BK12" s="886">
        <f t="shared" si="5"/>
        <v>1819.4633922756757</v>
      </c>
    </row>
    <row r="13" spans="1:63" s="1199" customFormat="1" ht="21.75" customHeight="1">
      <c r="A13" s="1198"/>
      <c r="B13" s="1199" t="s">
        <v>348</v>
      </c>
      <c r="C13" s="1205">
        <f>C14/C12</f>
        <v>0.41493775933609961</v>
      </c>
      <c r="D13" s="1206">
        <f t="shared" ref="D13:BK13" si="6">D14/D12</f>
        <v>0.41493775933609955</v>
      </c>
      <c r="E13" s="1201">
        <f t="shared" si="6"/>
        <v>0.41981208893636629</v>
      </c>
      <c r="F13" s="1201">
        <f t="shared" si="6"/>
        <v>0.4248746219770943</v>
      </c>
      <c r="G13" s="1201">
        <f t="shared" si="6"/>
        <v>0.43012122507597084</v>
      </c>
      <c r="H13" s="1201">
        <f t="shared" si="6"/>
        <v>0.43554569002621463</v>
      </c>
      <c r="I13" s="1201">
        <f t="shared" si="6"/>
        <v>0.44113968492269268</v>
      </c>
      <c r="J13" s="1201">
        <f t="shared" si="6"/>
        <v>0.44689275924681882</v>
      </c>
      <c r="K13" s="1201">
        <f t="shared" si="6"/>
        <v>0.45279240750841171</v>
      </c>
      <c r="L13" s="1201">
        <f t="shared" si="6"/>
        <v>0.45882419344272241</v>
      </c>
      <c r="M13" s="1201">
        <f t="shared" si="6"/>
        <v>0.46497193377706847</v>
      </c>
      <c r="N13" s="1201">
        <f t="shared" si="6"/>
        <v>0.47121793742541135</v>
      </c>
      <c r="O13" s="1202">
        <f t="shared" si="6"/>
        <v>0.47754329289037839</v>
      </c>
      <c r="P13" s="1201">
        <f t="shared" si="6"/>
        <v>0.48339477152286314</v>
      </c>
      <c r="Q13" s="1201">
        <f t="shared" si="6"/>
        <v>0.48936949648641237</v>
      </c>
      <c r="R13" s="1201">
        <f t="shared" si="6"/>
        <v>0.49544939585114528</v>
      </c>
      <c r="S13" s="1201">
        <f t="shared" si="6"/>
        <v>0.50161516073264878</v>
      </c>
      <c r="T13" s="1201">
        <f t="shared" si="6"/>
        <v>0.50784655370953147</v>
      </c>
      <c r="U13" s="1201">
        <f t="shared" si="6"/>
        <v>0.51412274331674368</v>
      </c>
      <c r="V13" s="1201">
        <f t="shared" si="6"/>
        <v>0.52042265285557532</v>
      </c>
      <c r="W13" s="1201">
        <f t="shared" si="6"/>
        <v>0.52672531111982712</v>
      </c>
      <c r="X13" s="1201">
        <f t="shared" si="6"/>
        <v>0.53301019274708794</v>
      </c>
      <c r="Y13" s="1201">
        <f t="shared" si="6"/>
        <v>0.53925753674130417</v>
      </c>
      <c r="Z13" s="1201">
        <f t="shared" si="6"/>
        <v>0.5454486331901921</v>
      </c>
      <c r="AA13" s="1202">
        <f t="shared" si="6"/>
        <v>0.55156607017819703</v>
      </c>
      <c r="AB13" s="1201">
        <f t="shared" si="6"/>
        <v>0.55650476231659829</v>
      </c>
      <c r="AC13" s="1201">
        <f t="shared" si="6"/>
        <v>0.56136002220526049</v>
      </c>
      <c r="AD13" s="1201">
        <f t="shared" si="6"/>
        <v>0.56612445464782302</v>
      </c>
      <c r="AE13" s="1201">
        <f t="shared" si="6"/>
        <v>0.57079162145332474</v>
      </c>
      <c r="AF13" s="1201">
        <f t="shared" si="6"/>
        <v>0.57535604877426538</v>
      </c>
      <c r="AG13" s="1201">
        <f t="shared" si="6"/>
        <v>0.57981321858467738</v>
      </c>
      <c r="AH13" s="1201">
        <f t="shared" si="6"/>
        <v>0.58415954594627162</v>
      </c>
      <c r="AI13" s="1201">
        <f t="shared" si="6"/>
        <v>0.58839234394146034</v>
      </c>
      <c r="AJ13" s="1201">
        <f t="shared" si="6"/>
        <v>0.59250977828631013</v>
      </c>
      <c r="AK13" s="1201">
        <f t="shared" si="6"/>
        <v>0.59651081368171244</v>
      </c>
      <c r="AL13" s="1201">
        <f t="shared" si="6"/>
        <v>0.60039515392829435</v>
      </c>
      <c r="AM13" s="1202">
        <f t="shared" si="6"/>
        <v>0.60416317773318207</v>
      </c>
      <c r="AN13" s="1201">
        <f t="shared" si="6"/>
        <v>0.60589436466103075</v>
      </c>
      <c r="AO13" s="1201">
        <f t="shared" si="6"/>
        <v>0.60758515481729591</v>
      </c>
      <c r="AP13" s="1201">
        <f t="shared" si="6"/>
        <v>0.60923637773609252</v>
      </c>
      <c r="AQ13" s="1201">
        <f t="shared" si="6"/>
        <v>0.61084887473153526</v>
      </c>
      <c r="AR13" s="1201">
        <f t="shared" si="6"/>
        <v>0.61242349596937229</v>
      </c>
      <c r="AS13" s="1201">
        <f t="shared" si="6"/>
        <v>0.61396109773246355</v>
      </c>
      <c r="AT13" s="1201">
        <f t="shared" si="6"/>
        <v>0.61546253987699417</v>
      </c>
      <c r="AU13" s="1201">
        <f t="shared" si="6"/>
        <v>0.61692868347532837</v>
      </c>
      <c r="AV13" s="1201">
        <f t="shared" si="6"/>
        <v>0.61836038864056553</v>
      </c>
      <c r="AW13" s="1201">
        <f t="shared" si="6"/>
        <v>0.61975851252716119</v>
      </c>
      <c r="AX13" s="1201">
        <f t="shared" si="6"/>
        <v>0.62112390750139579</v>
      </c>
      <c r="AY13" s="1202">
        <f t="shared" si="6"/>
        <v>0.62245741947502264</v>
      </c>
      <c r="AZ13" s="1201">
        <f t="shared" si="6"/>
        <v>0.62422245556002698</v>
      </c>
      <c r="BA13" s="1201">
        <f t="shared" si="6"/>
        <v>0.62597101562084478</v>
      </c>
      <c r="BB13" s="1201">
        <f t="shared" si="6"/>
        <v>0.62770320435363125</v>
      </c>
      <c r="BC13" s="1201">
        <f t="shared" si="6"/>
        <v>0.62941913282238782</v>
      </c>
      <c r="BD13" s="1201">
        <f t="shared" si="6"/>
        <v>0.63111891809480292</v>
      </c>
      <c r="BE13" s="1201">
        <f t="shared" si="6"/>
        <v>0.63280268288639996</v>
      </c>
      <c r="BF13" s="1201">
        <f t="shared" si="6"/>
        <v>0.63447055521330009</v>
      </c>
      <c r="BG13" s="1201">
        <f t="shared" si="6"/>
        <v>0.63612266805384632</v>
      </c>
      <c r="BH13" s="1201">
        <f t="shared" si="6"/>
        <v>0.63775915901931624</v>
      </c>
      <c r="BI13" s="1201">
        <f t="shared" si="6"/>
        <v>0.6393801700338908</v>
      </c>
      <c r="BJ13" s="1201">
        <f t="shared" si="6"/>
        <v>0.64098584702402273</v>
      </c>
      <c r="BK13" s="1202">
        <f t="shared" si="6"/>
        <v>0.64257633961730687</v>
      </c>
    </row>
    <row r="14" spans="1:63" s="879" customFormat="1" ht="24.75" customHeight="1">
      <c r="A14" s="877"/>
      <c r="B14" s="878" t="s">
        <v>259</v>
      </c>
      <c r="C14" s="882">
        <f t="shared" ref="C14:AH14" si="7">C34+C52+C70+C88+C106+C124+C142+C160+C178+C196+C214+C232</f>
        <v>100</v>
      </c>
      <c r="D14" s="887">
        <f t="shared" si="7"/>
        <v>8.3333333333333321</v>
      </c>
      <c r="E14" s="887">
        <f t="shared" si="7"/>
        <v>9.2983445879147393</v>
      </c>
      <c r="F14" s="887">
        <f t="shared" si="7"/>
        <v>10.402464434013311</v>
      </c>
      <c r="G14" s="887">
        <f t="shared" si="7"/>
        <v>11.668934143339355</v>
      </c>
      <c r="H14" s="887">
        <f t="shared" si="7"/>
        <v>13.125228598882199</v>
      </c>
      <c r="I14" s="887">
        <f t="shared" si="7"/>
        <v>14.80386540393836</v>
      </c>
      <c r="J14" s="887">
        <f t="shared" si="7"/>
        <v>16.743372801114262</v>
      </c>
      <c r="K14" s="887">
        <f t="shared" si="7"/>
        <v>18.989448048059838</v>
      </c>
      <c r="L14" s="887">
        <f t="shared" si="7"/>
        <v>21.596344259342651</v>
      </c>
      <c r="M14" s="887">
        <f t="shared" si="7"/>
        <v>24.62853137264732</v>
      </c>
      <c r="N14" s="887">
        <f t="shared" si="7"/>
        <v>28.162686093229389</v>
      </c>
      <c r="O14" s="888">
        <f t="shared" si="7"/>
        <v>32.290076727134462</v>
      </c>
      <c r="P14" s="887">
        <f t="shared" si="7"/>
        <v>34.990773748055929</v>
      </c>
      <c r="Q14" s="887">
        <f t="shared" si="7"/>
        <v>38.003885386510255</v>
      </c>
      <c r="R14" s="887">
        <f t="shared" si="7"/>
        <v>41.369722100539988</v>
      </c>
      <c r="S14" s="887">
        <f t="shared" si="7"/>
        <v>45.13397048443251</v>
      </c>
      <c r="T14" s="887">
        <f t="shared" si="7"/>
        <v>49.34841856843282</v>
      </c>
      <c r="U14" s="887">
        <f t="shared" si="7"/>
        <v>54.071779470857685</v>
      </c>
      <c r="V14" s="887">
        <f t="shared" si="7"/>
        <v>59.370626778036446</v>
      </c>
      <c r="W14" s="887">
        <f t="shared" si="7"/>
        <v>65.320456849994997</v>
      </c>
      <c r="X14" s="887">
        <f t="shared" si="7"/>
        <v>72.006895320965867</v>
      </c>
      <c r="Y14" s="887">
        <f t="shared" si="7"/>
        <v>79.527067417612955</v>
      </c>
      <c r="Z14" s="887">
        <f t="shared" si="7"/>
        <v>87.991154392918091</v>
      </c>
      <c r="AA14" s="888">
        <f t="shared" si="7"/>
        <v>97.524161413873131</v>
      </c>
      <c r="AB14" s="887">
        <f t="shared" si="7"/>
        <v>105.45668214995669</v>
      </c>
      <c r="AC14" s="887">
        <f t="shared" si="7"/>
        <v>114.15752042622078</v>
      </c>
      <c r="AD14" s="887">
        <f t="shared" si="7"/>
        <v>123.70398772049636</v>
      </c>
      <c r="AE14" s="887">
        <f t="shared" si="7"/>
        <v>134.18124448588389</v>
      </c>
      <c r="AF14" s="887">
        <f t="shared" si="7"/>
        <v>145.68309939549155</v>
      </c>
      <c r="AG14" s="887">
        <f t="shared" si="7"/>
        <v>158.31289010598596</v>
      </c>
      <c r="AH14" s="887">
        <f t="shared" si="7"/>
        <v>172.18445386450264</v>
      </c>
      <c r="AI14" s="887">
        <f t="shared" ref="AI14:BK14" si="8">AI34+AI52+AI70+AI88+AI106+AI124+AI142+AI160+AI178+AI196+AI214+AI232</f>
        <v>187.4231971343882</v>
      </c>
      <c r="AJ14" s="887">
        <f t="shared" si="8"/>
        <v>204.1672743532248</v>
      </c>
      <c r="AK14" s="887">
        <f t="shared" si="8"/>
        <v>222.56888697053145</v>
      </c>
      <c r="AL14" s="887">
        <f t="shared" si="8"/>
        <v>242.79571505226778</v>
      </c>
      <c r="AM14" s="888">
        <f t="shared" si="8"/>
        <v>265.03249499562014</v>
      </c>
      <c r="AN14" s="887">
        <f t="shared" si="8"/>
        <v>282.47505591907833</v>
      </c>
      <c r="AO14" s="887">
        <f t="shared" si="8"/>
        <v>301.10662276201782</v>
      </c>
      <c r="AP14" s="887">
        <f t="shared" si="8"/>
        <v>321.00941740861276</v>
      </c>
      <c r="AQ14" s="887">
        <f t="shared" si="8"/>
        <v>342.27138867362271</v>
      </c>
      <c r="AR14" s="887">
        <f t="shared" si="8"/>
        <v>364.9866129684558</v>
      </c>
      <c r="AS14" s="887">
        <f t="shared" si="8"/>
        <v>389.25572308926348</v>
      </c>
      <c r="AT14" s="887">
        <f t="shared" si="8"/>
        <v>415.18636710619836</v>
      </c>
      <c r="AU14" s="887">
        <f t="shared" si="8"/>
        <v>442.89369947258956</v>
      </c>
      <c r="AV14" s="887">
        <f t="shared" si="8"/>
        <v>472.50090662228968</v>
      </c>
      <c r="AW14" s="887">
        <f t="shared" si="8"/>
        <v>504.13976948351728</v>
      </c>
      <c r="AX14" s="887">
        <f t="shared" si="8"/>
        <v>537.95126550891109</v>
      </c>
      <c r="AY14" s="888">
        <f t="shared" si="8"/>
        <v>574.08621300503717</v>
      </c>
      <c r="AZ14" s="887">
        <f t="shared" si="8"/>
        <v>608.92583775371065</v>
      </c>
      <c r="BA14" s="887">
        <f t="shared" si="8"/>
        <v>645.9242894412987</v>
      </c>
      <c r="BB14" s="887">
        <f t="shared" si="8"/>
        <v>685.21700670389851</v>
      </c>
      <c r="BC14" s="887">
        <f t="shared" si="8"/>
        <v>726.94799093110578</v>
      </c>
      <c r="BD14" s="887">
        <f t="shared" si="8"/>
        <v>771.270350331278</v>
      </c>
      <c r="BE14" s="887">
        <f t="shared" si="8"/>
        <v>818.34687868143192</v>
      </c>
      <c r="BF14" s="887">
        <f t="shared" si="8"/>
        <v>868.35067097801425</v>
      </c>
      <c r="BG14" s="887">
        <f t="shared" si="8"/>
        <v>921.46577834660638</v>
      </c>
      <c r="BH14" s="887">
        <f t="shared" si="8"/>
        <v>977.8879047195627</v>
      </c>
      <c r="BI14" s="887">
        <f t="shared" si="8"/>
        <v>1037.8251479511641</v>
      </c>
      <c r="BJ14" s="887">
        <f t="shared" si="8"/>
        <v>1101.4987882107584</v>
      </c>
      <c r="BK14" s="888">
        <f t="shared" si="8"/>
        <v>1169.1441266761917</v>
      </c>
    </row>
    <row r="15" spans="1:63" s="532" customFormat="1" ht="9" customHeight="1">
      <c r="A15" s="845"/>
      <c r="B15" s="846"/>
      <c r="C15" s="847"/>
      <c r="D15" s="848"/>
      <c r="E15" s="849"/>
      <c r="F15" s="849"/>
      <c r="G15" s="849"/>
      <c r="H15" s="849"/>
      <c r="I15" s="849"/>
      <c r="J15" s="849"/>
      <c r="K15" s="849"/>
      <c r="L15" s="849"/>
      <c r="M15" s="849"/>
      <c r="N15" s="849"/>
      <c r="O15" s="850"/>
      <c r="P15" s="849"/>
      <c r="Q15" s="849"/>
      <c r="R15" s="849"/>
      <c r="S15" s="849"/>
      <c r="T15" s="849"/>
      <c r="U15" s="849"/>
      <c r="V15" s="849"/>
      <c r="W15" s="849"/>
      <c r="X15" s="849"/>
      <c r="Y15" s="849"/>
      <c r="Z15" s="849"/>
      <c r="AA15" s="850"/>
      <c r="AB15" s="849"/>
      <c r="AC15" s="849"/>
      <c r="AD15" s="849"/>
      <c r="AE15" s="849"/>
      <c r="AF15" s="849"/>
      <c r="AG15" s="849"/>
      <c r="AH15" s="849"/>
      <c r="AI15" s="849"/>
      <c r="AJ15" s="849"/>
      <c r="AK15" s="849"/>
      <c r="AL15" s="849"/>
      <c r="AM15" s="850"/>
      <c r="AN15" s="849"/>
      <c r="AO15" s="849"/>
      <c r="AP15" s="849"/>
      <c r="AQ15" s="849"/>
      <c r="AR15" s="849"/>
      <c r="AS15" s="849"/>
      <c r="AT15" s="849"/>
      <c r="AU15" s="849"/>
      <c r="AV15" s="849"/>
      <c r="AW15" s="849"/>
      <c r="AX15" s="849"/>
      <c r="AY15" s="850"/>
      <c r="AZ15" s="849"/>
      <c r="BA15" s="849"/>
      <c r="BB15" s="849"/>
      <c r="BC15" s="849"/>
      <c r="BD15" s="849"/>
      <c r="BE15" s="849"/>
      <c r="BF15" s="849"/>
      <c r="BG15" s="849"/>
      <c r="BH15" s="849"/>
      <c r="BI15" s="849"/>
      <c r="BJ15" s="849"/>
      <c r="BK15" s="850"/>
    </row>
    <row r="16" spans="1:63" s="576" customFormat="1" ht="21.75" customHeight="1">
      <c r="A16" s="836"/>
      <c r="B16" s="837" t="s">
        <v>353</v>
      </c>
      <c r="C16" s="838">
        <f>C17/C14</f>
        <v>8646.4599999999991</v>
      </c>
      <c r="D16" s="839">
        <f>C16</f>
        <v>8646.4599999999991</v>
      </c>
      <c r="E16" s="839">
        <f t="shared" ref="E16:BK16" si="9">D16</f>
        <v>8646.4599999999991</v>
      </c>
      <c r="F16" s="839">
        <f t="shared" si="9"/>
        <v>8646.4599999999991</v>
      </c>
      <c r="G16" s="839">
        <f t="shared" si="9"/>
        <v>8646.4599999999991</v>
      </c>
      <c r="H16" s="839">
        <f t="shared" si="9"/>
        <v>8646.4599999999991</v>
      </c>
      <c r="I16" s="839">
        <f t="shared" si="9"/>
        <v>8646.4599999999991</v>
      </c>
      <c r="J16" s="839">
        <f t="shared" si="9"/>
        <v>8646.4599999999991</v>
      </c>
      <c r="K16" s="839">
        <f t="shared" si="9"/>
        <v>8646.4599999999991</v>
      </c>
      <c r="L16" s="839">
        <f t="shared" si="9"/>
        <v>8646.4599999999991</v>
      </c>
      <c r="M16" s="839">
        <f t="shared" si="9"/>
        <v>8646.4599999999991</v>
      </c>
      <c r="N16" s="839">
        <f t="shared" si="9"/>
        <v>8646.4599999999991</v>
      </c>
      <c r="O16" s="840">
        <f t="shared" si="9"/>
        <v>8646.4599999999991</v>
      </c>
      <c r="P16" s="839">
        <f t="shared" si="9"/>
        <v>8646.4599999999991</v>
      </c>
      <c r="Q16" s="839">
        <f t="shared" si="9"/>
        <v>8646.4599999999991</v>
      </c>
      <c r="R16" s="839">
        <f t="shared" si="9"/>
        <v>8646.4599999999991</v>
      </c>
      <c r="S16" s="839">
        <f t="shared" si="9"/>
        <v>8646.4599999999991</v>
      </c>
      <c r="T16" s="839">
        <f t="shared" si="9"/>
        <v>8646.4599999999991</v>
      </c>
      <c r="U16" s="839">
        <f t="shared" si="9"/>
        <v>8646.4599999999991</v>
      </c>
      <c r="V16" s="839">
        <f t="shared" si="9"/>
        <v>8646.4599999999991</v>
      </c>
      <c r="W16" s="839">
        <f t="shared" si="9"/>
        <v>8646.4599999999991</v>
      </c>
      <c r="X16" s="839">
        <f t="shared" si="9"/>
        <v>8646.4599999999991</v>
      </c>
      <c r="Y16" s="839">
        <f t="shared" si="9"/>
        <v>8646.4599999999991</v>
      </c>
      <c r="Z16" s="839">
        <f t="shared" si="9"/>
        <v>8646.4599999999991</v>
      </c>
      <c r="AA16" s="840">
        <f t="shared" si="9"/>
        <v>8646.4599999999991</v>
      </c>
      <c r="AB16" s="839">
        <f t="shared" si="9"/>
        <v>8646.4599999999991</v>
      </c>
      <c r="AC16" s="839">
        <f t="shared" si="9"/>
        <v>8646.4599999999991</v>
      </c>
      <c r="AD16" s="839">
        <f t="shared" si="9"/>
        <v>8646.4599999999991</v>
      </c>
      <c r="AE16" s="839">
        <f t="shared" si="9"/>
        <v>8646.4599999999991</v>
      </c>
      <c r="AF16" s="839">
        <f t="shared" si="9"/>
        <v>8646.4599999999991</v>
      </c>
      <c r="AG16" s="839">
        <f t="shared" si="9"/>
        <v>8646.4599999999991</v>
      </c>
      <c r="AH16" s="839">
        <f t="shared" si="9"/>
        <v>8646.4599999999991</v>
      </c>
      <c r="AI16" s="839">
        <f t="shared" si="9"/>
        <v>8646.4599999999991</v>
      </c>
      <c r="AJ16" s="839">
        <f t="shared" si="9"/>
        <v>8646.4599999999991</v>
      </c>
      <c r="AK16" s="839">
        <f t="shared" si="9"/>
        <v>8646.4599999999991</v>
      </c>
      <c r="AL16" s="839">
        <f t="shared" si="9"/>
        <v>8646.4599999999991</v>
      </c>
      <c r="AM16" s="840">
        <f t="shared" si="9"/>
        <v>8646.4599999999991</v>
      </c>
      <c r="AN16" s="839">
        <f t="shared" si="9"/>
        <v>8646.4599999999991</v>
      </c>
      <c r="AO16" s="839">
        <f t="shared" si="9"/>
        <v>8646.4599999999991</v>
      </c>
      <c r="AP16" s="839">
        <f t="shared" si="9"/>
        <v>8646.4599999999991</v>
      </c>
      <c r="AQ16" s="839">
        <f t="shared" si="9"/>
        <v>8646.4599999999991</v>
      </c>
      <c r="AR16" s="839">
        <f t="shared" si="9"/>
        <v>8646.4599999999991</v>
      </c>
      <c r="AS16" s="839">
        <f t="shared" si="9"/>
        <v>8646.4599999999991</v>
      </c>
      <c r="AT16" s="839">
        <f t="shared" si="9"/>
        <v>8646.4599999999991</v>
      </c>
      <c r="AU16" s="839">
        <f t="shared" si="9"/>
        <v>8646.4599999999991</v>
      </c>
      <c r="AV16" s="839">
        <f t="shared" si="9"/>
        <v>8646.4599999999991</v>
      </c>
      <c r="AW16" s="839">
        <f t="shared" si="9"/>
        <v>8646.4599999999991</v>
      </c>
      <c r="AX16" s="839">
        <f t="shared" si="9"/>
        <v>8646.4599999999991</v>
      </c>
      <c r="AY16" s="840">
        <f t="shared" si="9"/>
        <v>8646.4599999999991</v>
      </c>
      <c r="AZ16" s="839">
        <f t="shared" si="9"/>
        <v>8646.4599999999991</v>
      </c>
      <c r="BA16" s="839">
        <f t="shared" si="9"/>
        <v>8646.4599999999991</v>
      </c>
      <c r="BB16" s="839">
        <f t="shared" si="9"/>
        <v>8646.4599999999991</v>
      </c>
      <c r="BC16" s="839">
        <f t="shared" si="9"/>
        <v>8646.4599999999991</v>
      </c>
      <c r="BD16" s="839">
        <f t="shared" si="9"/>
        <v>8646.4599999999991</v>
      </c>
      <c r="BE16" s="839">
        <f t="shared" si="9"/>
        <v>8646.4599999999991</v>
      </c>
      <c r="BF16" s="839">
        <f t="shared" si="9"/>
        <v>8646.4599999999991</v>
      </c>
      <c r="BG16" s="839">
        <f t="shared" si="9"/>
        <v>8646.4599999999991</v>
      </c>
      <c r="BH16" s="839">
        <f t="shared" si="9"/>
        <v>8646.4599999999991</v>
      </c>
      <c r="BI16" s="839">
        <f t="shared" si="9"/>
        <v>8646.4599999999991</v>
      </c>
      <c r="BJ16" s="839">
        <f t="shared" si="9"/>
        <v>8646.4599999999991</v>
      </c>
      <c r="BK16" s="840">
        <f t="shared" si="9"/>
        <v>8646.4599999999991</v>
      </c>
    </row>
    <row r="17" spans="1:63" s="395" customFormat="1" ht="21.75" customHeight="1">
      <c r="A17" s="393"/>
      <c r="B17" s="841" t="s">
        <v>22</v>
      </c>
      <c r="C17" s="366">
        <f>C37+C55+C73+C91+C109+C127+C145+C163+C181+C199+C217+C235</f>
        <v>864646</v>
      </c>
      <c r="D17" s="842">
        <f>D16*D14</f>
        <v>72053.833333333314</v>
      </c>
      <c r="E17" s="843">
        <f t="shared" ref="E17:BK17" si="10">E16*E14</f>
        <v>80397.764545621263</v>
      </c>
      <c r="F17" s="843">
        <f t="shared" si="10"/>
        <v>89944.492630118722</v>
      </c>
      <c r="G17" s="843">
        <f t="shared" si="10"/>
        <v>100894.97231301799</v>
      </c>
      <c r="H17" s="843">
        <f t="shared" si="10"/>
        <v>113486.76407109096</v>
      </c>
      <c r="I17" s="843">
        <f t="shared" si="10"/>
        <v>128001.03006053685</v>
      </c>
      <c r="J17" s="843">
        <f t="shared" si="10"/>
        <v>144770.90318992242</v>
      </c>
      <c r="K17" s="843">
        <f t="shared" si="10"/>
        <v>164191.50296962744</v>
      </c>
      <c r="L17" s="843">
        <f t="shared" si="10"/>
        <v>186731.92678463584</v>
      </c>
      <c r="M17" s="843">
        <f t="shared" si="10"/>
        <v>212949.61137234012</v>
      </c>
      <c r="N17" s="843">
        <f t="shared" si="10"/>
        <v>243507.53879766417</v>
      </c>
      <c r="O17" s="844">
        <f t="shared" si="10"/>
        <v>279194.85681809904</v>
      </c>
      <c r="P17" s="843">
        <f t="shared" si="10"/>
        <v>302546.32558161562</v>
      </c>
      <c r="Q17" s="843">
        <f t="shared" si="10"/>
        <v>328599.07483904541</v>
      </c>
      <c r="R17" s="843">
        <f t="shared" si="10"/>
        <v>357701.64735343494</v>
      </c>
      <c r="S17" s="843">
        <f t="shared" si="10"/>
        <v>390249.07043482625</v>
      </c>
      <c r="T17" s="843">
        <f t="shared" si="10"/>
        <v>426689.12721521157</v>
      </c>
      <c r="U17" s="843">
        <f t="shared" si="10"/>
        <v>467529.47832359211</v>
      </c>
      <c r="V17" s="843">
        <f t="shared" si="10"/>
        <v>513345.74961122096</v>
      </c>
      <c r="W17" s="843">
        <f t="shared" si="10"/>
        <v>564790.71733520774</v>
      </c>
      <c r="X17" s="843">
        <f t="shared" si="10"/>
        <v>622604.74011691846</v>
      </c>
      <c r="Y17" s="843">
        <f t="shared" si="10"/>
        <v>687627.60734369361</v>
      </c>
      <c r="Z17" s="843">
        <f t="shared" si="10"/>
        <v>760811.99681219051</v>
      </c>
      <c r="AA17" s="844">
        <f t="shared" si="10"/>
        <v>843238.76069859741</v>
      </c>
      <c r="AB17" s="843">
        <f t="shared" si="10"/>
        <v>911826.9839423144</v>
      </c>
      <c r="AC17" s="843">
        <f t="shared" si="10"/>
        <v>987058.43406450085</v>
      </c>
      <c r="AD17" s="843">
        <f t="shared" si="10"/>
        <v>1069601.5816657629</v>
      </c>
      <c r="AE17" s="843">
        <f t="shared" si="10"/>
        <v>1160192.7631974155</v>
      </c>
      <c r="AF17" s="843">
        <f t="shared" si="10"/>
        <v>1259643.0915991417</v>
      </c>
      <c r="AG17" s="843">
        <f t="shared" si="10"/>
        <v>1368846.0717858032</v>
      </c>
      <c r="AH17" s="843">
        <f t="shared" si="10"/>
        <v>1488785.9929612675</v>
      </c>
      <c r="AI17" s="843">
        <f t="shared" si="10"/>
        <v>1620547.177094602</v>
      </c>
      <c r="AJ17" s="843">
        <f t="shared" si="10"/>
        <v>1765324.1710041838</v>
      </c>
      <c r="AK17" s="843">
        <f t="shared" si="10"/>
        <v>1924432.9784352211</v>
      </c>
      <c r="AL17" s="843">
        <f t="shared" si="10"/>
        <v>2099323.4383708308</v>
      </c>
      <c r="AM17" s="844">
        <f t="shared" si="10"/>
        <v>2291592.8666798295</v>
      </c>
      <c r="AN17" s="843">
        <f t="shared" si="10"/>
        <v>2442409.2720020739</v>
      </c>
      <c r="AO17" s="843">
        <f t="shared" si="10"/>
        <v>2603506.3694468765</v>
      </c>
      <c r="AP17" s="843">
        <f t="shared" si="10"/>
        <v>2775595.0872468734</v>
      </c>
      <c r="AQ17" s="843">
        <f t="shared" si="10"/>
        <v>2959435.8713109316</v>
      </c>
      <c r="AR17" s="843">
        <f t="shared" si="10"/>
        <v>3155842.1495672339</v>
      </c>
      <c r="AS17" s="843">
        <f t="shared" si="10"/>
        <v>3365684.0394623927</v>
      </c>
      <c r="AT17" s="843">
        <f t="shared" si="10"/>
        <v>3589892.3157290597</v>
      </c>
      <c r="AU17" s="843">
        <f t="shared" si="10"/>
        <v>3829462.6567417663</v>
      </c>
      <c r="AV17" s="843">
        <f t="shared" si="10"/>
        <v>4085460.1890733624</v>
      </c>
      <c r="AW17" s="843">
        <f t="shared" si="10"/>
        <v>4359024.3512484524</v>
      </c>
      <c r="AX17" s="843">
        <f t="shared" si="10"/>
        <v>4651374.0991721787</v>
      </c>
      <c r="AY17" s="844">
        <f t="shared" si="10"/>
        <v>4963813.4772995329</v>
      </c>
      <c r="AZ17" s="843">
        <f t="shared" si="10"/>
        <v>5265052.8991039488</v>
      </c>
      <c r="BA17" s="843">
        <f t="shared" si="10"/>
        <v>5584958.5316826105</v>
      </c>
      <c r="BB17" s="843">
        <f t="shared" si="10"/>
        <v>5924701.4397849897</v>
      </c>
      <c r="BC17" s="843">
        <f t="shared" si="10"/>
        <v>6285526.7256661681</v>
      </c>
      <c r="BD17" s="843">
        <f t="shared" si="10"/>
        <v>6668758.2333253808</v>
      </c>
      <c r="BE17" s="843">
        <f t="shared" si="10"/>
        <v>7075803.5526438532</v>
      </c>
      <c r="BF17" s="843">
        <f t="shared" si="10"/>
        <v>7508159.3425845606</v>
      </c>
      <c r="BG17" s="843">
        <f t="shared" si="10"/>
        <v>7967416.9938427974</v>
      </c>
      <c r="BH17" s="843">
        <f t="shared" si="10"/>
        <v>8455268.6526415087</v>
      </c>
      <c r="BI17" s="843">
        <f t="shared" si="10"/>
        <v>8973513.6287538223</v>
      </c>
      <c r="BJ17" s="843">
        <f t="shared" si="10"/>
        <v>9524065.2123127934</v>
      </c>
      <c r="BK17" s="844">
        <f t="shared" si="10"/>
        <v>10108957.925540624</v>
      </c>
    </row>
    <row r="18" spans="1:63" s="532" customFormat="1" ht="9" customHeight="1">
      <c r="A18" s="845"/>
      <c r="B18" s="846"/>
      <c r="C18" s="367">
        <f>C17*C15</f>
        <v>0</v>
      </c>
      <c r="D18" s="849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50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  <c r="AA18" s="850"/>
      <c r="AB18" s="849"/>
      <c r="AC18" s="849"/>
      <c r="AD18" s="849"/>
      <c r="AE18" s="849"/>
      <c r="AF18" s="849"/>
      <c r="AG18" s="849"/>
      <c r="AH18" s="849"/>
      <c r="AI18" s="849"/>
      <c r="AJ18" s="849"/>
      <c r="AK18" s="849"/>
      <c r="AL18" s="849"/>
      <c r="AM18" s="850"/>
      <c r="AN18" s="849"/>
      <c r="AO18" s="849"/>
      <c r="AP18" s="849"/>
      <c r="AQ18" s="849"/>
      <c r="AR18" s="849"/>
      <c r="AS18" s="849"/>
      <c r="AT18" s="849"/>
      <c r="AU18" s="849"/>
      <c r="AV18" s="849"/>
      <c r="AW18" s="849"/>
      <c r="AX18" s="849"/>
      <c r="AY18" s="850"/>
      <c r="AZ18" s="849"/>
      <c r="BA18" s="849"/>
      <c r="BB18" s="849"/>
      <c r="BC18" s="849"/>
      <c r="BD18" s="849"/>
      <c r="BE18" s="849"/>
      <c r="BF18" s="849"/>
      <c r="BG18" s="849"/>
      <c r="BH18" s="849"/>
      <c r="BI18" s="849"/>
      <c r="BJ18" s="849"/>
      <c r="BK18" s="850"/>
    </row>
    <row r="19" spans="1:63" s="576" customFormat="1" ht="19.5" customHeight="1">
      <c r="A19" s="853"/>
      <c r="B19" s="837" t="s">
        <v>346</v>
      </c>
      <c r="C19" s="838">
        <f t="shared" ref="C19:AH19" si="11">C39+C57+C75+C93+C111+C129+C147+C165+C183+C201+C219+C237</f>
        <v>191000</v>
      </c>
      <c r="D19" s="839">
        <f t="shared" si="11"/>
        <v>15916.666666666666</v>
      </c>
      <c r="E19" s="839">
        <f t="shared" si="11"/>
        <v>16314.583333333332</v>
      </c>
      <c r="F19" s="839">
        <f t="shared" si="11"/>
        <v>16722.447916666664</v>
      </c>
      <c r="G19" s="839">
        <f t="shared" si="11"/>
        <v>17140.509114583328</v>
      </c>
      <c r="H19" s="839">
        <f t="shared" si="11"/>
        <v>17569.02184244791</v>
      </c>
      <c r="I19" s="839">
        <f t="shared" si="11"/>
        <v>18008.247388509106</v>
      </c>
      <c r="J19" s="839">
        <f t="shared" si="11"/>
        <v>18458.453573221836</v>
      </c>
      <c r="K19" s="839">
        <f t="shared" si="11"/>
        <v>18919.914912552376</v>
      </c>
      <c r="L19" s="839">
        <f t="shared" si="11"/>
        <v>19392.912785366181</v>
      </c>
      <c r="M19" s="839">
        <f t="shared" si="11"/>
        <v>19877.735605000336</v>
      </c>
      <c r="N19" s="839">
        <f t="shared" si="11"/>
        <v>20374.678995125338</v>
      </c>
      <c r="O19" s="840">
        <f t="shared" si="11"/>
        <v>20884.045970003473</v>
      </c>
      <c r="P19" s="839">
        <f t="shared" si="11"/>
        <v>21275.62183194104</v>
      </c>
      <c r="Q19" s="839">
        <f t="shared" si="11"/>
        <v>21674.53974128994</v>
      </c>
      <c r="R19" s="839">
        <f t="shared" si="11"/>
        <v>22080.937361439122</v>
      </c>
      <c r="S19" s="839">
        <f t="shared" si="11"/>
        <v>22494.954936966111</v>
      </c>
      <c r="T19" s="839">
        <f t="shared" si="11"/>
        <v>22916.735342034226</v>
      </c>
      <c r="U19" s="839">
        <f t="shared" si="11"/>
        <v>23346.424129697367</v>
      </c>
      <c r="V19" s="839">
        <f t="shared" si="11"/>
        <v>23784.169582129191</v>
      </c>
      <c r="W19" s="839">
        <f t="shared" si="11"/>
        <v>24230.122761794122</v>
      </c>
      <c r="X19" s="839">
        <f t="shared" si="11"/>
        <v>24684.437563577761</v>
      </c>
      <c r="Y19" s="839">
        <f t="shared" si="11"/>
        <v>25147.270767894846</v>
      </c>
      <c r="Z19" s="839">
        <f t="shared" si="11"/>
        <v>25618.782094792881</v>
      </c>
      <c r="AA19" s="840">
        <f t="shared" si="11"/>
        <v>26099.134259070244</v>
      </c>
      <c r="AB19" s="839">
        <f t="shared" si="11"/>
        <v>26360.125601660944</v>
      </c>
      <c r="AC19" s="839">
        <f t="shared" si="11"/>
        <v>26623.726857677553</v>
      </c>
      <c r="AD19" s="839">
        <f t="shared" si="11"/>
        <v>26889.964126254334</v>
      </c>
      <c r="AE19" s="839">
        <f t="shared" si="11"/>
        <v>27158.863767516876</v>
      </c>
      <c r="AF19" s="839">
        <f t="shared" si="11"/>
        <v>27430.452405192045</v>
      </c>
      <c r="AG19" s="839">
        <f t="shared" si="11"/>
        <v>27704.756929243962</v>
      </c>
      <c r="AH19" s="839">
        <f t="shared" si="11"/>
        <v>27981.804498536403</v>
      </c>
      <c r="AI19" s="839">
        <f t="shared" ref="AI19:BK19" si="12">AI39+AI57+AI75+AI93+AI111+AI129+AI147+AI165+AI183+AI201+AI219+AI237</f>
        <v>28261.622543521764</v>
      </c>
      <c r="AJ19" s="839">
        <f t="shared" si="12"/>
        <v>28544.238768956984</v>
      </c>
      <c r="AK19" s="839">
        <f t="shared" si="12"/>
        <v>28829.681156646559</v>
      </c>
      <c r="AL19" s="839">
        <f t="shared" si="12"/>
        <v>29117.977968213025</v>
      </c>
      <c r="AM19" s="840">
        <f t="shared" si="12"/>
        <v>29409.157747895155</v>
      </c>
      <c r="AN19" s="839">
        <f t="shared" si="12"/>
        <v>29556.203536634628</v>
      </c>
      <c r="AO19" s="839">
        <f t="shared" si="12"/>
        <v>29703.984554317802</v>
      </c>
      <c r="AP19" s="839">
        <f t="shared" si="12"/>
        <v>29852.504477089384</v>
      </c>
      <c r="AQ19" s="839">
        <f t="shared" si="12"/>
        <v>30001.766999474828</v>
      </c>
      <c r="AR19" s="839">
        <f t="shared" si="12"/>
        <v>30151.775834472191</v>
      </c>
      <c r="AS19" s="839">
        <f t="shared" si="12"/>
        <v>30302.534713644556</v>
      </c>
      <c r="AT19" s="839">
        <f t="shared" si="12"/>
        <v>30454.047387212773</v>
      </c>
      <c r="AU19" s="839">
        <f t="shared" si="12"/>
        <v>30606.317624148829</v>
      </c>
      <c r="AV19" s="839">
        <f t="shared" si="12"/>
        <v>30759.349212269572</v>
      </c>
      <c r="AW19" s="839">
        <f t="shared" si="12"/>
        <v>30913.145958330922</v>
      </c>
      <c r="AX19" s="839">
        <f t="shared" si="12"/>
        <v>31067.71168812257</v>
      </c>
      <c r="AY19" s="840">
        <f t="shared" si="12"/>
        <v>31223.05024656318</v>
      </c>
      <c r="AZ19" s="839">
        <f t="shared" si="12"/>
        <v>31223.05024656318</v>
      </c>
      <c r="BA19" s="839">
        <f t="shared" si="12"/>
        <v>31223.05024656318</v>
      </c>
      <c r="BB19" s="839">
        <f t="shared" si="12"/>
        <v>31223.05024656318</v>
      </c>
      <c r="BC19" s="839">
        <f t="shared" si="12"/>
        <v>31223.05024656318</v>
      </c>
      <c r="BD19" s="839">
        <f t="shared" si="12"/>
        <v>31223.05024656318</v>
      </c>
      <c r="BE19" s="839">
        <f t="shared" si="12"/>
        <v>31223.05024656318</v>
      </c>
      <c r="BF19" s="839">
        <f t="shared" si="12"/>
        <v>31223.05024656318</v>
      </c>
      <c r="BG19" s="839">
        <f t="shared" si="12"/>
        <v>31223.05024656318</v>
      </c>
      <c r="BH19" s="839">
        <f t="shared" si="12"/>
        <v>31223.05024656318</v>
      </c>
      <c r="BI19" s="839">
        <f t="shared" si="12"/>
        <v>31223.05024656318</v>
      </c>
      <c r="BJ19" s="839">
        <f t="shared" si="12"/>
        <v>31223.05024656318</v>
      </c>
      <c r="BK19" s="840">
        <f t="shared" si="12"/>
        <v>31223.05024656318</v>
      </c>
    </row>
    <row r="20" spans="1:63" s="578" customFormat="1" ht="19.5" customHeight="1">
      <c r="A20" s="577"/>
      <c r="B20" s="1227" t="s">
        <v>345</v>
      </c>
      <c r="C20" s="1228">
        <f t="shared" ref="C20:AH20" si="13">C40+C58+C76+C94+C112+C130+C148+C166+C184+C202+C220+C238</f>
        <v>0.96000000000000008</v>
      </c>
      <c r="D20" s="526">
        <f t="shared" si="13"/>
        <v>1</v>
      </c>
      <c r="E20" s="526">
        <f t="shared" si="13"/>
        <v>1</v>
      </c>
      <c r="F20" s="526">
        <f t="shared" si="13"/>
        <v>1</v>
      </c>
      <c r="G20" s="526">
        <f t="shared" si="13"/>
        <v>1</v>
      </c>
      <c r="H20" s="526">
        <f t="shared" si="13"/>
        <v>1</v>
      </c>
      <c r="I20" s="526">
        <f t="shared" si="13"/>
        <v>1</v>
      </c>
      <c r="J20" s="526">
        <f t="shared" si="13"/>
        <v>1</v>
      </c>
      <c r="K20" s="526">
        <f t="shared" si="13"/>
        <v>1</v>
      </c>
      <c r="L20" s="526">
        <f t="shared" si="13"/>
        <v>1</v>
      </c>
      <c r="M20" s="526">
        <f t="shared" si="13"/>
        <v>1</v>
      </c>
      <c r="N20" s="526">
        <f t="shared" si="13"/>
        <v>1</v>
      </c>
      <c r="O20" s="1229">
        <f t="shared" si="13"/>
        <v>1</v>
      </c>
      <c r="P20" s="526">
        <f t="shared" si="13"/>
        <v>1</v>
      </c>
      <c r="Q20" s="526">
        <f t="shared" si="13"/>
        <v>1</v>
      </c>
      <c r="R20" s="526">
        <f t="shared" si="13"/>
        <v>1</v>
      </c>
      <c r="S20" s="526">
        <f t="shared" si="13"/>
        <v>1</v>
      </c>
      <c r="T20" s="526">
        <f t="shared" si="13"/>
        <v>1</v>
      </c>
      <c r="U20" s="526">
        <f t="shared" si="13"/>
        <v>1</v>
      </c>
      <c r="V20" s="526">
        <f t="shared" si="13"/>
        <v>1</v>
      </c>
      <c r="W20" s="526">
        <f t="shared" si="13"/>
        <v>1</v>
      </c>
      <c r="X20" s="526">
        <f t="shared" si="13"/>
        <v>1</v>
      </c>
      <c r="Y20" s="526">
        <f t="shared" si="13"/>
        <v>1</v>
      </c>
      <c r="Z20" s="526">
        <f t="shared" si="13"/>
        <v>1</v>
      </c>
      <c r="AA20" s="1229">
        <f t="shared" si="13"/>
        <v>1</v>
      </c>
      <c r="AB20" s="526">
        <f t="shared" si="13"/>
        <v>1</v>
      </c>
      <c r="AC20" s="526">
        <f t="shared" si="13"/>
        <v>1</v>
      </c>
      <c r="AD20" s="526">
        <f t="shared" si="13"/>
        <v>1</v>
      </c>
      <c r="AE20" s="526">
        <f t="shared" si="13"/>
        <v>1</v>
      </c>
      <c r="AF20" s="526">
        <f t="shared" si="13"/>
        <v>1</v>
      </c>
      <c r="AG20" s="526">
        <f t="shared" si="13"/>
        <v>1</v>
      </c>
      <c r="AH20" s="526">
        <f t="shared" si="13"/>
        <v>1</v>
      </c>
      <c r="AI20" s="526">
        <f t="shared" ref="AI20:BK20" si="14">AI40+AI58+AI76+AI94+AI112+AI130+AI148+AI166+AI184+AI202+AI220+AI238</f>
        <v>1</v>
      </c>
      <c r="AJ20" s="526">
        <f t="shared" si="14"/>
        <v>1</v>
      </c>
      <c r="AK20" s="526">
        <f t="shared" si="14"/>
        <v>1</v>
      </c>
      <c r="AL20" s="526">
        <f t="shared" si="14"/>
        <v>1</v>
      </c>
      <c r="AM20" s="1229">
        <f t="shared" si="14"/>
        <v>1</v>
      </c>
      <c r="AN20" s="526">
        <f t="shared" si="14"/>
        <v>1</v>
      </c>
      <c r="AO20" s="526">
        <f t="shared" si="14"/>
        <v>1</v>
      </c>
      <c r="AP20" s="526">
        <f t="shared" si="14"/>
        <v>1</v>
      </c>
      <c r="AQ20" s="526">
        <f t="shared" si="14"/>
        <v>1</v>
      </c>
      <c r="AR20" s="526">
        <f t="shared" si="14"/>
        <v>1</v>
      </c>
      <c r="AS20" s="526">
        <f t="shared" si="14"/>
        <v>1</v>
      </c>
      <c r="AT20" s="526">
        <f t="shared" si="14"/>
        <v>1</v>
      </c>
      <c r="AU20" s="526">
        <f t="shared" si="14"/>
        <v>1</v>
      </c>
      <c r="AV20" s="526">
        <f t="shared" si="14"/>
        <v>1</v>
      </c>
      <c r="AW20" s="526">
        <f t="shared" si="14"/>
        <v>1</v>
      </c>
      <c r="AX20" s="526">
        <f t="shared" si="14"/>
        <v>1</v>
      </c>
      <c r="AY20" s="1229">
        <f t="shared" si="14"/>
        <v>1</v>
      </c>
      <c r="AZ20" s="526">
        <f t="shared" si="14"/>
        <v>1</v>
      </c>
      <c r="BA20" s="526">
        <f t="shared" si="14"/>
        <v>1</v>
      </c>
      <c r="BB20" s="526">
        <f t="shared" si="14"/>
        <v>1</v>
      </c>
      <c r="BC20" s="526">
        <f t="shared" si="14"/>
        <v>1</v>
      </c>
      <c r="BD20" s="526">
        <f t="shared" si="14"/>
        <v>1</v>
      </c>
      <c r="BE20" s="526">
        <f t="shared" si="14"/>
        <v>1</v>
      </c>
      <c r="BF20" s="526">
        <f t="shared" si="14"/>
        <v>1</v>
      </c>
      <c r="BG20" s="526">
        <f t="shared" si="14"/>
        <v>1</v>
      </c>
      <c r="BH20" s="526">
        <f t="shared" si="14"/>
        <v>1</v>
      </c>
      <c r="BI20" s="526">
        <f t="shared" si="14"/>
        <v>1</v>
      </c>
      <c r="BJ20" s="526">
        <f t="shared" si="14"/>
        <v>1</v>
      </c>
      <c r="BK20" s="1229">
        <f t="shared" si="14"/>
        <v>1</v>
      </c>
    </row>
    <row r="21" spans="1:63" s="339" customFormat="1" ht="19.5" customHeight="1">
      <c r="A21" s="854"/>
      <c r="B21" s="369" t="s">
        <v>300</v>
      </c>
      <c r="C21" s="360">
        <f t="shared" ref="C21:AH21" si="15">C41+C59+C77+C95+C113+C131+C149+C167+C185+C203+C221+C239</f>
        <v>72576</v>
      </c>
      <c r="D21" s="350">
        <f t="shared" si="15"/>
        <v>6300</v>
      </c>
      <c r="E21" s="341">
        <f t="shared" si="15"/>
        <v>6205.5</v>
      </c>
      <c r="F21" s="341">
        <f t="shared" si="15"/>
        <v>6112.4175000000005</v>
      </c>
      <c r="G21" s="341">
        <f t="shared" si="15"/>
        <v>8330.7312375000001</v>
      </c>
      <c r="H21" s="341">
        <f t="shared" si="15"/>
        <v>8240.4202689375015</v>
      </c>
      <c r="I21" s="341">
        <f t="shared" si="15"/>
        <v>8151.4639649034361</v>
      </c>
      <c r="J21" s="341">
        <f t="shared" si="15"/>
        <v>8063.8420054298867</v>
      </c>
      <c r="K21" s="341">
        <f t="shared" si="15"/>
        <v>9727.5343753484358</v>
      </c>
      <c r="L21" s="341">
        <f t="shared" si="15"/>
        <v>9788.354693051544</v>
      </c>
      <c r="M21" s="341">
        <f t="shared" si="15"/>
        <v>9716.769650433549</v>
      </c>
      <c r="N21" s="341">
        <f t="shared" si="15"/>
        <v>9635.3006288251945</v>
      </c>
      <c r="O21" s="401">
        <f t="shared" si="15"/>
        <v>9554.1404963218283</v>
      </c>
      <c r="P21" s="341">
        <f t="shared" si="15"/>
        <v>9315.0314005475248</v>
      </c>
      <c r="Q21" s="341">
        <f t="shared" si="15"/>
        <v>9382.0392628726458</v>
      </c>
      <c r="R21" s="341">
        <f t="shared" si="15"/>
        <v>9316.5489517073329</v>
      </c>
      <c r="S21" s="341">
        <f t="shared" si="15"/>
        <v>9241.0832405798719</v>
      </c>
      <c r="T21" s="341">
        <f t="shared" si="15"/>
        <v>9165.8363689001853</v>
      </c>
      <c r="U21" s="341">
        <f t="shared" si="15"/>
        <v>13816.642104777433</v>
      </c>
      <c r="V21" s="341">
        <f t="shared" si="15"/>
        <v>13743.554413323332</v>
      </c>
      <c r="W21" s="341">
        <f t="shared" si="15"/>
        <v>13671.562508799947</v>
      </c>
      <c r="X21" s="341">
        <f t="shared" si="15"/>
        <v>13600.65043880765</v>
      </c>
      <c r="Y21" s="341">
        <f t="shared" si="15"/>
        <v>13530.802046195511</v>
      </c>
      <c r="Z21" s="341">
        <f t="shared" si="15"/>
        <v>13462.001379166748</v>
      </c>
      <c r="AA21" s="401">
        <f t="shared" si="15"/>
        <v>15303.323631208619</v>
      </c>
      <c r="AB21" s="341">
        <f t="shared" si="15"/>
        <v>17708.998358739434</v>
      </c>
      <c r="AC21" s="341">
        <f t="shared" si="15"/>
        <v>17550.646925651006</v>
      </c>
      <c r="AD21" s="341">
        <f t="shared" si="15"/>
        <v>17358.67266017654</v>
      </c>
      <c r="AE21" s="341">
        <f t="shared" si="15"/>
        <v>17169.373707302399</v>
      </c>
      <c r="AF21" s="341">
        <f t="shared" si="15"/>
        <v>16988.385801959725</v>
      </c>
      <c r="AG21" s="341">
        <f t="shared" si="15"/>
        <v>16816.254975198815</v>
      </c>
      <c r="AH21" s="341">
        <f t="shared" si="15"/>
        <v>16652.69863699505</v>
      </c>
      <c r="AI21" s="341">
        <f t="shared" ref="AI21:BK21" si="16">AI41+AI59+AI77+AI95+AI113+AI131+AI149+AI167+AI185+AI203+AI221+AI239</f>
        <v>18597.314659908981</v>
      </c>
      <c r="AJ21" s="341">
        <f t="shared" si="16"/>
        <v>18974.699165604456</v>
      </c>
      <c r="AK21" s="341">
        <f t="shared" si="16"/>
        <v>18965.714266996962</v>
      </c>
      <c r="AL21" s="341">
        <f t="shared" si="16"/>
        <v>21175.303568565298</v>
      </c>
      <c r="AM21" s="401">
        <f t="shared" si="16"/>
        <v>21056.94464386658</v>
      </c>
      <c r="AN21" s="341">
        <f t="shared" si="16"/>
        <v>23330.656006466637</v>
      </c>
      <c r="AO21" s="341">
        <f t="shared" si="16"/>
        <v>22827.924638608867</v>
      </c>
      <c r="AP21" s="341">
        <f t="shared" si="16"/>
        <v>22654.661978756023</v>
      </c>
      <c r="AQ21" s="341">
        <f t="shared" si="16"/>
        <v>22540.784475164484</v>
      </c>
      <c r="AR21" s="341">
        <f t="shared" si="16"/>
        <v>24541.234382628041</v>
      </c>
      <c r="AS21" s="341">
        <f t="shared" si="16"/>
        <v>27282.794946302085</v>
      </c>
      <c r="AT21" s="341">
        <f t="shared" si="16"/>
        <v>27325.560769688342</v>
      </c>
      <c r="AU21" s="341">
        <f t="shared" si="16"/>
        <v>27274.38412387927</v>
      </c>
      <c r="AV21" s="341">
        <f t="shared" si="16"/>
        <v>27202.815265854137</v>
      </c>
      <c r="AW21" s="341">
        <f t="shared" si="16"/>
        <v>27129.087089603639</v>
      </c>
      <c r="AX21" s="341">
        <f t="shared" si="16"/>
        <v>31782.610881884011</v>
      </c>
      <c r="AY21" s="401">
        <f t="shared" si="16"/>
        <v>36357.668977254929</v>
      </c>
      <c r="AZ21" s="341">
        <f t="shared" si="16"/>
        <v>37070.515074880554</v>
      </c>
      <c r="BA21" s="341">
        <f t="shared" si="16"/>
        <v>37268.065836632661</v>
      </c>
      <c r="BB21" s="341">
        <f t="shared" si="16"/>
        <v>37295.854716633054</v>
      </c>
      <c r="BC21" s="341">
        <f t="shared" si="16"/>
        <v>37268.959371412086</v>
      </c>
      <c r="BD21" s="341">
        <f t="shared" si="16"/>
        <v>39535.643866378377</v>
      </c>
      <c r="BE21" s="341">
        <f t="shared" si="16"/>
        <v>46838.172383268291</v>
      </c>
      <c r="BF21" s="341">
        <f t="shared" si="16"/>
        <v>47885.3307266919</v>
      </c>
      <c r="BG21" s="341">
        <f t="shared" si="16"/>
        <v>48296.175424768568</v>
      </c>
      <c r="BH21" s="341">
        <f t="shared" si="16"/>
        <v>50753.163001201487</v>
      </c>
      <c r="BI21" s="341">
        <f t="shared" si="16"/>
        <v>53780.105129619616</v>
      </c>
      <c r="BJ21" s="341">
        <f t="shared" si="16"/>
        <v>55275.150012377737</v>
      </c>
      <c r="BK21" s="401">
        <f t="shared" si="16"/>
        <v>60730.167581378417</v>
      </c>
    </row>
    <row r="22" spans="1:63" s="395" customFormat="1" ht="19.5" customHeight="1">
      <c r="A22" s="855"/>
      <c r="B22" s="841" t="s">
        <v>265</v>
      </c>
      <c r="C22" s="366">
        <f>C21+C19</f>
        <v>263576</v>
      </c>
      <c r="D22" s="842">
        <f t="shared" ref="D22:BK22" si="17">D21+D19</f>
        <v>22216.666666666664</v>
      </c>
      <c r="E22" s="843">
        <f t="shared" si="17"/>
        <v>22520.083333333332</v>
      </c>
      <c r="F22" s="843">
        <f t="shared" si="17"/>
        <v>22834.865416666664</v>
      </c>
      <c r="G22" s="843">
        <f t="shared" si="17"/>
        <v>25471.240352083329</v>
      </c>
      <c r="H22" s="843">
        <f t="shared" si="17"/>
        <v>25809.442111385411</v>
      </c>
      <c r="I22" s="843">
        <f t="shared" si="17"/>
        <v>26159.711353412542</v>
      </c>
      <c r="J22" s="843">
        <f t="shared" si="17"/>
        <v>26522.295578651723</v>
      </c>
      <c r="K22" s="843">
        <f t="shared" si="17"/>
        <v>28647.44928790081</v>
      </c>
      <c r="L22" s="843">
        <f t="shared" si="17"/>
        <v>29181.267478417725</v>
      </c>
      <c r="M22" s="843">
        <f t="shared" si="17"/>
        <v>29594.505255433884</v>
      </c>
      <c r="N22" s="843">
        <f t="shared" si="17"/>
        <v>30009.97962395053</v>
      </c>
      <c r="O22" s="844">
        <f t="shared" si="17"/>
        <v>30438.1864663253</v>
      </c>
      <c r="P22" s="843">
        <f t="shared" si="17"/>
        <v>30590.653232488563</v>
      </c>
      <c r="Q22" s="843">
        <f t="shared" si="17"/>
        <v>31056.579004162588</v>
      </c>
      <c r="R22" s="843">
        <f t="shared" si="17"/>
        <v>31397.486313146455</v>
      </c>
      <c r="S22" s="843">
        <f t="shared" si="17"/>
        <v>31736.038177545983</v>
      </c>
      <c r="T22" s="843">
        <f t="shared" si="17"/>
        <v>32082.571710934411</v>
      </c>
      <c r="U22" s="843">
        <f t="shared" si="17"/>
        <v>37163.066234474798</v>
      </c>
      <c r="V22" s="843">
        <f t="shared" si="17"/>
        <v>37527.723995452521</v>
      </c>
      <c r="W22" s="843">
        <f t="shared" si="17"/>
        <v>37901.685270594069</v>
      </c>
      <c r="X22" s="843">
        <f t="shared" si="17"/>
        <v>38285.088002385412</v>
      </c>
      <c r="Y22" s="843">
        <f t="shared" si="17"/>
        <v>38678.072814090359</v>
      </c>
      <c r="Z22" s="843">
        <f t="shared" si="17"/>
        <v>39080.783473959629</v>
      </c>
      <c r="AA22" s="844">
        <f t="shared" si="17"/>
        <v>41402.457890278863</v>
      </c>
      <c r="AB22" s="843">
        <f t="shared" si="17"/>
        <v>44069.123960400379</v>
      </c>
      <c r="AC22" s="843">
        <f t="shared" si="17"/>
        <v>44174.373783328556</v>
      </c>
      <c r="AD22" s="843">
        <f t="shared" si="17"/>
        <v>44248.63678643087</v>
      </c>
      <c r="AE22" s="843">
        <f t="shared" si="17"/>
        <v>44328.237474819274</v>
      </c>
      <c r="AF22" s="843">
        <f t="shared" si="17"/>
        <v>44418.83820715177</v>
      </c>
      <c r="AG22" s="843">
        <f t="shared" si="17"/>
        <v>44521.011904442777</v>
      </c>
      <c r="AH22" s="843">
        <f t="shared" si="17"/>
        <v>44634.503135531457</v>
      </c>
      <c r="AI22" s="843">
        <f t="shared" si="17"/>
        <v>46858.937203430745</v>
      </c>
      <c r="AJ22" s="843">
        <f t="shared" si="17"/>
        <v>47518.937934561443</v>
      </c>
      <c r="AK22" s="843">
        <f t="shared" si="17"/>
        <v>47795.395423643524</v>
      </c>
      <c r="AL22" s="843">
        <f t="shared" si="17"/>
        <v>50293.281536778319</v>
      </c>
      <c r="AM22" s="844">
        <f t="shared" si="17"/>
        <v>50466.102391761735</v>
      </c>
      <c r="AN22" s="843">
        <f t="shared" si="17"/>
        <v>52886.859543101265</v>
      </c>
      <c r="AO22" s="843">
        <f t="shared" si="17"/>
        <v>52531.909192926672</v>
      </c>
      <c r="AP22" s="843">
        <f t="shared" si="17"/>
        <v>52507.166455845407</v>
      </c>
      <c r="AQ22" s="843">
        <f t="shared" si="17"/>
        <v>52542.551474639316</v>
      </c>
      <c r="AR22" s="843">
        <f t="shared" si="17"/>
        <v>54693.010217100236</v>
      </c>
      <c r="AS22" s="843">
        <f t="shared" si="17"/>
        <v>57585.329659946641</v>
      </c>
      <c r="AT22" s="843">
        <f t="shared" si="17"/>
        <v>57779.608156901115</v>
      </c>
      <c r="AU22" s="843">
        <f t="shared" si="17"/>
        <v>57880.701748028099</v>
      </c>
      <c r="AV22" s="843">
        <f t="shared" si="17"/>
        <v>57962.164478123712</v>
      </c>
      <c r="AW22" s="843">
        <f t="shared" si="17"/>
        <v>58042.233047934562</v>
      </c>
      <c r="AX22" s="843">
        <f t="shared" si="17"/>
        <v>62850.322570006581</v>
      </c>
      <c r="AY22" s="844">
        <f t="shared" si="17"/>
        <v>67580.719223818101</v>
      </c>
      <c r="AZ22" s="843">
        <f t="shared" si="17"/>
        <v>68293.565321443733</v>
      </c>
      <c r="BA22" s="843">
        <f t="shared" si="17"/>
        <v>68491.11608319584</v>
      </c>
      <c r="BB22" s="843">
        <f t="shared" si="17"/>
        <v>68518.904963196226</v>
      </c>
      <c r="BC22" s="843">
        <f t="shared" si="17"/>
        <v>68492.009617975273</v>
      </c>
      <c r="BD22" s="843">
        <f t="shared" si="17"/>
        <v>70758.694112941565</v>
      </c>
      <c r="BE22" s="843">
        <f t="shared" si="17"/>
        <v>78061.222629831464</v>
      </c>
      <c r="BF22" s="843">
        <f t="shared" si="17"/>
        <v>79108.380973255087</v>
      </c>
      <c r="BG22" s="843">
        <f t="shared" si="17"/>
        <v>79519.225671331747</v>
      </c>
      <c r="BH22" s="843">
        <f t="shared" si="17"/>
        <v>81976.213247764666</v>
      </c>
      <c r="BI22" s="843">
        <f t="shared" si="17"/>
        <v>85003.155376182796</v>
      </c>
      <c r="BJ22" s="843">
        <f t="shared" si="17"/>
        <v>86498.200258940924</v>
      </c>
      <c r="BK22" s="844">
        <f t="shared" si="17"/>
        <v>91953.217827941597</v>
      </c>
    </row>
    <row r="23" spans="1:63" s="532" customFormat="1" ht="10.5" customHeight="1">
      <c r="A23" s="845"/>
      <c r="B23" s="851"/>
      <c r="C23" s="852"/>
      <c r="D23" s="368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50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50"/>
      <c r="AB23" s="849"/>
      <c r="AC23" s="849"/>
      <c r="AD23" s="849"/>
      <c r="AE23" s="849"/>
      <c r="AF23" s="849"/>
      <c r="AG23" s="849"/>
      <c r="AH23" s="849"/>
      <c r="AI23" s="849"/>
      <c r="AJ23" s="849"/>
      <c r="AK23" s="849"/>
      <c r="AL23" s="849"/>
      <c r="AM23" s="850"/>
      <c r="AN23" s="849"/>
      <c r="AO23" s="849"/>
      <c r="AP23" s="849"/>
      <c r="AQ23" s="849"/>
      <c r="AR23" s="849"/>
      <c r="AS23" s="849"/>
      <c r="AT23" s="849"/>
      <c r="AU23" s="849"/>
      <c r="AV23" s="849"/>
      <c r="AW23" s="849"/>
      <c r="AX23" s="849"/>
      <c r="AY23" s="850"/>
      <c r="AZ23" s="849"/>
      <c r="BA23" s="849"/>
      <c r="BB23" s="849"/>
      <c r="BC23" s="849"/>
      <c r="BD23" s="849"/>
      <c r="BE23" s="849"/>
      <c r="BF23" s="849"/>
      <c r="BG23" s="849"/>
      <c r="BH23" s="849"/>
      <c r="BI23" s="849"/>
      <c r="BJ23" s="849"/>
      <c r="BK23" s="850"/>
    </row>
    <row r="24" spans="1:63" s="1221" customFormat="1" ht="19.5" customHeight="1">
      <c r="A24" s="1217"/>
      <c r="B24" s="1218" t="s">
        <v>393</v>
      </c>
      <c r="C24" s="1219">
        <f>C22/C10</f>
        <v>580.56387665198235</v>
      </c>
      <c r="D24" s="1220">
        <f t="shared" ref="D24:BK24" si="18">D22/D10</f>
        <v>587.22466960352426</v>
      </c>
      <c r="E24" s="1220">
        <f t="shared" si="18"/>
        <v>542.7343475423005</v>
      </c>
      <c r="F24" s="1220">
        <f t="shared" si="18"/>
        <v>500.73542408325528</v>
      </c>
      <c r="G24" s="1220">
        <f t="shared" si="18"/>
        <v>507.13542516555367</v>
      </c>
      <c r="H24" s="1220">
        <f t="shared" si="18"/>
        <v>465.54333509946269</v>
      </c>
      <c r="I24" s="1220">
        <f t="shared" si="18"/>
        <v>426.52024766464012</v>
      </c>
      <c r="J24" s="1220">
        <f t="shared" si="18"/>
        <v>389.97483277658324</v>
      </c>
      <c r="K24" s="1220">
        <f t="shared" si="18"/>
        <v>378.96766017201293</v>
      </c>
      <c r="L24" s="1220">
        <f t="shared" si="18"/>
        <v>346.4688206745567</v>
      </c>
      <c r="M24" s="1220">
        <f t="shared" si="18"/>
        <v>314.59526070503659</v>
      </c>
      <c r="N24" s="1220">
        <f t="shared" si="18"/>
        <v>284.91323814841314</v>
      </c>
      <c r="O24" s="1220">
        <f t="shared" si="18"/>
        <v>257.44668251159368</v>
      </c>
      <c r="P24" s="1220">
        <f t="shared" si="18"/>
        <v>243.6025788068406</v>
      </c>
      <c r="Q24" s="1220">
        <f t="shared" si="18"/>
        <v>232.3888122054789</v>
      </c>
      <c r="R24" s="1220">
        <f t="shared" si="18"/>
        <v>220.31888255830754</v>
      </c>
      <c r="S24" s="1220">
        <f t="shared" si="18"/>
        <v>208.40938140566246</v>
      </c>
      <c r="T24" s="1220">
        <f t="shared" si="18"/>
        <v>196.76264137243686</v>
      </c>
      <c r="U24" s="1220">
        <f t="shared" si="18"/>
        <v>212.41591210516202</v>
      </c>
      <c r="V24" s="1220">
        <f t="shared" si="18"/>
        <v>199.48862304008279</v>
      </c>
      <c r="W24" s="1220">
        <f t="shared" si="18"/>
        <v>186.9828734761052</v>
      </c>
      <c r="X24" s="1220">
        <f t="shared" si="18"/>
        <v>174.91998259976603</v>
      </c>
      <c r="Y24" s="1220">
        <f t="shared" si="18"/>
        <v>163.31857895348003</v>
      </c>
      <c r="Z24" s="1220">
        <f t="shared" si="18"/>
        <v>152.19427293809696</v>
      </c>
      <c r="AA24" s="1220">
        <f t="shared" si="18"/>
        <v>148.40232297773736</v>
      </c>
      <c r="AB24" s="1220">
        <f t="shared" si="18"/>
        <v>148.44940330941131</v>
      </c>
      <c r="AC24" s="1220">
        <f t="shared" si="18"/>
        <v>139.64878080252714</v>
      </c>
      <c r="AD24" s="1220">
        <f t="shared" si="18"/>
        <v>131.09727804524786</v>
      </c>
      <c r="AE24" s="1220">
        <f t="shared" si="18"/>
        <v>122.91871466012431</v>
      </c>
      <c r="AF24" s="1220">
        <f t="shared" si="18"/>
        <v>115.12744302985251</v>
      </c>
      <c r="AG24" s="1220">
        <f t="shared" si="18"/>
        <v>107.71987577524709</v>
      </c>
      <c r="AH24" s="1220">
        <f t="shared" si="18"/>
        <v>100.68883819004732</v>
      </c>
      <c r="AI24" s="1220">
        <f t="shared" si="18"/>
        <v>98.437354457846013</v>
      </c>
      <c r="AJ24" s="1220">
        <f t="shared" si="18"/>
        <v>92.850709939513749</v>
      </c>
      <c r="AK24" s="1220">
        <f t="shared" si="18"/>
        <v>86.769536051478994</v>
      </c>
      <c r="AL24" s="1220">
        <f t="shared" si="18"/>
        <v>84.73904624241969</v>
      </c>
      <c r="AM24" s="1220">
        <f t="shared" si="18"/>
        <v>78.834011569062852</v>
      </c>
      <c r="AN24" s="1220">
        <f t="shared" si="18"/>
        <v>77.938630257962089</v>
      </c>
      <c r="AO24" s="1220">
        <f t="shared" si="18"/>
        <v>73.013242487671974</v>
      </c>
      <c r="AP24" s="1220">
        <f t="shared" si="18"/>
        <v>68.81072324720671</v>
      </c>
      <c r="AQ24" s="1220">
        <f t="shared" si="18"/>
        <v>64.907765166002193</v>
      </c>
      <c r="AR24" s="1220">
        <f t="shared" si="18"/>
        <v>63.673296045961301</v>
      </c>
      <c r="AS24" s="1220">
        <f t="shared" si="18"/>
        <v>63.164423923563888</v>
      </c>
      <c r="AT24" s="1220">
        <f t="shared" si="18"/>
        <v>59.699223396921511</v>
      </c>
      <c r="AU24" s="1220">
        <f t="shared" si="18"/>
        <v>56.319982291486426</v>
      </c>
      <c r="AV24" s="1220">
        <f t="shared" si="18"/>
        <v>53.102149981504823</v>
      </c>
      <c r="AW24" s="1220">
        <f t="shared" si="18"/>
        <v>50.05614868482148</v>
      </c>
      <c r="AX24" s="1220">
        <f t="shared" si="18"/>
        <v>51.012482512465695</v>
      </c>
      <c r="AY24" s="1220">
        <f t="shared" si="18"/>
        <v>51.613099017370757</v>
      </c>
      <c r="AZ24" s="1220">
        <f t="shared" si="18"/>
        <v>49.447081787763345</v>
      </c>
      <c r="BA24" s="1220">
        <f t="shared" si="18"/>
        <v>47.007097853338365</v>
      </c>
      <c r="BB24" s="1220">
        <f t="shared" si="18"/>
        <v>44.571097679883295</v>
      </c>
      <c r="BC24" s="1220">
        <f t="shared" si="18"/>
        <v>42.222387263779048</v>
      </c>
      <c r="BD24" s="1220">
        <f t="shared" si="18"/>
        <v>41.332313417443849</v>
      </c>
      <c r="BE24" s="1220">
        <f t="shared" si="18"/>
        <v>43.201634271665313</v>
      </c>
      <c r="BF24" s="1220">
        <f t="shared" si="18"/>
        <v>41.475435627953836</v>
      </c>
      <c r="BG24" s="1220">
        <f t="shared" si="18"/>
        <v>39.490602256549167</v>
      </c>
      <c r="BH24" s="1220">
        <f t="shared" si="18"/>
        <v>38.557862328948886</v>
      </c>
      <c r="BI24" s="1220">
        <f t="shared" si="18"/>
        <v>37.862976040045538</v>
      </c>
      <c r="BJ24" s="1220">
        <f t="shared" si="18"/>
        <v>36.4832305388734</v>
      </c>
      <c r="BK24" s="1220">
        <f t="shared" si="18"/>
        <v>36.720819099354074</v>
      </c>
    </row>
    <row r="25" spans="1:63" s="1226" customFormat="1" ht="19.5" customHeight="1">
      <c r="A25" s="1222"/>
      <c r="B25" s="1223" t="s">
        <v>394</v>
      </c>
      <c r="C25" s="1224">
        <f>C22/C12</f>
        <v>1093.6763485477179</v>
      </c>
      <c r="D25" s="1225">
        <f t="shared" ref="D25:BK25" si="19">D22/D12</f>
        <v>1106.2240663900413</v>
      </c>
      <c r="E25" s="1225">
        <f t="shared" si="19"/>
        <v>1016.7619771239224</v>
      </c>
      <c r="F25" s="1225">
        <f t="shared" si="19"/>
        <v>932.65926294169708</v>
      </c>
      <c r="G25" s="1225">
        <f t="shared" si="19"/>
        <v>938.87933292486071</v>
      </c>
      <c r="H25" s="1225">
        <f t="shared" si="19"/>
        <v>856.45679912594812</v>
      </c>
      <c r="I25" s="1225">
        <f t="shared" si="19"/>
        <v>779.5320012192841</v>
      </c>
      <c r="J25" s="1225">
        <f t="shared" si="19"/>
        <v>707.89929803836105</v>
      </c>
      <c r="K25" s="1225">
        <f t="shared" si="19"/>
        <v>683.0818620538596</v>
      </c>
      <c r="L25" s="1225">
        <f t="shared" si="19"/>
        <v>619.969350073182</v>
      </c>
      <c r="M25" s="1225">
        <f t="shared" si="19"/>
        <v>558.72654887888996</v>
      </c>
      <c r="N25" s="1225">
        <f t="shared" si="19"/>
        <v>502.12684449784416</v>
      </c>
      <c r="O25" s="1225">
        <f t="shared" si="19"/>
        <v>450.1553810965587</v>
      </c>
      <c r="P25" s="1225">
        <f t="shared" si="19"/>
        <v>422.60745465440084</v>
      </c>
      <c r="Q25" s="1225">
        <f t="shared" si="19"/>
        <v>399.91022694885345</v>
      </c>
      <c r="R25" s="1225">
        <f t="shared" si="19"/>
        <v>376.02054921442095</v>
      </c>
      <c r="S25" s="1225">
        <f t="shared" si="19"/>
        <v>352.71166530624737</v>
      </c>
      <c r="T25" s="1225">
        <f t="shared" si="19"/>
        <v>330.16303156590442</v>
      </c>
      <c r="U25" s="1225">
        <f t="shared" si="19"/>
        <v>353.35211360720115</v>
      </c>
      <c r="V25" s="1225">
        <f t="shared" si="19"/>
        <v>328.95522141548719</v>
      </c>
      <c r="W25" s="1225">
        <f t="shared" si="19"/>
        <v>305.62825076323634</v>
      </c>
      <c r="X25" s="1225">
        <f t="shared" si="19"/>
        <v>283.39427834696636</v>
      </c>
      <c r="Y25" s="1225">
        <f t="shared" si="19"/>
        <v>262.26846970353449</v>
      </c>
      <c r="Z25" s="1225">
        <f t="shared" si="19"/>
        <v>242.25798691861209</v>
      </c>
      <c r="AA25" s="1225">
        <f t="shared" si="19"/>
        <v>234.15931665740911</v>
      </c>
      <c r="AB25" s="1225">
        <f t="shared" si="19"/>
        <v>232.55688359519843</v>
      </c>
      <c r="AC25" s="1225">
        <f t="shared" si="19"/>
        <v>217.22377426671065</v>
      </c>
      <c r="AD25" s="1225">
        <f t="shared" si="19"/>
        <v>202.50143775661996</v>
      </c>
      <c r="AE25" s="1225">
        <f t="shared" si="19"/>
        <v>188.56723710802939</v>
      </c>
      <c r="AF25" s="1225">
        <f t="shared" si="19"/>
        <v>175.42630097833515</v>
      </c>
      <c r="AG25" s="1225">
        <f t="shared" si="19"/>
        <v>163.05602904273971</v>
      </c>
      <c r="AH25" s="1225">
        <f t="shared" si="19"/>
        <v>151.42871786617673</v>
      </c>
      <c r="AI25" s="1225">
        <f t="shared" si="19"/>
        <v>147.10793710323244</v>
      </c>
      <c r="AJ25" s="1225">
        <f t="shared" si="19"/>
        <v>137.90376282977115</v>
      </c>
      <c r="AK25" s="1225">
        <f t="shared" si="19"/>
        <v>128.09728530552266</v>
      </c>
      <c r="AL25" s="1225">
        <f t="shared" si="19"/>
        <v>124.36727931270393</v>
      </c>
      <c r="AM25" s="1225">
        <f t="shared" si="19"/>
        <v>115.0415943875817</v>
      </c>
      <c r="AN25" s="1225">
        <f t="shared" si="19"/>
        <v>113.43957454057194</v>
      </c>
      <c r="AO25" s="1225">
        <f t="shared" si="19"/>
        <v>106.00101680612596</v>
      </c>
      <c r="AP25" s="1225">
        <f t="shared" si="19"/>
        <v>99.652141532116431</v>
      </c>
      <c r="AQ25" s="1225">
        <f t="shared" si="19"/>
        <v>93.772250634750918</v>
      </c>
      <c r="AR25" s="1225">
        <f t="shared" si="19"/>
        <v>91.771268677023983</v>
      </c>
      <c r="AS25" s="1225">
        <f t="shared" si="19"/>
        <v>90.827571989735517</v>
      </c>
      <c r="AT25" s="1225">
        <f t="shared" si="19"/>
        <v>85.651136951343688</v>
      </c>
      <c r="AU25" s="1225">
        <f t="shared" si="19"/>
        <v>80.624911057803558</v>
      </c>
      <c r="AV25" s="1225">
        <f t="shared" si="19"/>
        <v>75.854894775455193</v>
      </c>
      <c r="AW25" s="1225">
        <f t="shared" si="19"/>
        <v>71.353561442684125</v>
      </c>
      <c r="AX25" s="1225">
        <f t="shared" si="19"/>
        <v>72.567610572446924</v>
      </c>
      <c r="AY25" s="1225">
        <f t="shared" si="19"/>
        <v>73.274917845753549</v>
      </c>
      <c r="AZ25" s="1225">
        <f t="shared" si="19"/>
        <v>70.009144629437159</v>
      </c>
      <c r="BA25" s="1225">
        <f t="shared" si="19"/>
        <v>66.375354196212797</v>
      </c>
      <c r="BB25" s="1225">
        <f t="shared" si="19"/>
        <v>62.767759386313401</v>
      </c>
      <c r="BC25" s="1225">
        <f t="shared" si="19"/>
        <v>59.302978805665724</v>
      </c>
      <c r="BD25" s="1225">
        <f t="shared" si="19"/>
        <v>57.900774294227091</v>
      </c>
      <c r="BE25" s="1225">
        <f t="shared" si="19"/>
        <v>60.362362705093702</v>
      </c>
      <c r="BF25" s="1225">
        <f t="shared" si="19"/>
        <v>57.801462100093467</v>
      </c>
      <c r="BG25" s="1225">
        <f t="shared" si="19"/>
        <v>54.895128158081697</v>
      </c>
      <c r="BH25" s="1225">
        <f t="shared" si="19"/>
        <v>53.463265644415159</v>
      </c>
      <c r="BI25" s="1225">
        <f t="shared" si="19"/>
        <v>52.368486199371276</v>
      </c>
      <c r="BJ25" s="1225">
        <f t="shared" si="19"/>
        <v>50.33516400784476</v>
      </c>
      <c r="BK25" s="1225">
        <f t="shared" si="19"/>
        <v>50.538646844074187</v>
      </c>
    </row>
    <row r="26" spans="1:63" s="1226" customFormat="1" ht="19.5" customHeight="1">
      <c r="A26" s="1222"/>
      <c r="B26" s="1223" t="s">
        <v>395</v>
      </c>
      <c r="C26" s="1224">
        <f>C22/C14</f>
        <v>2635.76</v>
      </c>
      <c r="D26" s="1225">
        <f t="shared" ref="D26:BK26" si="20">D22/D14</f>
        <v>2666</v>
      </c>
      <c r="E26" s="1225">
        <f t="shared" si="20"/>
        <v>2421.9454463543084</v>
      </c>
      <c r="F26" s="1225">
        <f t="shared" si="20"/>
        <v>2195.1399652954051</v>
      </c>
      <c r="G26" s="1225">
        <f t="shared" si="20"/>
        <v>2182.8249297835273</v>
      </c>
      <c r="H26" s="1225">
        <f t="shared" si="20"/>
        <v>1966.3994357845665</v>
      </c>
      <c r="I26" s="1225">
        <f t="shared" si="20"/>
        <v>1767.0865439274473</v>
      </c>
      <c r="J26" s="1225">
        <f t="shared" si="20"/>
        <v>1584.0473657067876</v>
      </c>
      <c r="K26" s="1225">
        <f t="shared" si="20"/>
        <v>1508.5983128839669</v>
      </c>
      <c r="L26" s="1225">
        <f t="shared" si="20"/>
        <v>1351.2132946201675</v>
      </c>
      <c r="M26" s="1225">
        <f t="shared" si="20"/>
        <v>1201.6349983540563</v>
      </c>
      <c r="N26" s="1225">
        <f t="shared" si="20"/>
        <v>1065.5936555414453</v>
      </c>
      <c r="O26" s="1225">
        <f t="shared" si="20"/>
        <v>942.64831649492623</v>
      </c>
      <c r="P26" s="1225">
        <f t="shared" si="20"/>
        <v>874.24912214718211</v>
      </c>
      <c r="Q26" s="1225">
        <f t="shared" si="20"/>
        <v>817.19483911469581</v>
      </c>
      <c r="R26" s="1225">
        <f t="shared" si="20"/>
        <v>758.94844632607851</v>
      </c>
      <c r="S26" s="1225">
        <f t="shared" si="20"/>
        <v>703.15192385948615</v>
      </c>
      <c r="T26" s="1225">
        <f t="shared" si="20"/>
        <v>650.12360358507988</v>
      </c>
      <c r="U26" s="1225">
        <f t="shared" si="20"/>
        <v>687.2913486138192</v>
      </c>
      <c r="V26" s="1225">
        <f t="shared" si="20"/>
        <v>632.09243412157332</v>
      </c>
      <c r="W26" s="1225">
        <f t="shared" si="20"/>
        <v>580.24219514620518</v>
      </c>
      <c r="X26" s="1225">
        <f t="shared" si="20"/>
        <v>531.68641463754579</v>
      </c>
      <c r="Y26" s="1225">
        <f t="shared" si="20"/>
        <v>486.35105090677945</v>
      </c>
      <c r="Z26" s="1225">
        <f t="shared" si="20"/>
        <v>444.14445683309526</v>
      </c>
      <c r="AA26" s="1225">
        <f t="shared" si="20"/>
        <v>424.53538989763854</v>
      </c>
      <c r="AB26" s="1225">
        <f t="shared" si="20"/>
        <v>417.8883979844465</v>
      </c>
      <c r="AC26" s="1225">
        <f t="shared" si="20"/>
        <v>386.95982199331445</v>
      </c>
      <c r="AD26" s="1225">
        <f t="shared" si="20"/>
        <v>357.69773959436691</v>
      </c>
      <c r="AE26" s="1225">
        <f t="shared" si="20"/>
        <v>330.3609058379443</v>
      </c>
      <c r="AF26" s="1225">
        <f t="shared" si="20"/>
        <v>304.90042009997489</v>
      </c>
      <c r="AG26" s="1225">
        <f t="shared" si="20"/>
        <v>281.2216483107423</v>
      </c>
      <c r="AH26" s="1225">
        <f t="shared" si="20"/>
        <v>259.22493078646778</v>
      </c>
      <c r="AI26" s="1225">
        <f t="shared" si="20"/>
        <v>250.01674243040173</v>
      </c>
      <c r="AJ26" s="1225">
        <f t="shared" si="20"/>
        <v>232.74512570682651</v>
      </c>
      <c r="AK26" s="1225">
        <f t="shared" si="20"/>
        <v>214.74428018311349</v>
      </c>
      <c r="AL26" s="1225">
        <f t="shared" si="20"/>
        <v>207.14237698120598</v>
      </c>
      <c r="AM26" s="1225">
        <f t="shared" si="20"/>
        <v>190.41477307375357</v>
      </c>
      <c r="AN26" s="1225">
        <f t="shared" si="20"/>
        <v>187.22665394657699</v>
      </c>
      <c r="AO26" s="1225">
        <f t="shared" si="20"/>
        <v>174.46281556698179</v>
      </c>
      <c r="AP26" s="1225">
        <f t="shared" si="20"/>
        <v>163.56892853709977</v>
      </c>
      <c r="AQ26" s="1225">
        <f t="shared" si="20"/>
        <v>153.51137493044135</v>
      </c>
      <c r="AR26" s="1225">
        <f t="shared" si="20"/>
        <v>149.84935960329898</v>
      </c>
      <c r="AS26" s="1225">
        <f t="shared" si="20"/>
        <v>147.93701478023297</v>
      </c>
      <c r="AT26" s="1225">
        <f t="shared" si="20"/>
        <v>139.1654753975146</v>
      </c>
      <c r="AU26" s="1225">
        <f t="shared" si="20"/>
        <v>130.68757089331839</v>
      </c>
      <c r="AV26" s="1225">
        <f t="shared" si="20"/>
        <v>122.67101219439103</v>
      </c>
      <c r="AW26" s="1225">
        <f t="shared" si="20"/>
        <v>115.13123256948734</v>
      </c>
      <c r="AX26" s="1225">
        <f t="shared" si="20"/>
        <v>116.83274415303978</v>
      </c>
      <c r="AY26" s="1225">
        <f t="shared" si="20"/>
        <v>117.71876365061763</v>
      </c>
      <c r="AZ26" s="1225">
        <f t="shared" si="20"/>
        <v>112.15415915569362</v>
      </c>
      <c r="BA26" s="1225">
        <f t="shared" si="20"/>
        <v>106.03582680322828</v>
      </c>
      <c r="BB26" s="1225">
        <f t="shared" si="20"/>
        <v>99.995919968176111</v>
      </c>
      <c r="BC26" s="1225">
        <f t="shared" si="20"/>
        <v>94.218582996904374</v>
      </c>
      <c r="BD26" s="1225">
        <f t="shared" si="20"/>
        <v>91.743049739367152</v>
      </c>
      <c r="BE26" s="1225">
        <f t="shared" si="20"/>
        <v>95.388917173617429</v>
      </c>
      <c r="BF26" s="1225">
        <f t="shared" si="20"/>
        <v>91.101882703857584</v>
      </c>
      <c r="BG26" s="1225">
        <f t="shared" si="20"/>
        <v>86.296450220879336</v>
      </c>
      <c r="BH26" s="1225">
        <f t="shared" si="20"/>
        <v>83.829867259963393</v>
      </c>
      <c r="BI26" s="1225">
        <f t="shared" si="20"/>
        <v>81.905083475759739</v>
      </c>
      <c r="BJ26" s="1225">
        <f t="shared" si="20"/>
        <v>78.527730747163147</v>
      </c>
      <c r="BK26" s="1225">
        <f t="shared" si="20"/>
        <v>78.650027596990299</v>
      </c>
    </row>
    <row r="27" spans="1:63" s="1243" customFormat="1" ht="19.5" customHeight="1">
      <c r="A27" s="1239"/>
      <c r="B27" s="1240" t="s">
        <v>396</v>
      </c>
      <c r="C27" s="1241">
        <f>C22/C17</f>
        <v>0.3048368927861807</v>
      </c>
      <c r="D27" s="1242">
        <f t="shared" ref="D27:BK27" si="21">D22/D17</f>
        <v>0.30833427784318673</v>
      </c>
      <c r="E27" s="1242">
        <f t="shared" si="21"/>
        <v>0.2801083271482559</v>
      </c>
      <c r="F27" s="1242">
        <f t="shared" si="21"/>
        <v>0.25387730531285696</v>
      </c>
      <c r="G27" s="1242">
        <f t="shared" si="21"/>
        <v>0.25245301889831528</v>
      </c>
      <c r="H27" s="1242">
        <f t="shared" si="21"/>
        <v>0.22742248686567296</v>
      </c>
      <c r="I27" s="1242">
        <f t="shared" si="21"/>
        <v>0.20437110030318162</v>
      </c>
      <c r="J27" s="1242">
        <f t="shared" si="21"/>
        <v>0.18320183817502048</v>
      </c>
      <c r="K27" s="1242">
        <f t="shared" si="21"/>
        <v>0.17447583321775237</v>
      </c>
      <c r="L27" s="1242">
        <f t="shared" si="21"/>
        <v>0.156273584174352</v>
      </c>
      <c r="M27" s="1242">
        <f t="shared" si="21"/>
        <v>0.13897421584718558</v>
      </c>
      <c r="N27" s="1242">
        <f t="shared" si="21"/>
        <v>0.12324045395935972</v>
      </c>
      <c r="O27" s="1242">
        <f t="shared" si="21"/>
        <v>0.10902130079765895</v>
      </c>
      <c r="P27" s="1242">
        <f t="shared" si="21"/>
        <v>0.1011106420601243</v>
      </c>
      <c r="Q27" s="1242">
        <f t="shared" si="21"/>
        <v>9.4512070733536721E-2</v>
      </c>
      <c r="R27" s="1242">
        <f t="shared" si="21"/>
        <v>8.7775626826016501E-2</v>
      </c>
      <c r="S27" s="1242">
        <f t="shared" si="21"/>
        <v>8.132252087669245E-2</v>
      </c>
      <c r="T27" s="1242">
        <f t="shared" si="21"/>
        <v>7.5189569324912151E-2</v>
      </c>
      <c r="U27" s="1242">
        <f t="shared" si="21"/>
        <v>7.9488177660432036E-2</v>
      </c>
      <c r="V27" s="1242">
        <f t="shared" si="21"/>
        <v>7.3104187623787467E-2</v>
      </c>
      <c r="W27" s="1242">
        <f t="shared" si="21"/>
        <v>6.7107486202006961E-2</v>
      </c>
      <c r="X27" s="1242">
        <f t="shared" si="21"/>
        <v>6.1491802961853269E-2</v>
      </c>
      <c r="Y27" s="1242">
        <f t="shared" si="21"/>
        <v>5.6248574666022802E-2</v>
      </c>
      <c r="Z27" s="1242">
        <f t="shared" si="21"/>
        <v>5.1367201933866034E-2</v>
      </c>
      <c r="AA27" s="1242">
        <f t="shared" si="21"/>
        <v>4.9099329656025537E-2</v>
      </c>
      <c r="AB27" s="1242">
        <f t="shared" si="21"/>
        <v>4.8330576673511073E-2</v>
      </c>
      <c r="AC27" s="1242">
        <f t="shared" si="21"/>
        <v>4.4753554864454877E-2</v>
      </c>
      <c r="AD27" s="1242">
        <f t="shared" si="21"/>
        <v>4.1369270151526395E-2</v>
      </c>
      <c r="AE27" s="1242">
        <f t="shared" si="21"/>
        <v>3.8207648660601487E-2</v>
      </c>
      <c r="AF27" s="1242">
        <f t="shared" si="21"/>
        <v>3.5263034825810204E-2</v>
      </c>
      <c r="AG27" s="1242">
        <f t="shared" si="21"/>
        <v>3.2524483813114541E-2</v>
      </c>
      <c r="AH27" s="1242">
        <f t="shared" si="21"/>
        <v>2.9980469554762045E-2</v>
      </c>
      <c r="AI27" s="1242">
        <f t="shared" si="21"/>
        <v>2.8915503273062245E-2</v>
      </c>
      <c r="AJ27" s="1242">
        <f t="shared" si="21"/>
        <v>2.6917967087898002E-2</v>
      </c>
      <c r="AK27" s="1242">
        <f t="shared" si="21"/>
        <v>2.4836092479825676E-2</v>
      </c>
      <c r="AL27" s="1242">
        <f t="shared" si="21"/>
        <v>2.3956899931440845E-2</v>
      </c>
      <c r="AM27" s="1242">
        <f t="shared" si="21"/>
        <v>2.2022281150176324E-2</v>
      </c>
      <c r="AN27" s="1242">
        <f t="shared" si="21"/>
        <v>2.1653561566997014E-2</v>
      </c>
      <c r="AO27" s="1242">
        <f t="shared" si="21"/>
        <v>2.0177369185421755E-2</v>
      </c>
      <c r="AP27" s="1242">
        <f t="shared" si="21"/>
        <v>1.8917444657940912E-2</v>
      </c>
      <c r="AQ27" s="1242">
        <f t="shared" si="21"/>
        <v>1.7754245660124648E-2</v>
      </c>
      <c r="AR27" s="1242">
        <f t="shared" si="21"/>
        <v>1.7330717958944933E-2</v>
      </c>
      <c r="AS27" s="1242">
        <f t="shared" si="21"/>
        <v>1.7109547118732173E-2</v>
      </c>
      <c r="AT27" s="1242">
        <f t="shared" si="21"/>
        <v>1.6095081154312241E-2</v>
      </c>
      <c r="AU27" s="1242">
        <f t="shared" si="21"/>
        <v>1.5114575316756038E-2</v>
      </c>
      <c r="AV27" s="1242">
        <f t="shared" si="21"/>
        <v>1.4187426090491489E-2</v>
      </c>
      <c r="AW27" s="1242">
        <f t="shared" si="21"/>
        <v>1.3315418398915551E-2</v>
      </c>
      <c r="AX27" s="1242">
        <f t="shared" si="21"/>
        <v>1.3512205475193292E-2</v>
      </c>
      <c r="AY27" s="1242">
        <f t="shared" si="21"/>
        <v>1.3614677411405089E-2</v>
      </c>
      <c r="AZ27" s="1242">
        <f t="shared" si="21"/>
        <v>1.2971107153181026E-2</v>
      </c>
      <c r="BA27" s="1242">
        <f t="shared" si="21"/>
        <v>1.2263495905055745E-2</v>
      </c>
      <c r="BB27" s="1242">
        <f t="shared" si="21"/>
        <v>1.1564954902720434E-2</v>
      </c>
      <c r="BC27" s="1242">
        <f t="shared" si="21"/>
        <v>1.0896781225716001E-2</v>
      </c>
      <c r="BD27" s="1242">
        <f t="shared" si="21"/>
        <v>1.0610475239504626E-2</v>
      </c>
      <c r="BE27" s="1242">
        <f t="shared" si="21"/>
        <v>1.103213536795607E-2</v>
      </c>
      <c r="BF27" s="1242">
        <f t="shared" si="21"/>
        <v>1.0536321535502113E-2</v>
      </c>
      <c r="BG27" s="1242">
        <f t="shared" si="21"/>
        <v>9.9805527604221091E-3</v>
      </c>
      <c r="BH27" s="1242">
        <f t="shared" si="21"/>
        <v>9.695281914212683E-3</v>
      </c>
      <c r="BI27" s="1242">
        <f t="shared" si="21"/>
        <v>9.4726724550578782E-3</v>
      </c>
      <c r="BJ27" s="1242">
        <f t="shared" si="21"/>
        <v>9.0820671982711019E-3</v>
      </c>
      <c r="BK27" s="1242">
        <f t="shared" si="21"/>
        <v>9.0962113508869877E-3</v>
      </c>
    </row>
    <row r="28" spans="1:63" s="1280" customFormat="1">
      <c r="A28" s="1275"/>
      <c r="B28" s="1276"/>
      <c r="C28" s="1277"/>
      <c r="D28" s="1278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1279"/>
      <c r="AN28" s="1279"/>
      <c r="AO28" s="1279"/>
      <c r="AP28" s="1279"/>
      <c r="AQ28" s="1279"/>
      <c r="AR28" s="1279"/>
      <c r="AS28" s="1279"/>
      <c r="AT28" s="1279"/>
      <c r="AU28" s="1279"/>
      <c r="AV28" s="1279"/>
      <c r="AW28" s="1279"/>
      <c r="AX28" s="1279"/>
      <c r="AY28" s="1279"/>
      <c r="AZ28" s="1279"/>
      <c r="BA28" s="1279"/>
      <c r="BB28" s="1279"/>
      <c r="BC28" s="1279"/>
      <c r="BD28" s="1279"/>
      <c r="BE28" s="1279"/>
      <c r="BF28" s="1279"/>
      <c r="BG28" s="1279"/>
      <c r="BH28" s="1279"/>
      <c r="BI28" s="1279"/>
      <c r="BJ28" s="1279"/>
      <c r="BK28" s="1279"/>
    </row>
    <row r="29" spans="1:63" s="339" customFormat="1">
      <c r="A29" s="1230" t="str">
        <f>'Prg. Mkt. Assumptions'!A4</f>
        <v>Earned Media</v>
      </c>
      <c r="B29" s="1231"/>
      <c r="C29" s="1244"/>
      <c r="D29" s="396" t="s">
        <v>389</v>
      </c>
      <c r="E29" s="415">
        <v>1.6</v>
      </c>
      <c r="F29" s="396" t="s">
        <v>355</v>
      </c>
      <c r="G29" s="415">
        <v>0.03</v>
      </c>
      <c r="H29" s="396" t="s">
        <v>356</v>
      </c>
      <c r="I29" s="415">
        <v>0.3</v>
      </c>
      <c r="J29" s="414" t="s">
        <v>354</v>
      </c>
      <c r="K29" s="415">
        <v>0.05</v>
      </c>
      <c r="L29" s="396" t="s">
        <v>357</v>
      </c>
      <c r="M29" s="415">
        <f>C40</f>
        <v>0.18</v>
      </c>
      <c r="P29" s="396" t="s">
        <v>389</v>
      </c>
      <c r="Q29" s="415">
        <v>0.7</v>
      </c>
      <c r="R29" s="396" t="s">
        <v>355</v>
      </c>
      <c r="S29" s="415">
        <v>2.5000000000000001E-2</v>
      </c>
      <c r="T29" s="396" t="s">
        <v>356</v>
      </c>
      <c r="U29" s="415">
        <f>I29*0.75</f>
        <v>0.22499999999999998</v>
      </c>
      <c r="V29" s="414" t="s">
        <v>354</v>
      </c>
      <c r="W29" s="415">
        <v>0.04</v>
      </c>
      <c r="X29" s="396" t="s">
        <v>357</v>
      </c>
      <c r="Y29" s="415">
        <f>O40</f>
        <v>0.18</v>
      </c>
      <c r="AB29" s="396" t="s">
        <v>389</v>
      </c>
      <c r="AC29" s="415">
        <v>0.2</v>
      </c>
      <c r="AD29" s="396" t="s">
        <v>355</v>
      </c>
      <c r="AE29" s="415">
        <v>2.5000000000000001E-2</v>
      </c>
      <c r="AF29" s="396" t="s">
        <v>356</v>
      </c>
      <c r="AG29" s="415">
        <v>0.12</v>
      </c>
      <c r="AH29" s="414" t="s">
        <v>354</v>
      </c>
      <c r="AI29" s="415">
        <v>0.03</v>
      </c>
      <c r="AJ29" s="396" t="s">
        <v>357</v>
      </c>
      <c r="AK29" s="415">
        <f>AA40</f>
        <v>0.18</v>
      </c>
      <c r="AN29" s="396" t="s">
        <v>389</v>
      </c>
      <c r="AO29" s="415">
        <v>0.3</v>
      </c>
      <c r="AP29" s="396" t="s">
        <v>355</v>
      </c>
      <c r="AQ29" s="415">
        <v>2.1999999999999999E-2</v>
      </c>
      <c r="AR29" s="396" t="s">
        <v>356</v>
      </c>
      <c r="AS29" s="415">
        <v>0.06</v>
      </c>
      <c r="AT29" s="414" t="s">
        <v>354</v>
      </c>
      <c r="AU29" s="415">
        <v>2.8000000000000001E-2</v>
      </c>
      <c r="AV29" s="396" t="s">
        <v>357</v>
      </c>
      <c r="AW29" s="415">
        <f>AM40</f>
        <v>0.18</v>
      </c>
      <c r="AZ29" s="396" t="s">
        <v>389</v>
      </c>
      <c r="BA29" s="415">
        <v>0.25</v>
      </c>
      <c r="BB29" s="396" t="s">
        <v>355</v>
      </c>
      <c r="BC29" s="415">
        <v>0.02</v>
      </c>
      <c r="BD29" s="396" t="s">
        <v>356</v>
      </c>
      <c r="BE29" s="415">
        <v>0.03</v>
      </c>
      <c r="BF29" s="414" t="s">
        <v>354</v>
      </c>
      <c r="BG29" s="415">
        <v>0.02</v>
      </c>
      <c r="BH29" s="396" t="s">
        <v>357</v>
      </c>
      <c r="BI29" s="415">
        <f>AY40</f>
        <v>0.18</v>
      </c>
    </row>
    <row r="30" spans="1:63" s="1238" customFormat="1" hidden="1" outlineLevel="1">
      <c r="A30" s="1232"/>
      <c r="B30" s="1233" t="s">
        <v>226</v>
      </c>
      <c r="C30" s="1234">
        <v>30</v>
      </c>
      <c r="D30" s="1235">
        <f>C30/12</f>
        <v>2.5</v>
      </c>
      <c r="E30" s="1236">
        <f>D30*(1+($E29/12))</f>
        <v>2.833333333333333</v>
      </c>
      <c r="F30" s="1236">
        <f t="shared" ref="F30:O30" si="22">E30*(1+($E29/12))</f>
        <v>3.2111111111111108</v>
      </c>
      <c r="G30" s="1236">
        <f t="shared" si="22"/>
        <v>3.639259259259259</v>
      </c>
      <c r="H30" s="1236">
        <f t="shared" si="22"/>
        <v>4.1244938271604932</v>
      </c>
      <c r="I30" s="1236">
        <f t="shared" si="22"/>
        <v>4.6744263374485584</v>
      </c>
      <c r="J30" s="1236">
        <f t="shared" si="22"/>
        <v>5.2976831824416992</v>
      </c>
      <c r="K30" s="1236">
        <f t="shared" si="22"/>
        <v>6.0040409401005919</v>
      </c>
      <c r="L30" s="1236">
        <f t="shared" si="22"/>
        <v>6.8045797321140036</v>
      </c>
      <c r="M30" s="1236">
        <f t="shared" si="22"/>
        <v>7.7118570297292042</v>
      </c>
      <c r="N30" s="1236">
        <f t="shared" si="22"/>
        <v>8.7401046336930985</v>
      </c>
      <c r="O30" s="1237">
        <f t="shared" si="22"/>
        <v>9.905451918185511</v>
      </c>
      <c r="P30" s="1236">
        <f>O30*(1+($Q29/12))</f>
        <v>10.483269946746333</v>
      </c>
      <c r="Q30" s="1236">
        <f t="shared" ref="Q30:AA30" si="23">P30*(1+($Q29/12))</f>
        <v>11.094794026973203</v>
      </c>
      <c r="R30" s="1236">
        <f t="shared" si="23"/>
        <v>11.741990345213306</v>
      </c>
      <c r="S30" s="1236">
        <f t="shared" si="23"/>
        <v>12.426939782017415</v>
      </c>
      <c r="T30" s="1236">
        <f t="shared" si="23"/>
        <v>13.151844602635098</v>
      </c>
      <c r="U30" s="1236">
        <f t="shared" si="23"/>
        <v>13.919035537788812</v>
      </c>
      <c r="V30" s="1236">
        <f t="shared" si="23"/>
        <v>14.730979277493159</v>
      </c>
      <c r="W30" s="1236">
        <f t="shared" si="23"/>
        <v>15.590286402013593</v>
      </c>
      <c r="X30" s="1236">
        <f t="shared" si="23"/>
        <v>16.499719775464385</v>
      </c>
      <c r="Y30" s="1236">
        <f t="shared" si="23"/>
        <v>17.462203429033142</v>
      </c>
      <c r="Z30" s="1236">
        <f t="shared" si="23"/>
        <v>18.48083196239341</v>
      </c>
      <c r="AA30" s="1237">
        <f t="shared" si="23"/>
        <v>19.558880493533024</v>
      </c>
      <c r="AB30" s="1236">
        <f>AA30*(1+($AC29/12))</f>
        <v>19.884861835091908</v>
      </c>
      <c r="AC30" s="1236">
        <f t="shared" ref="AC30:AM30" si="24">AB30*(1+($AC29/12))</f>
        <v>20.216276199010103</v>
      </c>
      <c r="AD30" s="1236">
        <f t="shared" si="24"/>
        <v>20.553214135660269</v>
      </c>
      <c r="AE30" s="1236">
        <f t="shared" si="24"/>
        <v>20.895767704587939</v>
      </c>
      <c r="AF30" s="1236">
        <f t="shared" si="24"/>
        <v>21.244030499664404</v>
      </c>
      <c r="AG30" s="1236">
        <f t="shared" si="24"/>
        <v>21.59809767465881</v>
      </c>
      <c r="AH30" s="1236">
        <f t="shared" si="24"/>
        <v>21.958065969236454</v>
      </c>
      <c r="AI30" s="1236">
        <f t="shared" si="24"/>
        <v>22.324033735390394</v>
      </c>
      <c r="AJ30" s="1236">
        <f t="shared" si="24"/>
        <v>22.696100964313565</v>
      </c>
      <c r="AK30" s="1236">
        <f t="shared" si="24"/>
        <v>23.07436931371879</v>
      </c>
      <c r="AL30" s="1236">
        <f t="shared" si="24"/>
        <v>23.458942135614102</v>
      </c>
      <c r="AM30" s="1237">
        <f t="shared" si="24"/>
        <v>23.849924504541001</v>
      </c>
      <c r="AN30" s="1236">
        <f>AM30*(1+($AO29/12))</f>
        <v>24.446172617154524</v>
      </c>
      <c r="AO30" s="1236">
        <f t="shared" ref="AO30:AY30" si="25">AN30*(1+($AO29/12))</f>
        <v>25.057326932583386</v>
      </c>
      <c r="AP30" s="1236">
        <f t="shared" si="25"/>
        <v>25.683760105897967</v>
      </c>
      <c r="AQ30" s="1236">
        <f t="shared" si="25"/>
        <v>26.325854108545414</v>
      </c>
      <c r="AR30" s="1236">
        <f t="shared" si="25"/>
        <v>26.984000461259047</v>
      </c>
      <c r="AS30" s="1236">
        <f t="shared" si="25"/>
        <v>27.658600472790521</v>
      </c>
      <c r="AT30" s="1236">
        <f t="shared" si="25"/>
        <v>28.350065484610283</v>
      </c>
      <c r="AU30" s="1236">
        <f t="shared" si="25"/>
        <v>29.058817121725539</v>
      </c>
      <c r="AV30" s="1236">
        <f t="shared" si="25"/>
        <v>29.785287549768675</v>
      </c>
      <c r="AW30" s="1236">
        <f t="shared" si="25"/>
        <v>30.529919738512891</v>
      </c>
      <c r="AX30" s="1236">
        <f t="shared" si="25"/>
        <v>31.293167731975711</v>
      </c>
      <c r="AY30" s="1237">
        <f t="shared" si="25"/>
        <v>32.075496925275104</v>
      </c>
      <c r="AZ30" s="1236">
        <f>AY30*(1+($BA29/12))</f>
        <v>32.743736444551665</v>
      </c>
      <c r="BA30" s="1236">
        <f t="shared" ref="BA30:BK30" si="26">AZ30*(1+($BA29/12))</f>
        <v>33.425897620479823</v>
      </c>
      <c r="BB30" s="1236">
        <f t="shared" si="26"/>
        <v>34.122270487573154</v>
      </c>
      <c r="BC30" s="1236">
        <f t="shared" si="26"/>
        <v>34.833151122730925</v>
      </c>
      <c r="BD30" s="1236">
        <f t="shared" si="26"/>
        <v>35.558841771121152</v>
      </c>
      <c r="BE30" s="1236">
        <f t="shared" si="26"/>
        <v>36.299650974686173</v>
      </c>
      <c r="BF30" s="1236">
        <f t="shared" si="26"/>
        <v>37.055893703325467</v>
      </c>
      <c r="BG30" s="1236">
        <f t="shared" si="26"/>
        <v>37.82789148881141</v>
      </c>
      <c r="BH30" s="1236">
        <f t="shared" si="26"/>
        <v>38.615972561494978</v>
      </c>
      <c r="BI30" s="1236">
        <f t="shared" si="26"/>
        <v>39.42047198985945</v>
      </c>
      <c r="BJ30" s="1236">
        <f t="shared" si="26"/>
        <v>40.241731822981521</v>
      </c>
      <c r="BK30" s="1237">
        <f t="shared" si="26"/>
        <v>41.080101235960299</v>
      </c>
    </row>
    <row r="31" spans="1:63" s="54" customFormat="1" hidden="1" outlineLevel="1">
      <c r="A31" s="857"/>
      <c r="B31" s="371" t="s">
        <v>347</v>
      </c>
      <c r="C31" s="364">
        <f>C32/C30</f>
        <v>0.43333333333333335</v>
      </c>
      <c r="D31" s="352">
        <f>C31</f>
        <v>0.43333333333333335</v>
      </c>
      <c r="E31" s="169">
        <f>D31*((0.5*($K29/12))+1)</f>
        <v>0.43423611111111116</v>
      </c>
      <c r="F31" s="169">
        <f t="shared" ref="F31:O31" si="27">E31*((0.5*($K29/12))+1)</f>
        <v>0.43514076967592602</v>
      </c>
      <c r="G31" s="169">
        <f t="shared" si="27"/>
        <v>0.43604731294608423</v>
      </c>
      <c r="H31" s="169">
        <f t="shared" si="27"/>
        <v>0.43695574484805527</v>
      </c>
      <c r="I31" s="169">
        <f t="shared" si="27"/>
        <v>0.43786606931648875</v>
      </c>
      <c r="J31" s="169">
        <f t="shared" si="27"/>
        <v>0.43877829029423149</v>
      </c>
      <c r="K31" s="169">
        <f t="shared" si="27"/>
        <v>0.43969241173234452</v>
      </c>
      <c r="L31" s="169">
        <f t="shared" si="27"/>
        <v>0.44060843759012031</v>
      </c>
      <c r="M31" s="169">
        <f t="shared" si="27"/>
        <v>0.4415263718350998</v>
      </c>
      <c r="N31" s="169">
        <f t="shared" si="27"/>
        <v>0.44244621844308962</v>
      </c>
      <c r="O31" s="405">
        <f t="shared" si="27"/>
        <v>0.44336798139817946</v>
      </c>
      <c r="P31" s="169">
        <f>O31*((0.5*($W29/12))+1)</f>
        <v>0.44410692803384311</v>
      </c>
      <c r="Q31" s="169">
        <f t="shared" ref="Q31:AA31" si="28">P31*((0.5*($W29/12))+1)</f>
        <v>0.44484710624723284</v>
      </c>
      <c r="R31" s="169">
        <f t="shared" si="28"/>
        <v>0.44558851809097827</v>
      </c>
      <c r="S31" s="169">
        <f t="shared" si="28"/>
        <v>0.4463311656211299</v>
      </c>
      <c r="T31" s="169">
        <f t="shared" si="28"/>
        <v>0.44707505089716515</v>
      </c>
      <c r="U31" s="169">
        <f t="shared" si="28"/>
        <v>0.44782017598199375</v>
      </c>
      <c r="V31" s="169">
        <f t="shared" si="28"/>
        <v>0.44856654294196374</v>
      </c>
      <c r="W31" s="169">
        <f t="shared" si="28"/>
        <v>0.44931415384686701</v>
      </c>
      <c r="X31" s="169">
        <f t="shared" si="28"/>
        <v>0.45006301076994515</v>
      </c>
      <c r="Y31" s="169">
        <f t="shared" si="28"/>
        <v>0.45081311578789507</v>
      </c>
      <c r="Z31" s="169">
        <f t="shared" si="28"/>
        <v>0.45156447098087493</v>
      </c>
      <c r="AA31" s="405">
        <f t="shared" si="28"/>
        <v>0.45231707843250973</v>
      </c>
      <c r="AB31" s="169">
        <f>AA31*((0.5*($AI29/12))+1)</f>
        <v>0.45288247478055038</v>
      </c>
      <c r="AC31" s="169">
        <f t="shared" ref="AC31:AM31" si="29">AB31*((0.5*($AI29/12))+1)</f>
        <v>0.45344857787402604</v>
      </c>
      <c r="AD31" s="169">
        <f t="shared" si="29"/>
        <v>0.45401538859636859</v>
      </c>
      <c r="AE31" s="169">
        <f t="shared" si="29"/>
        <v>0.45458290783211402</v>
      </c>
      <c r="AF31" s="169">
        <f t="shared" si="29"/>
        <v>0.45515113646690414</v>
      </c>
      <c r="AG31" s="169">
        <f t="shared" si="29"/>
        <v>0.45572007538748777</v>
      </c>
      <c r="AH31" s="169">
        <f t="shared" si="29"/>
        <v>0.45628972548172214</v>
      </c>
      <c r="AI31" s="169">
        <f t="shared" si="29"/>
        <v>0.45686008763857427</v>
      </c>
      <c r="AJ31" s="169">
        <f t="shared" si="29"/>
        <v>0.45743116274812246</v>
      </c>
      <c r="AK31" s="169">
        <f t="shared" si="29"/>
        <v>0.45800295170155758</v>
      </c>
      <c r="AL31" s="169">
        <f t="shared" si="29"/>
        <v>0.45857545539118449</v>
      </c>
      <c r="AM31" s="405">
        <f t="shared" si="29"/>
        <v>0.45914867471042348</v>
      </c>
      <c r="AN31" s="169">
        <f>AM31*((0.5*($AU29/12))+1)</f>
        <v>0.45968434816425235</v>
      </c>
      <c r="AO31" s="169">
        <f t="shared" ref="AO31:AY31" si="30">AN31*((0.5*($AU29/12))+1)</f>
        <v>0.46022064657044404</v>
      </c>
      <c r="AP31" s="169">
        <f t="shared" si="30"/>
        <v>0.46075757065810957</v>
      </c>
      <c r="AQ31" s="169">
        <f t="shared" si="30"/>
        <v>0.46129512115721072</v>
      </c>
      <c r="AR31" s="169">
        <f t="shared" si="30"/>
        <v>0.46183329879856083</v>
      </c>
      <c r="AS31" s="169">
        <f t="shared" si="30"/>
        <v>0.46237210431382586</v>
      </c>
      <c r="AT31" s="169">
        <f t="shared" si="30"/>
        <v>0.46291153843552535</v>
      </c>
      <c r="AU31" s="169">
        <f t="shared" si="30"/>
        <v>0.46345160189703349</v>
      </c>
      <c r="AV31" s="169">
        <f t="shared" si="30"/>
        <v>0.46399229543258008</v>
      </c>
      <c r="AW31" s="169">
        <f t="shared" si="30"/>
        <v>0.46453361977725149</v>
      </c>
      <c r="AX31" s="169">
        <f t="shared" si="30"/>
        <v>0.46507557566699165</v>
      </c>
      <c r="AY31" s="405">
        <f t="shared" si="30"/>
        <v>0.46561816383860316</v>
      </c>
      <c r="AZ31" s="169">
        <f>AY31*((0.5*($BG29/12))+1)</f>
        <v>0.4660061789751353</v>
      </c>
      <c r="BA31" s="169">
        <f t="shared" ref="BA31:BK31" si="31">AZ31*((0.5*($BG29/12))+1)</f>
        <v>0.46639451745761451</v>
      </c>
      <c r="BB31" s="169">
        <f t="shared" si="31"/>
        <v>0.46678317955549581</v>
      </c>
      <c r="BC31" s="169">
        <f t="shared" si="31"/>
        <v>0.46717216553845869</v>
      </c>
      <c r="BD31" s="169">
        <f t="shared" si="31"/>
        <v>0.46756147567640738</v>
      </c>
      <c r="BE31" s="169">
        <f t="shared" si="31"/>
        <v>0.467951110239471</v>
      </c>
      <c r="BF31" s="169">
        <f t="shared" si="31"/>
        <v>0.46834106949800386</v>
      </c>
      <c r="BG31" s="169">
        <f t="shared" si="31"/>
        <v>0.46873135372258551</v>
      </c>
      <c r="BH31" s="169">
        <f t="shared" si="31"/>
        <v>0.46912196318402094</v>
      </c>
      <c r="BI31" s="169">
        <f t="shared" si="31"/>
        <v>0.46951289815334091</v>
      </c>
      <c r="BJ31" s="169">
        <f t="shared" si="31"/>
        <v>0.46990415890180198</v>
      </c>
      <c r="BK31" s="405">
        <f t="shared" si="31"/>
        <v>0.47029574570088678</v>
      </c>
    </row>
    <row r="32" spans="1:63" s="338" customFormat="1" hidden="1" outlineLevel="1">
      <c r="A32" s="858"/>
      <c r="B32" s="388" t="s">
        <v>258</v>
      </c>
      <c r="C32" s="389">
        <v>13</v>
      </c>
      <c r="D32" s="380">
        <f>D30*D31</f>
        <v>1.0833333333333335</v>
      </c>
      <c r="E32" s="381">
        <f t="shared" ref="E32" si="32">E30*E31</f>
        <v>1.2303356481481482</v>
      </c>
      <c r="F32" s="381">
        <f t="shared" ref="F32:P32" si="33">F30*F31</f>
        <v>1.3972853604038067</v>
      </c>
      <c r="G32" s="381">
        <f t="shared" si="33"/>
        <v>1.5868892211141568</v>
      </c>
      <c r="H32" s="381">
        <f t="shared" si="33"/>
        <v>1.8022212723681195</v>
      </c>
      <c r="I32" s="381">
        <f t="shared" si="33"/>
        <v>2.0467726866880711</v>
      </c>
      <c r="J32" s="381">
        <f t="shared" si="33"/>
        <v>2.3245083693122721</v>
      </c>
      <c r="K32" s="381">
        <f t="shared" si="33"/>
        <v>2.6399312410925622</v>
      </c>
      <c r="L32" s="381">
        <f t="shared" si="33"/>
        <v>2.9981552442241504</v>
      </c>
      <c r="M32" s="381">
        <f t="shared" si="33"/>
        <v>3.4049882544473449</v>
      </c>
      <c r="N32" s="381">
        <f t="shared" si="33"/>
        <v>3.8670262439744363</v>
      </c>
      <c r="O32" s="399">
        <f t="shared" si="33"/>
        <v>4.3917602218026346</v>
      </c>
      <c r="P32" s="381">
        <f t="shared" si="33"/>
        <v>4.6556928117990237</v>
      </c>
      <c r="Q32" s="381">
        <f t="shared" ref="Q32:AA32" si="34">Q30*Q31</f>
        <v>4.9354870173081125</v>
      </c>
      <c r="R32" s="381">
        <f t="shared" si="34"/>
        <v>5.2320960773621712</v>
      </c>
      <c r="S32" s="381">
        <f t="shared" si="34"/>
        <v>5.5465305180114228</v>
      </c>
      <c r="T32" s="381">
        <f t="shared" si="34"/>
        <v>5.8798615951146935</v>
      </c>
      <c r="U32" s="381">
        <f t="shared" si="34"/>
        <v>6.2332249440322105</v>
      </c>
      <c r="V32" s="381">
        <f t="shared" si="34"/>
        <v>6.6078244486548128</v>
      </c>
      <c r="W32" s="381">
        <f t="shared" si="34"/>
        <v>7.0049363429510541</v>
      </c>
      <c r="X32" s="381">
        <f t="shared" si="34"/>
        <v>7.4259135590059042</v>
      </c>
      <c r="Y32" s="381">
        <f t="shared" si="34"/>
        <v>7.8721903363644961</v>
      </c>
      <c r="Z32" s="381">
        <f t="shared" si="34"/>
        <v>8.3452871083846247</v>
      </c>
      <c r="AA32" s="399">
        <f t="shared" si="34"/>
        <v>8.8468156822454613</v>
      </c>
      <c r="AB32" s="381">
        <f t="shared" ref="AB32:AM32" si="35">AB30*AB31</f>
        <v>9.0055054385457396</v>
      </c>
      <c r="AC32" s="381">
        <f t="shared" si="35"/>
        <v>9.1670416923496525</v>
      </c>
      <c r="AD32" s="381">
        <f t="shared" si="35"/>
        <v>9.3314755027061729</v>
      </c>
      <c r="AE32" s="381">
        <f t="shared" si="35"/>
        <v>9.4988588445359632</v>
      </c>
      <c r="AF32" s="381">
        <f t="shared" si="35"/>
        <v>9.669244625059827</v>
      </c>
      <c r="AG32" s="381">
        <f t="shared" si="35"/>
        <v>9.8426867005218366</v>
      </c>
      <c r="AH32" s="381">
        <f t="shared" si="35"/>
        <v>10.019239893212447</v>
      </c>
      <c r="AI32" s="381">
        <f t="shared" si="35"/>
        <v>10.198960008796943</v>
      </c>
      <c r="AJ32" s="381">
        <f t="shared" si="35"/>
        <v>10.381903853954737</v>
      </c>
      <c r="AK32" s="381">
        <f t="shared" si="35"/>
        <v>10.56812925433505</v>
      </c>
      <c r="AL32" s="381">
        <f t="shared" si="35"/>
        <v>10.757695072834682</v>
      </c>
      <c r="AM32" s="399">
        <f t="shared" si="35"/>
        <v>10.950661228203654</v>
      </c>
      <c r="AN32" s="381">
        <f t="shared" ref="AN32" si="36">AN30*AN31</f>
        <v>11.237522924627472</v>
      </c>
      <c r="AO32" s="381">
        <f t="shared" ref="AO32:AZ32" si="37">AO30*AO31</f>
        <v>11.531899202240528</v>
      </c>
      <c r="AP32" s="381">
        <f t="shared" si="37"/>
        <v>11.833986911759219</v>
      </c>
      <c r="AQ32" s="381">
        <f t="shared" si="37"/>
        <v>12.14398806056851</v>
      </c>
      <c r="AR32" s="381">
        <f t="shared" si="37"/>
        <v>12.462109947805153</v>
      </c>
      <c r="AS32" s="381">
        <f t="shared" si="37"/>
        <v>12.788565302979531</v>
      </c>
      <c r="AT32" s="381">
        <f t="shared" si="37"/>
        <v>13.123572428228833</v>
      </c>
      <c r="AU32" s="381">
        <f t="shared" si="37"/>
        <v>13.467355344296646</v>
      </c>
      <c r="AV32" s="381">
        <f t="shared" si="37"/>
        <v>13.820143940336617</v>
      </c>
      <c r="AW32" s="381">
        <f t="shared" si="37"/>
        <v>14.182174127640353</v>
      </c>
      <c r="AX32" s="381">
        <f t="shared" si="37"/>
        <v>14.553687997392331</v>
      </c>
      <c r="AY32" s="399">
        <f t="shared" si="37"/>
        <v>14.934933982557355</v>
      </c>
      <c r="AZ32" s="381">
        <f t="shared" si="37"/>
        <v>15.258783505894403</v>
      </c>
      <c r="BA32" s="381">
        <f t="shared" ref="BA32:BK32" si="38">BA30*BA31</f>
        <v>15.589655391291313</v>
      </c>
      <c r="BB32" s="381">
        <f t="shared" si="38"/>
        <v>15.927701911842055</v>
      </c>
      <c r="BC32" s="381">
        <f t="shared" si="38"/>
        <v>16.2730786425346</v>
      </c>
      <c r="BD32" s="381">
        <f t="shared" si="38"/>
        <v>16.625944531849282</v>
      </c>
      <c r="BE32" s="381">
        <f t="shared" si="38"/>
        <v>16.986461974909691</v>
      </c>
      <c r="BF32" s="381">
        <f t="shared" si="38"/>
        <v>17.354796888219795</v>
      </c>
      <c r="BG32" s="381">
        <f t="shared" si="38"/>
        <v>17.731118786021643</v>
      </c>
      <c r="BH32" s="381">
        <f t="shared" si="38"/>
        <v>18.11560085830881</v>
      </c>
      <c r="BI32" s="381">
        <f t="shared" si="38"/>
        <v>18.508420050531509</v>
      </c>
      <c r="BJ32" s="381">
        <f t="shared" si="38"/>
        <v>18.90975714503001</v>
      </c>
      <c r="BK32" s="399">
        <f t="shared" si="38"/>
        <v>19.319796844233871</v>
      </c>
    </row>
    <row r="33" spans="1:63" s="54" customFormat="1" hidden="1" outlineLevel="1">
      <c r="A33" s="857"/>
      <c r="B33" s="371" t="s">
        <v>348</v>
      </c>
      <c r="C33" s="365">
        <f>C34/C32</f>
        <v>0.30769230769230771</v>
      </c>
      <c r="D33" s="352">
        <f>C33</f>
        <v>0.30769230769230771</v>
      </c>
      <c r="E33" s="169">
        <f>D33*((0.5*($K29/12))+1)</f>
        <v>0.3083333333333334</v>
      </c>
      <c r="F33" s="169">
        <f t="shared" ref="F33:O33" si="39">E33*((0.5*($K29/12))+1)</f>
        <v>0.30897569444444456</v>
      </c>
      <c r="G33" s="169">
        <f t="shared" si="39"/>
        <v>0.30961939380787051</v>
      </c>
      <c r="H33" s="169">
        <f t="shared" si="39"/>
        <v>0.31026443421163696</v>
      </c>
      <c r="I33" s="169">
        <f t="shared" si="39"/>
        <v>0.31091081844957791</v>
      </c>
      <c r="J33" s="169">
        <f t="shared" si="39"/>
        <v>0.31155854932134791</v>
      </c>
      <c r="K33" s="169">
        <f t="shared" si="39"/>
        <v>0.31220762963243409</v>
      </c>
      <c r="L33" s="169">
        <f t="shared" si="39"/>
        <v>0.31285806219416834</v>
      </c>
      <c r="M33" s="169">
        <f t="shared" si="39"/>
        <v>0.31350984982373958</v>
      </c>
      <c r="N33" s="169">
        <f t="shared" si="39"/>
        <v>0.31416299534420572</v>
      </c>
      <c r="O33" s="405">
        <f t="shared" si="39"/>
        <v>0.31481750158450617</v>
      </c>
      <c r="P33" s="169">
        <f>O33*((0.5*($W29/12))+1)</f>
        <v>0.31534219742048036</v>
      </c>
      <c r="Q33" s="169">
        <f t="shared" ref="Q33:AA33" si="40">P33*((0.5*($W29/12))+1)</f>
        <v>0.31586776774951453</v>
      </c>
      <c r="R33" s="169">
        <f t="shared" si="40"/>
        <v>0.31639421402909707</v>
      </c>
      <c r="S33" s="169">
        <f t="shared" si="40"/>
        <v>0.31692153771914555</v>
      </c>
      <c r="T33" s="169">
        <f t="shared" si="40"/>
        <v>0.31744974028201078</v>
      </c>
      <c r="U33" s="169">
        <f t="shared" si="40"/>
        <v>0.31797882318248083</v>
      </c>
      <c r="V33" s="169">
        <f t="shared" si="40"/>
        <v>0.31850878788778497</v>
      </c>
      <c r="W33" s="169">
        <f t="shared" si="40"/>
        <v>0.31903963586759798</v>
      </c>
      <c r="X33" s="169">
        <f t="shared" si="40"/>
        <v>0.319571368594044</v>
      </c>
      <c r="Y33" s="169">
        <f t="shared" si="40"/>
        <v>0.32010398754170077</v>
      </c>
      <c r="Z33" s="169">
        <f t="shared" si="40"/>
        <v>0.32063749418760362</v>
      </c>
      <c r="AA33" s="405">
        <f t="shared" si="40"/>
        <v>0.32117189001124963</v>
      </c>
      <c r="AB33" s="169">
        <f>AA33*((0.5*($AI29/12))+1)</f>
        <v>0.32157335487376371</v>
      </c>
      <c r="AC33" s="169">
        <f t="shared" ref="AC33:AM33" si="41">AB33*((0.5*($AI29/12))+1)</f>
        <v>0.32197532156735592</v>
      </c>
      <c r="AD33" s="169">
        <f t="shared" si="41"/>
        <v>0.3223777907193151</v>
      </c>
      <c r="AE33" s="169">
        <f t="shared" si="41"/>
        <v>0.32278076295771424</v>
      </c>
      <c r="AF33" s="169">
        <f t="shared" si="41"/>
        <v>0.32318423891141135</v>
      </c>
      <c r="AG33" s="169">
        <f t="shared" si="41"/>
        <v>0.3235882192100506</v>
      </c>
      <c r="AH33" s="169">
        <f t="shared" si="41"/>
        <v>0.32399270448406314</v>
      </c>
      <c r="AI33" s="169">
        <f t="shared" si="41"/>
        <v>0.32439769536466823</v>
      </c>
      <c r="AJ33" s="169">
        <f t="shared" si="41"/>
        <v>0.32480319248387407</v>
      </c>
      <c r="AK33" s="169">
        <f t="shared" si="41"/>
        <v>0.32520919647447888</v>
      </c>
      <c r="AL33" s="169">
        <f t="shared" si="41"/>
        <v>0.32561570797007194</v>
      </c>
      <c r="AM33" s="405">
        <f t="shared" si="41"/>
        <v>0.32602272760503453</v>
      </c>
      <c r="AN33" s="169">
        <f>AM33*((0.5*($AU29/12))+1)</f>
        <v>0.32640308745390711</v>
      </c>
      <c r="AO33" s="169">
        <f t="shared" ref="AO33:AY33" si="42">AN33*((0.5*($AU29/12))+1)</f>
        <v>0.32678389105593669</v>
      </c>
      <c r="AP33" s="169">
        <f t="shared" si="42"/>
        <v>0.32716513892883531</v>
      </c>
      <c r="AQ33" s="169">
        <f t="shared" si="42"/>
        <v>0.32754683159091896</v>
      </c>
      <c r="AR33" s="169">
        <f t="shared" si="42"/>
        <v>0.3279289695611084</v>
      </c>
      <c r="AS33" s="169">
        <f t="shared" si="42"/>
        <v>0.3283115533589297</v>
      </c>
      <c r="AT33" s="169">
        <f t="shared" si="42"/>
        <v>0.32869458350451514</v>
      </c>
      <c r="AU33" s="169">
        <f t="shared" si="42"/>
        <v>0.32907806051860378</v>
      </c>
      <c r="AV33" s="169">
        <f t="shared" si="42"/>
        <v>0.32946198492254219</v>
      </c>
      <c r="AW33" s="169">
        <f t="shared" si="42"/>
        <v>0.3298463572382852</v>
      </c>
      <c r="AX33" s="169">
        <f t="shared" si="42"/>
        <v>0.33023117798839657</v>
      </c>
      <c r="AY33" s="405">
        <f t="shared" si="42"/>
        <v>0.33061644769604975</v>
      </c>
      <c r="AZ33" s="169">
        <f>AY33*((0.5*($BG29/12))+1)</f>
        <v>0.33089196140246308</v>
      </c>
      <c r="BA33" s="169">
        <f t="shared" ref="BA33:BK33" si="43">AZ33*((0.5*($BG29/12))+1)</f>
        <v>0.33116770470363177</v>
      </c>
      <c r="BB33" s="169">
        <f t="shared" si="43"/>
        <v>0.33144367779088479</v>
      </c>
      <c r="BC33" s="169">
        <f t="shared" si="43"/>
        <v>0.33171988085571052</v>
      </c>
      <c r="BD33" s="169">
        <f t="shared" si="43"/>
        <v>0.33199631408975694</v>
      </c>
      <c r="BE33" s="169">
        <f t="shared" si="43"/>
        <v>0.33227297768483172</v>
      </c>
      <c r="BF33" s="169">
        <f t="shared" si="43"/>
        <v>0.33254987183290236</v>
      </c>
      <c r="BG33" s="169">
        <f t="shared" si="43"/>
        <v>0.33282699672609639</v>
      </c>
      <c r="BH33" s="169">
        <f t="shared" si="43"/>
        <v>0.33310435255670146</v>
      </c>
      <c r="BI33" s="169">
        <f t="shared" si="43"/>
        <v>0.33338193951716533</v>
      </c>
      <c r="BJ33" s="169">
        <f t="shared" si="43"/>
        <v>0.33365975780009627</v>
      </c>
      <c r="BK33" s="405">
        <f t="shared" si="43"/>
        <v>0.33393780759826297</v>
      </c>
    </row>
    <row r="34" spans="1:63" s="385" customFormat="1" hidden="1" outlineLevel="1">
      <c r="A34" s="859"/>
      <c r="B34" s="390" t="s">
        <v>285</v>
      </c>
      <c r="C34" s="391">
        <v>4</v>
      </c>
      <c r="D34" s="383">
        <f>D32*D33</f>
        <v>0.33333333333333337</v>
      </c>
      <c r="E34" s="384">
        <f t="shared" ref="E34" si="44">E32*E33</f>
        <v>0.37935349151234576</v>
      </c>
      <c r="F34" s="384">
        <f t="shared" ref="F34:P34" si="45">F32*F33</f>
        <v>0.43172721456782215</v>
      </c>
      <c r="G34" s="384">
        <f t="shared" si="45"/>
        <v>0.49133167868160899</v>
      </c>
      <c r="H34" s="384">
        <f t="shared" si="45"/>
        <v>0.55916516339547107</v>
      </c>
      <c r="I34" s="384">
        <f t="shared" si="45"/>
        <v>0.63636377119842968</v>
      </c>
      <c r="J34" s="384">
        <f t="shared" si="45"/>
        <v>0.72422045542826352</v>
      </c>
      <c r="K34" s="384">
        <f t="shared" si="45"/>
        <v>0.82420667517411872</v>
      </c>
      <c r="L34" s="384">
        <f t="shared" si="45"/>
        <v>0.93799703986525118</v>
      </c>
      <c r="M34" s="384">
        <f t="shared" si="45"/>
        <v>1.0674973563033843</v>
      </c>
      <c r="N34" s="384">
        <f t="shared" si="45"/>
        <v>1.2148765478816621</v>
      </c>
      <c r="O34" s="400">
        <f t="shared" si="45"/>
        <v>1.382602980586122</v>
      </c>
      <c r="P34" s="384">
        <f t="shared" si="45"/>
        <v>1.468136401787439</v>
      </c>
      <c r="Q34" s="384">
        <f t="shared" ref="Q34:AA34" si="46">Q32*Q33</f>
        <v>1.5589612669138231</v>
      </c>
      <c r="R34" s="384">
        <f t="shared" si="46"/>
        <v>1.6554049261217261</v>
      </c>
      <c r="S34" s="384">
        <f t="shared" si="46"/>
        <v>1.7578149807743491</v>
      </c>
      <c r="T34" s="384">
        <f t="shared" si="46"/>
        <v>1.8665605362633291</v>
      </c>
      <c r="U34" s="384">
        <f t="shared" si="46"/>
        <v>1.9820335323350473</v>
      </c>
      <c r="V34" s="384">
        <f t="shared" si="46"/>
        <v>2.1046501557163153</v>
      </c>
      <c r="W34" s="384">
        <f t="shared" si="46"/>
        <v>2.2348523401308076</v>
      </c>
      <c r="X34" s="384">
        <f t="shared" si="46"/>
        <v>2.3731093591125849</v>
      </c>
      <c r="Y34" s="384">
        <f t="shared" si="46"/>
        <v>2.519919517357518</v>
      </c>
      <c r="Z34" s="384">
        <f t="shared" si="46"/>
        <v>2.6758119467085586</v>
      </c>
      <c r="AA34" s="400">
        <f t="shared" si="46"/>
        <v>2.8413485132479375</v>
      </c>
      <c r="AB34" s="384">
        <f t="shared" ref="AB34:AM34" si="47">AB32*AB33</f>
        <v>2.8959305962070783</v>
      </c>
      <c r="AC34" s="384">
        <f t="shared" si="47"/>
        <v>2.9515611967156379</v>
      </c>
      <c r="AD34" s="384">
        <f t="shared" si="47"/>
        <v>3.0082604567138262</v>
      </c>
      <c r="AE34" s="384">
        <f t="shared" si="47"/>
        <v>3.0660489050669502</v>
      </c>
      <c r="AF34" s="384">
        <f t="shared" si="47"/>
        <v>3.1249474649982152</v>
      </c>
      <c r="AG34" s="384">
        <f t="shared" si="47"/>
        <v>3.1849774616643098</v>
      </c>
      <c r="AH34" s="384">
        <f t="shared" si="47"/>
        <v>3.2461606298765169</v>
      </c>
      <c r="AI34" s="384">
        <f t="shared" si="47"/>
        <v>3.3085191219701446</v>
      </c>
      <c r="AJ34" s="384">
        <f t="shared" si="47"/>
        <v>3.3720755158251348</v>
      </c>
      <c r="AK34" s="384">
        <f t="shared" si="47"/>
        <v>3.4368528230407351</v>
      </c>
      <c r="AL34" s="384">
        <f t="shared" si="47"/>
        <v>3.5028744972672197</v>
      </c>
      <c r="AM34" s="400">
        <f t="shared" si="47"/>
        <v>3.5701644426976524</v>
      </c>
      <c r="AN34" s="384">
        <f t="shared" ref="AN34" si="48">AN32*AN33</f>
        <v>3.6679621779324667</v>
      </c>
      <c r="AO34" s="384">
        <f t="shared" ref="AO34:AZ34" si="49">AO32*AO33</f>
        <v>3.7684388925730117</v>
      </c>
      <c r="AP34" s="384">
        <f t="shared" si="49"/>
        <v>3.8716679720677236</v>
      </c>
      <c r="AQ34" s="384">
        <f t="shared" si="49"/>
        <v>3.9777248121171644</v>
      </c>
      <c r="AR34" s="384">
        <f t="shared" si="49"/>
        <v>4.0866868737409821</v>
      </c>
      <c r="AS34" s="384">
        <f t="shared" si="49"/>
        <v>4.1986337398533218</v>
      </c>
      <c r="AT34" s="384">
        <f t="shared" si="49"/>
        <v>4.3136471733880146</v>
      </c>
      <c r="AU34" s="384">
        <f t="shared" si="49"/>
        <v>4.4318111770159936</v>
      </c>
      <c r="AV34" s="384">
        <f t="shared" si="49"/>
        <v>4.5532120544985455</v>
      </c>
      <c r="AW34" s="384">
        <f t="shared" si="49"/>
        <v>4.677938473721226</v>
      </c>
      <c r="AX34" s="384">
        <f t="shared" si="49"/>
        <v>4.8060815314544572</v>
      </c>
      <c r="AY34" s="400">
        <f t="shared" si="49"/>
        <v>4.9377348198881297</v>
      </c>
      <c r="AZ34" s="384">
        <f t="shared" si="49"/>
        <v>5.0490088028809508</v>
      </c>
      <c r="BA34" s="384">
        <f t="shared" ref="BA34:BK34" si="50">BA32*BA33</f>
        <v>5.1627903930545429</v>
      </c>
      <c r="BB34" s="384">
        <f t="shared" si="50"/>
        <v>5.2791361004178379</v>
      </c>
      <c r="BC34" s="384">
        <f t="shared" si="50"/>
        <v>5.3981037084571852</v>
      </c>
      <c r="BD34" s="384">
        <f t="shared" si="50"/>
        <v>5.5197523028347106</v>
      </c>
      <c r="BE34" s="384">
        <f t="shared" si="50"/>
        <v>5.6441423007334102</v>
      </c>
      <c r="BF34" s="384">
        <f t="shared" si="50"/>
        <v>5.7713354808635451</v>
      </c>
      <c r="BG34" s="384">
        <f t="shared" si="50"/>
        <v>5.9013950141452511</v>
      </c>
      <c r="BH34" s="384">
        <f t="shared" si="50"/>
        <v>6.0343854950825815</v>
      </c>
      <c r="BI34" s="384">
        <f t="shared" si="50"/>
        <v>6.1703729738445858</v>
      </c>
      <c r="BJ34" s="384">
        <f t="shared" si="50"/>
        <v>6.3094249890693535</v>
      </c>
      <c r="BK34" s="400">
        <f t="shared" si="50"/>
        <v>6.4516106014072987</v>
      </c>
    </row>
    <row r="35" spans="1:63" s="339" customFormat="1" ht="6" hidden="1" customHeight="1" outlineLevel="1">
      <c r="A35" s="854"/>
      <c r="B35" s="373"/>
      <c r="C35" s="357"/>
      <c r="D35" s="349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40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40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40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40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401"/>
    </row>
    <row r="36" spans="1:63" s="248" customFormat="1" hidden="1" outlineLevel="1">
      <c r="A36" s="860"/>
      <c r="B36" s="374" t="s">
        <v>321</v>
      </c>
      <c r="C36" s="358">
        <v>8000</v>
      </c>
      <c r="D36" s="353">
        <f>C36</f>
        <v>8000</v>
      </c>
      <c r="E36" s="249">
        <f>D36*((1+$G29/12))</f>
        <v>8020</v>
      </c>
      <c r="F36" s="249">
        <f t="shared" ref="F36:O36" si="51">E36*((1+$G29/12))</f>
        <v>8040.0499999999993</v>
      </c>
      <c r="G36" s="249">
        <f t="shared" si="51"/>
        <v>8060.1501249999992</v>
      </c>
      <c r="H36" s="249">
        <f t="shared" si="51"/>
        <v>8080.300500312499</v>
      </c>
      <c r="I36" s="249">
        <f t="shared" si="51"/>
        <v>8100.5012515632798</v>
      </c>
      <c r="J36" s="249">
        <f t="shared" si="51"/>
        <v>8120.7525046921874</v>
      </c>
      <c r="K36" s="249">
        <f t="shared" si="51"/>
        <v>8141.0543859539175</v>
      </c>
      <c r="L36" s="249">
        <f t="shared" si="51"/>
        <v>8161.4070219188015</v>
      </c>
      <c r="M36" s="249">
        <f t="shared" si="51"/>
        <v>8181.8105394735985</v>
      </c>
      <c r="N36" s="249">
        <f t="shared" si="51"/>
        <v>8202.2650658222828</v>
      </c>
      <c r="O36" s="402">
        <f t="shared" si="51"/>
        <v>8222.7707284868375</v>
      </c>
      <c r="P36" s="249">
        <f>O36*((1+$S29/12))</f>
        <v>8239.9015008378519</v>
      </c>
      <c r="Q36" s="249">
        <f t="shared" ref="Q36:AA36" si="52">P36*((1+$S29/12))</f>
        <v>8257.0679622979314</v>
      </c>
      <c r="R36" s="249">
        <f t="shared" si="52"/>
        <v>8274.2701872193866</v>
      </c>
      <c r="S36" s="249">
        <f t="shared" si="52"/>
        <v>8291.5082501094275</v>
      </c>
      <c r="T36" s="249">
        <f t="shared" si="52"/>
        <v>8308.7822256304898</v>
      </c>
      <c r="U36" s="249">
        <f t="shared" si="52"/>
        <v>8326.0921886005544</v>
      </c>
      <c r="V36" s="249">
        <f t="shared" si="52"/>
        <v>8343.4382139934733</v>
      </c>
      <c r="W36" s="249">
        <f t="shared" si="52"/>
        <v>8360.8203769392931</v>
      </c>
      <c r="X36" s="249">
        <f t="shared" si="52"/>
        <v>8378.2387527245846</v>
      </c>
      <c r="Y36" s="249">
        <f t="shared" si="52"/>
        <v>8395.6934167927611</v>
      </c>
      <c r="Z36" s="249">
        <f t="shared" si="52"/>
        <v>8413.1844447444128</v>
      </c>
      <c r="AA36" s="402">
        <f t="shared" si="52"/>
        <v>8430.7119123376306</v>
      </c>
      <c r="AB36" s="249">
        <f>AA36*((1+$AE29/12))</f>
        <v>8448.2758954883357</v>
      </c>
      <c r="AC36" s="249">
        <f t="shared" ref="AC36:AM36" si="53">AB36*((1+$AE29/12))</f>
        <v>8465.876470270603</v>
      </c>
      <c r="AD36" s="249">
        <f t="shared" si="53"/>
        <v>8483.5137129170016</v>
      </c>
      <c r="AE36" s="249">
        <f t="shared" si="53"/>
        <v>8501.1876998189127</v>
      </c>
      <c r="AF36" s="249">
        <f t="shared" si="53"/>
        <v>8518.8985075268702</v>
      </c>
      <c r="AG36" s="249">
        <f t="shared" si="53"/>
        <v>8536.6462127508858</v>
      </c>
      <c r="AH36" s="249">
        <f t="shared" si="53"/>
        <v>8554.4308923607841</v>
      </c>
      <c r="AI36" s="249">
        <f t="shared" si="53"/>
        <v>8572.2526233865374</v>
      </c>
      <c r="AJ36" s="249">
        <f t="shared" si="53"/>
        <v>8590.1114830185943</v>
      </c>
      <c r="AK36" s="249">
        <f t="shared" si="53"/>
        <v>8608.0075486082169</v>
      </c>
      <c r="AL36" s="249">
        <f t="shared" si="53"/>
        <v>8625.9408976678187</v>
      </c>
      <c r="AM36" s="402">
        <f t="shared" si="53"/>
        <v>8643.9116078712941</v>
      </c>
      <c r="AN36" s="249">
        <f>AM36*((1+$AQ29/12))</f>
        <v>8659.7587791523911</v>
      </c>
      <c r="AO36" s="249">
        <f t="shared" ref="AO36:AY36" si="54">AN36*((1+$AQ29/12))</f>
        <v>8675.6350035808373</v>
      </c>
      <c r="AP36" s="249">
        <f t="shared" si="54"/>
        <v>8691.5403344207352</v>
      </c>
      <c r="AQ36" s="249">
        <f t="shared" si="54"/>
        <v>8707.4748250338398</v>
      </c>
      <c r="AR36" s="249">
        <f t="shared" si="54"/>
        <v>8723.4385288797348</v>
      </c>
      <c r="AS36" s="249">
        <f t="shared" si="54"/>
        <v>8739.4314995160148</v>
      </c>
      <c r="AT36" s="249">
        <f t="shared" si="54"/>
        <v>8755.4537905984616</v>
      </c>
      <c r="AU36" s="249">
        <f t="shared" si="54"/>
        <v>8771.5054558812262</v>
      </c>
      <c r="AV36" s="249">
        <f t="shared" si="54"/>
        <v>8787.5865492170087</v>
      </c>
      <c r="AW36" s="249">
        <f t="shared" si="54"/>
        <v>8803.6971245572404</v>
      </c>
      <c r="AX36" s="249">
        <f t="shared" si="54"/>
        <v>8819.8372359522618</v>
      </c>
      <c r="AY36" s="402">
        <f t="shared" si="54"/>
        <v>8836.0069375515086</v>
      </c>
      <c r="AZ36" s="249">
        <f>AY36*((1+$BC29/12))</f>
        <v>8850.7336157807622</v>
      </c>
      <c r="BA36" s="249">
        <f t="shared" ref="BA36:BK36" si="55">AZ36*((1+$BC29/12))</f>
        <v>8865.4848384737306</v>
      </c>
      <c r="BB36" s="249">
        <f t="shared" si="55"/>
        <v>8880.260646537854</v>
      </c>
      <c r="BC36" s="249">
        <f t="shared" si="55"/>
        <v>8895.0610809487516</v>
      </c>
      <c r="BD36" s="249">
        <f t="shared" si="55"/>
        <v>8909.8861827503333</v>
      </c>
      <c r="BE36" s="249">
        <f t="shared" si="55"/>
        <v>8924.7359930549173</v>
      </c>
      <c r="BF36" s="249">
        <f t="shared" si="55"/>
        <v>8939.6105530433433</v>
      </c>
      <c r="BG36" s="249">
        <f t="shared" si="55"/>
        <v>8954.5099039650831</v>
      </c>
      <c r="BH36" s="249">
        <f t="shared" si="55"/>
        <v>8969.4340871383592</v>
      </c>
      <c r="BI36" s="249">
        <f t="shared" si="55"/>
        <v>8984.3831439502574</v>
      </c>
      <c r="BJ36" s="249">
        <f t="shared" si="55"/>
        <v>8999.3571158568411</v>
      </c>
      <c r="BK36" s="402">
        <f t="shared" si="55"/>
        <v>9014.3560443832703</v>
      </c>
    </row>
    <row r="37" spans="1:63" s="334" customFormat="1" hidden="1" outlineLevel="1">
      <c r="A37" s="861"/>
      <c r="B37" s="372" t="s">
        <v>261</v>
      </c>
      <c r="C37" s="359">
        <f>C36*C34</f>
        <v>32000</v>
      </c>
      <c r="D37" s="354">
        <f>D36*D34</f>
        <v>2666.666666666667</v>
      </c>
      <c r="E37" s="335">
        <f t="shared" ref="E37:P37" si="56">E36*E34</f>
        <v>3042.4150019290132</v>
      </c>
      <c r="F37" s="335">
        <f t="shared" si="56"/>
        <v>3471.1083914860183</v>
      </c>
      <c r="G37" s="335">
        <f t="shared" si="56"/>
        <v>3960.2070913420303</v>
      </c>
      <c r="H37" s="335">
        <f t="shared" si="56"/>
        <v>4518.2225495417451</v>
      </c>
      <c r="I37" s="335">
        <f t="shared" si="56"/>
        <v>5154.8655250424081</v>
      </c>
      <c r="J37" s="335">
        <f t="shared" si="56"/>
        <v>5881.2150773683879</v>
      </c>
      <c r="K37" s="335">
        <f t="shared" si="56"/>
        <v>6709.9113678587546</v>
      </c>
      <c r="L37" s="335">
        <f t="shared" si="56"/>
        <v>7655.3756276953109</v>
      </c>
      <c r="M37" s="335">
        <f t="shared" si="56"/>
        <v>8734.0611206632329</v>
      </c>
      <c r="N37" s="335">
        <f t="shared" si="56"/>
        <v>9964.7394679765293</v>
      </c>
      <c r="O37" s="403">
        <f t="shared" si="56"/>
        <v>11368.827317882218</v>
      </c>
      <c r="P37" s="335">
        <f t="shared" si="56"/>
        <v>12097.299340523003</v>
      </c>
      <c r="Q37" s="335">
        <f t="shared" ref="Q37" si="57">Q36*Q34</f>
        <v>12872.449131497522</v>
      </c>
      <c r="R37" s="335">
        <f t="shared" ref="R37" si="58">R36*R34</f>
        <v>13697.267627985109</v>
      </c>
      <c r="S37" s="335">
        <f t="shared" ref="S37" si="59">S36*S34</f>
        <v>14574.93741525646</v>
      </c>
      <c r="T37" s="335">
        <f t="shared" ref="T37" si="60">T36*T34</f>
        <v>15508.845006768064</v>
      </c>
      <c r="U37" s="335">
        <f t="shared" ref="U37" si="61">U36*U34</f>
        <v>16502.593911119202</v>
      </c>
      <c r="V37" s="335">
        <f t="shared" ref="V37" si="62">V36*V34</f>
        <v>17560.01853629082</v>
      </c>
      <c r="W37" s="335">
        <f t="shared" ref="W37" si="63">W36*W34</f>
        <v>18685.198984816121</v>
      </c>
      <c r="X37" s="335">
        <f t="shared" ref="X37" si="64">X36*X34</f>
        <v>19882.476796970463</v>
      </c>
      <c r="Y37" s="335">
        <f t="shared" ref="Y37" si="65">Y36*Y34</f>
        <v>21156.471702726107</v>
      </c>
      <c r="Z37" s="335">
        <f t="shared" ref="Z37" si="66">Z36*Z34</f>
        <v>22512.099447109711</v>
      </c>
      <c r="AA37" s="403">
        <f t="shared" ref="AA37" si="67">AA36*AA34</f>
        <v>23954.590757742204</v>
      </c>
      <c r="AB37" s="335">
        <f t="shared" ref="AB37" si="68">AB36*AB34</f>
        <v>24465.620650943423</v>
      </c>
      <c r="AC37" s="335">
        <f t="shared" ref="AC37" si="69">AC36*AC34</f>
        <v>24987.55248583866</v>
      </c>
      <c r="AD37" s="335">
        <f t="shared" ref="AD37" si="70">AD36*AD34</f>
        <v>25520.618836557707</v>
      </c>
      <c r="AE37" s="335">
        <f t="shared" ref="AE37" si="71">AE36*AE34</f>
        <v>26065.057238798403</v>
      </c>
      <c r="AF37" s="335">
        <f t="shared" ref="AF37" si="72">AF36*AF34</f>
        <v>26621.11029567317</v>
      </c>
      <c r="AG37" s="335">
        <f t="shared" ref="AG37" si="73">AG36*AG34</f>
        <v>27189.025785813559</v>
      </c>
      <c r="AH37" s="335">
        <f t="shared" ref="AH37" si="74">AH36*AH34</f>
        <v>27769.056773781016</v>
      </c>
      <c r="AI37" s="335">
        <f t="shared" ref="AI37" si="75">AI36*AI34</f>
        <v>28361.461722833097</v>
      </c>
      <c r="AJ37" s="335">
        <f t="shared" ref="AJ37" si="76">AJ36*AJ34</f>
        <v>28966.50461009534</v>
      </c>
      <c r="AK37" s="335">
        <f t="shared" ref="AK37" si="77">AK36*AK34</f>
        <v>29584.455044190108</v>
      </c>
      <c r="AL37" s="335">
        <f t="shared" ref="AL37" si="78">AL36*AL34</f>
        <v>30215.588385374911</v>
      </c>
      <c r="AM37" s="403">
        <f t="shared" ref="AM37" si="79">AM36*AM34</f>
        <v>30860.185868243589</v>
      </c>
      <c r="AN37" s="335">
        <f t="shared" ref="AN37" si="80">AN36*AN34</f>
        <v>31763.667671949603</v>
      </c>
      <c r="AO37" s="335">
        <f t="shared" ref="AO37" si="81">AO36*AO34</f>
        <v>32693.600365261827</v>
      </c>
      <c r="AP37" s="335">
        <f t="shared" ref="AP37" si="82">AP36*AP34</f>
        <v>33650.758340711553</v>
      </c>
      <c r="AQ37" s="335">
        <f t="shared" ref="AQ37" si="83">AQ36*AQ34</f>
        <v>34635.938662422668</v>
      </c>
      <c r="AR37" s="335">
        <f t="shared" ref="AR37" si="84">AR36*AR34</f>
        <v>35649.961729859155</v>
      </c>
      <c r="AS37" s="335">
        <f t="shared" ref="AS37" si="85">AS36*AS34</f>
        <v>36693.671961004846</v>
      </c>
      <c r="AT37" s="335">
        <f t="shared" ref="AT37" si="86">AT36*AT34</f>
        <v>37767.938495544433</v>
      </c>
      <c r="AU37" s="335">
        <f t="shared" ref="AU37" si="87">AU36*AU34</f>
        <v>38873.655918631186</v>
      </c>
      <c r="AV37" s="335">
        <f t="shared" ref="AV37" si="88">AV36*AV34</f>
        <v>40011.745005844161</v>
      </c>
      <c r="AW37" s="335">
        <f t="shared" ref="AW37" si="89">AW36*AW34</f>
        <v>41183.153489955243</v>
      </c>
      <c r="AX37" s="335">
        <f t="shared" ref="AX37" si="90">AX36*AX34</f>
        <v>42388.85685014449</v>
      </c>
      <c r="AY37" s="403">
        <f t="shared" ref="AY37:AZ37" si="91">AY36*AY34</f>
        <v>43629.859124321163</v>
      </c>
      <c r="AZ37" s="335">
        <f t="shared" si="91"/>
        <v>44687.431938031412</v>
      </c>
      <c r="BA37" s="335">
        <f t="shared" ref="BA37" si="92">BA36*BA34</f>
        <v>45770.639953842881</v>
      </c>
      <c r="BB37" s="335">
        <f t="shared" ref="BB37" si="93">BB36*BB34</f>
        <v>46880.104560257831</v>
      </c>
      <c r="BC37" s="335">
        <f t="shared" ref="BC37" si="94">BC36*BC34</f>
        <v>48016.462208022633</v>
      </c>
      <c r="BD37" s="335">
        <f t="shared" ref="BD37" si="95">BD36*BD34</f>
        <v>49180.364775231319</v>
      </c>
      <c r="BE37" s="335">
        <f t="shared" ref="BE37" si="96">BE36*BE34</f>
        <v>50372.479941279256</v>
      </c>
      <c r="BF37" s="335">
        <f t="shared" ref="BF37" si="97">BF36*BF34</f>
        <v>51593.491569881226</v>
      </c>
      <c r="BG37" s="335">
        <f t="shared" ref="BG37" si="98">BG36*BG34</f>
        <v>52844.100101373813</v>
      </c>
      <c r="BH37" s="335">
        <f t="shared" ref="BH37" si="99">BH36*BH34</f>
        <v>54125.02295452699</v>
      </c>
      <c r="BI37" s="335">
        <f t="shared" ref="BI37" si="100">BI36*BI34</f>
        <v>55436.994938095522</v>
      </c>
      <c r="BJ37" s="335">
        <f t="shared" ref="BJ37" si="101">BJ36*BJ34</f>
        <v>56780.768672346261</v>
      </c>
      <c r="BK37" s="403">
        <f t="shared" ref="BK37" si="102">BK36*BK34</f>
        <v>58157.115020803067</v>
      </c>
    </row>
    <row r="38" spans="1:63" s="339" customFormat="1" ht="6" hidden="1" customHeight="1" outlineLevel="1">
      <c r="A38" s="854"/>
      <c r="B38" s="373"/>
      <c r="C38" s="360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40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40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40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40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401"/>
    </row>
    <row r="39" spans="1:63" s="248" customFormat="1" hidden="1" outlineLevel="1">
      <c r="A39" s="860"/>
      <c r="B39" s="374" t="s">
        <v>346</v>
      </c>
      <c r="C39" s="358">
        <v>4000</v>
      </c>
      <c r="D39" s="353">
        <f>C39/12</f>
        <v>333.33333333333331</v>
      </c>
      <c r="E39" s="249">
        <f>D39*(1+($I29/12))</f>
        <v>341.66666666666663</v>
      </c>
      <c r="F39" s="249">
        <f t="shared" ref="F39:O39" si="103">E39*(1+($I29/12))</f>
        <v>350.20833333333326</v>
      </c>
      <c r="G39" s="249">
        <f t="shared" si="103"/>
        <v>358.96354166666657</v>
      </c>
      <c r="H39" s="249">
        <f t="shared" si="103"/>
        <v>367.93763020833319</v>
      </c>
      <c r="I39" s="249">
        <f t="shared" si="103"/>
        <v>377.1360709635415</v>
      </c>
      <c r="J39" s="249">
        <f t="shared" si="103"/>
        <v>386.56447273763001</v>
      </c>
      <c r="K39" s="249">
        <f t="shared" si="103"/>
        <v>396.2285845560707</v>
      </c>
      <c r="L39" s="249">
        <f t="shared" si="103"/>
        <v>406.13429916997245</v>
      </c>
      <c r="M39" s="249">
        <f t="shared" si="103"/>
        <v>416.28765664922173</v>
      </c>
      <c r="N39" s="249">
        <f t="shared" si="103"/>
        <v>426.69484806545222</v>
      </c>
      <c r="O39" s="402">
        <f t="shared" si="103"/>
        <v>437.36221926708851</v>
      </c>
      <c r="P39" s="249">
        <f>O39*(1+($U29/12))</f>
        <v>445.56276087834641</v>
      </c>
      <c r="Q39" s="249">
        <f t="shared" ref="Q39:AA39" si="104">P39*(1+($U29/12))</f>
        <v>453.91706264481542</v>
      </c>
      <c r="R39" s="249">
        <f t="shared" si="104"/>
        <v>462.42800756940574</v>
      </c>
      <c r="S39" s="249">
        <f t="shared" si="104"/>
        <v>471.0985327113321</v>
      </c>
      <c r="T39" s="249">
        <f t="shared" si="104"/>
        <v>479.9316301996696</v>
      </c>
      <c r="U39" s="249">
        <f t="shared" si="104"/>
        <v>488.93034826591344</v>
      </c>
      <c r="V39" s="249">
        <f t="shared" si="104"/>
        <v>498.09779229589935</v>
      </c>
      <c r="W39" s="249">
        <f t="shared" si="104"/>
        <v>507.43712590144747</v>
      </c>
      <c r="X39" s="249">
        <f t="shared" si="104"/>
        <v>516.95157201209963</v>
      </c>
      <c r="Y39" s="249">
        <f t="shared" si="104"/>
        <v>526.64441398732652</v>
      </c>
      <c r="Z39" s="249">
        <f t="shared" si="104"/>
        <v>536.51899674958895</v>
      </c>
      <c r="AA39" s="402">
        <f t="shared" si="104"/>
        <v>546.57872793864374</v>
      </c>
      <c r="AB39" s="249">
        <f>AA39*(1+($AG29/12))</f>
        <v>552.04451521803014</v>
      </c>
      <c r="AC39" s="249">
        <f t="shared" ref="AC39:AM39" si="105">AB39*(1+($AG29/12))</f>
        <v>557.56496037021043</v>
      </c>
      <c r="AD39" s="249">
        <f t="shared" si="105"/>
        <v>563.14060997391255</v>
      </c>
      <c r="AE39" s="249">
        <f t="shared" si="105"/>
        <v>568.77201607365168</v>
      </c>
      <c r="AF39" s="249">
        <f t="shared" si="105"/>
        <v>574.45973623438817</v>
      </c>
      <c r="AG39" s="249">
        <f t="shared" si="105"/>
        <v>580.20433359673211</v>
      </c>
      <c r="AH39" s="249">
        <f t="shared" si="105"/>
        <v>586.00637693269948</v>
      </c>
      <c r="AI39" s="249">
        <f t="shared" si="105"/>
        <v>591.86644070202647</v>
      </c>
      <c r="AJ39" s="249">
        <f t="shared" si="105"/>
        <v>597.78510510904675</v>
      </c>
      <c r="AK39" s="249">
        <f t="shared" si="105"/>
        <v>603.76295616013726</v>
      </c>
      <c r="AL39" s="249">
        <f t="shared" si="105"/>
        <v>609.80058572173868</v>
      </c>
      <c r="AM39" s="402">
        <f t="shared" si="105"/>
        <v>615.89859157895603</v>
      </c>
      <c r="AN39" s="249">
        <f>AM39*(1+($AS29/12))</f>
        <v>618.9780845368507</v>
      </c>
      <c r="AO39" s="249">
        <f t="shared" ref="AO39:AY39" si="106">AN39*(1+($AS29/12))</f>
        <v>622.07297495953492</v>
      </c>
      <c r="AP39" s="249">
        <f t="shared" si="106"/>
        <v>625.18333983433251</v>
      </c>
      <c r="AQ39" s="249">
        <f t="shared" si="106"/>
        <v>628.30925653350414</v>
      </c>
      <c r="AR39" s="249">
        <f t="shared" si="106"/>
        <v>631.45080281617163</v>
      </c>
      <c r="AS39" s="249">
        <f t="shared" si="106"/>
        <v>634.60805683025239</v>
      </c>
      <c r="AT39" s="249">
        <f t="shared" si="106"/>
        <v>637.78109711440356</v>
      </c>
      <c r="AU39" s="249">
        <f t="shared" si="106"/>
        <v>640.97000259997549</v>
      </c>
      <c r="AV39" s="249">
        <f t="shared" si="106"/>
        <v>644.17485261297531</v>
      </c>
      <c r="AW39" s="249">
        <f t="shared" si="106"/>
        <v>647.39572687604016</v>
      </c>
      <c r="AX39" s="249">
        <f t="shared" si="106"/>
        <v>650.63270551042024</v>
      </c>
      <c r="AY39" s="402">
        <f t="shared" si="106"/>
        <v>653.88586903797227</v>
      </c>
      <c r="AZ39" s="249">
        <f>AY39*(1+($BES29/12))</f>
        <v>653.88586903797227</v>
      </c>
      <c r="BA39" s="249">
        <f t="shared" ref="BA39:BK39" si="107">AZ39*(1+($BES29/12))</f>
        <v>653.88586903797227</v>
      </c>
      <c r="BB39" s="249">
        <f t="shared" si="107"/>
        <v>653.88586903797227</v>
      </c>
      <c r="BC39" s="249">
        <f t="shared" si="107"/>
        <v>653.88586903797227</v>
      </c>
      <c r="BD39" s="249">
        <f t="shared" si="107"/>
        <v>653.88586903797227</v>
      </c>
      <c r="BE39" s="249">
        <f t="shared" si="107"/>
        <v>653.88586903797227</v>
      </c>
      <c r="BF39" s="249">
        <f t="shared" si="107"/>
        <v>653.88586903797227</v>
      </c>
      <c r="BG39" s="249">
        <f t="shared" si="107"/>
        <v>653.88586903797227</v>
      </c>
      <c r="BH39" s="249">
        <f t="shared" si="107"/>
        <v>653.88586903797227</v>
      </c>
      <c r="BI39" s="249">
        <f t="shared" si="107"/>
        <v>653.88586903797227</v>
      </c>
      <c r="BJ39" s="249">
        <f t="shared" si="107"/>
        <v>653.88586903797227</v>
      </c>
      <c r="BK39" s="402">
        <f t="shared" si="107"/>
        <v>653.88586903797227</v>
      </c>
    </row>
    <row r="40" spans="1:63" s="54" customFormat="1" hidden="1" outlineLevel="1">
      <c r="A40" s="857"/>
      <c r="B40" s="370" t="s">
        <v>345</v>
      </c>
      <c r="C40" s="361">
        <v>0.18</v>
      </c>
      <c r="D40" s="355">
        <f>M29</f>
        <v>0.18</v>
      </c>
      <c r="E40" s="169">
        <f>D40</f>
        <v>0.18</v>
      </c>
      <c r="F40" s="169">
        <f t="shared" ref="F40:O40" si="108">E40</f>
        <v>0.18</v>
      </c>
      <c r="G40" s="169">
        <f t="shared" si="108"/>
        <v>0.18</v>
      </c>
      <c r="H40" s="169">
        <f t="shared" si="108"/>
        <v>0.18</v>
      </c>
      <c r="I40" s="169">
        <f t="shared" si="108"/>
        <v>0.18</v>
      </c>
      <c r="J40" s="169">
        <f t="shared" si="108"/>
        <v>0.18</v>
      </c>
      <c r="K40" s="169">
        <f t="shared" si="108"/>
        <v>0.18</v>
      </c>
      <c r="L40" s="169">
        <f t="shared" si="108"/>
        <v>0.18</v>
      </c>
      <c r="M40" s="169">
        <f t="shared" si="108"/>
        <v>0.18</v>
      </c>
      <c r="N40" s="169">
        <f t="shared" si="108"/>
        <v>0.18</v>
      </c>
      <c r="O40" s="405">
        <f t="shared" si="108"/>
        <v>0.18</v>
      </c>
      <c r="P40" s="169">
        <f>$Y29</f>
        <v>0.18</v>
      </c>
      <c r="Q40" s="169">
        <f t="shared" ref="Q40:AA40" si="109">$Y29</f>
        <v>0.18</v>
      </c>
      <c r="R40" s="169">
        <f t="shared" si="109"/>
        <v>0.18</v>
      </c>
      <c r="S40" s="169">
        <f t="shared" si="109"/>
        <v>0.18</v>
      </c>
      <c r="T40" s="169">
        <f t="shared" si="109"/>
        <v>0.18</v>
      </c>
      <c r="U40" s="169">
        <f t="shared" si="109"/>
        <v>0.18</v>
      </c>
      <c r="V40" s="169">
        <f t="shared" si="109"/>
        <v>0.18</v>
      </c>
      <c r="W40" s="169">
        <f t="shared" si="109"/>
        <v>0.18</v>
      </c>
      <c r="X40" s="169">
        <f t="shared" si="109"/>
        <v>0.18</v>
      </c>
      <c r="Y40" s="169">
        <f t="shared" si="109"/>
        <v>0.18</v>
      </c>
      <c r="Z40" s="169">
        <f t="shared" si="109"/>
        <v>0.18</v>
      </c>
      <c r="AA40" s="405">
        <f t="shared" si="109"/>
        <v>0.18</v>
      </c>
      <c r="AB40" s="169">
        <f>$AK29</f>
        <v>0.18</v>
      </c>
      <c r="AC40" s="169">
        <f t="shared" ref="AC40:AM40" si="110">$AK29</f>
        <v>0.18</v>
      </c>
      <c r="AD40" s="169">
        <f t="shared" si="110"/>
        <v>0.18</v>
      </c>
      <c r="AE40" s="169">
        <f t="shared" si="110"/>
        <v>0.18</v>
      </c>
      <c r="AF40" s="169">
        <f t="shared" si="110"/>
        <v>0.18</v>
      </c>
      <c r="AG40" s="169">
        <f t="shared" si="110"/>
        <v>0.18</v>
      </c>
      <c r="AH40" s="169">
        <f t="shared" si="110"/>
        <v>0.18</v>
      </c>
      <c r="AI40" s="169">
        <f t="shared" si="110"/>
        <v>0.18</v>
      </c>
      <c r="AJ40" s="169">
        <f t="shared" si="110"/>
        <v>0.18</v>
      </c>
      <c r="AK40" s="169">
        <f t="shared" si="110"/>
        <v>0.18</v>
      </c>
      <c r="AL40" s="169">
        <f t="shared" si="110"/>
        <v>0.18</v>
      </c>
      <c r="AM40" s="405">
        <f t="shared" si="110"/>
        <v>0.18</v>
      </c>
      <c r="AN40" s="169">
        <f>$AW29</f>
        <v>0.18</v>
      </c>
      <c r="AO40" s="169">
        <f t="shared" ref="AO40:AY40" si="111">$AW29</f>
        <v>0.18</v>
      </c>
      <c r="AP40" s="169">
        <f t="shared" si="111"/>
        <v>0.18</v>
      </c>
      <c r="AQ40" s="169">
        <f t="shared" si="111"/>
        <v>0.18</v>
      </c>
      <c r="AR40" s="169">
        <f t="shared" si="111"/>
        <v>0.18</v>
      </c>
      <c r="AS40" s="169">
        <f t="shared" si="111"/>
        <v>0.18</v>
      </c>
      <c r="AT40" s="169">
        <f t="shared" si="111"/>
        <v>0.18</v>
      </c>
      <c r="AU40" s="169">
        <f t="shared" si="111"/>
        <v>0.18</v>
      </c>
      <c r="AV40" s="169">
        <f t="shared" si="111"/>
        <v>0.18</v>
      </c>
      <c r="AW40" s="169">
        <f t="shared" si="111"/>
        <v>0.18</v>
      </c>
      <c r="AX40" s="169">
        <f t="shared" si="111"/>
        <v>0.18</v>
      </c>
      <c r="AY40" s="405">
        <f t="shared" si="111"/>
        <v>0.18</v>
      </c>
      <c r="AZ40" s="169">
        <f>$BI29</f>
        <v>0.18</v>
      </c>
      <c r="BA40" s="169">
        <f t="shared" ref="BA40:BK40" si="112">$BI29</f>
        <v>0.18</v>
      </c>
      <c r="BB40" s="169">
        <f t="shared" si="112"/>
        <v>0.18</v>
      </c>
      <c r="BC40" s="169">
        <f t="shared" si="112"/>
        <v>0.18</v>
      </c>
      <c r="BD40" s="169">
        <f t="shared" si="112"/>
        <v>0.18</v>
      </c>
      <c r="BE40" s="169">
        <f t="shared" si="112"/>
        <v>0.18</v>
      </c>
      <c r="BF40" s="169">
        <f t="shared" si="112"/>
        <v>0.18</v>
      </c>
      <c r="BG40" s="169">
        <f t="shared" si="112"/>
        <v>0.18</v>
      </c>
      <c r="BH40" s="169">
        <f t="shared" si="112"/>
        <v>0.18</v>
      </c>
      <c r="BI40" s="169">
        <f t="shared" si="112"/>
        <v>0.18</v>
      </c>
      <c r="BJ40" s="169">
        <f t="shared" si="112"/>
        <v>0.18</v>
      </c>
      <c r="BK40" s="405">
        <f t="shared" si="112"/>
        <v>0.18</v>
      </c>
    </row>
    <row r="41" spans="1:63" s="336" customFormat="1" ht="19.5" hidden="1" outlineLevel="1" thickBot="1">
      <c r="A41" s="862"/>
      <c r="B41" s="375" t="s">
        <v>300</v>
      </c>
      <c r="C41" s="362">
        <f>C40*'Prg. HR'!D38*12</f>
        <v>13608</v>
      </c>
      <c r="D41" s="351">
        <f>D40*'Prg. HR'!D$38</f>
        <v>1134</v>
      </c>
      <c r="E41" s="337">
        <f>E40*'Prg. HR'!E$38</f>
        <v>1116.99</v>
      </c>
      <c r="F41" s="337">
        <f>F40*'Prg. HR'!F$38</f>
        <v>1100.23515</v>
      </c>
      <c r="G41" s="337">
        <f>G40*'Prg. HR'!G$38</f>
        <v>1499.53162275</v>
      </c>
      <c r="H41" s="337">
        <f>H40*'Prg. HR'!H$38</f>
        <v>1483.2756484087499</v>
      </c>
      <c r="I41" s="337">
        <f>I40*'Prg. HR'!I$38</f>
        <v>1467.2635136826188</v>
      </c>
      <c r="J41" s="337">
        <f>J40*'Prg. HR'!J$38</f>
        <v>1451.4915609773793</v>
      </c>
      <c r="K41" s="337">
        <f>K40*'Prg. HR'!K$38</f>
        <v>1750.9561875627187</v>
      </c>
      <c r="L41" s="337">
        <f>L40*'Prg. HR'!L$38</f>
        <v>1761.9038447492778</v>
      </c>
      <c r="M41" s="337">
        <f>M40*'Prg. HR'!M$38</f>
        <v>1749.0185370780387</v>
      </c>
      <c r="N41" s="337">
        <f>N40*'Prg. HR'!N$38</f>
        <v>1734.3541131885349</v>
      </c>
      <c r="O41" s="406">
        <f>O40*'Prg. HR'!O$38</f>
        <v>1719.7452893379291</v>
      </c>
      <c r="P41" s="337">
        <f>P40*'Prg. HR'!P$38</f>
        <v>1676.7056520985543</v>
      </c>
      <c r="Q41" s="337">
        <f>Q40*'Prg. HR'!Q$38</f>
        <v>1688.7670673170762</v>
      </c>
      <c r="R41" s="337">
        <f>R40*'Prg. HR'!R$38</f>
        <v>1676.9788113073198</v>
      </c>
      <c r="S41" s="337">
        <f>S40*'Prg. HR'!S$38</f>
        <v>1663.3949833043769</v>
      </c>
      <c r="T41" s="337">
        <f>T40*'Prg. HR'!T$38</f>
        <v>1649.8505464020334</v>
      </c>
      <c r="U41" s="337">
        <f>U40*'Prg. HR'!U$38</f>
        <v>2486.9955788599382</v>
      </c>
      <c r="V41" s="337">
        <f>V40*'Prg. HR'!V$38</f>
        <v>2473.8397943982</v>
      </c>
      <c r="W41" s="337">
        <f>W40*'Prg. HR'!W$38</f>
        <v>2460.8812515839904</v>
      </c>
      <c r="X41" s="337">
        <f>X40*'Prg. HR'!X$38</f>
        <v>2448.1170789853777</v>
      </c>
      <c r="Y41" s="337">
        <f>Y40*'Prg. HR'!Y$38</f>
        <v>2435.5443683151921</v>
      </c>
      <c r="Z41" s="337">
        <f>Z40*'Prg. HR'!Z$38</f>
        <v>2423.1602482500143</v>
      </c>
      <c r="AA41" s="406">
        <f>AA40*'Prg. HR'!AA$38</f>
        <v>2754.5982536175516</v>
      </c>
      <c r="AB41" s="337">
        <f>AB40*'Prg. HR'!AB$38</f>
        <v>3187.6197045730983</v>
      </c>
      <c r="AC41" s="337">
        <f>AC40*'Prg. HR'!AC$38</f>
        <v>3159.1164466171804</v>
      </c>
      <c r="AD41" s="337">
        <f>AD40*'Prg. HR'!AD$38</f>
        <v>3124.5610788317772</v>
      </c>
      <c r="AE41" s="337">
        <f>AE40*'Prg. HR'!AE$38</f>
        <v>3090.4872673144318</v>
      </c>
      <c r="AF41" s="337">
        <f>AF40*'Prg. HR'!AF$38</f>
        <v>3057.9094443527501</v>
      </c>
      <c r="AG41" s="337">
        <f>AG40*'Prg. HR'!AG$38</f>
        <v>3026.9258955357859</v>
      </c>
      <c r="AH41" s="337">
        <f>AH40*'Prg. HR'!AH$38</f>
        <v>2997.4857546591088</v>
      </c>
      <c r="AI41" s="337">
        <f>AI40*'Prg. HR'!AI$38</f>
        <v>3347.5166387836166</v>
      </c>
      <c r="AJ41" s="337">
        <f>AJ40*'Prg. HR'!AJ$38</f>
        <v>3415.445849808802</v>
      </c>
      <c r="AK41" s="337">
        <f>AK40*'Prg. HR'!AK$38</f>
        <v>3413.8285680594531</v>
      </c>
      <c r="AL41" s="337">
        <f>AL40*'Prg. HR'!AL$38</f>
        <v>3811.5546423417536</v>
      </c>
      <c r="AM41" s="406">
        <f>AM40*'Prg. HR'!AM$38</f>
        <v>3790.2500358959842</v>
      </c>
      <c r="AN41" s="337">
        <f>AN40*'Prg. HR'!AN$38</f>
        <v>4199.5180811639939</v>
      </c>
      <c r="AO41" s="337">
        <f>AO40*'Prg. HR'!AO$38</f>
        <v>4109.0264349495956</v>
      </c>
      <c r="AP41" s="337">
        <f>AP40*'Prg. HR'!AP$38</f>
        <v>4077.8391561760832</v>
      </c>
      <c r="AQ41" s="337">
        <f>AQ40*'Prg. HR'!AQ$38</f>
        <v>4057.3412055296062</v>
      </c>
      <c r="AR41" s="337">
        <f>AR40*'Prg. HR'!AR$38</f>
        <v>4417.4221888730472</v>
      </c>
      <c r="AS41" s="337">
        <f>AS40*'Prg. HR'!AS$38</f>
        <v>4910.9030903343755</v>
      </c>
      <c r="AT41" s="337">
        <f>AT40*'Prg. HR'!AT$38</f>
        <v>4918.6009385439011</v>
      </c>
      <c r="AU41" s="337">
        <f>AU40*'Prg. HR'!AU$38</f>
        <v>4909.3891422982679</v>
      </c>
      <c r="AV41" s="337">
        <f>AV40*'Prg. HR'!AV$38</f>
        <v>4896.5067478537449</v>
      </c>
      <c r="AW41" s="337">
        <f>AW40*'Prg. HR'!AW$38</f>
        <v>4883.2356761286546</v>
      </c>
      <c r="AX41" s="337">
        <f>AX40*'Prg. HR'!AX$38</f>
        <v>5720.869958739122</v>
      </c>
      <c r="AY41" s="406">
        <f>AY40*'Prg. HR'!AY$38</f>
        <v>6544.3804159058873</v>
      </c>
      <c r="AZ41" s="337">
        <f>AZ40*'Prg. HR'!AZ$38</f>
        <v>6672.6927134784992</v>
      </c>
      <c r="BA41" s="337">
        <f>BA40*'Prg. HR'!BA$38</f>
        <v>6708.251850593877</v>
      </c>
      <c r="BB41" s="337">
        <f>BB40*'Prg. HR'!BB$38</f>
        <v>6713.2538489939507</v>
      </c>
      <c r="BC41" s="337">
        <f>BC40*'Prg. HR'!BC$38</f>
        <v>6708.4126868541753</v>
      </c>
      <c r="BD41" s="337">
        <f>BD40*'Prg. HR'!BD$38</f>
        <v>7116.4158959481092</v>
      </c>
      <c r="BE41" s="337">
        <f>BE40*'Prg. HR'!BE$38</f>
        <v>8430.8710289882929</v>
      </c>
      <c r="BF41" s="337">
        <f>BF40*'Prg. HR'!BF$38</f>
        <v>8619.3595308045406</v>
      </c>
      <c r="BG41" s="337">
        <f>BG40*'Prg. HR'!BG$38</f>
        <v>8693.3115764583399</v>
      </c>
      <c r="BH41" s="337">
        <f>BH40*'Prg. HR'!BH$38</f>
        <v>9135.5693402162669</v>
      </c>
      <c r="BI41" s="337">
        <f>BI40*'Prg. HR'!BI$38</f>
        <v>9680.4189233315319</v>
      </c>
      <c r="BJ41" s="337">
        <f>BJ40*'Prg. HR'!BJ$38</f>
        <v>9949.5270022279947</v>
      </c>
      <c r="BK41" s="406">
        <f>BK40*'Prg. HR'!BK$38</f>
        <v>10931.430164648114</v>
      </c>
    </row>
    <row r="42" spans="1:63" s="54" customFormat="1" hidden="1" outlineLevel="1">
      <c r="A42" s="857"/>
      <c r="B42" s="192" t="s">
        <v>386</v>
      </c>
      <c r="C42" s="1207">
        <f>(C39+C41)/C30</f>
        <v>586.93333333333328</v>
      </c>
      <c r="D42" s="368">
        <f t="shared" ref="D42:BK42" si="113">(D39+D41)/D30</f>
        <v>586.93333333333328</v>
      </c>
      <c r="E42" s="1208">
        <f t="shared" si="113"/>
        <v>514.82000000000005</v>
      </c>
      <c r="F42" s="1208">
        <f t="shared" si="113"/>
        <v>451.69520242214531</v>
      </c>
      <c r="G42" s="1208">
        <f t="shared" si="113"/>
        <v>510.67951800580096</v>
      </c>
      <c r="H42" s="1208">
        <f t="shared" si="113"/>
        <v>448.83405241790615</v>
      </c>
      <c r="I42" s="1208">
        <f t="shared" si="113"/>
        <v>394.57239273833306</v>
      </c>
      <c r="J42" s="1208">
        <f t="shared" si="113"/>
        <v>346.95469140301634</v>
      </c>
      <c r="K42" s="1208">
        <f t="shared" si="113"/>
        <v>357.6232729823484</v>
      </c>
      <c r="L42" s="1208">
        <f t="shared" si="113"/>
        <v>318.61455508960552</v>
      </c>
      <c r="M42" s="1208">
        <f t="shared" si="113"/>
        <v>280.77623656403466</v>
      </c>
      <c r="N42" s="1208">
        <f t="shared" si="113"/>
        <v>247.25664643912211</v>
      </c>
      <c r="O42" s="1209">
        <f t="shared" si="113"/>
        <v>217.76972180792319</v>
      </c>
      <c r="P42" s="1208">
        <f t="shared" si="113"/>
        <v>202.44336201946075</v>
      </c>
      <c r="Q42" s="1208">
        <f t="shared" si="113"/>
        <v>193.12518328440231</v>
      </c>
      <c r="R42" s="1208">
        <f t="shared" si="113"/>
        <v>182.20137778846563</v>
      </c>
      <c r="S42" s="1208">
        <f t="shared" si="113"/>
        <v>171.76340703802708</v>
      </c>
      <c r="T42" s="1208">
        <f t="shared" si="113"/>
        <v>161.93790612268799</v>
      </c>
      <c r="U42" s="1208">
        <f t="shared" si="113"/>
        <v>213.80259566451321</v>
      </c>
      <c r="V42" s="1208">
        <f t="shared" si="113"/>
        <v>201.74745552963998</v>
      </c>
      <c r="W42" s="1208">
        <f t="shared" si="113"/>
        <v>190.39537189657139</v>
      </c>
      <c r="X42" s="1208">
        <f t="shared" si="113"/>
        <v>179.70418233445577</v>
      </c>
      <c r="Y42" s="1208">
        <f t="shared" si="113"/>
        <v>169.63430728206393</v>
      </c>
      <c r="Z42" s="1208">
        <f t="shared" si="113"/>
        <v>160.14859347361883</v>
      </c>
      <c r="AA42" s="1209">
        <f t="shared" si="113"/>
        <v>168.78148944402523</v>
      </c>
      <c r="AB42" s="1208">
        <f t="shared" si="113"/>
        <v>188.0658890569477</v>
      </c>
      <c r="AC42" s="1208">
        <f t="shared" si="113"/>
        <v>183.84599470249518</v>
      </c>
      <c r="AD42" s="1208">
        <f t="shared" si="113"/>
        <v>179.42214120211241</v>
      </c>
      <c r="AE42" s="1208">
        <f t="shared" si="113"/>
        <v>175.11963834593382</v>
      </c>
      <c r="AF42" s="1208">
        <f t="shared" si="113"/>
        <v>170.98305242239789</v>
      </c>
      <c r="AG42" s="1208">
        <f t="shared" si="113"/>
        <v>167.01147867132704</v>
      </c>
      <c r="AH42" s="1208">
        <f t="shared" si="113"/>
        <v>163.19707467007015</v>
      </c>
      <c r="AI42" s="1208">
        <f t="shared" si="113"/>
        <v>176.46376663732241</v>
      </c>
      <c r="AJ42" s="1208">
        <f t="shared" si="113"/>
        <v>176.82468725478847</v>
      </c>
      <c r="AK42" s="1208">
        <f t="shared" si="113"/>
        <v>174.11490080601877</v>
      </c>
      <c r="AL42" s="1208">
        <f t="shared" si="113"/>
        <v>188.47206333960085</v>
      </c>
      <c r="AM42" s="1209">
        <f t="shared" si="113"/>
        <v>184.74476204886997</v>
      </c>
      <c r="AN42" s="1208">
        <f t="shared" si="113"/>
        <v>197.10636266715954</v>
      </c>
      <c r="AO42" s="1208">
        <f t="shared" si="113"/>
        <v>188.81101813605775</v>
      </c>
      <c r="AP42" s="1208">
        <f t="shared" si="113"/>
        <v>183.11269364840484</v>
      </c>
      <c r="AQ42" s="1208">
        <f t="shared" si="113"/>
        <v>177.98664547571661</v>
      </c>
      <c r="AR42" s="1208">
        <f t="shared" si="113"/>
        <v>187.10617052270993</v>
      </c>
      <c r="AS42" s="1208">
        <f t="shared" si="113"/>
        <v>200.49861715237873</v>
      </c>
      <c r="AT42" s="1208">
        <f t="shared" si="113"/>
        <v>195.99185894912884</v>
      </c>
      <c r="AU42" s="1208">
        <f t="shared" si="113"/>
        <v>191.00430418926351</v>
      </c>
      <c r="AV42" s="1208">
        <f t="shared" si="113"/>
        <v>186.02075240028196</v>
      </c>
      <c r="AW42" s="1208">
        <f t="shared" si="113"/>
        <v>181.15446913631786</v>
      </c>
      <c r="AX42" s="1208">
        <f t="shared" si="113"/>
        <v>203.60682941468625</v>
      </c>
      <c r="AY42" s="1209">
        <f t="shared" si="113"/>
        <v>224.41636061674581</v>
      </c>
      <c r="AZ42" s="1208">
        <f t="shared" si="113"/>
        <v>223.7551171022684</v>
      </c>
      <c r="BA42" s="1208">
        <f t="shared" si="113"/>
        <v>220.25250610236768</v>
      </c>
      <c r="BB42" s="1208">
        <f t="shared" si="113"/>
        <v>215.90414743107235</v>
      </c>
      <c r="BC42" s="1208">
        <f t="shared" si="113"/>
        <v>211.3589588823551</v>
      </c>
      <c r="BD42" s="1208">
        <f t="shared" si="113"/>
        <v>218.51954051261237</v>
      </c>
      <c r="BE42" s="1208">
        <f t="shared" si="113"/>
        <v>250.27119143271068</v>
      </c>
      <c r="BF42" s="1208">
        <f t="shared" si="113"/>
        <v>250.25021590587937</v>
      </c>
      <c r="BG42" s="1208">
        <f t="shared" si="113"/>
        <v>247.09802945958518</v>
      </c>
      <c r="BH42" s="1208">
        <f t="shared" si="113"/>
        <v>253.50792845278662</v>
      </c>
      <c r="BI42" s="1208">
        <f t="shared" si="113"/>
        <v>262.15578532463815</v>
      </c>
      <c r="BJ42" s="1208">
        <f t="shared" si="113"/>
        <v>263.4929559669323</v>
      </c>
      <c r="BK42" s="1209">
        <f t="shared" si="113"/>
        <v>282.01770894236859</v>
      </c>
    </row>
    <row r="43" spans="1:63" s="54" customFormat="1" hidden="1" outlineLevel="1">
      <c r="A43" s="857"/>
      <c r="B43" s="192" t="s">
        <v>390</v>
      </c>
      <c r="C43" s="1207">
        <f>(C39+C41)/C32</f>
        <v>1354.4615384615386</v>
      </c>
      <c r="D43" s="368">
        <f t="shared" ref="D43:BK43" si="114">(D39+D41)/D32</f>
        <v>1354.4615384615381</v>
      </c>
      <c r="E43" s="1208">
        <f t="shared" si="114"/>
        <v>1185.5762034223574</v>
      </c>
      <c r="F43" s="1208">
        <f t="shared" si="114"/>
        <v>1038.0438559194267</v>
      </c>
      <c r="G43" s="1208">
        <f t="shared" si="114"/>
        <v>1171.1562090716168</v>
      </c>
      <c r="H43" s="1208">
        <f t="shared" si="114"/>
        <v>1027.1842348107391</v>
      </c>
      <c r="I43" s="1208">
        <f t="shared" si="114"/>
        <v>901.12575599717661</v>
      </c>
      <c r="J43" s="1208">
        <f t="shared" si="114"/>
        <v>790.72893777483614</v>
      </c>
      <c r="K43" s="1208">
        <f t="shared" si="114"/>
        <v>813.34874889777643</v>
      </c>
      <c r="L43" s="1208">
        <f t="shared" si="114"/>
        <v>723.12404372518927</v>
      </c>
      <c r="M43" s="1208">
        <f t="shared" si="114"/>
        <v>635.92178061087202</v>
      </c>
      <c r="N43" s="1208">
        <f t="shared" si="114"/>
        <v>558.84000389739106</v>
      </c>
      <c r="O43" s="1209">
        <f t="shared" si="114"/>
        <v>491.1715120274975</v>
      </c>
      <c r="P43" s="1208">
        <f t="shared" si="114"/>
        <v>455.84373771362016</v>
      </c>
      <c r="Q43" s="1208">
        <f t="shared" si="114"/>
        <v>434.13833780694318</v>
      </c>
      <c r="R43" s="1208">
        <f t="shared" si="114"/>
        <v>408.90052232284984</v>
      </c>
      <c r="S43" s="1208">
        <f t="shared" si="114"/>
        <v>384.83399831377488</v>
      </c>
      <c r="T43" s="1208">
        <f t="shared" si="114"/>
        <v>362.21637910171921</v>
      </c>
      <c r="U43" s="1208">
        <f t="shared" si="114"/>
        <v>477.42957359096283</v>
      </c>
      <c r="V43" s="1208">
        <f t="shared" si="114"/>
        <v>449.76037268954855</v>
      </c>
      <c r="W43" s="1208">
        <f t="shared" si="114"/>
        <v>423.74665980689537</v>
      </c>
      <c r="X43" s="1208">
        <f t="shared" si="114"/>
        <v>399.28671771320847</v>
      </c>
      <c r="Y43" s="1208">
        <f t="shared" si="114"/>
        <v>376.28520852946053</v>
      </c>
      <c r="Z43" s="1208">
        <f t="shared" si="114"/>
        <v>354.65277665833366</v>
      </c>
      <c r="AA43" s="1209">
        <f t="shared" si="114"/>
        <v>373.14861076864941</v>
      </c>
      <c r="AB43" s="1208">
        <f t="shared" si="114"/>
        <v>415.26422312560732</v>
      </c>
      <c r="AC43" s="1208">
        <f t="shared" si="114"/>
        <v>405.43956618950955</v>
      </c>
      <c r="AD43" s="1208">
        <f t="shared" si="114"/>
        <v>395.18955900770874</v>
      </c>
      <c r="AE43" s="1208">
        <f t="shared" si="114"/>
        <v>385.23146235539679</v>
      </c>
      <c r="AF43" s="1208">
        <f t="shared" si="114"/>
        <v>375.66214543513672</v>
      </c>
      <c r="AG43" s="1208">
        <f t="shared" si="114"/>
        <v>366.47821259425808</v>
      </c>
      <c r="AH43" s="1208">
        <f t="shared" si="114"/>
        <v>357.66107706628043</v>
      </c>
      <c r="AI43" s="1208">
        <f t="shared" si="114"/>
        <v>386.25340976803454</v>
      </c>
      <c r="AJ43" s="1208">
        <f t="shared" si="114"/>
        <v>386.56021201632541</v>
      </c>
      <c r="AK43" s="1208">
        <f t="shared" si="114"/>
        <v>380.1610888295649</v>
      </c>
      <c r="AL43" s="1208">
        <f t="shared" si="114"/>
        <v>410.99465992750555</v>
      </c>
      <c r="AM43" s="1209">
        <f t="shared" si="114"/>
        <v>402.36370531916504</v>
      </c>
      <c r="AN43" s="1208">
        <f t="shared" si="114"/>
        <v>428.7863257783369</v>
      </c>
      <c r="AO43" s="1208">
        <f t="shared" si="114"/>
        <v>410.2619461840186</v>
      </c>
      <c r="AP43" s="1208">
        <f t="shared" si="114"/>
        <v>397.41657068566701</v>
      </c>
      <c r="AQ43" s="1208">
        <f t="shared" si="114"/>
        <v>385.84116179077961</v>
      </c>
      <c r="AR43" s="1208">
        <f t="shared" si="114"/>
        <v>405.13789501419336</v>
      </c>
      <c r="AS43" s="1208">
        <f t="shared" si="114"/>
        <v>433.63043592330189</v>
      </c>
      <c r="AT43" s="1208">
        <f t="shared" si="114"/>
        <v>423.38944415062736</v>
      </c>
      <c r="AU43" s="1208">
        <f t="shared" si="114"/>
        <v>412.13430573425774</v>
      </c>
      <c r="AV43" s="1208">
        <f t="shared" si="114"/>
        <v>400.91345100214386</v>
      </c>
      <c r="AW43" s="1208">
        <f t="shared" si="114"/>
        <v>389.97063166963727</v>
      </c>
      <c r="AX43" s="1208">
        <f t="shared" si="114"/>
        <v>437.792995520528</v>
      </c>
      <c r="AY43" s="1209">
        <f t="shared" si="114"/>
        <v>481.97509900952889</v>
      </c>
      <c r="AZ43" s="1208">
        <f t="shared" si="114"/>
        <v>480.1548288358797</v>
      </c>
      <c r="BA43" s="1208">
        <f t="shared" si="114"/>
        <v>472.24505833172447</v>
      </c>
      <c r="BB43" s="1208">
        <f t="shared" si="114"/>
        <v>462.53626284621402</v>
      </c>
      <c r="BC43" s="1208">
        <f t="shared" si="114"/>
        <v>452.42198588339392</v>
      </c>
      <c r="BD43" s="1208">
        <f t="shared" si="114"/>
        <v>467.36001976314793</v>
      </c>
      <c r="BE43" s="1208">
        <f t="shared" si="114"/>
        <v>534.82337354565948</v>
      </c>
      <c r="BF43" s="1208">
        <f t="shared" si="114"/>
        <v>534.33327163494891</v>
      </c>
      <c r="BG43" s="1208">
        <f t="shared" si="114"/>
        <v>527.16343273641542</v>
      </c>
      <c r="BH43" s="1208">
        <f t="shared" si="114"/>
        <v>540.3881044753897</v>
      </c>
      <c r="BI43" s="1208">
        <f t="shared" si="114"/>
        <v>558.35694047114157</v>
      </c>
      <c r="BJ43" s="1208">
        <f t="shared" si="114"/>
        <v>560.73765463734833</v>
      </c>
      <c r="BK43" s="1209">
        <f t="shared" si="114"/>
        <v>599.66034462436937</v>
      </c>
    </row>
    <row r="44" spans="1:63" s="54" customFormat="1" hidden="1" outlineLevel="1">
      <c r="A44" s="857"/>
      <c r="B44" s="192" t="s">
        <v>391</v>
      </c>
      <c r="C44" s="1207">
        <f>(C41+C39)/C34</f>
        <v>4402</v>
      </c>
      <c r="D44" s="368">
        <f t="shared" ref="D44:BK44" si="115">(D41+D39)/D34</f>
        <v>4401.9999999999991</v>
      </c>
      <c r="E44" s="1208">
        <f t="shared" si="115"/>
        <v>3845.1120110995366</v>
      </c>
      <c r="F44" s="1208">
        <f t="shared" si="115"/>
        <v>3359.6294937887819</v>
      </c>
      <c r="G44" s="1208">
        <f t="shared" si="115"/>
        <v>3782.56734718097</v>
      </c>
      <c r="H44" s="1208">
        <f t="shared" si="115"/>
        <v>3310.6734821886744</v>
      </c>
      <c r="I44" s="1208">
        <f t="shared" si="115"/>
        <v>2898.3415903339401</v>
      </c>
      <c r="J44" s="1208">
        <f t="shared" si="115"/>
        <v>2537.9786223078795</v>
      </c>
      <c r="K44" s="1208">
        <f t="shared" si="115"/>
        <v>2605.1533393189075</v>
      </c>
      <c r="L44" s="1208">
        <f t="shared" si="115"/>
        <v>2311.3485989579472</v>
      </c>
      <c r="M44" s="1208">
        <f t="shared" si="115"/>
        <v>2028.394900410299</v>
      </c>
      <c r="N44" s="1208">
        <f t="shared" si="115"/>
        <v>1778.8218605603449</v>
      </c>
      <c r="O44" s="1209">
        <f t="shared" si="115"/>
        <v>1560.1785464765619</v>
      </c>
      <c r="P44" s="1208">
        <f t="shared" si="115"/>
        <v>1445.5526137714887</v>
      </c>
      <c r="Q44" s="1208">
        <f t="shared" si="115"/>
        <v>1374.4306388083828</v>
      </c>
      <c r="R44" s="1208">
        <f t="shared" si="115"/>
        <v>1292.3767382334161</v>
      </c>
      <c r="S44" s="1208">
        <f t="shared" si="115"/>
        <v>1214.2879309604166</v>
      </c>
      <c r="T44" s="1208">
        <f t="shared" si="115"/>
        <v>1141.0196107892209</v>
      </c>
      <c r="U44" s="1208">
        <f t="shared" si="115"/>
        <v>1501.4508476150213</v>
      </c>
      <c r="V44" s="1208">
        <f t="shared" si="115"/>
        <v>1412.0815179768456</v>
      </c>
      <c r="W44" s="1208">
        <f t="shared" si="115"/>
        <v>1328.1944064866943</v>
      </c>
      <c r="X44" s="1208">
        <f t="shared" si="115"/>
        <v>1249.4445903269514</v>
      </c>
      <c r="Y44" s="1208">
        <f t="shared" si="115"/>
        <v>1175.5092819030906</v>
      </c>
      <c r="Z44" s="1208">
        <f t="shared" si="115"/>
        <v>1106.0864156168454</v>
      </c>
      <c r="AA44" s="1209">
        <f t="shared" si="115"/>
        <v>1161.8345888103072</v>
      </c>
      <c r="AB44" s="1208">
        <f t="shared" si="115"/>
        <v>1291.3514656356485</v>
      </c>
      <c r="AC44" s="1208">
        <f t="shared" si="115"/>
        <v>1259.2255959737997</v>
      </c>
      <c r="AD44" s="1208">
        <f t="shared" si="115"/>
        <v>1225.858512541854</v>
      </c>
      <c r="AE44" s="1208">
        <f t="shared" si="115"/>
        <v>1193.4771416531532</v>
      </c>
      <c r="AF44" s="1208">
        <f t="shared" si="115"/>
        <v>1162.3776787521813</v>
      </c>
      <c r="AG44" s="1208">
        <f t="shared" si="115"/>
        <v>1132.5449779627679</v>
      </c>
      <c r="AH44" s="1208">
        <f t="shared" si="115"/>
        <v>1103.9170700952416</v>
      </c>
      <c r="AI44" s="1208">
        <f t="shared" si="115"/>
        <v>1190.6786493468517</v>
      </c>
      <c r="AJ44" s="1208">
        <f t="shared" si="115"/>
        <v>1190.1367380664444</v>
      </c>
      <c r="AK44" s="1208">
        <f t="shared" si="115"/>
        <v>1168.9739802896331</v>
      </c>
      <c r="AL44" s="1208">
        <f t="shared" si="115"/>
        <v>1262.2077186929844</v>
      </c>
      <c r="AM44" s="1209">
        <f t="shared" si="115"/>
        <v>1234.1584535376778</v>
      </c>
      <c r="AN44" s="1208">
        <f t="shared" si="115"/>
        <v>1313.6711699728876</v>
      </c>
      <c r="AO44" s="1208">
        <f t="shared" si="115"/>
        <v>1255.4533972232821</v>
      </c>
      <c r="AP44" s="1208">
        <f t="shared" si="115"/>
        <v>1214.7277426526571</v>
      </c>
      <c r="AQ44" s="1208">
        <f t="shared" si="115"/>
        <v>1177.9725052345059</v>
      </c>
      <c r="AR44" s="1208">
        <f t="shared" si="115"/>
        <v>1235.4440522788195</v>
      </c>
      <c r="AS44" s="1208">
        <f t="shared" si="115"/>
        <v>1320.7894497981047</v>
      </c>
      <c r="AT44" s="1208">
        <f t="shared" si="115"/>
        <v>1288.0937666708203</v>
      </c>
      <c r="AU44" s="1208">
        <f t="shared" si="115"/>
        <v>1252.3907096230091</v>
      </c>
      <c r="AV44" s="1208">
        <f t="shared" si="115"/>
        <v>1216.8731730806521</v>
      </c>
      <c r="AW44" s="1208">
        <f t="shared" si="115"/>
        <v>1182.2796375098892</v>
      </c>
      <c r="AX44" s="1208">
        <f t="shared" si="115"/>
        <v>1325.7167242273861</v>
      </c>
      <c r="AY44" s="1209">
        <f t="shared" si="115"/>
        <v>1457.8073848661936</v>
      </c>
      <c r="AZ44" s="1208">
        <f t="shared" si="115"/>
        <v>1451.0924556788148</v>
      </c>
      <c r="BA44" s="1208">
        <f t="shared" si="115"/>
        <v>1425.9997325353493</v>
      </c>
      <c r="BB44" s="1208">
        <f t="shared" si="115"/>
        <v>1395.5199445319893</v>
      </c>
      <c r="BC44" s="1208">
        <f t="shared" si="115"/>
        <v>1363.8675641517718</v>
      </c>
      <c r="BD44" s="1208">
        <f t="shared" si="115"/>
        <v>1407.7265316770797</v>
      </c>
      <c r="BE44" s="1208">
        <f t="shared" si="115"/>
        <v>1609.5903352482405</v>
      </c>
      <c r="BF44" s="1208">
        <f t="shared" si="115"/>
        <v>1606.7763571517401</v>
      </c>
      <c r="BG44" s="1208">
        <f t="shared" si="115"/>
        <v>1583.8962521728681</v>
      </c>
      <c r="BH44" s="1208">
        <f t="shared" si="115"/>
        <v>1622.2787253535034</v>
      </c>
      <c r="BI44" s="1208">
        <f t="shared" si="115"/>
        <v>1674.8266006245146</v>
      </c>
      <c r="BJ44" s="1208">
        <f t="shared" si="115"/>
        <v>1680.5672291271635</v>
      </c>
      <c r="BK44" s="1209">
        <f t="shared" si="115"/>
        <v>1795.7246259033313</v>
      </c>
    </row>
    <row r="45" spans="1:63" s="1216" customFormat="1" hidden="1" outlineLevel="1">
      <c r="A45" s="1210"/>
      <c r="B45" s="1211" t="s">
        <v>392</v>
      </c>
      <c r="C45" s="1212">
        <f>(C41+C39)/C37</f>
        <v>0.55025000000000002</v>
      </c>
      <c r="D45" s="1213">
        <f t="shared" ref="D45:BK45" si="116">(D41+D39)/D37</f>
        <v>0.55024999999999991</v>
      </c>
      <c r="E45" s="1214">
        <f t="shared" si="116"/>
        <v>0.47944040038647584</v>
      </c>
      <c r="F45" s="1214">
        <f t="shared" si="116"/>
        <v>0.4178617662562773</v>
      </c>
      <c r="G45" s="1214">
        <f t="shared" si="116"/>
        <v>0.46929241869188765</v>
      </c>
      <c r="H45" s="1214">
        <f t="shared" si="116"/>
        <v>0.40972157929777941</v>
      </c>
      <c r="I45" s="1214">
        <f t="shared" si="116"/>
        <v>0.35779780785474258</v>
      </c>
      <c r="J45" s="1214">
        <f t="shared" si="116"/>
        <v>0.31252998054569819</v>
      </c>
      <c r="K45" s="1214">
        <f t="shared" si="116"/>
        <v>0.32000195746311211</v>
      </c>
      <c r="L45" s="1214">
        <f t="shared" si="116"/>
        <v>0.28320467203148186</v>
      </c>
      <c r="M45" s="1214">
        <f t="shared" si="116"/>
        <v>0.24791516384108325</v>
      </c>
      <c r="N45" s="1214">
        <f t="shared" si="116"/>
        <v>0.21686958983713567</v>
      </c>
      <c r="O45" s="1215">
        <f t="shared" si="116"/>
        <v>0.18973878732523866</v>
      </c>
      <c r="P45" s="1214">
        <f t="shared" si="116"/>
        <v>0.17543323953866458</v>
      </c>
      <c r="Q45" s="1214">
        <f t="shared" si="116"/>
        <v>0.16645504737082009</v>
      </c>
      <c r="R45" s="1214">
        <f t="shared" si="116"/>
        <v>0.15619223315062258</v>
      </c>
      <c r="S45" s="1214">
        <f t="shared" si="116"/>
        <v>0.1464495836381024</v>
      </c>
      <c r="T45" s="1214">
        <f t="shared" si="116"/>
        <v>0.13732693670433005</v>
      </c>
      <c r="U45" s="1214">
        <f t="shared" si="116"/>
        <v>0.18033079788267206</v>
      </c>
      <c r="V45" s="1214">
        <f t="shared" si="116"/>
        <v>0.16924455862914242</v>
      </c>
      <c r="W45" s="1214">
        <f t="shared" si="116"/>
        <v>0.15885933994588652</v>
      </c>
      <c r="X45" s="1214">
        <f t="shared" si="116"/>
        <v>0.14912974280192656</v>
      </c>
      <c r="Y45" s="1214">
        <f t="shared" si="116"/>
        <v>0.14001336441750953</v>
      </c>
      <c r="Z45" s="1214">
        <f t="shared" si="116"/>
        <v>0.13147060104070352</v>
      </c>
      <c r="AA45" s="1215">
        <f t="shared" si="116"/>
        <v>0.13780978414290979</v>
      </c>
      <c r="AB45" s="1214">
        <f t="shared" si="116"/>
        <v>0.15285384634813759</v>
      </c>
      <c r="AC45" s="1214">
        <f t="shared" si="116"/>
        <v>0.14874131466432206</v>
      </c>
      <c r="AD45" s="1214">
        <f t="shared" si="116"/>
        <v>0.14449891330703707</v>
      </c>
      <c r="AE45" s="1214">
        <f t="shared" si="116"/>
        <v>0.1403894589550794</v>
      </c>
      <c r="AF45" s="1214">
        <f t="shared" si="116"/>
        <v>0.13644694530932172</v>
      </c>
      <c r="AG45" s="1214">
        <f t="shared" si="116"/>
        <v>0.13266860892877647</v>
      </c>
      <c r="AH45" s="1214">
        <f t="shared" si="116"/>
        <v>0.12904623159455922</v>
      </c>
      <c r="AI45" s="1214">
        <f t="shared" si="116"/>
        <v>0.13889915540968556</v>
      </c>
      <c r="AJ45" s="1214">
        <f t="shared" si="116"/>
        <v>0.13854729829981513</v>
      </c>
      <c r="AK45" s="1214">
        <f t="shared" si="116"/>
        <v>0.13580076152217577</v>
      </c>
      <c r="AL45" s="1214">
        <f t="shared" si="116"/>
        <v>0.14632696115901345</v>
      </c>
      <c r="AM45" s="1215">
        <f t="shared" si="116"/>
        <v>0.1427777734809125</v>
      </c>
      <c r="AN45" s="1214">
        <f t="shared" si="116"/>
        <v>0.15169835597908751</v>
      </c>
      <c r="AO45" s="1214">
        <f t="shared" si="116"/>
        <v>0.14471026002190021</v>
      </c>
      <c r="AP45" s="1214">
        <f t="shared" si="116"/>
        <v>0.13975977742886639</v>
      </c>
      <c r="AQ45" s="1214">
        <f t="shared" si="116"/>
        <v>0.13528290680184976</v>
      </c>
      <c r="AR45" s="1214">
        <f t="shared" si="116"/>
        <v>0.14162351785809801</v>
      </c>
      <c r="AS45" s="1214">
        <f t="shared" si="116"/>
        <v>0.15112990471648521</v>
      </c>
      <c r="AT45" s="1214">
        <f t="shared" si="116"/>
        <v>0.14711901832592222</v>
      </c>
      <c r="AU45" s="1214">
        <f t="shared" si="116"/>
        <v>0.14277944828538994</v>
      </c>
      <c r="AV45" s="1214">
        <f t="shared" si="116"/>
        <v>0.13847637986439837</v>
      </c>
      <c r="AW45" s="1214">
        <f t="shared" si="116"/>
        <v>0.13429353836037936</v>
      </c>
      <c r="AX45" s="1214">
        <f t="shared" si="116"/>
        <v>0.15031079245129075</v>
      </c>
      <c r="AY45" s="1215">
        <f t="shared" si="116"/>
        <v>0.1649848619596215</v>
      </c>
      <c r="AZ45" s="1214">
        <f t="shared" si="116"/>
        <v>0.16395165854856739</v>
      </c>
      <c r="BA45" s="1214">
        <f t="shared" si="116"/>
        <v>0.160848476819554</v>
      </c>
      <c r="BB45" s="1214">
        <f t="shared" si="116"/>
        <v>0.15714853426921208</v>
      </c>
      <c r="BC45" s="1214">
        <f t="shared" si="116"/>
        <v>0.15332863391718285</v>
      </c>
      <c r="BD45" s="1214">
        <f t="shared" si="116"/>
        <v>0.15799601732314589</v>
      </c>
      <c r="BE45" s="1214">
        <f t="shared" si="116"/>
        <v>0.18035159096031494</v>
      </c>
      <c r="BF45" s="1214">
        <f t="shared" si="116"/>
        <v>0.17973672875545341</v>
      </c>
      <c r="BG45" s="1214">
        <f t="shared" si="116"/>
        <v>0.17688251720750392</v>
      </c>
      <c r="BH45" s="1214">
        <f t="shared" si="116"/>
        <v>0.18086745602821874</v>
      </c>
      <c r="BI45" s="1214">
        <f t="shared" si="116"/>
        <v>0.18641531352681451</v>
      </c>
      <c r="BJ45" s="1214">
        <f t="shared" si="116"/>
        <v>0.18674303147343813</v>
      </c>
      <c r="BK45" s="1215">
        <f t="shared" si="116"/>
        <v>0.19920719983345059</v>
      </c>
    </row>
    <row r="46" spans="1:63" s="339" customFormat="1" hidden="1" outlineLevel="1">
      <c r="A46" s="854"/>
      <c r="B46" s="373"/>
      <c r="C46" s="356"/>
      <c r="M46" s="341"/>
      <c r="N46" s="342"/>
      <c r="O46" s="407"/>
      <c r="Y46" s="341"/>
      <c r="Z46" s="342"/>
      <c r="AA46" s="407"/>
      <c r="AK46" s="341"/>
      <c r="AL46" s="342"/>
      <c r="AM46" s="407"/>
      <c r="AW46" s="341"/>
      <c r="AX46" s="342"/>
      <c r="AY46" s="407"/>
      <c r="BI46" s="341"/>
      <c r="BJ46" s="342"/>
      <c r="BK46" s="407"/>
    </row>
    <row r="47" spans="1:63" s="339" customFormat="1" collapsed="1">
      <c r="A47" s="854" t="s">
        <v>281</v>
      </c>
      <c r="B47" s="373"/>
      <c r="C47" s="356"/>
      <c r="D47" s="396" t="s">
        <v>389</v>
      </c>
      <c r="E47" s="415">
        <v>0.6</v>
      </c>
      <c r="F47" s="396" t="s">
        <v>355</v>
      </c>
      <c r="G47" s="415">
        <v>0.03</v>
      </c>
      <c r="H47" s="396" t="s">
        <v>356</v>
      </c>
      <c r="I47" s="415">
        <v>0.3</v>
      </c>
      <c r="J47" s="414" t="s">
        <v>354</v>
      </c>
      <c r="K47" s="415">
        <v>0.05</v>
      </c>
      <c r="L47" s="396" t="s">
        <v>357</v>
      </c>
      <c r="M47" s="415">
        <f>C58</f>
        <v>0.04</v>
      </c>
      <c r="O47" s="404"/>
      <c r="P47" s="396" t="s">
        <v>389</v>
      </c>
      <c r="Q47" s="415">
        <v>0.4</v>
      </c>
      <c r="R47" s="396" t="s">
        <v>355</v>
      </c>
      <c r="S47" s="415">
        <v>2.5000000000000001E-2</v>
      </c>
      <c r="T47" s="396" t="s">
        <v>356</v>
      </c>
      <c r="U47" s="415">
        <f>I47*0.75</f>
        <v>0.22499999999999998</v>
      </c>
      <c r="V47" s="414" t="s">
        <v>354</v>
      </c>
      <c r="W47" s="415">
        <v>0.04</v>
      </c>
      <c r="X47" s="396" t="s">
        <v>357</v>
      </c>
      <c r="Y47" s="415">
        <f>O58</f>
        <v>0.04</v>
      </c>
      <c r="AA47" s="404"/>
      <c r="AB47" s="396" t="s">
        <v>389</v>
      </c>
      <c r="AC47" s="415">
        <f>Q47*0.6</f>
        <v>0.24</v>
      </c>
      <c r="AD47" s="396" t="s">
        <v>355</v>
      </c>
      <c r="AE47" s="415">
        <v>2.5000000000000001E-2</v>
      </c>
      <c r="AF47" s="396" t="s">
        <v>356</v>
      </c>
      <c r="AG47" s="415">
        <v>0.12</v>
      </c>
      <c r="AH47" s="414" t="s">
        <v>354</v>
      </c>
      <c r="AI47" s="415">
        <v>0.03</v>
      </c>
      <c r="AJ47" s="396" t="s">
        <v>357</v>
      </c>
      <c r="AK47" s="415">
        <f>AA58</f>
        <v>0.04</v>
      </c>
      <c r="AM47" s="404"/>
      <c r="AN47" s="396" t="s">
        <v>389</v>
      </c>
      <c r="AO47" s="415">
        <v>0.2</v>
      </c>
      <c r="AP47" s="396" t="s">
        <v>355</v>
      </c>
      <c r="AQ47" s="415">
        <v>2.1999999999999999E-2</v>
      </c>
      <c r="AR47" s="396" t="s">
        <v>356</v>
      </c>
      <c r="AS47" s="415">
        <v>0.06</v>
      </c>
      <c r="AT47" s="414" t="s">
        <v>354</v>
      </c>
      <c r="AU47" s="415">
        <v>2.8000000000000001E-2</v>
      </c>
      <c r="AV47" s="396" t="s">
        <v>357</v>
      </c>
      <c r="AW47" s="415">
        <f>AM58</f>
        <v>0.04</v>
      </c>
      <c r="AY47" s="404"/>
      <c r="AZ47" s="396" t="s">
        <v>389</v>
      </c>
      <c r="BA47" s="415">
        <v>0.3</v>
      </c>
      <c r="BB47" s="396" t="s">
        <v>355</v>
      </c>
      <c r="BC47" s="415">
        <v>0.02</v>
      </c>
      <c r="BD47" s="396" t="s">
        <v>356</v>
      </c>
      <c r="BE47" s="415">
        <v>0.03</v>
      </c>
      <c r="BF47" s="414" t="s">
        <v>354</v>
      </c>
      <c r="BG47" s="415">
        <v>0.02</v>
      </c>
      <c r="BH47" s="396" t="s">
        <v>357</v>
      </c>
      <c r="BI47" s="415">
        <f>AY58</f>
        <v>0.04</v>
      </c>
      <c r="BK47" s="404"/>
    </row>
    <row r="48" spans="1:63" s="378" customFormat="1" hidden="1" outlineLevel="1">
      <c r="A48" s="856"/>
      <c r="B48" s="386" t="s">
        <v>226</v>
      </c>
      <c r="C48" s="387">
        <v>14</v>
      </c>
      <c r="D48" s="376">
        <f>C48/12</f>
        <v>1.1666666666666667</v>
      </c>
      <c r="E48" s="377">
        <f>D48*(1+($E47/12))</f>
        <v>1.2250000000000001</v>
      </c>
      <c r="F48" s="377">
        <f t="shared" ref="F48" si="117">E48*(1+($E47/12))</f>
        <v>1.2862500000000001</v>
      </c>
      <c r="G48" s="377">
        <f t="shared" ref="G48" si="118">F48*(1+($E47/12))</f>
        <v>1.3505625000000001</v>
      </c>
      <c r="H48" s="377">
        <f t="shared" ref="H48" si="119">G48*(1+($E47/12))</f>
        <v>1.4180906250000003</v>
      </c>
      <c r="I48" s="377">
        <f t="shared" ref="I48" si="120">H48*(1+($E47/12))</f>
        <v>1.4889951562500003</v>
      </c>
      <c r="J48" s="377">
        <f t="shared" ref="J48" si="121">I48*(1+($E47/12))</f>
        <v>1.5634449140625004</v>
      </c>
      <c r="K48" s="377">
        <f t="shared" ref="K48" si="122">J48*(1+($E47/12))</f>
        <v>1.6416171597656255</v>
      </c>
      <c r="L48" s="377">
        <f t="shared" ref="L48" si="123">K48*(1+($E47/12))</f>
        <v>1.7236980177539067</v>
      </c>
      <c r="M48" s="377">
        <f t="shared" ref="M48" si="124">L48*(1+($E47/12))</f>
        <v>1.8098829186416021</v>
      </c>
      <c r="N48" s="377">
        <f t="shared" ref="N48" si="125">M48*(1+($E47/12))</f>
        <v>1.9003770645736824</v>
      </c>
      <c r="O48" s="398">
        <f t="shared" ref="O48" si="126">N48*(1+($E47/12))</f>
        <v>1.9953959178023666</v>
      </c>
      <c r="P48" s="377">
        <f>O48*(1+($Q47/12))</f>
        <v>2.0619091150624458</v>
      </c>
      <c r="Q48" s="377">
        <f t="shared" ref="Q48" si="127">P48*(1+($Q47/12))</f>
        <v>2.1306394188978608</v>
      </c>
      <c r="R48" s="377">
        <f t="shared" ref="R48" si="128">Q48*(1+($Q47/12))</f>
        <v>2.2016607328611228</v>
      </c>
      <c r="S48" s="377">
        <f t="shared" ref="S48" si="129">R48*(1+($Q47/12))</f>
        <v>2.275049423956494</v>
      </c>
      <c r="T48" s="377">
        <f t="shared" ref="T48" si="130">S48*(1+($Q47/12))</f>
        <v>2.3508844047550439</v>
      </c>
      <c r="U48" s="377">
        <f t="shared" ref="U48" si="131">T48*(1+($Q47/12))</f>
        <v>2.4292472182468789</v>
      </c>
      <c r="V48" s="377">
        <f t="shared" ref="V48" si="132">U48*(1+($Q47/12))</f>
        <v>2.5102221255217754</v>
      </c>
      <c r="W48" s="377">
        <f t="shared" ref="W48" si="133">V48*(1+($Q47/12))</f>
        <v>2.5938961963725014</v>
      </c>
      <c r="X48" s="377">
        <f t="shared" ref="X48" si="134">W48*(1+($Q47/12))</f>
        <v>2.6803594029182518</v>
      </c>
      <c r="Y48" s="377">
        <f t="shared" ref="Y48" si="135">X48*(1+($Q47/12))</f>
        <v>2.7697047163488606</v>
      </c>
      <c r="Z48" s="377">
        <f t="shared" ref="Z48" si="136">Y48*(1+($Q47/12))</f>
        <v>2.862028206893823</v>
      </c>
      <c r="AA48" s="398">
        <f t="shared" ref="AA48" si="137">Z48*(1+($Q47/12))</f>
        <v>2.9574291471236176</v>
      </c>
      <c r="AB48" s="377">
        <f>AA48*(1+($AC47/12))</f>
        <v>3.0165777300660901</v>
      </c>
      <c r="AC48" s="377">
        <f t="shared" ref="AC48" si="138">AB48*(1+($AC47/12))</f>
        <v>3.076909284667412</v>
      </c>
      <c r="AD48" s="377">
        <f t="shared" ref="AD48" si="139">AC48*(1+($AC47/12))</f>
        <v>3.1384474703607603</v>
      </c>
      <c r="AE48" s="377">
        <f t="shared" ref="AE48" si="140">AD48*(1+($AC47/12))</f>
        <v>3.2012164197679756</v>
      </c>
      <c r="AF48" s="377">
        <f t="shared" ref="AF48" si="141">AE48*(1+($AC47/12))</f>
        <v>3.2652407481633352</v>
      </c>
      <c r="AG48" s="377">
        <f t="shared" ref="AG48" si="142">AF48*(1+($AC47/12))</f>
        <v>3.3305455631266021</v>
      </c>
      <c r="AH48" s="377">
        <f t="shared" ref="AH48" si="143">AG48*(1+($AC47/12))</f>
        <v>3.397156474389134</v>
      </c>
      <c r="AI48" s="377">
        <f t="shared" ref="AI48" si="144">AH48*(1+($AC47/12))</f>
        <v>3.4650996038769168</v>
      </c>
      <c r="AJ48" s="377">
        <f t="shared" ref="AJ48" si="145">AI48*(1+($AC47/12))</f>
        <v>3.534401595954455</v>
      </c>
      <c r="AK48" s="377">
        <f t="shared" ref="AK48" si="146">AJ48*(1+($AC47/12))</f>
        <v>3.6050896278735443</v>
      </c>
      <c r="AL48" s="377">
        <f t="shared" ref="AL48" si="147">AK48*(1+($AC47/12))</f>
        <v>3.677191420431015</v>
      </c>
      <c r="AM48" s="398">
        <f t="shared" ref="AM48" si="148">AL48*(1+($AC47/12))</f>
        <v>3.7507352488396353</v>
      </c>
      <c r="AN48" s="377">
        <f>AM48*(1+($AO47/12))</f>
        <v>3.8132475029869624</v>
      </c>
      <c r="AO48" s="377">
        <f t="shared" ref="AO48" si="149">AN48*(1+($AO47/12))</f>
        <v>3.8768016280367448</v>
      </c>
      <c r="AP48" s="377">
        <f t="shared" ref="AP48" si="150">AO48*(1+($AO47/12))</f>
        <v>3.9414149885040235</v>
      </c>
      <c r="AQ48" s="377">
        <f t="shared" ref="AQ48" si="151">AP48*(1+($AO47/12))</f>
        <v>4.0071052383124233</v>
      </c>
      <c r="AR48" s="377">
        <f t="shared" ref="AR48" si="152">AQ48*(1+($AO47/12))</f>
        <v>4.0738903256176302</v>
      </c>
      <c r="AS48" s="377">
        <f t="shared" ref="AS48" si="153">AR48*(1+($AO47/12))</f>
        <v>4.1417884977112571</v>
      </c>
      <c r="AT48" s="377">
        <f t="shared" ref="AT48" si="154">AS48*(1+($AO47/12))</f>
        <v>4.2108183060064448</v>
      </c>
      <c r="AU48" s="377">
        <f t="shared" ref="AU48" si="155">AT48*(1+($AO47/12))</f>
        <v>4.2809986111065523</v>
      </c>
      <c r="AV48" s="377">
        <f t="shared" ref="AV48" si="156">AU48*(1+($AO47/12))</f>
        <v>4.3523485879583284</v>
      </c>
      <c r="AW48" s="377">
        <f t="shared" ref="AW48" si="157">AV48*(1+($AO47/12))</f>
        <v>4.4248877310909673</v>
      </c>
      <c r="AX48" s="377">
        <f t="shared" ref="AX48" si="158">AW48*(1+($AO47/12))</f>
        <v>4.4986358599424836</v>
      </c>
      <c r="AY48" s="398">
        <f t="shared" ref="AY48" si="159">AX48*(1+($AO47/12))</f>
        <v>4.5736131242748579</v>
      </c>
      <c r="AZ48" s="377">
        <f>AY48*(1+($BA47/12))</f>
        <v>4.6879534523817288</v>
      </c>
      <c r="BA48" s="377">
        <f t="shared" ref="BA48" si="160">AZ48*(1+($BA47/12))</f>
        <v>4.8051522886912714</v>
      </c>
      <c r="BB48" s="377">
        <f t="shared" ref="BB48" si="161">BA48*(1+($BA47/12))</f>
        <v>4.9252810959085531</v>
      </c>
      <c r="BC48" s="377">
        <f t="shared" ref="BC48" si="162">BB48*(1+($BA47/12))</f>
        <v>5.0484131233062666</v>
      </c>
      <c r="BD48" s="377">
        <f t="shared" ref="BD48" si="163">BC48*(1+($BA47/12))</f>
        <v>5.1746234513889231</v>
      </c>
      <c r="BE48" s="377">
        <f t="shared" ref="BE48" si="164">BD48*(1+($BA47/12))</f>
        <v>5.303989037673646</v>
      </c>
      <c r="BF48" s="377">
        <f t="shared" ref="BF48" si="165">BE48*(1+($BA47/12))</f>
        <v>5.4365887636154868</v>
      </c>
      <c r="BG48" s="377">
        <f t="shared" ref="BG48" si="166">BF48*(1+($BA47/12))</f>
        <v>5.5725034827058737</v>
      </c>
      <c r="BH48" s="377">
        <f t="shared" ref="BH48" si="167">BG48*(1+($BA47/12))</f>
        <v>5.7118160697735201</v>
      </c>
      <c r="BI48" s="377">
        <f t="shared" ref="BI48" si="168">BH48*(1+($BA47/12))</f>
        <v>5.8546114715178579</v>
      </c>
      <c r="BJ48" s="377">
        <f t="shared" ref="BJ48" si="169">BI48*(1+($BA47/12))</f>
        <v>6.0009767583058036</v>
      </c>
      <c r="BK48" s="398">
        <f t="shared" ref="BK48" si="170">BJ48*(1+($BA47/12))</f>
        <v>6.1510011772634483</v>
      </c>
    </row>
    <row r="49" spans="1:63" s="54" customFormat="1" hidden="1" outlineLevel="1">
      <c r="A49" s="857"/>
      <c r="B49" s="371" t="s">
        <v>347</v>
      </c>
      <c r="C49" s="364">
        <f>C50/C48</f>
        <v>0.6428571428571429</v>
      </c>
      <c r="D49" s="352">
        <f>C49</f>
        <v>0.6428571428571429</v>
      </c>
      <c r="E49" s="169">
        <f>D49*((0.5*($K47/12))+1)</f>
        <v>0.64419642857142867</v>
      </c>
      <c r="F49" s="169">
        <f t="shared" ref="F49" si="171">E49*((0.5*($K47/12))+1)</f>
        <v>0.64553850446428584</v>
      </c>
      <c r="G49" s="169">
        <f t="shared" ref="G49" si="172">F49*((0.5*($K47/12))+1)</f>
        <v>0.6468833763485865</v>
      </c>
      <c r="H49" s="169">
        <f t="shared" ref="H49" si="173">G49*((0.5*($K47/12))+1)</f>
        <v>0.64823105004931281</v>
      </c>
      <c r="I49" s="169">
        <f t="shared" ref="I49" si="174">H49*((0.5*($K47/12))+1)</f>
        <v>0.64958153140358232</v>
      </c>
      <c r="J49" s="169">
        <f t="shared" ref="J49" si="175">I49*((0.5*($K47/12))+1)</f>
        <v>0.65093482626067323</v>
      </c>
      <c r="K49" s="169">
        <f t="shared" ref="K49" si="176">J49*((0.5*($K47/12))+1)</f>
        <v>0.65229094048204972</v>
      </c>
      <c r="L49" s="169">
        <f t="shared" ref="L49" si="177">K49*((0.5*($K47/12))+1)</f>
        <v>0.65364987994138735</v>
      </c>
      <c r="M49" s="169">
        <f t="shared" ref="M49" si="178">L49*((0.5*($K47/12))+1)</f>
        <v>0.65501165052459864</v>
      </c>
      <c r="N49" s="169">
        <f t="shared" ref="N49" si="179">M49*((0.5*($K47/12))+1)</f>
        <v>0.65637625812985834</v>
      </c>
      <c r="O49" s="405">
        <f t="shared" ref="O49" si="180">N49*((0.5*($K47/12))+1)</f>
        <v>0.65774370866762899</v>
      </c>
      <c r="P49" s="169">
        <f>O49*((0.5*($W47/12))+1)</f>
        <v>0.65883994818207503</v>
      </c>
      <c r="Q49" s="169">
        <f t="shared" ref="Q49:AA49" si="181">P49*((0.5*($W47/12))+1)</f>
        <v>0.65993801476237857</v>
      </c>
      <c r="R49" s="169">
        <f t="shared" si="181"/>
        <v>0.66103791145364921</v>
      </c>
      <c r="S49" s="169">
        <f t="shared" si="181"/>
        <v>0.66213964130607195</v>
      </c>
      <c r="T49" s="169">
        <f t="shared" si="181"/>
        <v>0.66324320737491538</v>
      </c>
      <c r="U49" s="169">
        <f t="shared" si="181"/>
        <v>0.66434861272054024</v>
      </c>
      <c r="V49" s="169">
        <f t="shared" si="181"/>
        <v>0.66545586040840787</v>
      </c>
      <c r="W49" s="169">
        <f t="shared" si="181"/>
        <v>0.66656495350908862</v>
      </c>
      <c r="X49" s="169">
        <f t="shared" si="181"/>
        <v>0.66767589509827041</v>
      </c>
      <c r="Y49" s="169">
        <f t="shared" si="181"/>
        <v>0.66878868825676752</v>
      </c>
      <c r="Z49" s="169">
        <f t="shared" si="181"/>
        <v>0.66990333607052888</v>
      </c>
      <c r="AA49" s="405">
        <f t="shared" si="181"/>
        <v>0.67101984163064643</v>
      </c>
      <c r="AB49" s="169">
        <f>AA49*((0.5*($AI47/12))+1)</f>
        <v>0.67185861643268474</v>
      </c>
      <c r="AC49" s="169">
        <f t="shared" ref="AC49:AM49" si="182">AB49*((0.5*($AI47/12))+1)</f>
        <v>0.67269843970322563</v>
      </c>
      <c r="AD49" s="169">
        <f t="shared" si="182"/>
        <v>0.67353931275285461</v>
      </c>
      <c r="AE49" s="169">
        <f t="shared" si="182"/>
        <v>0.6743812368937957</v>
      </c>
      <c r="AF49" s="169">
        <f t="shared" si="182"/>
        <v>0.6752242134399129</v>
      </c>
      <c r="AG49" s="169">
        <f t="shared" si="182"/>
        <v>0.67606824370671281</v>
      </c>
      <c r="AH49" s="169">
        <f t="shared" si="182"/>
        <v>0.67691332901134615</v>
      </c>
      <c r="AI49" s="169">
        <f t="shared" si="182"/>
        <v>0.67775947067261033</v>
      </c>
      <c r="AJ49" s="169">
        <f t="shared" si="182"/>
        <v>0.6786066700109511</v>
      </c>
      <c r="AK49" s="169">
        <f t="shared" si="182"/>
        <v>0.67945492834846477</v>
      </c>
      <c r="AL49" s="169">
        <f t="shared" si="182"/>
        <v>0.68030424700890035</v>
      </c>
      <c r="AM49" s="405">
        <f t="shared" si="182"/>
        <v>0.68115462731766141</v>
      </c>
      <c r="AN49" s="169">
        <f>AM49*((0.5*($AU47/12))+1)</f>
        <v>0.68194930771619877</v>
      </c>
      <c r="AO49" s="169">
        <f t="shared" ref="AO49:AY49" si="183">AN49*((0.5*($AU47/12))+1)</f>
        <v>0.68274491524186776</v>
      </c>
      <c r="AP49" s="169">
        <f t="shared" si="183"/>
        <v>0.68354145097631669</v>
      </c>
      <c r="AQ49" s="169">
        <f t="shared" si="183"/>
        <v>0.68433891600245578</v>
      </c>
      <c r="AR49" s="169">
        <f t="shared" si="183"/>
        <v>0.68513731140445866</v>
      </c>
      <c r="AS49" s="169">
        <f t="shared" si="183"/>
        <v>0.68593663826776397</v>
      </c>
      <c r="AT49" s="169">
        <f t="shared" si="183"/>
        <v>0.68673689767907642</v>
      </c>
      <c r="AU49" s="169">
        <f t="shared" si="183"/>
        <v>0.68753809072636873</v>
      </c>
      <c r="AV49" s="169">
        <f t="shared" si="183"/>
        <v>0.68834021849888294</v>
      </c>
      <c r="AW49" s="169">
        <f t="shared" si="183"/>
        <v>0.68914328208713171</v>
      </c>
      <c r="AX49" s="169">
        <f t="shared" si="183"/>
        <v>0.68994728258290006</v>
      </c>
      <c r="AY49" s="405">
        <f t="shared" si="183"/>
        <v>0.69075222107924683</v>
      </c>
      <c r="AZ49" s="169">
        <f>AY49*((0.5*($BG47/12))+1)</f>
        <v>0.69132784793014612</v>
      </c>
      <c r="BA49" s="169">
        <f t="shared" ref="BA49:BK49" si="184">AZ49*((0.5*($BG47/12))+1)</f>
        <v>0.6919039544700879</v>
      </c>
      <c r="BB49" s="169">
        <f t="shared" si="184"/>
        <v>0.69248054109881296</v>
      </c>
      <c r="BC49" s="169">
        <f t="shared" si="184"/>
        <v>0.69305760821639528</v>
      </c>
      <c r="BD49" s="169">
        <f t="shared" si="184"/>
        <v>0.69363515622324223</v>
      </c>
      <c r="BE49" s="169">
        <f t="shared" si="184"/>
        <v>0.69421318552009492</v>
      </c>
      <c r="BF49" s="169">
        <f t="shared" si="184"/>
        <v>0.6947916965080283</v>
      </c>
      <c r="BG49" s="169">
        <f t="shared" si="184"/>
        <v>0.69537068958845161</v>
      </c>
      <c r="BH49" s="169">
        <f t="shared" si="184"/>
        <v>0.69595016516310859</v>
      </c>
      <c r="BI49" s="169">
        <f t="shared" si="184"/>
        <v>0.69653012363407774</v>
      </c>
      <c r="BJ49" s="169">
        <f t="shared" si="184"/>
        <v>0.6971105654037727</v>
      </c>
      <c r="BK49" s="405">
        <f t="shared" si="184"/>
        <v>0.69769149087494242</v>
      </c>
    </row>
    <row r="50" spans="1:63" s="338" customFormat="1" hidden="1" outlineLevel="1">
      <c r="A50" s="858"/>
      <c r="B50" s="388" t="s">
        <v>258</v>
      </c>
      <c r="C50" s="389">
        <v>9</v>
      </c>
      <c r="D50" s="380">
        <f>D48*D49</f>
        <v>0.75000000000000011</v>
      </c>
      <c r="E50" s="381">
        <f t="shared" ref="E50:BK50" si="185">E48*E49</f>
        <v>0.78914062500000015</v>
      </c>
      <c r="F50" s="381">
        <f t="shared" si="185"/>
        <v>0.8303239013671877</v>
      </c>
      <c r="G50" s="381">
        <f t="shared" si="185"/>
        <v>0.87365642996978798</v>
      </c>
      <c r="H50" s="381">
        <f t="shared" si="185"/>
        <v>0.91925037490883643</v>
      </c>
      <c r="I50" s="381">
        <f t="shared" si="185"/>
        <v>0.96722375384939152</v>
      </c>
      <c r="J50" s="381">
        <f t="shared" si="185"/>
        <v>1.0177007435034069</v>
      </c>
      <c r="K50" s="381">
        <f t="shared" si="185"/>
        <v>1.0708120010549911</v>
      </c>
      <c r="L50" s="381">
        <f t="shared" si="185"/>
        <v>1.1266950023600486</v>
      </c>
      <c r="M50" s="381">
        <f t="shared" si="185"/>
        <v>1.1854943977957138</v>
      </c>
      <c r="N50" s="381">
        <f t="shared" si="185"/>
        <v>1.2473623866806778</v>
      </c>
      <c r="O50" s="399">
        <f t="shared" si="185"/>
        <v>1.3124591112355759</v>
      </c>
      <c r="P50" s="381">
        <f t="shared" si="185"/>
        <v>1.3584680945238901</v>
      </c>
      <c r="Q50" s="381">
        <f t="shared" si="185"/>
        <v>1.4060899482819222</v>
      </c>
      <c r="R50" s="381">
        <f t="shared" si="185"/>
        <v>1.4553812125800274</v>
      </c>
      <c r="S50" s="381">
        <f t="shared" si="185"/>
        <v>1.5064004095321386</v>
      </c>
      <c r="T50" s="381">
        <f t="shared" si="185"/>
        <v>1.559208112777404</v>
      </c>
      <c r="U50" s="381">
        <f t="shared" si="185"/>
        <v>1.6138670193975455</v>
      </c>
      <c r="V50" s="381">
        <f t="shared" si="185"/>
        <v>1.6704420243553155</v>
      </c>
      <c r="W50" s="381">
        <f t="shared" si="185"/>
        <v>1.7290002975424381</v>
      </c>
      <c r="X50" s="381">
        <f t="shared" si="185"/>
        <v>1.7896113635285094</v>
      </c>
      <c r="Y50" s="381">
        <f t="shared" si="185"/>
        <v>1.8523471841055368</v>
      </c>
      <c r="Z50" s="381">
        <f t="shared" si="185"/>
        <v>1.9172822437261259</v>
      </c>
      <c r="AA50" s="399">
        <f t="shared" si="185"/>
        <v>1.9844936379367477</v>
      </c>
      <c r="AB50" s="381">
        <f t="shared" si="185"/>
        <v>2.026713740083852</v>
      </c>
      <c r="AC50" s="381">
        <f t="shared" si="185"/>
        <v>2.0698320749041361</v>
      </c>
      <c r="AD50" s="381">
        <f t="shared" si="185"/>
        <v>2.1138677522977214</v>
      </c>
      <c r="AE50" s="381">
        <f t="shared" si="185"/>
        <v>2.1588402887278555</v>
      </c>
      <c r="AF50" s="381">
        <f t="shared" si="185"/>
        <v>2.2047696158705405</v>
      </c>
      <c r="AG50" s="381">
        <f t="shared" si="185"/>
        <v>2.2516760894481869</v>
      </c>
      <c r="AH50" s="381">
        <f t="shared" si="185"/>
        <v>2.2995804982511965</v>
      </c>
      <c r="AI50" s="381">
        <f t="shared" si="185"/>
        <v>2.3485040733514908</v>
      </c>
      <c r="AJ50" s="381">
        <f t="shared" si="185"/>
        <v>2.3984684975120438</v>
      </c>
      <c r="AK50" s="381">
        <f t="shared" si="185"/>
        <v>2.4494959147966124</v>
      </c>
      <c r="AL50" s="381">
        <f t="shared" si="185"/>
        <v>2.5016089403839104</v>
      </c>
      <c r="AM50" s="399">
        <f t="shared" si="185"/>
        <v>2.5548306705905777</v>
      </c>
      <c r="AN50" s="381">
        <f t="shared" si="185"/>
        <v>2.6004414948124825</v>
      </c>
      <c r="AO50" s="381">
        <f t="shared" si="185"/>
        <v>2.6468665989434821</v>
      </c>
      <c r="AP50" s="381">
        <f t="shared" si="185"/>
        <v>2.6941205201418428</v>
      </c>
      <c r="AQ50" s="381">
        <f t="shared" si="185"/>
        <v>2.7422180550944861</v>
      </c>
      <c r="AR50" s="381">
        <f t="shared" si="185"/>
        <v>2.7911742646502979</v>
      </c>
      <c r="AS50" s="381">
        <f t="shared" si="185"/>
        <v>2.8410044785361519</v>
      </c>
      <c r="AT50" s="381">
        <f t="shared" si="185"/>
        <v>2.8917243001571298</v>
      </c>
      <c r="AU50" s="381">
        <f t="shared" si="185"/>
        <v>2.9433496114824353</v>
      </c>
      <c r="AV50" s="381">
        <f t="shared" si="185"/>
        <v>2.9958965780185403</v>
      </c>
      <c r="AW50" s="381">
        <f t="shared" si="185"/>
        <v>3.0493816538711109</v>
      </c>
      <c r="AX50" s="381">
        <f t="shared" si="185"/>
        <v>3.1038215868973045</v>
      </c>
      <c r="AY50" s="399">
        <f t="shared" si="185"/>
        <v>3.1592334239500515</v>
      </c>
      <c r="AZ50" s="381">
        <f t="shared" si="185"/>
        <v>3.2409127714317592</v>
      </c>
      <c r="BA50" s="381">
        <f t="shared" si="185"/>
        <v>3.3247038703764842</v>
      </c>
      <c r="BB50" s="381">
        <f t="shared" si="185"/>
        <v>3.4106613183585095</v>
      </c>
      <c r="BC50" s="381">
        <f t="shared" si="185"/>
        <v>3.4988411245269031</v>
      </c>
      <c r="BD50" s="381">
        <f t="shared" si="185"/>
        <v>3.5893007461006086</v>
      </c>
      <c r="BE50" s="381">
        <f t="shared" si="185"/>
        <v>3.6820991258070848</v>
      </c>
      <c r="BF50" s="381">
        <f t="shared" si="185"/>
        <v>3.7772967302888882</v>
      </c>
      <c r="BG50" s="381">
        <f t="shared" si="185"/>
        <v>3.8749555895032315</v>
      </c>
      <c r="BH50" s="381">
        <f t="shared" si="185"/>
        <v>3.9751393371401789</v>
      </c>
      <c r="BI50" s="381">
        <f t="shared" si="185"/>
        <v>4.077913252085823</v>
      </c>
      <c r="BJ50" s="381">
        <f t="shared" si="185"/>
        <v>4.183344300957458</v>
      </c>
      <c r="BK50" s="399">
        <f t="shared" si="185"/>
        <v>4.291501181738461</v>
      </c>
    </row>
    <row r="51" spans="1:63" s="54" customFormat="1" hidden="1" outlineLevel="1">
      <c r="A51" s="857"/>
      <c r="B51" s="371" t="s">
        <v>348</v>
      </c>
      <c r="C51" s="365">
        <f>C52/C50</f>
        <v>0.22222222222222221</v>
      </c>
      <c r="D51" s="352">
        <f>C51</f>
        <v>0.22222222222222221</v>
      </c>
      <c r="E51" s="169">
        <f>D51*((0.5*($K47/12))+1)</f>
        <v>0.22268518518518521</v>
      </c>
      <c r="F51" s="169">
        <f t="shared" ref="F51" si="186">E51*((0.5*($K47/12))+1)</f>
        <v>0.22314911265432102</v>
      </c>
      <c r="G51" s="169">
        <f t="shared" ref="G51" si="187">F51*((0.5*($K47/12))+1)</f>
        <v>0.22361400663901754</v>
      </c>
      <c r="H51" s="169">
        <f t="shared" ref="H51" si="188">G51*((0.5*($K47/12))+1)</f>
        <v>0.22407986915284886</v>
      </c>
      <c r="I51" s="169">
        <f t="shared" ref="I51" si="189">H51*((0.5*($K47/12))+1)</f>
        <v>0.22454670221358397</v>
      </c>
      <c r="J51" s="169">
        <f t="shared" ref="J51" si="190">I51*((0.5*($K47/12))+1)</f>
        <v>0.22501450784319563</v>
      </c>
      <c r="K51" s="169">
        <f t="shared" ref="K51" si="191">J51*((0.5*($K47/12))+1)</f>
        <v>0.22548328806786896</v>
      </c>
      <c r="L51" s="169">
        <f t="shared" ref="L51" si="192">K51*((0.5*($K47/12))+1)</f>
        <v>0.22595304491801038</v>
      </c>
      <c r="M51" s="169">
        <f t="shared" ref="M51" si="193">L51*((0.5*($K47/12))+1)</f>
        <v>0.22642378042825625</v>
      </c>
      <c r="N51" s="169">
        <f t="shared" ref="N51" si="194">M51*((0.5*($K47/12))+1)</f>
        <v>0.22689549663748182</v>
      </c>
      <c r="O51" s="405">
        <f t="shared" ref="O51" si="195">N51*((0.5*($K47/12))+1)</f>
        <v>0.22736819558880994</v>
      </c>
      <c r="P51" s="169">
        <f>O51*((0.5*($W47/12))+1)</f>
        <v>0.22774714258145798</v>
      </c>
      <c r="Q51" s="169">
        <f t="shared" ref="Q51:AA51" si="196">P51*((0.5*($W47/12))+1)</f>
        <v>0.22812672115242708</v>
      </c>
      <c r="R51" s="169">
        <f t="shared" si="196"/>
        <v>0.2285069323543478</v>
      </c>
      <c r="S51" s="169">
        <f t="shared" si="196"/>
        <v>0.22888777724160506</v>
      </c>
      <c r="T51" s="169">
        <f t="shared" si="196"/>
        <v>0.22926925687034108</v>
      </c>
      <c r="U51" s="169">
        <f t="shared" si="196"/>
        <v>0.22965137229845833</v>
      </c>
      <c r="V51" s="169">
        <f t="shared" si="196"/>
        <v>0.23003412458562245</v>
      </c>
      <c r="W51" s="169">
        <f t="shared" si="196"/>
        <v>0.23041751479326517</v>
      </c>
      <c r="X51" s="169">
        <f t="shared" si="196"/>
        <v>0.23080154398458727</v>
      </c>
      <c r="Y51" s="169">
        <f t="shared" si="196"/>
        <v>0.23118621322456159</v>
      </c>
      <c r="Z51" s="169">
        <f t="shared" si="196"/>
        <v>0.23157152357993588</v>
      </c>
      <c r="AA51" s="405">
        <f t="shared" si="196"/>
        <v>0.23195747611923578</v>
      </c>
      <c r="AB51" s="169">
        <f>AA51*((0.5*($AI47/12))+1)</f>
        <v>0.23224742296438483</v>
      </c>
      <c r="AC51" s="169">
        <f t="shared" ref="AC51:AM51" si="197">AB51*((0.5*($AI47/12))+1)</f>
        <v>0.23253773224309029</v>
      </c>
      <c r="AD51" s="169">
        <f t="shared" si="197"/>
        <v>0.23282840440839414</v>
      </c>
      <c r="AE51" s="169">
        <f t="shared" si="197"/>
        <v>0.23311943991390463</v>
      </c>
      <c r="AF51" s="169">
        <f t="shared" si="197"/>
        <v>0.23341083921379702</v>
      </c>
      <c r="AG51" s="169">
        <f t="shared" si="197"/>
        <v>0.23370260276281427</v>
      </c>
      <c r="AH51" s="169">
        <f t="shared" si="197"/>
        <v>0.23399473101626778</v>
      </c>
      <c r="AI51" s="169">
        <f t="shared" si="197"/>
        <v>0.2342872244300381</v>
      </c>
      <c r="AJ51" s="169">
        <f t="shared" si="197"/>
        <v>0.23458008346057566</v>
      </c>
      <c r="AK51" s="169">
        <f t="shared" si="197"/>
        <v>0.23487330856490138</v>
      </c>
      <c r="AL51" s="169">
        <f t="shared" si="197"/>
        <v>0.23516690020060749</v>
      </c>
      <c r="AM51" s="405">
        <f t="shared" si="197"/>
        <v>0.23546085882585824</v>
      </c>
      <c r="AN51" s="169">
        <f>AM51*((0.5*($AU47/12))+1)</f>
        <v>0.2357355631611551</v>
      </c>
      <c r="AO51" s="169">
        <f t="shared" ref="AO51:AY51" si="198">AN51*((0.5*($AU47/12))+1)</f>
        <v>0.23601058798484315</v>
      </c>
      <c r="AP51" s="169">
        <f t="shared" si="198"/>
        <v>0.23628593367082548</v>
      </c>
      <c r="AQ51" s="169">
        <f t="shared" si="198"/>
        <v>0.23656160059344147</v>
      </c>
      <c r="AR51" s="169">
        <f t="shared" si="198"/>
        <v>0.23683758912746719</v>
      </c>
      <c r="AS51" s="169">
        <f t="shared" si="198"/>
        <v>0.23711389964811591</v>
      </c>
      <c r="AT51" s="169">
        <f t="shared" si="198"/>
        <v>0.23739053253103873</v>
      </c>
      <c r="AU51" s="169">
        <f t="shared" si="198"/>
        <v>0.23766748815232497</v>
      </c>
      <c r="AV51" s="169">
        <f t="shared" si="198"/>
        <v>0.23794476688850269</v>
      </c>
      <c r="AW51" s="169">
        <f t="shared" si="198"/>
        <v>0.2382223691165393</v>
      </c>
      <c r="AX51" s="169">
        <f t="shared" si="198"/>
        <v>0.23850029521384195</v>
      </c>
      <c r="AY51" s="405">
        <f t="shared" si="198"/>
        <v>0.23877854555825812</v>
      </c>
      <c r="AZ51" s="169">
        <f>AY51*((0.5*($BG47/12))+1)</f>
        <v>0.23897752767955663</v>
      </c>
      <c r="BA51" s="169">
        <f t="shared" ref="BA51:BK51" si="199">AZ51*((0.5*($BG47/12))+1)</f>
        <v>0.23917667561928957</v>
      </c>
      <c r="BB51" s="169">
        <f t="shared" si="199"/>
        <v>0.23937598951563896</v>
      </c>
      <c r="BC51" s="169">
        <f t="shared" si="199"/>
        <v>0.23957546950690198</v>
      </c>
      <c r="BD51" s="169">
        <f t="shared" si="199"/>
        <v>0.23977511573149105</v>
      </c>
      <c r="BE51" s="169">
        <f t="shared" si="199"/>
        <v>0.23997492832793393</v>
      </c>
      <c r="BF51" s="169">
        <f t="shared" si="199"/>
        <v>0.24017490743487385</v>
      </c>
      <c r="BG51" s="169">
        <f t="shared" si="199"/>
        <v>0.24037505319106955</v>
      </c>
      <c r="BH51" s="169">
        <f t="shared" si="199"/>
        <v>0.24057536573539542</v>
      </c>
      <c r="BI51" s="169">
        <f t="shared" si="199"/>
        <v>0.24077584520684156</v>
      </c>
      <c r="BJ51" s="169">
        <f t="shared" si="199"/>
        <v>0.24097649174451391</v>
      </c>
      <c r="BK51" s="405">
        <f t="shared" si="199"/>
        <v>0.2411773054876343</v>
      </c>
    </row>
    <row r="52" spans="1:63" s="385" customFormat="1" hidden="1" outlineLevel="1">
      <c r="A52" s="859"/>
      <c r="B52" s="390" t="s">
        <v>285</v>
      </c>
      <c r="C52" s="391">
        <v>2</v>
      </c>
      <c r="D52" s="383">
        <f>D50*D51</f>
        <v>0.16666666666666669</v>
      </c>
      <c r="E52" s="384">
        <f t="shared" ref="E52:BK52" si="200">E50*E51</f>
        <v>0.17572992621527783</v>
      </c>
      <c r="F52" s="384">
        <f t="shared" si="200"/>
        <v>0.18528604180576191</v>
      </c>
      <c r="G52" s="384">
        <f t="shared" si="200"/>
        <v>0.19536181473148453</v>
      </c>
      <c r="H52" s="384">
        <f t="shared" si="200"/>
        <v>0.20598550372827931</v>
      </c>
      <c r="I52" s="384">
        <f t="shared" si="200"/>
        <v>0.21718690422952416</v>
      </c>
      <c r="J52" s="384">
        <f t="shared" si="200"/>
        <v>0.22899743193107336</v>
      </c>
      <c r="K52" s="384">
        <f t="shared" si="200"/>
        <v>0.24145021090041377</v>
      </c>
      <c r="L52" s="384">
        <f t="shared" si="200"/>
        <v>0.25458016647715787</v>
      </c>
      <c r="M52" s="384">
        <f t="shared" si="200"/>
        <v>0.26842412322542458</v>
      </c>
      <c r="N52" s="384">
        <f t="shared" si="200"/>
        <v>0.28302090821282705</v>
      </c>
      <c r="O52" s="400">
        <f t="shared" si="200"/>
        <v>0.2984114599057261</v>
      </c>
      <c r="P52" s="384">
        <f t="shared" si="200"/>
        <v>0.30938722681589392</v>
      </c>
      <c r="Q52" s="384">
        <f t="shared" si="200"/>
        <v>0.32076668954694071</v>
      </c>
      <c r="R52" s="384">
        <f t="shared" si="200"/>
        <v>0.33256469629281299</v>
      </c>
      <c r="S52" s="384">
        <f t="shared" si="200"/>
        <v>0.34479664137365479</v>
      </c>
      <c r="T52" s="384">
        <f t="shared" si="200"/>
        <v>0.35747848532268239</v>
      </c>
      <c r="U52" s="384">
        <f t="shared" si="200"/>
        <v>0.37062677571186903</v>
      </c>
      <c r="V52" s="384">
        <f t="shared" si="200"/>
        <v>0.38425866874361003</v>
      </c>
      <c r="W52" s="384">
        <f t="shared" si="200"/>
        <v>0.39839195163654462</v>
      </c>
      <c r="X52" s="384">
        <f t="shared" si="200"/>
        <v>0.41304506583474243</v>
      </c>
      <c r="Y52" s="384">
        <f t="shared" si="200"/>
        <v>0.4282371310705389</v>
      </c>
      <c r="Z52" s="384">
        <f t="shared" si="200"/>
        <v>0.44398797031241694</v>
      </c>
      <c r="AA52" s="400">
        <f t="shared" si="200"/>
        <v>0.46031813563048851</v>
      </c>
      <c r="AB52" s="384">
        <f t="shared" si="200"/>
        <v>0.47069904322098466</v>
      </c>
      <c r="AC52" s="384">
        <f t="shared" si="200"/>
        <v>0.48131405682221801</v>
      </c>
      <c r="AD52" s="384">
        <f t="shared" si="200"/>
        <v>0.49216845589783703</v>
      </c>
      <c r="AE52" s="384">
        <f t="shared" si="200"/>
        <v>0.50326763897180982</v>
      </c>
      <c r="AF52" s="384">
        <f t="shared" si="200"/>
        <v>0.51461712631342371</v>
      </c>
      <c r="AG52" s="384">
        <f t="shared" si="200"/>
        <v>0.52622256268283663</v>
      </c>
      <c r="AH52" s="384">
        <f t="shared" si="200"/>
        <v>0.53808972013854373</v>
      </c>
      <c r="AI52" s="384">
        <f t="shared" si="200"/>
        <v>0.55022450090815944</v>
      </c>
      <c r="AJ52" s="384">
        <f t="shared" si="200"/>
        <v>0.56263294032393674</v>
      </c>
      <c r="AK52" s="384">
        <f t="shared" si="200"/>
        <v>0.57532120982449009</v>
      </c>
      <c r="AL52" s="384">
        <f t="shared" si="200"/>
        <v>0.58829562002421054</v>
      </c>
      <c r="AM52" s="400">
        <f t="shared" si="200"/>
        <v>0.60156262385190074</v>
      </c>
      <c r="AN52" s="384">
        <f t="shared" si="200"/>
        <v>0.6130165402472566</v>
      </c>
      <c r="AO52" s="384">
        <f t="shared" si="200"/>
        <v>0.62468854233409321</v>
      </c>
      <c r="AP52" s="384">
        <f t="shared" si="200"/>
        <v>0.63658278252344536</v>
      </c>
      <c r="AQ52" s="384">
        <f t="shared" si="200"/>
        <v>0.64870349228938573</v>
      </c>
      <c r="AR52" s="384">
        <f t="shared" si="200"/>
        <v>0.66105498367440763</v>
      </c>
      <c r="AS52" s="384">
        <f t="shared" si="200"/>
        <v>0.67364165082346894</v>
      </c>
      <c r="AT52" s="384">
        <f t="shared" si="200"/>
        <v>0.68646797154724637</v>
      </c>
      <c r="AU52" s="384">
        <f t="shared" si="200"/>
        <v>0.69953850891515201</v>
      </c>
      <c r="AV52" s="384">
        <f t="shared" si="200"/>
        <v>0.7128579128786845</v>
      </c>
      <c r="AW52" s="384">
        <f t="shared" si="200"/>
        <v>0.72643092192568681</v>
      </c>
      <c r="AX52" s="384">
        <f t="shared" si="200"/>
        <v>0.74026236476610252</v>
      </c>
      <c r="AY52" s="400">
        <f t="shared" si="200"/>
        <v>0.75435716204982917</v>
      </c>
      <c r="AZ52" s="384">
        <f t="shared" si="200"/>
        <v>0.7745053215418618</v>
      </c>
      <c r="BA52" s="384">
        <f t="shared" si="200"/>
        <v>0.79519161913523295</v>
      </c>
      <c r="BB52" s="384">
        <f t="shared" si="200"/>
        <v>0.81643042798478194</v>
      </c>
      <c r="BC52" s="384">
        <f t="shared" si="200"/>
        <v>0.83823650513858972</v>
      </c>
      <c r="BD52" s="384">
        <f t="shared" si="200"/>
        <v>0.86062500179140056</v>
      </c>
      <c r="BE52" s="384">
        <f t="shared" si="200"/>
        <v>0.88361147381190341</v>
      </c>
      <c r="BF52" s="384">
        <f t="shared" si="200"/>
        <v>0.90721189255118539</v>
      </c>
      <c r="BG52" s="384">
        <f t="shared" si="200"/>
        <v>0.93144265593987152</v>
      </c>
      <c r="BH52" s="384">
        <f t="shared" si="200"/>
        <v>0.95632059988165585</v>
      </c>
      <c r="BI52" s="384">
        <f t="shared" si="200"/>
        <v>0.98186300995114395</v>
      </c>
      <c r="BJ52" s="384">
        <f t="shared" si="200"/>
        <v>1.0080876334041342</v>
      </c>
      <c r="BK52" s="400">
        <f t="shared" si="200"/>
        <v>1.0350126915086804</v>
      </c>
    </row>
    <row r="53" spans="1:63" s="339" customFormat="1" ht="6.75" hidden="1" customHeight="1" outlineLevel="1">
      <c r="A53" s="854"/>
      <c r="B53" s="373"/>
      <c r="C53" s="357"/>
      <c r="D53" s="349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40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40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40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40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401"/>
    </row>
    <row r="54" spans="1:63" s="248" customFormat="1" hidden="1" outlineLevel="1">
      <c r="A54" s="860"/>
      <c r="B54" s="374" t="s">
        <v>321</v>
      </c>
      <c r="C54" s="358">
        <v>6200</v>
      </c>
      <c r="D54" s="353">
        <f>C54</f>
        <v>6200</v>
      </c>
      <c r="E54" s="249">
        <f t="shared" ref="E54:O54" si="201">D54*((1+$G47/12))</f>
        <v>6215.5</v>
      </c>
      <c r="F54" s="249">
        <f t="shared" si="201"/>
        <v>6231.0387499999997</v>
      </c>
      <c r="G54" s="249">
        <f t="shared" si="201"/>
        <v>6246.6163468749992</v>
      </c>
      <c r="H54" s="249">
        <f t="shared" si="201"/>
        <v>6262.232887742186</v>
      </c>
      <c r="I54" s="249">
        <f t="shared" si="201"/>
        <v>6277.888469961541</v>
      </c>
      <c r="J54" s="249">
        <f t="shared" si="201"/>
        <v>6293.5831911364448</v>
      </c>
      <c r="K54" s="249">
        <f t="shared" si="201"/>
        <v>6309.3171491142857</v>
      </c>
      <c r="L54" s="249">
        <f t="shared" si="201"/>
        <v>6325.0904419870712</v>
      </c>
      <c r="M54" s="249">
        <f t="shared" si="201"/>
        <v>6340.9031680920389</v>
      </c>
      <c r="N54" s="249">
        <f t="shared" si="201"/>
        <v>6356.7554260122688</v>
      </c>
      <c r="O54" s="402">
        <f t="shared" si="201"/>
        <v>6372.6473145772989</v>
      </c>
      <c r="P54" s="249">
        <f t="shared" ref="P54:AA54" si="202">O54*((1+$S47/12))</f>
        <v>6385.9236631493359</v>
      </c>
      <c r="Q54" s="249">
        <f t="shared" si="202"/>
        <v>6399.2276707808978</v>
      </c>
      <c r="R54" s="249">
        <f t="shared" si="202"/>
        <v>6412.5593950950251</v>
      </c>
      <c r="S54" s="249">
        <f t="shared" si="202"/>
        <v>6425.918893834807</v>
      </c>
      <c r="T54" s="249">
        <f t="shared" si="202"/>
        <v>6439.3062248636306</v>
      </c>
      <c r="U54" s="249">
        <f t="shared" si="202"/>
        <v>6452.7214461654303</v>
      </c>
      <c r="V54" s="249">
        <f t="shared" si="202"/>
        <v>6466.1646158449421</v>
      </c>
      <c r="W54" s="249">
        <f t="shared" si="202"/>
        <v>6479.6357921279532</v>
      </c>
      <c r="X54" s="249">
        <f t="shared" si="202"/>
        <v>6493.1350333615537</v>
      </c>
      <c r="Y54" s="249">
        <f t="shared" si="202"/>
        <v>6506.6623980143913</v>
      </c>
      <c r="Z54" s="249">
        <f t="shared" si="202"/>
        <v>6520.2179446769223</v>
      </c>
      <c r="AA54" s="402">
        <f t="shared" si="202"/>
        <v>6533.8017320616664</v>
      </c>
      <c r="AB54" s="249">
        <f t="shared" ref="AB54:AM54" si="203">AA54*((1+$AE47/12))</f>
        <v>6547.4138190034619</v>
      </c>
      <c r="AC54" s="249">
        <f t="shared" si="203"/>
        <v>6561.0542644597199</v>
      </c>
      <c r="AD54" s="249">
        <f t="shared" si="203"/>
        <v>6574.7231275106788</v>
      </c>
      <c r="AE54" s="249">
        <f t="shared" si="203"/>
        <v>6588.4204673596596</v>
      </c>
      <c r="AF54" s="249">
        <f t="shared" si="203"/>
        <v>6602.1463433333265</v>
      </c>
      <c r="AG54" s="249">
        <f t="shared" si="203"/>
        <v>6615.9008148819385</v>
      </c>
      <c r="AH54" s="249">
        <f t="shared" si="203"/>
        <v>6629.6839415796103</v>
      </c>
      <c r="AI54" s="249">
        <f t="shared" si="203"/>
        <v>6643.4957831245683</v>
      </c>
      <c r="AJ54" s="249">
        <f t="shared" si="203"/>
        <v>6657.3363993394123</v>
      </c>
      <c r="AK54" s="249">
        <f t="shared" si="203"/>
        <v>6671.20585017137</v>
      </c>
      <c r="AL54" s="249">
        <f t="shared" si="203"/>
        <v>6685.104195692561</v>
      </c>
      <c r="AM54" s="402">
        <f t="shared" si="203"/>
        <v>6699.0314961002541</v>
      </c>
      <c r="AN54" s="249">
        <f t="shared" ref="AN54:AY54" si="204">AM54*((1+$AQ47/12))</f>
        <v>6711.3130538431051</v>
      </c>
      <c r="AO54" s="249">
        <f t="shared" si="204"/>
        <v>6723.6171277751509</v>
      </c>
      <c r="AP54" s="249">
        <f t="shared" si="204"/>
        <v>6735.9437591760725</v>
      </c>
      <c r="AQ54" s="249">
        <f t="shared" si="204"/>
        <v>6748.2929894012286</v>
      </c>
      <c r="AR54" s="249">
        <f t="shared" si="204"/>
        <v>6760.6648598817974</v>
      </c>
      <c r="AS54" s="249">
        <f t="shared" si="204"/>
        <v>6773.0594121249142</v>
      </c>
      <c r="AT54" s="249">
        <f t="shared" si="204"/>
        <v>6785.47668771381</v>
      </c>
      <c r="AU54" s="249">
        <f t="shared" si="204"/>
        <v>6797.9167283079523</v>
      </c>
      <c r="AV54" s="249">
        <f t="shared" si="204"/>
        <v>6810.3795756431837</v>
      </c>
      <c r="AW54" s="249">
        <f t="shared" si="204"/>
        <v>6822.8652715318631</v>
      </c>
      <c r="AX54" s="249">
        <f t="shared" si="204"/>
        <v>6835.3738578630046</v>
      </c>
      <c r="AY54" s="402">
        <f t="shared" si="204"/>
        <v>6847.9053766024199</v>
      </c>
      <c r="AZ54" s="249">
        <f t="shared" ref="AZ54:BK54" si="205">AY54*((1+$BC47/12))</f>
        <v>6859.318552230091</v>
      </c>
      <c r="BA54" s="249">
        <f t="shared" si="205"/>
        <v>6870.7507498171417</v>
      </c>
      <c r="BB54" s="249">
        <f t="shared" si="205"/>
        <v>6882.2020010668375</v>
      </c>
      <c r="BC54" s="249">
        <f t="shared" si="205"/>
        <v>6893.6723377352828</v>
      </c>
      <c r="BD54" s="249">
        <f t="shared" si="205"/>
        <v>6905.1617916315081</v>
      </c>
      <c r="BE54" s="249">
        <f t="shared" si="205"/>
        <v>6916.6703946175612</v>
      </c>
      <c r="BF54" s="249">
        <f t="shared" si="205"/>
        <v>6928.1981786085908</v>
      </c>
      <c r="BG54" s="249">
        <f t="shared" si="205"/>
        <v>6939.7451755729389</v>
      </c>
      <c r="BH54" s="249">
        <f t="shared" si="205"/>
        <v>6951.3114175322271</v>
      </c>
      <c r="BI54" s="249">
        <f t="shared" si="205"/>
        <v>6962.8969365614475</v>
      </c>
      <c r="BJ54" s="249">
        <f t="shared" si="205"/>
        <v>6974.50176478905</v>
      </c>
      <c r="BK54" s="402">
        <f t="shared" si="205"/>
        <v>6986.1259343970323</v>
      </c>
    </row>
    <row r="55" spans="1:63" s="334" customFormat="1" hidden="1" outlineLevel="1">
      <c r="A55" s="861"/>
      <c r="B55" s="372" t="s">
        <v>261</v>
      </c>
      <c r="C55" s="359">
        <f t="shared" ref="C55:AH55" si="206">C54*C52</f>
        <v>12400</v>
      </c>
      <c r="D55" s="354">
        <f t="shared" si="206"/>
        <v>1033.3333333333335</v>
      </c>
      <c r="E55" s="335">
        <f t="shared" si="206"/>
        <v>1092.2493563910593</v>
      </c>
      <c r="F55" s="335">
        <f t="shared" si="206"/>
        <v>1154.5245063258224</v>
      </c>
      <c r="G55" s="335">
        <f t="shared" si="206"/>
        <v>1220.3503054568564</v>
      </c>
      <c r="H55" s="335">
        <f t="shared" si="206"/>
        <v>1289.9291958453714</v>
      </c>
      <c r="I55" s="335">
        <f t="shared" si="206"/>
        <v>1363.4751618891712</v>
      </c>
      <c r="J55" s="335">
        <f t="shared" si="206"/>
        <v>1441.2143884148154</v>
      </c>
      <c r="K55" s="335">
        <f t="shared" si="206"/>
        <v>1523.3859562912417</v>
      </c>
      <c r="L55" s="335">
        <f t="shared" si="206"/>
        <v>1610.2425777041485</v>
      </c>
      <c r="M55" s="335">
        <f t="shared" si="206"/>
        <v>1702.0513733524226</v>
      </c>
      <c r="N55" s="335">
        <f t="shared" si="206"/>
        <v>1799.0946939568087</v>
      </c>
      <c r="O55" s="403">
        <f t="shared" si="206"/>
        <v>1901.6709886073168</v>
      </c>
      <c r="P55" s="335">
        <f t="shared" si="206"/>
        <v>1975.7232127997677</v>
      </c>
      <c r="Q55" s="335">
        <f t="shared" si="206"/>
        <v>2052.6590756135688</v>
      </c>
      <c r="R55" s="335">
        <f t="shared" si="206"/>
        <v>2132.5908676894014</v>
      </c>
      <c r="S55" s="335">
        <f t="shared" si="206"/>
        <v>2215.6352523337523</v>
      </c>
      <c r="T55" s="335">
        <f t="shared" si="206"/>
        <v>2301.9134357931707</v>
      </c>
      <c r="U55" s="335">
        <f t="shared" si="206"/>
        <v>2391.551344159122</v>
      </c>
      <c r="V55" s="335">
        <f t="shared" si="206"/>
        <v>2484.679807161614</v>
      </c>
      <c r="W55" s="335">
        <f t="shared" si="206"/>
        <v>2581.4347491198632</v>
      </c>
      <c r="X55" s="335">
        <f t="shared" si="206"/>
        <v>2681.9573873286954</v>
      </c>
      <c r="Y55" s="335">
        <f t="shared" si="206"/>
        <v>2786.3944381702358</v>
      </c>
      <c r="Z55" s="335">
        <f t="shared" si="206"/>
        <v>2894.8983312517057</v>
      </c>
      <c r="AA55" s="403">
        <f t="shared" si="206"/>
        <v>3007.6274318818828</v>
      </c>
      <c r="AB55" s="335">
        <f t="shared" si="206"/>
        <v>3081.8614201767828</v>
      </c>
      <c r="AC55" s="335">
        <f t="shared" si="206"/>
        <v>3157.9276450578213</v>
      </c>
      <c r="AD55" s="335">
        <f t="shared" si="206"/>
        <v>3235.8713296227288</v>
      </c>
      <c r="AE55" s="335">
        <f t="shared" si="206"/>
        <v>3315.7388131616435</v>
      </c>
      <c r="AF55" s="335">
        <f t="shared" si="206"/>
        <v>3397.5775787068751</v>
      </c>
      <c r="AG55" s="335">
        <f t="shared" si="206"/>
        <v>3481.4362812626409</v>
      </c>
      <c r="AH55" s="335">
        <f t="shared" si="206"/>
        <v>3567.3647767315701</v>
      </c>
      <c r="AI55" s="335">
        <f t="shared" ref="AI55:BK55" si="207">AI54*AI52</f>
        <v>3655.4141515551773</v>
      </c>
      <c r="AJ55" s="335">
        <f t="shared" si="207"/>
        <v>3745.6367530859034</v>
      </c>
      <c r="AK55" s="335">
        <f t="shared" si="207"/>
        <v>3838.0862207088085</v>
      </c>
      <c r="AL55" s="335">
        <f t="shared" si="207"/>
        <v>3932.8175177314065</v>
      </c>
      <c r="AM55" s="403">
        <f t="shared" si="207"/>
        <v>4029.8869640605931</v>
      </c>
      <c r="AN55" s="335">
        <f t="shared" si="207"/>
        <v>4114.1459087831508</v>
      </c>
      <c r="AO55" s="335">
        <f t="shared" si="207"/>
        <v>4200.166582762402</v>
      </c>
      <c r="AP55" s="335">
        <f t="shared" si="207"/>
        <v>4287.9858211377405</v>
      </c>
      <c r="AQ55" s="335">
        <f t="shared" si="207"/>
        <v>4377.641229216556</v>
      </c>
      <c r="AR55" s="335">
        <f t="shared" si="207"/>
        <v>4469.1711985773027</v>
      </c>
      <c r="AS55" s="335">
        <f t="shared" si="207"/>
        <v>4562.6149235092616</v>
      </c>
      <c r="AT55" s="335">
        <f t="shared" si="207"/>
        <v>4658.012417796027</v>
      </c>
      <c r="AU55" s="335">
        <f t="shared" si="207"/>
        <v>4755.4045318499138</v>
      </c>
      <c r="AV55" s="335">
        <f t="shared" si="207"/>
        <v>4854.8329702046212</v>
      </c>
      <c r="AW55" s="335">
        <f t="shared" si="207"/>
        <v>4956.3403093736424</v>
      </c>
      <c r="AX55" s="335">
        <f t="shared" si="207"/>
        <v>5059.9700160820648</v>
      </c>
      <c r="AY55" s="403">
        <f t="shared" si="207"/>
        <v>5165.7664658795684</v>
      </c>
      <c r="AZ55" s="335">
        <f t="shared" si="207"/>
        <v>5312.5787208530246</v>
      </c>
      <c r="BA55" s="335">
        <f t="shared" si="207"/>
        <v>5463.5634134217089</v>
      </c>
      <c r="BB55" s="335">
        <f t="shared" si="207"/>
        <v>5618.8391252087213</v>
      </c>
      <c r="BC55" s="335">
        <f t="shared" si="207"/>
        <v>5778.5278079537948</v>
      </c>
      <c r="BD55" s="335">
        <f t="shared" si="207"/>
        <v>5942.7548792927773</v>
      </c>
      <c r="BE55" s="335">
        <f t="shared" si="207"/>
        <v>6111.6493212591831</v>
      </c>
      <c r="BF55" s="335">
        <f t="shared" si="207"/>
        <v>6285.3437815851748</v>
      </c>
      <c r="BG55" s="335">
        <f t="shared" si="207"/>
        <v>6463.9746778815679</v>
      </c>
      <c r="BH55" s="335">
        <f t="shared" si="207"/>
        <v>6647.6823047786229</v>
      </c>
      <c r="BI55" s="335">
        <f t="shared" si="207"/>
        <v>6836.6109441118224</v>
      </c>
      <c r="BJ55" s="335">
        <f t="shared" si="207"/>
        <v>7030.9089782391511</v>
      </c>
      <c r="BK55" s="403">
        <f t="shared" si="207"/>
        <v>7230.7290065788666</v>
      </c>
    </row>
    <row r="56" spans="1:63" s="339" customFormat="1" ht="4.5" hidden="1" customHeight="1" outlineLevel="1">
      <c r="A56" s="854"/>
      <c r="B56" s="373"/>
      <c r="C56" s="360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40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40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40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40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401"/>
    </row>
    <row r="57" spans="1:63" s="248" customFormat="1" hidden="1" outlineLevel="1">
      <c r="A57" s="860"/>
      <c r="B57" s="374" t="s">
        <v>346</v>
      </c>
      <c r="C57" s="358">
        <v>22000</v>
      </c>
      <c r="D57" s="353">
        <f>C57/12</f>
        <v>1833.3333333333333</v>
      </c>
      <c r="E57" s="249">
        <f t="shared" ref="E57:O57" si="208">D57*(1+($I47/12))</f>
        <v>1879.1666666666665</v>
      </c>
      <c r="F57" s="249">
        <f t="shared" si="208"/>
        <v>1926.145833333333</v>
      </c>
      <c r="G57" s="249">
        <f t="shared" si="208"/>
        <v>1974.2994791666663</v>
      </c>
      <c r="H57" s="249">
        <f t="shared" si="208"/>
        <v>2023.6569661458327</v>
      </c>
      <c r="I57" s="249">
        <f t="shared" si="208"/>
        <v>2074.2483902994782</v>
      </c>
      <c r="J57" s="249">
        <f t="shared" si="208"/>
        <v>2126.104600056965</v>
      </c>
      <c r="K57" s="249">
        <f t="shared" si="208"/>
        <v>2179.2572150583887</v>
      </c>
      <c r="L57" s="249">
        <f t="shared" si="208"/>
        <v>2233.7386454348484</v>
      </c>
      <c r="M57" s="249">
        <f t="shared" si="208"/>
        <v>2289.5821115707195</v>
      </c>
      <c r="N57" s="249">
        <f t="shared" si="208"/>
        <v>2346.8216643599872</v>
      </c>
      <c r="O57" s="402">
        <f t="shared" si="208"/>
        <v>2405.4922059689866</v>
      </c>
      <c r="P57" s="249">
        <f t="shared" ref="P57:AA57" si="209">O57*(1+($U47/12))</f>
        <v>2450.5951848309051</v>
      </c>
      <c r="Q57" s="249">
        <f t="shared" si="209"/>
        <v>2496.5438445464847</v>
      </c>
      <c r="R57" s="249">
        <f t="shared" si="209"/>
        <v>2543.3540416317314</v>
      </c>
      <c r="S57" s="249">
        <f t="shared" si="209"/>
        <v>2591.0419299123264</v>
      </c>
      <c r="T57" s="249">
        <f t="shared" si="209"/>
        <v>2639.6239660981828</v>
      </c>
      <c r="U57" s="249">
        <f t="shared" si="209"/>
        <v>2689.116915462524</v>
      </c>
      <c r="V57" s="249">
        <f t="shared" si="209"/>
        <v>2739.5378576274466</v>
      </c>
      <c r="W57" s="249">
        <f t="shared" si="209"/>
        <v>2790.9041924579615</v>
      </c>
      <c r="X57" s="249">
        <f t="shared" si="209"/>
        <v>2843.2336460665483</v>
      </c>
      <c r="Y57" s="249">
        <f t="shared" si="209"/>
        <v>2896.5442769302963</v>
      </c>
      <c r="Z57" s="249">
        <f t="shared" si="209"/>
        <v>2950.8544821227397</v>
      </c>
      <c r="AA57" s="402">
        <f t="shared" si="209"/>
        <v>3006.1830036625411</v>
      </c>
      <c r="AB57" s="249">
        <f t="shared" ref="AB57:AM57" si="210">AA57*(1+($AG47/12))</f>
        <v>3036.2448336991665</v>
      </c>
      <c r="AC57" s="249">
        <f t="shared" si="210"/>
        <v>3066.6072820361583</v>
      </c>
      <c r="AD57" s="249">
        <f t="shared" si="210"/>
        <v>3097.2733548565197</v>
      </c>
      <c r="AE57" s="249">
        <f t="shared" si="210"/>
        <v>3128.2460884050852</v>
      </c>
      <c r="AF57" s="249">
        <f t="shared" si="210"/>
        <v>3159.5285492891362</v>
      </c>
      <c r="AG57" s="249">
        <f t="shared" si="210"/>
        <v>3191.1238347820276</v>
      </c>
      <c r="AH57" s="249">
        <f t="shared" si="210"/>
        <v>3223.0350731298481</v>
      </c>
      <c r="AI57" s="249">
        <f t="shared" si="210"/>
        <v>3255.2654238611467</v>
      </c>
      <c r="AJ57" s="249">
        <f t="shared" si="210"/>
        <v>3287.8180780997582</v>
      </c>
      <c r="AK57" s="249">
        <f t="shared" si="210"/>
        <v>3320.696258880756</v>
      </c>
      <c r="AL57" s="249">
        <f t="shared" si="210"/>
        <v>3353.9032214695635</v>
      </c>
      <c r="AM57" s="402">
        <f t="shared" si="210"/>
        <v>3387.442253684259</v>
      </c>
      <c r="AN57" s="249">
        <f t="shared" ref="AN57:AY57" si="211">AM57*(1+($AS47/12))</f>
        <v>3404.3794649526799</v>
      </c>
      <c r="AO57" s="249">
        <f t="shared" si="211"/>
        <v>3421.4013622774428</v>
      </c>
      <c r="AP57" s="249">
        <f t="shared" si="211"/>
        <v>3438.5083690888296</v>
      </c>
      <c r="AQ57" s="249">
        <f t="shared" si="211"/>
        <v>3455.7009109342735</v>
      </c>
      <c r="AR57" s="249">
        <f t="shared" si="211"/>
        <v>3472.9794154889446</v>
      </c>
      <c r="AS57" s="249">
        <f t="shared" si="211"/>
        <v>3490.3443125663889</v>
      </c>
      <c r="AT57" s="249">
        <f t="shared" si="211"/>
        <v>3507.7960341292205</v>
      </c>
      <c r="AU57" s="249">
        <f t="shared" si="211"/>
        <v>3525.3350142998661</v>
      </c>
      <c r="AV57" s="249">
        <f t="shared" si="211"/>
        <v>3542.9616893713651</v>
      </c>
      <c r="AW57" s="249">
        <f t="shared" si="211"/>
        <v>3560.6764978182214</v>
      </c>
      <c r="AX57" s="249">
        <f t="shared" si="211"/>
        <v>3578.4798803073122</v>
      </c>
      <c r="AY57" s="402">
        <f t="shared" si="211"/>
        <v>3596.3722797088485</v>
      </c>
      <c r="AZ57" s="249">
        <f t="shared" ref="AZ57:BK57" si="212">AY57*(1+($BES47/12))</f>
        <v>3596.3722797088485</v>
      </c>
      <c r="BA57" s="249">
        <f t="shared" si="212"/>
        <v>3596.3722797088485</v>
      </c>
      <c r="BB57" s="249">
        <f t="shared" si="212"/>
        <v>3596.3722797088485</v>
      </c>
      <c r="BC57" s="249">
        <f t="shared" si="212"/>
        <v>3596.3722797088485</v>
      </c>
      <c r="BD57" s="249">
        <f t="shared" si="212"/>
        <v>3596.3722797088485</v>
      </c>
      <c r="BE57" s="249">
        <f t="shared" si="212"/>
        <v>3596.3722797088485</v>
      </c>
      <c r="BF57" s="249">
        <f t="shared" si="212"/>
        <v>3596.3722797088485</v>
      </c>
      <c r="BG57" s="249">
        <f t="shared" si="212"/>
        <v>3596.3722797088485</v>
      </c>
      <c r="BH57" s="249">
        <f t="shared" si="212"/>
        <v>3596.3722797088485</v>
      </c>
      <c r="BI57" s="249">
        <f t="shared" si="212"/>
        <v>3596.3722797088485</v>
      </c>
      <c r="BJ57" s="249">
        <f t="shared" si="212"/>
        <v>3596.3722797088485</v>
      </c>
      <c r="BK57" s="402">
        <f t="shared" si="212"/>
        <v>3596.3722797088485</v>
      </c>
    </row>
    <row r="58" spans="1:63" s="54" customFormat="1" hidden="1" outlineLevel="1">
      <c r="A58" s="857"/>
      <c r="B58" s="370" t="s">
        <v>345</v>
      </c>
      <c r="C58" s="361">
        <v>0.04</v>
      </c>
      <c r="D58" s="355">
        <f>M47</f>
        <v>0.04</v>
      </c>
      <c r="E58" s="169">
        <f t="shared" ref="E58:O58" si="213">D58</f>
        <v>0.04</v>
      </c>
      <c r="F58" s="169">
        <f t="shared" si="213"/>
        <v>0.04</v>
      </c>
      <c r="G58" s="169">
        <f t="shared" si="213"/>
        <v>0.04</v>
      </c>
      <c r="H58" s="169">
        <f t="shared" si="213"/>
        <v>0.04</v>
      </c>
      <c r="I58" s="169">
        <f t="shared" si="213"/>
        <v>0.04</v>
      </c>
      <c r="J58" s="169">
        <f t="shared" si="213"/>
        <v>0.04</v>
      </c>
      <c r="K58" s="169">
        <f t="shared" si="213"/>
        <v>0.04</v>
      </c>
      <c r="L58" s="169">
        <f t="shared" si="213"/>
        <v>0.04</v>
      </c>
      <c r="M58" s="169">
        <f t="shared" si="213"/>
        <v>0.04</v>
      </c>
      <c r="N58" s="169">
        <f t="shared" si="213"/>
        <v>0.04</v>
      </c>
      <c r="O58" s="405">
        <f t="shared" si="213"/>
        <v>0.04</v>
      </c>
      <c r="P58" s="169">
        <f>$Y47</f>
        <v>0.04</v>
      </c>
      <c r="Q58" s="169">
        <f t="shared" ref="Q58:AA58" si="214">$Y47</f>
        <v>0.04</v>
      </c>
      <c r="R58" s="169">
        <f t="shared" si="214"/>
        <v>0.04</v>
      </c>
      <c r="S58" s="169">
        <f t="shared" si="214"/>
        <v>0.04</v>
      </c>
      <c r="T58" s="169">
        <f t="shared" si="214"/>
        <v>0.04</v>
      </c>
      <c r="U58" s="169">
        <f t="shared" si="214"/>
        <v>0.04</v>
      </c>
      <c r="V58" s="169">
        <f t="shared" si="214"/>
        <v>0.04</v>
      </c>
      <c r="W58" s="169">
        <f t="shared" si="214"/>
        <v>0.04</v>
      </c>
      <c r="X58" s="169">
        <f t="shared" si="214"/>
        <v>0.04</v>
      </c>
      <c r="Y58" s="169">
        <f t="shared" si="214"/>
        <v>0.04</v>
      </c>
      <c r="Z58" s="169">
        <f t="shared" si="214"/>
        <v>0.04</v>
      </c>
      <c r="AA58" s="405">
        <f t="shared" si="214"/>
        <v>0.04</v>
      </c>
      <c r="AB58" s="169">
        <f>$AK47</f>
        <v>0.04</v>
      </c>
      <c r="AC58" s="169">
        <f t="shared" ref="AC58:AM58" si="215">$AK47</f>
        <v>0.04</v>
      </c>
      <c r="AD58" s="169">
        <f t="shared" si="215"/>
        <v>0.04</v>
      </c>
      <c r="AE58" s="169">
        <f t="shared" si="215"/>
        <v>0.04</v>
      </c>
      <c r="AF58" s="169">
        <f t="shared" si="215"/>
        <v>0.04</v>
      </c>
      <c r="AG58" s="169">
        <f t="shared" si="215"/>
        <v>0.04</v>
      </c>
      <c r="AH58" s="169">
        <f t="shared" si="215"/>
        <v>0.04</v>
      </c>
      <c r="AI58" s="169">
        <f t="shared" si="215"/>
        <v>0.04</v>
      </c>
      <c r="AJ58" s="169">
        <f t="shared" si="215"/>
        <v>0.04</v>
      </c>
      <c r="AK58" s="169">
        <f t="shared" si="215"/>
        <v>0.04</v>
      </c>
      <c r="AL58" s="169">
        <f t="shared" si="215"/>
        <v>0.04</v>
      </c>
      <c r="AM58" s="405">
        <f t="shared" si="215"/>
        <v>0.04</v>
      </c>
      <c r="AN58" s="169">
        <f>$AW47</f>
        <v>0.04</v>
      </c>
      <c r="AO58" s="169">
        <f t="shared" ref="AO58:AY58" si="216">$AW47</f>
        <v>0.04</v>
      </c>
      <c r="AP58" s="169">
        <f t="shared" si="216"/>
        <v>0.04</v>
      </c>
      <c r="AQ58" s="169">
        <f t="shared" si="216"/>
        <v>0.04</v>
      </c>
      <c r="AR58" s="169">
        <f t="shared" si="216"/>
        <v>0.04</v>
      </c>
      <c r="AS58" s="169">
        <f t="shared" si="216"/>
        <v>0.04</v>
      </c>
      <c r="AT58" s="169">
        <f t="shared" si="216"/>
        <v>0.04</v>
      </c>
      <c r="AU58" s="169">
        <f t="shared" si="216"/>
        <v>0.04</v>
      </c>
      <c r="AV58" s="169">
        <f t="shared" si="216"/>
        <v>0.04</v>
      </c>
      <c r="AW58" s="169">
        <f t="shared" si="216"/>
        <v>0.04</v>
      </c>
      <c r="AX58" s="169">
        <f t="shared" si="216"/>
        <v>0.04</v>
      </c>
      <c r="AY58" s="405">
        <f t="shared" si="216"/>
        <v>0.04</v>
      </c>
      <c r="AZ58" s="169">
        <f>$BI47</f>
        <v>0.04</v>
      </c>
      <c r="BA58" s="169">
        <f t="shared" ref="BA58:BK58" si="217">$BI47</f>
        <v>0.04</v>
      </c>
      <c r="BB58" s="169">
        <f t="shared" si="217"/>
        <v>0.04</v>
      </c>
      <c r="BC58" s="169">
        <f t="shared" si="217"/>
        <v>0.04</v>
      </c>
      <c r="BD58" s="169">
        <f t="shared" si="217"/>
        <v>0.04</v>
      </c>
      <c r="BE58" s="169">
        <f t="shared" si="217"/>
        <v>0.04</v>
      </c>
      <c r="BF58" s="169">
        <f t="shared" si="217"/>
        <v>0.04</v>
      </c>
      <c r="BG58" s="169">
        <f t="shared" si="217"/>
        <v>0.04</v>
      </c>
      <c r="BH58" s="169">
        <f t="shared" si="217"/>
        <v>0.04</v>
      </c>
      <c r="BI58" s="169">
        <f t="shared" si="217"/>
        <v>0.04</v>
      </c>
      <c r="BJ58" s="169">
        <f t="shared" si="217"/>
        <v>0.04</v>
      </c>
      <c r="BK58" s="405">
        <f t="shared" si="217"/>
        <v>0.04</v>
      </c>
    </row>
    <row r="59" spans="1:63" s="336" customFormat="1" ht="19.5" hidden="1" outlineLevel="1" thickBot="1">
      <c r="A59" s="862"/>
      <c r="B59" s="375" t="s">
        <v>300</v>
      </c>
      <c r="C59" s="362">
        <f>C58*'Prg. HR'!D$38*12</f>
        <v>3024</v>
      </c>
      <c r="D59" s="351">
        <f>D58*'Prg. HR'!D$38</f>
        <v>252</v>
      </c>
      <c r="E59" s="337">
        <f>E58*'Prg. HR'!E$38</f>
        <v>248.22</v>
      </c>
      <c r="F59" s="337">
        <f>F58*'Prg. HR'!F$38</f>
        <v>244.49670000000003</v>
      </c>
      <c r="G59" s="337">
        <f>G58*'Prg. HR'!G$38</f>
        <v>333.22924950000004</v>
      </c>
      <c r="H59" s="337">
        <f>H58*'Prg. HR'!H$38</f>
        <v>329.61681075749999</v>
      </c>
      <c r="I59" s="337">
        <f>I58*'Prg. HR'!I$38</f>
        <v>326.05855859613752</v>
      </c>
      <c r="J59" s="337">
        <f>J58*'Prg. HR'!J$38</f>
        <v>322.55368021719545</v>
      </c>
      <c r="K59" s="337">
        <f>K58*'Prg. HR'!K$38</f>
        <v>389.10137501393751</v>
      </c>
      <c r="L59" s="337">
        <f>L58*'Prg. HR'!L$38</f>
        <v>391.53418772206174</v>
      </c>
      <c r="M59" s="337">
        <f>M58*'Prg. HR'!M$38</f>
        <v>388.67078601734198</v>
      </c>
      <c r="N59" s="337">
        <f>N58*'Prg. HR'!N$38</f>
        <v>385.41202515300779</v>
      </c>
      <c r="O59" s="406">
        <f>O58*'Prg. HR'!O$38</f>
        <v>382.16561985287314</v>
      </c>
      <c r="P59" s="337">
        <f>P58*'Prg. HR'!P$38</f>
        <v>372.60125602190101</v>
      </c>
      <c r="Q59" s="337">
        <f>Q58*'Prg. HR'!Q$38</f>
        <v>375.28157051490587</v>
      </c>
      <c r="R59" s="337">
        <f>R58*'Prg. HR'!R$38</f>
        <v>372.6619580682933</v>
      </c>
      <c r="S59" s="337">
        <f>S58*'Prg. HR'!S$38</f>
        <v>369.64332962319486</v>
      </c>
      <c r="T59" s="337">
        <f>T58*'Prg. HR'!T$38</f>
        <v>366.63345475600744</v>
      </c>
      <c r="U59" s="337">
        <f>U58*'Prg. HR'!U$38</f>
        <v>552.6656841910974</v>
      </c>
      <c r="V59" s="337">
        <f>V58*'Prg. HR'!V$38</f>
        <v>549.7421765329334</v>
      </c>
      <c r="W59" s="337">
        <f>W58*'Prg. HR'!W$38</f>
        <v>546.86250035199794</v>
      </c>
      <c r="X59" s="337">
        <f>X58*'Prg. HR'!X$38</f>
        <v>544.02601755230614</v>
      </c>
      <c r="Y59" s="337">
        <f>Y58*'Prg. HR'!Y$38</f>
        <v>541.2320818478205</v>
      </c>
      <c r="Z59" s="337">
        <f>Z58*'Prg. HR'!Z$38</f>
        <v>538.4800551666699</v>
      </c>
      <c r="AA59" s="406">
        <f>AA58*'Prg. HR'!AA$38</f>
        <v>612.13294524834487</v>
      </c>
      <c r="AB59" s="337">
        <f>AB58*'Prg. HR'!AB$38</f>
        <v>708.35993434957743</v>
      </c>
      <c r="AC59" s="337">
        <f>AC58*'Prg. HR'!AC$38</f>
        <v>702.02587702604012</v>
      </c>
      <c r="AD59" s="337">
        <f>AD58*'Prg. HR'!AD$38</f>
        <v>694.34690640706162</v>
      </c>
      <c r="AE59" s="337">
        <f>AE58*'Prg. HR'!AE$38</f>
        <v>686.77494829209593</v>
      </c>
      <c r="AF59" s="337">
        <f>AF58*'Prg. HR'!AF$38</f>
        <v>679.53543207838902</v>
      </c>
      <c r="AG59" s="337">
        <f>AG58*'Prg. HR'!AG$38</f>
        <v>672.65019900795244</v>
      </c>
      <c r="AH59" s="337">
        <f>AH58*'Prg. HR'!AH$38</f>
        <v>666.10794547980197</v>
      </c>
      <c r="AI59" s="337">
        <f>AI58*'Prg. HR'!AI$38</f>
        <v>743.89258639635932</v>
      </c>
      <c r="AJ59" s="337">
        <f>AJ58*'Prg. HR'!AJ$38</f>
        <v>758.98796662417828</v>
      </c>
      <c r="AK59" s="337">
        <f>AK58*'Prg. HR'!AK$38</f>
        <v>758.62857067987852</v>
      </c>
      <c r="AL59" s="337">
        <f>AL58*'Prg. HR'!AL$38</f>
        <v>847.0121427426119</v>
      </c>
      <c r="AM59" s="406">
        <f>AM58*'Prg. HR'!AM$38</f>
        <v>842.27778575466323</v>
      </c>
      <c r="AN59" s="337">
        <f>AN58*'Prg. HR'!AN$38</f>
        <v>933.22624025866537</v>
      </c>
      <c r="AO59" s="337">
        <f>AO58*'Prg. HR'!AO$38</f>
        <v>913.11698554435475</v>
      </c>
      <c r="AP59" s="337">
        <f>AP58*'Prg. HR'!AP$38</f>
        <v>906.18647915024076</v>
      </c>
      <c r="AQ59" s="337">
        <f>AQ58*'Prg. HR'!AQ$38</f>
        <v>901.63137900657921</v>
      </c>
      <c r="AR59" s="337">
        <f>AR58*'Prg. HR'!AR$38</f>
        <v>981.64937530512168</v>
      </c>
      <c r="AS59" s="337">
        <f>AS58*'Prg. HR'!AS$38</f>
        <v>1091.3117978520834</v>
      </c>
      <c r="AT59" s="337">
        <f>AT58*'Prg. HR'!AT$38</f>
        <v>1093.0224307875337</v>
      </c>
      <c r="AU59" s="337">
        <f>AU58*'Prg. HR'!AU$38</f>
        <v>1090.9753649551708</v>
      </c>
      <c r="AV59" s="337">
        <f>AV58*'Prg. HR'!AV$38</f>
        <v>1088.1126106341655</v>
      </c>
      <c r="AW59" s="337">
        <f>AW58*'Prg. HR'!AW$38</f>
        <v>1085.1634835841455</v>
      </c>
      <c r="AX59" s="337">
        <f>AX58*'Prg. HR'!AX$38</f>
        <v>1271.3044352753604</v>
      </c>
      <c r="AY59" s="406">
        <f>AY58*'Prg. HR'!AY$38</f>
        <v>1454.3067590901971</v>
      </c>
      <c r="AZ59" s="337">
        <f>AZ58*'Prg. HR'!AZ$38</f>
        <v>1482.8206029952221</v>
      </c>
      <c r="BA59" s="337">
        <f>BA58*'Prg. HR'!BA$38</f>
        <v>1490.7226334653062</v>
      </c>
      <c r="BB59" s="337">
        <f>BB58*'Prg. HR'!BB$38</f>
        <v>1491.8341886653225</v>
      </c>
      <c r="BC59" s="337">
        <f>BC58*'Prg. HR'!BC$38</f>
        <v>1490.7583748564834</v>
      </c>
      <c r="BD59" s="337">
        <f>BD58*'Prg. HR'!BD$38</f>
        <v>1581.4257546551355</v>
      </c>
      <c r="BE59" s="337">
        <f>BE58*'Prg. HR'!BE$38</f>
        <v>1873.5268953307316</v>
      </c>
      <c r="BF59" s="337">
        <f>BF58*'Prg. HR'!BF$38</f>
        <v>1915.4132290676757</v>
      </c>
      <c r="BG59" s="337">
        <f>BG58*'Prg. HR'!BG$38</f>
        <v>1931.8470169907425</v>
      </c>
      <c r="BH59" s="337">
        <f>BH58*'Prg. HR'!BH$38</f>
        <v>2030.1265200480595</v>
      </c>
      <c r="BI59" s="337">
        <f>BI58*'Prg. HR'!BI$38</f>
        <v>2151.2042051847848</v>
      </c>
      <c r="BJ59" s="337">
        <f>BJ58*'Prg. HR'!BJ$38</f>
        <v>2211.0060004951101</v>
      </c>
      <c r="BK59" s="406">
        <f>BK58*'Prg. HR'!BK$38</f>
        <v>2429.2067032551367</v>
      </c>
    </row>
    <row r="60" spans="1:63" s="54" customFormat="1" hidden="1" outlineLevel="1">
      <c r="A60" s="857"/>
      <c r="B60" s="192" t="s">
        <v>386</v>
      </c>
      <c r="C60" s="1207">
        <f t="shared" ref="C60:AH60" si="218">(C57+C59)/C48</f>
        <v>1787.4285714285713</v>
      </c>
      <c r="D60" s="368">
        <f t="shared" si="218"/>
        <v>1787.4285714285711</v>
      </c>
      <c r="E60" s="1208">
        <f t="shared" si="218"/>
        <v>1736.6421768707478</v>
      </c>
      <c r="F60" s="1208">
        <f t="shared" si="218"/>
        <v>1687.5743699384514</v>
      </c>
      <c r="G60" s="1208">
        <f t="shared" si="218"/>
        <v>1708.5686361546882</v>
      </c>
      <c r="H60" s="1208">
        <f t="shared" si="218"/>
        <v>1659.4664229610378</v>
      </c>
      <c r="I60" s="1208">
        <f t="shared" si="218"/>
        <v>1612.0314017278156</v>
      </c>
      <c r="J60" s="1208">
        <f t="shared" si="218"/>
        <v>1566.1941512934384</v>
      </c>
      <c r="K60" s="1208">
        <f t="shared" si="218"/>
        <v>1564.5295706089064</v>
      </c>
      <c r="L60" s="1208">
        <f t="shared" si="218"/>
        <v>1523.0468481815715</v>
      </c>
      <c r="M60" s="1208">
        <f t="shared" si="218"/>
        <v>1479.7934551469273</v>
      </c>
      <c r="N60" s="1208">
        <f t="shared" si="218"/>
        <v>1437.7324060822241</v>
      </c>
      <c r="O60" s="1209">
        <f t="shared" si="218"/>
        <v>1397.0449678438013</v>
      </c>
      <c r="P60" s="1208">
        <f t="shared" si="218"/>
        <v>1369.2147826638345</v>
      </c>
      <c r="Q60" s="1208">
        <f t="shared" si="218"/>
        <v>1347.8702166070557</v>
      </c>
      <c r="R60" s="1208">
        <f t="shared" si="218"/>
        <v>1324.4620100530094</v>
      </c>
      <c r="S60" s="1208">
        <f t="shared" si="218"/>
        <v>1301.3718420176785</v>
      </c>
      <c r="T60" s="1208">
        <f t="shared" si="218"/>
        <v>1278.7772188090355</v>
      </c>
      <c r="U60" s="1208">
        <f t="shared" si="218"/>
        <v>1334.4803177311558</v>
      </c>
      <c r="V60" s="1208">
        <f t="shared" si="218"/>
        <v>1310.3541717355668</v>
      </c>
      <c r="W60" s="1208">
        <f t="shared" si="218"/>
        <v>1286.7772802465042</v>
      </c>
      <c r="X60" s="1208">
        <f t="shared" si="218"/>
        <v>1263.733385877641</v>
      </c>
      <c r="Y60" s="1208">
        <f t="shared" si="218"/>
        <v>1241.206811139758</v>
      </c>
      <c r="Z60" s="1208">
        <f t="shared" si="218"/>
        <v>1219.182441628137</v>
      </c>
      <c r="AA60" s="1209">
        <f t="shared" si="218"/>
        <v>1223.4666559738357</v>
      </c>
      <c r="AB60" s="1208">
        <f t="shared" si="218"/>
        <v>1241.3420449028852</v>
      </c>
      <c r="AC60" s="1208">
        <f t="shared" si="218"/>
        <v>1224.8112668910082</v>
      </c>
      <c r="AD60" s="1208">
        <f t="shared" si="218"/>
        <v>1208.119714308215</v>
      </c>
      <c r="AE60" s="1208">
        <f t="shared" si="218"/>
        <v>1191.7410560369717</v>
      </c>
      <c r="AF60" s="1208">
        <f t="shared" si="218"/>
        <v>1175.7368835749585</v>
      </c>
      <c r="AG60" s="1208">
        <f t="shared" si="218"/>
        <v>1160.1024398425589</v>
      </c>
      <c r="AH60" s="1208">
        <f t="shared" si="218"/>
        <v>1144.823044781587</v>
      </c>
      <c r="AI60" s="1208">
        <f t="shared" ref="AI60:BK60" si="219">(AI57+AI59)/AI48</f>
        <v>1154.124979779242</v>
      </c>
      <c r="AJ60" s="1208">
        <f t="shared" si="219"/>
        <v>1144.9762950978716</v>
      </c>
      <c r="AK60" s="1208">
        <f t="shared" si="219"/>
        <v>1131.546022606605</v>
      </c>
      <c r="AL60" s="1208">
        <f t="shared" si="219"/>
        <v>1142.424987959907</v>
      </c>
      <c r="AM60" s="1209">
        <f t="shared" si="219"/>
        <v>1127.704238988201</v>
      </c>
      <c r="AN60" s="1208">
        <f t="shared" si="219"/>
        <v>1137.5096166230089</v>
      </c>
      <c r="AO60" s="1208">
        <f t="shared" si="219"/>
        <v>1118.0655508589552</v>
      </c>
      <c r="AP60" s="1208">
        <f t="shared" si="219"/>
        <v>1102.3185482653562</v>
      </c>
      <c r="AQ60" s="1208">
        <f t="shared" si="219"/>
        <v>1087.401510766392</v>
      </c>
      <c r="AR60" s="1208">
        <f t="shared" si="219"/>
        <v>1093.4582020488519</v>
      </c>
      <c r="AS60" s="1208">
        <f t="shared" si="219"/>
        <v>1106.2023357663688</v>
      </c>
      <c r="AT60" s="1208">
        <f t="shared" si="219"/>
        <v>1092.6186148554548</v>
      </c>
      <c r="AU60" s="1208">
        <f t="shared" si="219"/>
        <v>1078.3255961070761</v>
      </c>
      <c r="AV60" s="1208">
        <f t="shared" si="219"/>
        <v>1064.0403006363863</v>
      </c>
      <c r="AW60" s="1208">
        <f t="shared" si="219"/>
        <v>1049.9339788349666</v>
      </c>
      <c r="AX60" s="1208">
        <f t="shared" si="219"/>
        <v>1078.0566524103326</v>
      </c>
      <c r="AY60" s="1209">
        <f t="shared" si="219"/>
        <v>1104.308322886367</v>
      </c>
      <c r="AZ60" s="1208">
        <f t="shared" si="219"/>
        <v>1083.4563385273314</v>
      </c>
      <c r="BA60" s="1208">
        <f t="shared" si="219"/>
        <v>1058.6750653348538</v>
      </c>
      <c r="BB60" s="1208">
        <f t="shared" si="219"/>
        <v>1033.0794058842571</v>
      </c>
      <c r="BC60" s="1208">
        <f t="shared" si="219"/>
        <v>1007.6692478038938</v>
      </c>
      <c r="BD60" s="1208">
        <f t="shared" si="219"/>
        <v>1000.6134906249475</v>
      </c>
      <c r="BE60" s="1208">
        <f t="shared" si="219"/>
        <v>1031.2802564612205</v>
      </c>
      <c r="BF60" s="1208">
        <f t="shared" si="219"/>
        <v>1013.831604417883</v>
      </c>
      <c r="BG60" s="1208">
        <f t="shared" si="219"/>
        <v>992.05308957747309</v>
      </c>
      <c r="BH60" s="1208">
        <f t="shared" si="219"/>
        <v>985.06302216765971</v>
      </c>
      <c r="BI60" s="1208">
        <f t="shared" si="219"/>
        <v>981.7178326614943</v>
      </c>
      <c r="BJ60" s="1208">
        <f t="shared" si="219"/>
        <v>967.73883887587294</v>
      </c>
      <c r="BK60" s="1209">
        <f t="shared" si="219"/>
        <v>979.60946670550584</v>
      </c>
    </row>
    <row r="61" spans="1:63" s="54" customFormat="1" hidden="1" outlineLevel="1">
      <c r="A61" s="857"/>
      <c r="B61" s="192" t="s">
        <v>390</v>
      </c>
      <c r="C61" s="1207">
        <f t="shared" ref="C61:AH61" si="220">(C57+C59)/C50</f>
        <v>2780.4444444444443</v>
      </c>
      <c r="D61" s="368">
        <f t="shared" si="220"/>
        <v>2780.4444444444434</v>
      </c>
      <c r="E61" s="1208">
        <f t="shared" si="220"/>
        <v>2695.8270798270787</v>
      </c>
      <c r="F61" s="1208">
        <f t="shared" si="220"/>
        <v>2614.2117910362631</v>
      </c>
      <c r="G61" s="1208">
        <f t="shared" si="220"/>
        <v>2641.2313233320597</v>
      </c>
      <c r="H61" s="1208">
        <f t="shared" si="220"/>
        <v>2559.9921861731204</v>
      </c>
      <c r="I61" s="1208">
        <f t="shared" si="220"/>
        <v>2481.6459886792363</v>
      </c>
      <c r="J61" s="1208">
        <f t="shared" si="220"/>
        <v>2406.069068835227</v>
      </c>
      <c r="K61" s="1208">
        <f t="shared" si="220"/>
        <v>2398.5149471073491</v>
      </c>
      <c r="L61" s="1208">
        <f t="shared" si="220"/>
        <v>2330.065215216046</v>
      </c>
      <c r="M61" s="1208">
        <f t="shared" si="220"/>
        <v>2259.1864647930474</v>
      </c>
      <c r="N61" s="1208">
        <f t="shared" si="220"/>
        <v>2190.4089129893259</v>
      </c>
      <c r="O61" s="1209">
        <f t="shared" si="220"/>
        <v>2123.9959416316606</v>
      </c>
      <c r="P61" s="1208">
        <f t="shared" si="220"/>
        <v>2078.2206459123854</v>
      </c>
      <c r="Q61" s="1208">
        <f t="shared" si="220"/>
        <v>2042.4194188788747</v>
      </c>
      <c r="R61" s="1208">
        <f t="shared" si="220"/>
        <v>2003.6097583880835</v>
      </c>
      <c r="S61" s="1208">
        <f t="shared" si="220"/>
        <v>1965.4039130638964</v>
      </c>
      <c r="T61" s="1208">
        <f t="shared" si="220"/>
        <v>1928.0668155960077</v>
      </c>
      <c r="U61" s="1208">
        <f t="shared" si="220"/>
        <v>2008.7049060980096</v>
      </c>
      <c r="V61" s="1208">
        <f t="shared" si="220"/>
        <v>1969.1075692554089</v>
      </c>
      <c r="W61" s="1208">
        <f t="shared" si="220"/>
        <v>1930.4604502117122</v>
      </c>
      <c r="X61" s="1208">
        <f t="shared" si="220"/>
        <v>1892.7347761920344</v>
      </c>
      <c r="Y61" s="1208">
        <f t="shared" si="220"/>
        <v>1855.9028179364516</v>
      </c>
      <c r="Z61" s="1208">
        <f t="shared" si="220"/>
        <v>1819.9378566757557</v>
      </c>
      <c r="AA61" s="1209">
        <f t="shared" si="220"/>
        <v>1823.2943052781977</v>
      </c>
      <c r="AB61" s="1208">
        <f t="shared" si="220"/>
        <v>1847.6239115514247</v>
      </c>
      <c r="AC61" s="1208">
        <f t="shared" si="220"/>
        <v>1820.7434336124788</v>
      </c>
      <c r="AD61" s="1208">
        <f t="shared" si="220"/>
        <v>1793.6884921690041</v>
      </c>
      <c r="AE61" s="1208">
        <f t="shared" si="220"/>
        <v>1767.1622382706535</v>
      </c>
      <c r="AF61" s="1208">
        <f t="shared" si="220"/>
        <v>1741.2540311390735</v>
      </c>
      <c r="AG61" s="1208">
        <f t="shared" si="220"/>
        <v>1715.9546401440298</v>
      </c>
      <c r="AH61" s="1208">
        <f t="shared" si="220"/>
        <v>1691.2402160164852</v>
      </c>
      <c r="AI61" s="1208">
        <f t="shared" ref="AI61:BK61" si="221">(AI57+AI59)/AI50</f>
        <v>1702.8533421065815</v>
      </c>
      <c r="AJ61" s="1208">
        <f t="shared" si="221"/>
        <v>1687.2458608156539</v>
      </c>
      <c r="AK61" s="1208">
        <f t="shared" si="221"/>
        <v>1665.3731916508832</v>
      </c>
      <c r="AL61" s="1208">
        <f t="shared" si="221"/>
        <v>1679.2853976479155</v>
      </c>
      <c r="AM61" s="1209">
        <f t="shared" si="221"/>
        <v>1655.5774471194895</v>
      </c>
      <c r="AN61" s="1208">
        <f t="shared" si="221"/>
        <v>1668.0266461922959</v>
      </c>
      <c r="AO61" s="1208">
        <f t="shared" si="221"/>
        <v>1637.6036289671551</v>
      </c>
      <c r="AP61" s="1208">
        <f t="shared" si="221"/>
        <v>1612.6579400428334</v>
      </c>
      <c r="AQ61" s="1208">
        <f t="shared" si="221"/>
        <v>1588.9809644589754</v>
      </c>
      <c r="AR61" s="1208">
        <f t="shared" si="221"/>
        <v>1595.9694266356314</v>
      </c>
      <c r="AS61" s="1208">
        <f t="shared" si="221"/>
        <v>1612.6888025108653</v>
      </c>
      <c r="AT61" s="1208">
        <f t="shared" si="221"/>
        <v>1591.0294299725449</v>
      </c>
      <c r="AU61" s="1208">
        <f t="shared" si="221"/>
        <v>1568.3866983541943</v>
      </c>
      <c r="AV61" s="1208">
        <f t="shared" si="221"/>
        <v>1545.8057978318072</v>
      </c>
      <c r="AW61" s="1208">
        <f t="shared" si="221"/>
        <v>1523.5350994863479</v>
      </c>
      <c r="AX61" s="1208">
        <f t="shared" si="221"/>
        <v>1562.5203252841272</v>
      </c>
      <c r="AY61" s="1209">
        <f t="shared" si="221"/>
        <v>1598.7039768919901</v>
      </c>
      <c r="AZ61" s="1208">
        <f t="shared" si="221"/>
        <v>1567.2106103800511</v>
      </c>
      <c r="BA61" s="1208">
        <f t="shared" si="221"/>
        <v>1530.0896294857382</v>
      </c>
      <c r="BB61" s="1208">
        <f t="shared" si="221"/>
        <v>1491.8533367666755</v>
      </c>
      <c r="BC61" s="1208">
        <f t="shared" si="221"/>
        <v>1453.9473138418623</v>
      </c>
      <c r="BD61" s="1208">
        <f t="shared" si="221"/>
        <v>1442.5645552240524</v>
      </c>
      <c r="BE61" s="1208">
        <f t="shared" si="221"/>
        <v>1485.5382726396929</v>
      </c>
      <c r="BF61" s="1208">
        <f t="shared" si="221"/>
        <v>1459.1878537313064</v>
      </c>
      <c r="BG61" s="1208">
        <f t="shared" si="221"/>
        <v>1426.6535884113985</v>
      </c>
      <c r="BH61" s="1208">
        <f t="shared" si="221"/>
        <v>1415.421780863853</v>
      </c>
      <c r="BI61" s="1208">
        <f t="shared" si="221"/>
        <v>1409.4405961072835</v>
      </c>
      <c r="BJ61" s="1208">
        <f t="shared" si="221"/>
        <v>1388.2142760457946</v>
      </c>
      <c r="BK61" s="1209">
        <f t="shared" si="221"/>
        <v>1404.0725442659812</v>
      </c>
    </row>
    <row r="62" spans="1:63" s="54" customFormat="1" hidden="1" outlineLevel="1">
      <c r="A62" s="857"/>
      <c r="B62" s="192" t="s">
        <v>391</v>
      </c>
      <c r="C62" s="1207">
        <f t="shared" ref="C62:AH62" si="222">(C59+C57)/C52</f>
        <v>12512</v>
      </c>
      <c r="D62" s="368">
        <f t="shared" si="222"/>
        <v>12511.999999999996</v>
      </c>
      <c r="E62" s="1208">
        <f t="shared" si="222"/>
        <v>12106.001023755696</v>
      </c>
      <c r="F62" s="1208">
        <f t="shared" si="222"/>
        <v>11715.089340668466</v>
      </c>
      <c r="G62" s="1208">
        <f t="shared" si="222"/>
        <v>11811.56477195021</v>
      </c>
      <c r="H62" s="1208">
        <f t="shared" si="222"/>
        <v>11424.463053514659</v>
      </c>
      <c r="I62" s="1208">
        <f t="shared" si="222"/>
        <v>11051.803318486274</v>
      </c>
      <c r="J62" s="1208">
        <f t="shared" si="222"/>
        <v>10692.950831916707</v>
      </c>
      <c r="K62" s="1208">
        <f t="shared" si="222"/>
        <v>10637.218250894994</v>
      </c>
      <c r="L62" s="1208">
        <f t="shared" si="222"/>
        <v>10312.165592021725</v>
      </c>
      <c r="M62" s="1208">
        <f t="shared" si="222"/>
        <v>9977.6907731159645</v>
      </c>
      <c r="N62" s="1208">
        <f t="shared" si="222"/>
        <v>9653.8227750240985</v>
      </c>
      <c r="O62" s="1209">
        <f t="shared" si="222"/>
        <v>9341.6580807671871</v>
      </c>
      <c r="P62" s="1208">
        <f t="shared" si="222"/>
        <v>9125.1228110098946</v>
      </c>
      <c r="Q62" s="1208">
        <f t="shared" si="222"/>
        <v>8953.0038767979058</v>
      </c>
      <c r="R62" s="1208">
        <f t="shared" si="222"/>
        <v>8768.2668431304628</v>
      </c>
      <c r="S62" s="1208">
        <f t="shared" si="222"/>
        <v>8586.7578284413685</v>
      </c>
      <c r="T62" s="1208">
        <f t="shared" si="222"/>
        <v>8409.617765221743</v>
      </c>
      <c r="U62" s="1208">
        <f t="shared" si="222"/>
        <v>8746.7576875067243</v>
      </c>
      <c r="V62" s="1208">
        <f t="shared" si="222"/>
        <v>8560.0672196027808</v>
      </c>
      <c r="W62" s="1208">
        <f t="shared" si="222"/>
        <v>8378.0976977542559</v>
      </c>
      <c r="X62" s="1208">
        <f t="shared" si="222"/>
        <v>8200.7024022266924</v>
      </c>
      <c r="Y62" s="1208">
        <f t="shared" si="222"/>
        <v>8027.740028484006</v>
      </c>
      <c r="Z62" s="1208">
        <f t="shared" si="222"/>
        <v>7859.0745033792282</v>
      </c>
      <c r="AA62" s="1209">
        <f t="shared" si="222"/>
        <v>7860.4679434473092</v>
      </c>
      <c r="AB62" s="1208">
        <f t="shared" si="222"/>
        <v>7955.4118963669107</v>
      </c>
      <c r="AC62" s="1208">
        <f t="shared" si="222"/>
        <v>7829.8838474485092</v>
      </c>
      <c r="AD62" s="1208">
        <f t="shared" si="222"/>
        <v>7703.9075053006563</v>
      </c>
      <c r="AE62" s="1208">
        <f t="shared" si="222"/>
        <v>7580.5013898596344</v>
      </c>
      <c r="AF62" s="1208">
        <f t="shared" si="222"/>
        <v>7460.0392895384757</v>
      </c>
      <c r="AG62" s="1208">
        <f t="shared" si="222"/>
        <v>7342.4712427595832</v>
      </c>
      <c r="AH62" s="1208">
        <f t="shared" si="222"/>
        <v>7227.685036629764</v>
      </c>
      <c r="AI62" s="1208">
        <f t="shared" ref="AI62:BK62" si="223">(AI59+AI57)/AI52</f>
        <v>7268.2296111074565</v>
      </c>
      <c r="AJ62" s="1208">
        <f t="shared" si="223"/>
        <v>7192.6219648532879</v>
      </c>
      <c r="AK62" s="1208">
        <f t="shared" si="223"/>
        <v>7090.5170188408147</v>
      </c>
      <c r="AL62" s="1208">
        <f t="shared" si="223"/>
        <v>7140.8237988229321</v>
      </c>
      <c r="AM62" s="1209">
        <f t="shared" si="223"/>
        <v>7031.2214750899166</v>
      </c>
      <c r="AN62" s="1208">
        <f t="shared" si="223"/>
        <v>7075.8379593832788</v>
      </c>
      <c r="AO62" s="1208">
        <f t="shared" si="223"/>
        <v>6938.6871281907224</v>
      </c>
      <c r="AP62" s="1208">
        <f t="shared" si="223"/>
        <v>6825.0272667075405</v>
      </c>
      <c r="AQ62" s="1208">
        <f t="shared" si="223"/>
        <v>6716.9860217078221</v>
      </c>
      <c r="AR62" s="1208">
        <f t="shared" si="223"/>
        <v>6738.6660728786283</v>
      </c>
      <c r="AS62" s="1208">
        <f t="shared" si="223"/>
        <v>6801.3254596383576</v>
      </c>
      <c r="AT62" s="1208">
        <f t="shared" si="223"/>
        <v>6702.1604147777807</v>
      </c>
      <c r="AU62" s="1208">
        <f t="shared" si="223"/>
        <v>6599.0797081550745</v>
      </c>
      <c r="AV62" s="1208">
        <f t="shared" si="223"/>
        <v>6496.4899965887817</v>
      </c>
      <c r="AW62" s="1208">
        <f t="shared" si="223"/>
        <v>6395.4325747681096</v>
      </c>
      <c r="AX62" s="1208">
        <f t="shared" si="223"/>
        <v>6551.4397954231235</v>
      </c>
      <c r="AY62" s="1209">
        <f t="shared" si="223"/>
        <v>6695.3417994663678</v>
      </c>
      <c r="AZ62" s="1208">
        <f t="shared" si="223"/>
        <v>6557.9831944764001</v>
      </c>
      <c r="BA62" s="1208">
        <f t="shared" si="223"/>
        <v>6397.3195777721421</v>
      </c>
      <c r="BB62" s="1208">
        <f t="shared" si="223"/>
        <v>6232.2597173815939</v>
      </c>
      <c r="BC62" s="1208">
        <f t="shared" si="223"/>
        <v>6068.8488551620067</v>
      </c>
      <c r="BD62" s="1208">
        <f t="shared" si="223"/>
        <v>6016.3230484663345</v>
      </c>
      <c r="BE62" s="1208">
        <f t="shared" si="223"/>
        <v>6190.3894835616074</v>
      </c>
      <c r="BF62" s="1208">
        <f t="shared" si="223"/>
        <v>6075.521665921664</v>
      </c>
      <c r="BG62" s="1208">
        <f t="shared" si="223"/>
        <v>5935.1150191004999</v>
      </c>
      <c r="BH62" s="1208">
        <f t="shared" si="223"/>
        <v>5883.4859360482078</v>
      </c>
      <c r="BI62" s="1208">
        <f t="shared" si="223"/>
        <v>5853.7458144793782</v>
      </c>
      <c r="BJ62" s="1208">
        <f t="shared" si="223"/>
        <v>5760.7871456506873</v>
      </c>
      <c r="BK62" s="1209">
        <f t="shared" si="223"/>
        <v>5821.7440543466519</v>
      </c>
    </row>
    <row r="63" spans="1:63" s="1216" customFormat="1" hidden="1" outlineLevel="1">
      <c r="A63" s="1210"/>
      <c r="B63" s="1211" t="s">
        <v>392</v>
      </c>
      <c r="C63" s="1212">
        <f t="shared" ref="C63:AH63" si="224">(C59+C57)/C55</f>
        <v>2.0180645161290323</v>
      </c>
      <c r="D63" s="1213">
        <f t="shared" si="224"/>
        <v>2.0180645161290318</v>
      </c>
      <c r="E63" s="1214">
        <f t="shared" si="224"/>
        <v>1.9477115314545403</v>
      </c>
      <c r="F63" s="1214">
        <f t="shared" si="224"/>
        <v>1.8801181970932963</v>
      </c>
      <c r="G63" s="1214">
        <f t="shared" si="224"/>
        <v>1.8908740534160053</v>
      </c>
      <c r="H63" s="1214">
        <f t="shared" si="224"/>
        <v>1.8243433705375474</v>
      </c>
      <c r="I63" s="1214">
        <f t="shared" si="224"/>
        <v>1.7604332047896318</v>
      </c>
      <c r="J63" s="1214">
        <f t="shared" si="224"/>
        <v>1.6990243089145312</v>
      </c>
      <c r="K63" s="1214">
        <f t="shared" si="224"/>
        <v>1.6859539629242233</v>
      </c>
      <c r="L63" s="1214">
        <f t="shared" si="224"/>
        <v>1.6303585990751601</v>
      </c>
      <c r="M63" s="1214">
        <f t="shared" si="224"/>
        <v>1.5735441006771003</v>
      </c>
      <c r="N63" s="1214">
        <f t="shared" si="224"/>
        <v>1.5186714177361629</v>
      </c>
      <c r="O63" s="1215">
        <f t="shared" si="224"/>
        <v>1.4658991184712729</v>
      </c>
      <c r="P63" s="1214">
        <f t="shared" si="224"/>
        <v>1.4289432965926927</v>
      </c>
      <c r="Q63" s="1214">
        <f t="shared" si="224"/>
        <v>1.3990756912240585</v>
      </c>
      <c r="R63" s="1214">
        <f t="shared" si="224"/>
        <v>1.3673583826509774</v>
      </c>
      <c r="S63" s="1214">
        <f t="shared" si="224"/>
        <v>1.3362692511851848</v>
      </c>
      <c r="T63" s="1214">
        <f t="shared" si="224"/>
        <v>1.3059819600984792</v>
      </c>
      <c r="U63" s="1214">
        <f t="shared" si="224"/>
        <v>1.3555145314237205</v>
      </c>
      <c r="V63" s="1214">
        <f t="shared" si="224"/>
        <v>1.3238245123897492</v>
      </c>
      <c r="W63" s="1214">
        <f t="shared" si="224"/>
        <v>1.2929889837223143</v>
      </c>
      <c r="X63" s="1214">
        <f t="shared" si="224"/>
        <v>1.2629804185638684</v>
      </c>
      <c r="Y63" s="1214">
        <f t="shared" si="224"/>
        <v>1.2337723301786481</v>
      </c>
      <c r="Z63" s="1214">
        <f t="shared" si="224"/>
        <v>1.20533923406584</v>
      </c>
      <c r="AA63" s="1215">
        <f t="shared" si="224"/>
        <v>1.2030465976455378</v>
      </c>
      <c r="AB63" s="1214">
        <f t="shared" si="224"/>
        <v>1.2150464467782411</v>
      </c>
      <c r="AC63" s="1214">
        <f t="shared" si="224"/>
        <v>1.1933880641502776</v>
      </c>
      <c r="AD63" s="1214">
        <f t="shared" si="224"/>
        <v>1.1717463010822644</v>
      </c>
      <c r="AE63" s="1214">
        <f t="shared" si="224"/>
        <v>1.1505794791657484</v>
      </c>
      <c r="AF63" s="1214">
        <f t="shared" si="224"/>
        <v>1.1299415222856164</v>
      </c>
      <c r="AG63" s="1214">
        <f t="shared" si="224"/>
        <v>1.109821844100698</v>
      </c>
      <c r="AH63" s="1214">
        <f t="shared" si="224"/>
        <v>1.0902005435432072</v>
      </c>
      <c r="AI63" s="1214">
        <f t="shared" ref="AI63:BK63" si="225">(AI59+AI57)/AI55</f>
        <v>1.0940369119477433</v>
      </c>
      <c r="AJ63" s="1214">
        <f t="shared" si="225"/>
        <v>1.0804053653600847</v>
      </c>
      <c r="AK63" s="1214">
        <f t="shared" si="225"/>
        <v>1.0628538795064575</v>
      </c>
      <c r="AL63" s="1214">
        <f t="shared" si="225"/>
        <v>1.068169409150572</v>
      </c>
      <c r="AM63" s="1215">
        <f t="shared" si="225"/>
        <v>1.049587761929921</v>
      </c>
      <c r="AN63" s="1214">
        <f t="shared" si="225"/>
        <v>1.0543149906159472</v>
      </c>
      <c r="AO63" s="1214">
        <f t="shared" si="225"/>
        <v>1.031987246794158</v>
      </c>
      <c r="AP63" s="1214">
        <f t="shared" si="225"/>
        <v>1.0132250966926666</v>
      </c>
      <c r="AQ63" s="1214">
        <f t="shared" si="225"/>
        <v>0.99536075749192032</v>
      </c>
      <c r="AR63" s="1214">
        <f t="shared" si="225"/>
        <v>0.99674606159910228</v>
      </c>
      <c r="AS63" s="1214">
        <f t="shared" si="225"/>
        <v>1.0041733057092106</v>
      </c>
      <c r="AT63" s="1214">
        <f t="shared" si="225"/>
        <v>0.98772138248048413</v>
      </c>
      <c r="AU63" s="1214">
        <f t="shared" si="225"/>
        <v>0.9707503007024374</v>
      </c>
      <c r="AV63" s="1214">
        <f t="shared" si="225"/>
        <v>0.95391011975646622</v>
      </c>
      <c r="AW63" s="1214">
        <f t="shared" si="225"/>
        <v>0.93735290383833325</v>
      </c>
      <c r="AX63" s="1214">
        <f t="shared" si="225"/>
        <v>0.95846107786580537</v>
      </c>
      <c r="AY63" s="1215">
        <f t="shared" si="225"/>
        <v>0.97772113241264635</v>
      </c>
      <c r="AZ63" s="1214">
        <f t="shared" si="225"/>
        <v>0.95606919908163157</v>
      </c>
      <c r="BA63" s="1214">
        <f t="shared" si="225"/>
        <v>0.93109469557491953</v>
      </c>
      <c r="BB63" s="1214">
        <f t="shared" si="225"/>
        <v>0.90556187051985781</v>
      </c>
      <c r="BC63" s="1214">
        <f t="shared" si="225"/>
        <v>0.88035064009957742</v>
      </c>
      <c r="BD63" s="1214">
        <f t="shared" si="225"/>
        <v>0.87127908512695917</v>
      </c>
      <c r="BE63" s="1214">
        <f t="shared" si="225"/>
        <v>0.89499558752703701</v>
      </c>
      <c r="BF63" s="1214">
        <f t="shared" si="225"/>
        <v>0.87692665672878145</v>
      </c>
      <c r="BG63" s="1214">
        <f t="shared" si="225"/>
        <v>0.85523529595746328</v>
      </c>
      <c r="BH63" s="1214">
        <f t="shared" si="225"/>
        <v>0.84638503192493919</v>
      </c>
      <c r="BI63" s="1214">
        <f t="shared" si="225"/>
        <v>0.84070550918856313</v>
      </c>
      <c r="BJ63" s="1214">
        <f t="shared" si="225"/>
        <v>0.82597830496425817</v>
      </c>
      <c r="BK63" s="1215">
        <f t="shared" si="225"/>
        <v>0.83332938870778073</v>
      </c>
    </row>
    <row r="64" spans="1:63" s="339" customFormat="1" hidden="1" outlineLevel="1">
      <c r="A64" s="854"/>
      <c r="B64" s="373"/>
      <c r="C64" s="356"/>
      <c r="M64" s="341"/>
      <c r="N64" s="342"/>
      <c r="O64" s="407"/>
      <c r="Y64" s="341"/>
      <c r="Z64" s="342"/>
      <c r="AA64" s="407"/>
      <c r="AK64" s="341"/>
      <c r="AL64" s="342"/>
      <c r="AM64" s="407"/>
      <c r="AW64" s="341"/>
      <c r="AX64" s="342"/>
      <c r="AY64" s="407"/>
      <c r="BI64" s="341"/>
      <c r="BJ64" s="342"/>
      <c r="BK64" s="407"/>
    </row>
    <row r="65" spans="1:63" s="339" customFormat="1" collapsed="1">
      <c r="A65" s="854" t="s">
        <v>230</v>
      </c>
      <c r="B65" s="373"/>
      <c r="C65" s="356"/>
      <c r="D65" s="396" t="s">
        <v>389</v>
      </c>
      <c r="E65" s="415">
        <v>0.9</v>
      </c>
      <c r="F65" s="396" t="s">
        <v>355</v>
      </c>
      <c r="G65" s="415">
        <v>0.03</v>
      </c>
      <c r="H65" s="396" t="s">
        <v>356</v>
      </c>
      <c r="I65" s="415">
        <v>0.3</v>
      </c>
      <c r="J65" s="414" t="s">
        <v>354</v>
      </c>
      <c r="K65" s="415">
        <v>0.05</v>
      </c>
      <c r="L65" s="396" t="s">
        <v>357</v>
      </c>
      <c r="M65" s="415">
        <f>C76</f>
        <v>0.03</v>
      </c>
      <c r="O65" s="404"/>
      <c r="P65" s="396" t="s">
        <v>389</v>
      </c>
      <c r="Q65" s="415">
        <v>0.2</v>
      </c>
      <c r="R65" s="396" t="s">
        <v>355</v>
      </c>
      <c r="S65" s="415">
        <v>2.5000000000000001E-2</v>
      </c>
      <c r="T65" s="396" t="s">
        <v>356</v>
      </c>
      <c r="U65" s="415">
        <f>I65*0.75</f>
        <v>0.22499999999999998</v>
      </c>
      <c r="V65" s="414" t="s">
        <v>354</v>
      </c>
      <c r="W65" s="415">
        <v>0.04</v>
      </c>
      <c r="X65" s="396" t="s">
        <v>357</v>
      </c>
      <c r="Y65" s="415">
        <f>O76</f>
        <v>0.03</v>
      </c>
      <c r="AA65" s="404"/>
      <c r="AB65" s="396" t="s">
        <v>389</v>
      </c>
      <c r="AC65" s="415">
        <f>Q65*0.6</f>
        <v>0.12</v>
      </c>
      <c r="AD65" s="396" t="s">
        <v>355</v>
      </c>
      <c r="AE65" s="415">
        <v>2.5000000000000001E-2</v>
      </c>
      <c r="AF65" s="396" t="s">
        <v>356</v>
      </c>
      <c r="AG65" s="415">
        <v>0.12</v>
      </c>
      <c r="AH65" s="414" t="s">
        <v>354</v>
      </c>
      <c r="AI65" s="415">
        <v>0.03</v>
      </c>
      <c r="AJ65" s="396" t="s">
        <v>357</v>
      </c>
      <c r="AK65" s="415">
        <f>AA76</f>
        <v>0.03</v>
      </c>
      <c r="AM65" s="404"/>
      <c r="AN65" s="396" t="s">
        <v>389</v>
      </c>
      <c r="AO65" s="415">
        <v>0.1</v>
      </c>
      <c r="AP65" s="396" t="s">
        <v>355</v>
      </c>
      <c r="AQ65" s="415">
        <v>2.1999999999999999E-2</v>
      </c>
      <c r="AR65" s="396" t="s">
        <v>356</v>
      </c>
      <c r="AS65" s="415">
        <v>0.06</v>
      </c>
      <c r="AT65" s="414" t="s">
        <v>354</v>
      </c>
      <c r="AU65" s="415">
        <v>2.8000000000000001E-2</v>
      </c>
      <c r="AV65" s="396" t="s">
        <v>357</v>
      </c>
      <c r="AW65" s="415">
        <f>AM76</f>
        <v>0.03</v>
      </c>
      <c r="AY65" s="404"/>
      <c r="AZ65" s="396" t="s">
        <v>389</v>
      </c>
      <c r="BA65" s="415">
        <v>0.3</v>
      </c>
      <c r="BB65" s="396" t="s">
        <v>355</v>
      </c>
      <c r="BC65" s="415">
        <v>0.02</v>
      </c>
      <c r="BD65" s="396" t="s">
        <v>356</v>
      </c>
      <c r="BE65" s="415">
        <v>0.03</v>
      </c>
      <c r="BF65" s="414" t="s">
        <v>354</v>
      </c>
      <c r="BG65" s="415">
        <v>0.02</v>
      </c>
      <c r="BH65" s="396" t="s">
        <v>357</v>
      </c>
      <c r="BI65" s="415">
        <f>AY76</f>
        <v>0.03</v>
      </c>
      <c r="BK65" s="404"/>
    </row>
    <row r="66" spans="1:63" s="378" customFormat="1" hidden="1" outlineLevel="1">
      <c r="A66" s="856"/>
      <c r="B66" s="386" t="s">
        <v>226</v>
      </c>
      <c r="C66" s="387">
        <v>23</v>
      </c>
      <c r="D66" s="376">
        <f>C66/12</f>
        <v>1.9166666666666667</v>
      </c>
      <c r="E66" s="377">
        <f t="shared" ref="E66:O66" si="226">D66*(1+($E65/12))</f>
        <v>2.0604166666666668</v>
      </c>
      <c r="F66" s="377">
        <f t="shared" si="226"/>
        <v>2.2149479166666666</v>
      </c>
      <c r="G66" s="377">
        <f t="shared" si="226"/>
        <v>2.3810690104166663</v>
      </c>
      <c r="H66" s="377">
        <f t="shared" si="226"/>
        <v>2.559649186197916</v>
      </c>
      <c r="I66" s="377">
        <f t="shared" si="226"/>
        <v>2.7516228751627598</v>
      </c>
      <c r="J66" s="377">
        <f t="shared" si="226"/>
        <v>2.9579945907999665</v>
      </c>
      <c r="K66" s="377">
        <f t="shared" si="226"/>
        <v>3.1798441851099639</v>
      </c>
      <c r="L66" s="377">
        <f t="shared" si="226"/>
        <v>3.4183324989932111</v>
      </c>
      <c r="M66" s="377">
        <f t="shared" si="226"/>
        <v>3.6747074364177017</v>
      </c>
      <c r="N66" s="377">
        <f t="shared" si="226"/>
        <v>3.9503104941490292</v>
      </c>
      <c r="O66" s="398">
        <f t="shared" si="226"/>
        <v>4.2465837812102061</v>
      </c>
      <c r="P66" s="377">
        <f t="shared" ref="P66:AA66" si="227">O66*(1+($Q65/12))</f>
        <v>4.3173601775637094</v>
      </c>
      <c r="Q66" s="377">
        <f t="shared" si="227"/>
        <v>4.389316180523104</v>
      </c>
      <c r="R66" s="377">
        <f t="shared" si="227"/>
        <v>4.462471450198489</v>
      </c>
      <c r="S66" s="377">
        <f t="shared" si="227"/>
        <v>4.5368459743684637</v>
      </c>
      <c r="T66" s="377">
        <f t="shared" si="227"/>
        <v>4.6124600739412713</v>
      </c>
      <c r="U66" s="377">
        <f t="shared" si="227"/>
        <v>4.6893344085069586</v>
      </c>
      <c r="V66" s="377">
        <f t="shared" si="227"/>
        <v>4.7674899819820746</v>
      </c>
      <c r="W66" s="377">
        <f t="shared" si="227"/>
        <v>4.8469481483484422</v>
      </c>
      <c r="X66" s="377">
        <f t="shared" si="227"/>
        <v>4.9277306174875823</v>
      </c>
      <c r="Y66" s="377">
        <f t="shared" si="227"/>
        <v>5.0098594611123755</v>
      </c>
      <c r="Z66" s="377">
        <f t="shared" si="227"/>
        <v>5.0933571187975817</v>
      </c>
      <c r="AA66" s="398">
        <f t="shared" si="227"/>
        <v>5.1782464041108742</v>
      </c>
      <c r="AB66" s="377">
        <f t="shared" ref="AB66:AM66" si="228">AA66*(1+($AC65/12))</f>
        <v>5.2300288681519831</v>
      </c>
      <c r="AC66" s="377">
        <f t="shared" si="228"/>
        <v>5.2823291568335033</v>
      </c>
      <c r="AD66" s="377">
        <f t="shared" si="228"/>
        <v>5.3351524484018382</v>
      </c>
      <c r="AE66" s="377">
        <f t="shared" si="228"/>
        <v>5.3885039728858564</v>
      </c>
      <c r="AF66" s="377">
        <f t="shared" si="228"/>
        <v>5.442389012614715</v>
      </c>
      <c r="AG66" s="377">
        <f t="shared" si="228"/>
        <v>5.4968129027408619</v>
      </c>
      <c r="AH66" s="377">
        <f t="shared" si="228"/>
        <v>5.5517810317682708</v>
      </c>
      <c r="AI66" s="377">
        <f t="shared" si="228"/>
        <v>5.6072988420859531</v>
      </c>
      <c r="AJ66" s="377">
        <f t="shared" si="228"/>
        <v>5.6633718305068124</v>
      </c>
      <c r="AK66" s="377">
        <f t="shared" si="228"/>
        <v>5.7200055488118808</v>
      </c>
      <c r="AL66" s="377">
        <f t="shared" si="228"/>
        <v>5.7772056042999997</v>
      </c>
      <c r="AM66" s="398">
        <f t="shared" si="228"/>
        <v>5.8349776603430001</v>
      </c>
      <c r="AN66" s="377">
        <f t="shared" ref="AN66:AY66" si="229">AM66*(1+($AO65/12))</f>
        <v>5.8836024741791917</v>
      </c>
      <c r="AO66" s="377">
        <f t="shared" si="229"/>
        <v>5.9326324947973514</v>
      </c>
      <c r="AP66" s="377">
        <f t="shared" si="229"/>
        <v>5.9820710989206622</v>
      </c>
      <c r="AQ66" s="377">
        <f t="shared" si="229"/>
        <v>6.031921691411668</v>
      </c>
      <c r="AR66" s="377">
        <f t="shared" si="229"/>
        <v>6.0821877055067652</v>
      </c>
      <c r="AS66" s="377">
        <f t="shared" si="229"/>
        <v>6.1328726030526548</v>
      </c>
      <c r="AT66" s="377">
        <f t="shared" si="229"/>
        <v>6.1839798747447601</v>
      </c>
      <c r="AU66" s="377">
        <f t="shared" si="229"/>
        <v>6.2355130403676329</v>
      </c>
      <c r="AV66" s="377">
        <f t="shared" si="229"/>
        <v>6.2874756490373631</v>
      </c>
      <c r="AW66" s="377">
        <f t="shared" si="229"/>
        <v>6.3398712794460073</v>
      </c>
      <c r="AX66" s="377">
        <f t="shared" si="229"/>
        <v>6.392703540108057</v>
      </c>
      <c r="AY66" s="398">
        <f t="shared" si="229"/>
        <v>6.4459760696089576</v>
      </c>
      <c r="AZ66" s="377">
        <f t="shared" ref="AZ66:BK66" si="230">AY66*(1+($BA65/12))</f>
        <v>6.6071254713491809</v>
      </c>
      <c r="BA66" s="377">
        <f t="shared" si="230"/>
        <v>6.7723036081329102</v>
      </c>
      <c r="BB66" s="377">
        <f t="shared" si="230"/>
        <v>6.9416111983362327</v>
      </c>
      <c r="BC66" s="377">
        <f t="shared" si="230"/>
        <v>7.1151514782946377</v>
      </c>
      <c r="BD66" s="377">
        <f t="shared" si="230"/>
        <v>7.2930302652520034</v>
      </c>
      <c r="BE66" s="377">
        <f t="shared" si="230"/>
        <v>7.4753560218833028</v>
      </c>
      <c r="BF66" s="377">
        <f t="shared" si="230"/>
        <v>7.662239922430385</v>
      </c>
      <c r="BG66" s="377">
        <f t="shared" si="230"/>
        <v>7.8537959204911436</v>
      </c>
      <c r="BH66" s="377">
        <f t="shared" si="230"/>
        <v>8.0501408185034222</v>
      </c>
      <c r="BI66" s="377">
        <f t="shared" si="230"/>
        <v>8.2513943389660067</v>
      </c>
      <c r="BJ66" s="377">
        <f t="shared" si="230"/>
        <v>8.4576791974401555</v>
      </c>
      <c r="BK66" s="398">
        <f t="shared" si="230"/>
        <v>8.6691211773761587</v>
      </c>
    </row>
    <row r="67" spans="1:63" s="54" customFormat="1" hidden="1" outlineLevel="1">
      <c r="A67" s="857"/>
      <c r="B67" s="371" t="s">
        <v>347</v>
      </c>
      <c r="C67" s="364">
        <f>C68/C66</f>
        <v>0.47826086956521741</v>
      </c>
      <c r="D67" s="352">
        <f>C67</f>
        <v>0.47826086956521741</v>
      </c>
      <c r="E67" s="169">
        <f t="shared" ref="E67:O67" si="231">D67*((0.5*($K65/12))+1)</f>
        <v>0.47925724637681166</v>
      </c>
      <c r="F67" s="169">
        <f t="shared" si="231"/>
        <v>0.48025569897343007</v>
      </c>
      <c r="G67" s="169">
        <f t="shared" si="231"/>
        <v>0.48125623167962478</v>
      </c>
      <c r="H67" s="169">
        <f t="shared" si="231"/>
        <v>0.48225884882895736</v>
      </c>
      <c r="I67" s="169">
        <f t="shared" si="231"/>
        <v>0.48326355476401772</v>
      </c>
      <c r="J67" s="169">
        <f t="shared" si="231"/>
        <v>0.48427035383644279</v>
      </c>
      <c r="K67" s="169">
        <f t="shared" si="231"/>
        <v>0.48527925040693543</v>
      </c>
      <c r="L67" s="169">
        <f t="shared" si="231"/>
        <v>0.48629024884528327</v>
      </c>
      <c r="M67" s="169">
        <f t="shared" si="231"/>
        <v>0.48730335353037768</v>
      </c>
      <c r="N67" s="169">
        <f t="shared" si="231"/>
        <v>0.48831856885023267</v>
      </c>
      <c r="O67" s="405">
        <f t="shared" si="231"/>
        <v>0.48933589920200404</v>
      </c>
      <c r="P67" s="169">
        <f t="shared" ref="P67:AA67" si="232">O67*((0.5*($W65/12))+1)</f>
        <v>0.49015145903400742</v>
      </c>
      <c r="Q67" s="169">
        <f t="shared" si="232"/>
        <v>0.49096837813239746</v>
      </c>
      <c r="R67" s="169">
        <f t="shared" si="232"/>
        <v>0.49178665876261812</v>
      </c>
      <c r="S67" s="169">
        <f t="shared" si="232"/>
        <v>0.49260630319388915</v>
      </c>
      <c r="T67" s="169">
        <f t="shared" si="232"/>
        <v>0.49342731369921233</v>
      </c>
      <c r="U67" s="169">
        <f t="shared" si="232"/>
        <v>0.49424969255537771</v>
      </c>
      <c r="V67" s="169">
        <f t="shared" si="232"/>
        <v>0.49507344204297005</v>
      </c>
      <c r="W67" s="169">
        <f t="shared" si="232"/>
        <v>0.49589856444637503</v>
      </c>
      <c r="X67" s="169">
        <f t="shared" si="232"/>
        <v>0.49672506205378569</v>
      </c>
      <c r="Y67" s="169">
        <f t="shared" si="232"/>
        <v>0.49755293715720866</v>
      </c>
      <c r="Z67" s="169">
        <f t="shared" si="232"/>
        <v>0.4983821920524707</v>
      </c>
      <c r="AA67" s="405">
        <f t="shared" si="232"/>
        <v>0.49921282903922481</v>
      </c>
      <c r="AB67" s="169">
        <f t="shared" ref="AB67:AM67" si="233">AA67*((0.5*($AI65/12))+1)</f>
        <v>0.49983684507552384</v>
      </c>
      <c r="AC67" s="169">
        <f t="shared" si="233"/>
        <v>0.5004616411318682</v>
      </c>
      <c r="AD67" s="169">
        <f t="shared" si="233"/>
        <v>0.50108721818328306</v>
      </c>
      <c r="AE67" s="169">
        <f t="shared" si="233"/>
        <v>0.50171357720601217</v>
      </c>
      <c r="AF67" s="169">
        <f t="shared" si="233"/>
        <v>0.50234071917751966</v>
      </c>
      <c r="AG67" s="169">
        <f t="shared" si="233"/>
        <v>0.50296864507649153</v>
      </c>
      <c r="AH67" s="169">
        <f t="shared" si="233"/>
        <v>0.50359735588283716</v>
      </c>
      <c r="AI67" s="169">
        <f t="shared" si="233"/>
        <v>0.50422685257769073</v>
      </c>
      <c r="AJ67" s="169">
        <f t="shared" si="233"/>
        <v>0.50485713614341288</v>
      </c>
      <c r="AK67" s="169">
        <f t="shared" si="233"/>
        <v>0.50548820756359214</v>
      </c>
      <c r="AL67" s="169">
        <f t="shared" si="233"/>
        <v>0.50612006782304664</v>
      </c>
      <c r="AM67" s="405">
        <f t="shared" si="233"/>
        <v>0.50675271790782539</v>
      </c>
      <c r="AN67" s="169">
        <f t="shared" ref="AN67:AY67" si="234">AM67*((0.5*($AU65/12))+1)</f>
        <v>0.5073439294120512</v>
      </c>
      <c r="AO67" s="169">
        <f t="shared" si="234"/>
        <v>0.50793583066303194</v>
      </c>
      <c r="AP67" s="169">
        <f t="shared" si="234"/>
        <v>0.50852842246547214</v>
      </c>
      <c r="AQ67" s="169">
        <f t="shared" si="234"/>
        <v>0.50912170562501524</v>
      </c>
      <c r="AR67" s="169">
        <f t="shared" si="234"/>
        <v>0.50971568094824449</v>
      </c>
      <c r="AS67" s="169">
        <f t="shared" si="234"/>
        <v>0.51031034924268415</v>
      </c>
      <c r="AT67" s="169">
        <f t="shared" si="234"/>
        <v>0.51090571131680063</v>
      </c>
      <c r="AU67" s="169">
        <f t="shared" si="234"/>
        <v>0.51150176798000357</v>
      </c>
      <c r="AV67" s="169">
        <f t="shared" si="234"/>
        <v>0.512098520042647</v>
      </c>
      <c r="AW67" s="169">
        <f t="shared" si="234"/>
        <v>0.51269596831603015</v>
      </c>
      <c r="AX67" s="169">
        <f t="shared" si="234"/>
        <v>0.51329411361239885</v>
      </c>
      <c r="AY67" s="405">
        <f t="shared" si="234"/>
        <v>0.51389295674494673</v>
      </c>
      <c r="AZ67" s="169">
        <f t="shared" ref="AZ67:BK67" si="235">AY67*((0.5*($BG65/12))+1)</f>
        <v>0.51432120087556743</v>
      </c>
      <c r="BA67" s="169">
        <f t="shared" si="235"/>
        <v>0.51474980187629704</v>
      </c>
      <c r="BB67" s="169">
        <f t="shared" si="235"/>
        <v>0.51517876004452723</v>
      </c>
      <c r="BC67" s="169">
        <f t="shared" si="235"/>
        <v>0.51560807567789757</v>
      </c>
      <c r="BD67" s="169">
        <f t="shared" si="235"/>
        <v>0.51603774907429578</v>
      </c>
      <c r="BE67" s="169">
        <f t="shared" si="235"/>
        <v>0.5164677805318576</v>
      </c>
      <c r="BF67" s="169">
        <f t="shared" si="235"/>
        <v>0.51689817034896746</v>
      </c>
      <c r="BG67" s="169">
        <f t="shared" si="235"/>
        <v>0.51732891882425824</v>
      </c>
      <c r="BH67" s="169">
        <f t="shared" si="235"/>
        <v>0.51776002625661177</v>
      </c>
      <c r="BI67" s="169">
        <f t="shared" si="235"/>
        <v>0.51819149294515887</v>
      </c>
      <c r="BJ67" s="169">
        <f t="shared" si="235"/>
        <v>0.51862331918927984</v>
      </c>
      <c r="BK67" s="405">
        <f t="shared" si="235"/>
        <v>0.51905550528860422</v>
      </c>
    </row>
    <row r="68" spans="1:63" s="338" customFormat="1" hidden="1" outlineLevel="1">
      <c r="A68" s="858"/>
      <c r="B68" s="388" t="s">
        <v>258</v>
      </c>
      <c r="C68" s="389">
        <v>11</v>
      </c>
      <c r="D68" s="380">
        <f t="shared" ref="D68:AI68" si="236">D66*D67</f>
        <v>0.91666666666666674</v>
      </c>
      <c r="E68" s="381">
        <f t="shared" si="236"/>
        <v>0.98746961805555578</v>
      </c>
      <c r="F68" s="381">
        <f t="shared" si="236"/>
        <v>1.0637413599084926</v>
      </c>
      <c r="G68" s="381">
        <f t="shared" si="236"/>
        <v>1.1459042993222581</v>
      </c>
      <c r="H68" s="381">
        <f t="shared" si="236"/>
        <v>1.2344134699417846</v>
      </c>
      <c r="I68" s="381">
        <f t="shared" si="236"/>
        <v>1.3297590520211422</v>
      </c>
      <c r="J68" s="381">
        <f t="shared" si="236"/>
        <v>1.4324690871329835</v>
      </c>
      <c r="K68" s="381">
        <f t="shared" si="236"/>
        <v>1.5431124025610157</v>
      </c>
      <c r="L68" s="381">
        <f t="shared" si="236"/>
        <v>1.6623017615713276</v>
      </c>
      <c r="M68" s="381">
        <f t="shared" si="236"/>
        <v>1.7906972570093631</v>
      </c>
      <c r="N68" s="381">
        <f t="shared" si="236"/>
        <v>1.9290099670169094</v>
      </c>
      <c r="O68" s="399">
        <f t="shared" si="236"/>
        <v>2.0780058931151424</v>
      </c>
      <c r="P68" s="381">
        <f t="shared" si="236"/>
        <v>2.1161603902081736</v>
      </c>
      <c r="Q68" s="381">
        <f t="shared" si="236"/>
        <v>2.1550154462617179</v>
      </c>
      <c r="R68" s="381">
        <f t="shared" si="236"/>
        <v>2.19458392431669</v>
      </c>
      <c r="S68" s="381">
        <f t="shared" si="236"/>
        <v>2.234878923593727</v>
      </c>
      <c r="T68" s="381">
        <f t="shared" si="236"/>
        <v>2.2759137838297119</v>
      </c>
      <c r="U68" s="381">
        <f t="shared" si="236"/>
        <v>2.3177020896939182</v>
      </c>
      <c r="V68" s="381">
        <f t="shared" si="236"/>
        <v>2.3602576752852431</v>
      </c>
      <c r="W68" s="381">
        <f t="shared" si="236"/>
        <v>2.4035946287120082</v>
      </c>
      <c r="X68" s="381">
        <f t="shared" si="236"/>
        <v>2.447727296755859</v>
      </c>
      <c r="Y68" s="381">
        <f t="shared" si="236"/>
        <v>2.4926702896212931</v>
      </c>
      <c r="Z68" s="381">
        <f t="shared" si="236"/>
        <v>2.5384384857723949</v>
      </c>
      <c r="AA68" s="399">
        <f t="shared" si="236"/>
        <v>2.5850470368583824</v>
      </c>
      <c r="AB68" s="381">
        <f t="shared" si="236"/>
        <v>2.6141611291109998</v>
      </c>
      <c r="AC68" s="381">
        <f t="shared" si="236"/>
        <v>2.6436031188276128</v>
      </c>
      <c r="AD68" s="381">
        <f t="shared" si="236"/>
        <v>2.6733766989534087</v>
      </c>
      <c r="AE68" s="381">
        <f t="shared" si="236"/>
        <v>2.7034856040253716</v>
      </c>
      <c r="AF68" s="381">
        <f t="shared" si="236"/>
        <v>2.7339336106407068</v>
      </c>
      <c r="AG68" s="381">
        <f t="shared" si="236"/>
        <v>2.7647245379305478</v>
      </c>
      <c r="AH68" s="381">
        <f t="shared" si="236"/>
        <v>2.7958622480389907</v>
      </c>
      <c r="AI68" s="381">
        <f t="shared" si="236"/>
        <v>2.8273506466075298</v>
      </c>
      <c r="AJ68" s="381">
        <f t="shared" ref="AJ68:BK68" si="237">AJ66*AJ67</f>
        <v>2.8591936832649472</v>
      </c>
      <c r="AK68" s="381">
        <f t="shared" si="237"/>
        <v>2.8913953521227187</v>
      </c>
      <c r="AL68" s="381">
        <f t="shared" si="237"/>
        <v>2.9239596922760009</v>
      </c>
      <c r="AM68" s="399">
        <f t="shared" si="237"/>
        <v>2.9568907883102593</v>
      </c>
      <c r="AN68" s="381">
        <f t="shared" si="237"/>
        <v>2.9850099983485374</v>
      </c>
      <c r="AO68" s="381">
        <f t="shared" si="237"/>
        <v>3.0133966142633883</v>
      </c>
      <c r="AP68" s="381">
        <f t="shared" si="237"/>
        <v>3.0420531790104177</v>
      </c>
      <c r="AQ68" s="381">
        <f t="shared" si="237"/>
        <v>3.0709822597280354</v>
      </c>
      <c r="AR68" s="381">
        <f t="shared" si="237"/>
        <v>3.1001864479674217</v>
      </c>
      <c r="AS68" s="381">
        <f t="shared" si="237"/>
        <v>3.1296683599246897</v>
      </c>
      <c r="AT68" s="381">
        <f t="shared" si="237"/>
        <v>3.1594306366752511</v>
      </c>
      <c r="AU68" s="381">
        <f t="shared" si="237"/>
        <v>3.1894759444104115</v>
      </c>
      <c r="AV68" s="381">
        <f t="shared" si="237"/>
        <v>3.219806974676215</v>
      </c>
      <c r="AW68" s="381">
        <f t="shared" si="237"/>
        <v>3.2504264446145599</v>
      </c>
      <c r="AX68" s="381">
        <f t="shared" si="237"/>
        <v>3.2813370972066092</v>
      </c>
      <c r="AY68" s="399">
        <f t="shared" si="237"/>
        <v>3.3125417015185179</v>
      </c>
      <c r="AZ68" s="381">
        <f t="shared" si="237"/>
        <v>3.3981847067598601</v>
      </c>
      <c r="BA68" s="381">
        <f t="shared" si="237"/>
        <v>3.4860419405325471</v>
      </c>
      <c r="BB68" s="381">
        <f t="shared" si="237"/>
        <v>3.5761706498700652</v>
      </c>
      <c r="BC68" s="381">
        <f t="shared" si="237"/>
        <v>3.6686295618802465</v>
      </c>
      <c r="BD68" s="381">
        <f t="shared" si="237"/>
        <v>3.763478922011358</v>
      </c>
      <c r="BE68" s="381">
        <f t="shared" si="237"/>
        <v>3.8607805333075258</v>
      </c>
      <c r="BF68" s="381">
        <f t="shared" si="237"/>
        <v>3.9605977966790804</v>
      </c>
      <c r="BG68" s="381">
        <f t="shared" si="237"/>
        <v>4.0629957522140536</v>
      </c>
      <c r="BH68" s="381">
        <f t="shared" si="237"/>
        <v>4.1680411215577537</v>
      </c>
      <c r="BI68" s="381">
        <f t="shared" si="237"/>
        <v>4.2758023513880277</v>
      </c>
      <c r="BJ68" s="381">
        <f t="shared" si="237"/>
        <v>4.386349658014538</v>
      </c>
      <c r="BK68" s="399">
        <f t="shared" si="237"/>
        <v>4.499755073131122</v>
      </c>
    </row>
    <row r="69" spans="1:63" s="54" customFormat="1" hidden="1" outlineLevel="1">
      <c r="A69" s="857"/>
      <c r="B69" s="371" t="s">
        <v>348</v>
      </c>
      <c r="C69" s="365">
        <f>C70/C68</f>
        <v>0.27272727272727271</v>
      </c>
      <c r="D69" s="352">
        <f>C69</f>
        <v>0.27272727272727271</v>
      </c>
      <c r="E69" s="169">
        <f t="shared" ref="E69:O69" si="238">D69*((0.5*($K65/12))+1)</f>
        <v>0.27329545454545456</v>
      </c>
      <c r="F69" s="169">
        <f t="shared" si="238"/>
        <v>0.27386482007575763</v>
      </c>
      <c r="G69" s="169">
        <f t="shared" si="238"/>
        <v>0.27443537178424882</v>
      </c>
      <c r="H69" s="169">
        <f t="shared" si="238"/>
        <v>0.27500711214213269</v>
      </c>
      <c r="I69" s="169">
        <f t="shared" si="238"/>
        <v>0.27558004362576216</v>
      </c>
      <c r="J69" s="169">
        <f t="shared" si="238"/>
        <v>0.27615416871664922</v>
      </c>
      <c r="K69" s="169">
        <f t="shared" si="238"/>
        <v>0.27672948990147561</v>
      </c>
      <c r="L69" s="169">
        <f t="shared" si="238"/>
        <v>0.27730600967210373</v>
      </c>
      <c r="M69" s="169">
        <f t="shared" si="238"/>
        <v>0.27788373052558729</v>
      </c>
      <c r="N69" s="169">
        <f t="shared" si="238"/>
        <v>0.27846265496418232</v>
      </c>
      <c r="O69" s="405">
        <f t="shared" si="238"/>
        <v>0.27904278549535771</v>
      </c>
      <c r="P69" s="169">
        <f t="shared" ref="P69:AA69" si="239">O69*((0.5*($W65/12))+1)</f>
        <v>0.27950785680451667</v>
      </c>
      <c r="Q69" s="169">
        <f t="shared" si="239"/>
        <v>0.27997370323252424</v>
      </c>
      <c r="R69" s="169">
        <f t="shared" si="239"/>
        <v>0.28044032607124514</v>
      </c>
      <c r="S69" s="169">
        <f t="shared" si="239"/>
        <v>0.28090772661469721</v>
      </c>
      <c r="T69" s="169">
        <f t="shared" si="239"/>
        <v>0.28137590615905506</v>
      </c>
      <c r="U69" s="169">
        <f t="shared" si="239"/>
        <v>0.28184486600265352</v>
      </c>
      <c r="V69" s="169">
        <f t="shared" si="239"/>
        <v>0.28231460744599129</v>
      </c>
      <c r="W69" s="169">
        <f t="shared" si="239"/>
        <v>0.28278513179173465</v>
      </c>
      <c r="X69" s="169">
        <f t="shared" si="239"/>
        <v>0.28325644034472086</v>
      </c>
      <c r="Y69" s="169">
        <f t="shared" si="239"/>
        <v>0.28372853441196205</v>
      </c>
      <c r="Z69" s="169">
        <f t="shared" si="239"/>
        <v>0.28420141530264864</v>
      </c>
      <c r="AA69" s="405">
        <f t="shared" si="239"/>
        <v>0.28467508432815308</v>
      </c>
      <c r="AB69" s="169">
        <f t="shared" ref="AB69:AM69" si="240">AA69*((0.5*($AI65/12))+1)</f>
        <v>0.28503092818356329</v>
      </c>
      <c r="AC69" s="169">
        <f t="shared" si="240"/>
        <v>0.28538721684379276</v>
      </c>
      <c r="AD69" s="169">
        <f t="shared" si="240"/>
        <v>0.2857439508648475</v>
      </c>
      <c r="AE69" s="169">
        <f t="shared" si="240"/>
        <v>0.28610113080342853</v>
      </c>
      <c r="AF69" s="169">
        <f t="shared" si="240"/>
        <v>0.28645875721693281</v>
      </c>
      <c r="AG69" s="169">
        <f t="shared" si="240"/>
        <v>0.28681683066345398</v>
      </c>
      <c r="AH69" s="169">
        <f t="shared" si="240"/>
        <v>0.28717535170178327</v>
      </c>
      <c r="AI69" s="169">
        <f t="shared" si="240"/>
        <v>0.28753432089141051</v>
      </c>
      <c r="AJ69" s="169">
        <f t="shared" si="240"/>
        <v>0.28789373879252478</v>
      </c>
      <c r="AK69" s="169">
        <f t="shared" si="240"/>
        <v>0.2882536059660154</v>
      </c>
      <c r="AL69" s="169">
        <f t="shared" si="240"/>
        <v>0.28861392297347294</v>
      </c>
      <c r="AM69" s="405">
        <f t="shared" si="240"/>
        <v>0.28897469037718976</v>
      </c>
      <c r="AN69" s="169">
        <f t="shared" ref="AN69:AY69" si="241">AM69*((0.5*($AU65/12))+1)</f>
        <v>0.28931182751596318</v>
      </c>
      <c r="AO69" s="169">
        <f t="shared" si="241"/>
        <v>0.28964935798139851</v>
      </c>
      <c r="AP69" s="169">
        <f t="shared" si="241"/>
        <v>0.28998728223237685</v>
      </c>
      <c r="AQ69" s="169">
        <f t="shared" si="241"/>
        <v>0.29032560072831465</v>
      </c>
      <c r="AR69" s="169">
        <f t="shared" si="241"/>
        <v>0.29066431392916436</v>
      </c>
      <c r="AS69" s="169">
        <f t="shared" si="241"/>
        <v>0.29100342229541509</v>
      </c>
      <c r="AT69" s="169">
        <f t="shared" si="241"/>
        <v>0.29134292628809311</v>
      </c>
      <c r="AU69" s="169">
        <f t="shared" si="241"/>
        <v>0.29168282636876258</v>
      </c>
      <c r="AV69" s="169">
        <f t="shared" si="241"/>
        <v>0.29202312299952615</v>
      </c>
      <c r="AW69" s="169">
        <f t="shared" si="241"/>
        <v>0.29236381664302563</v>
      </c>
      <c r="AX69" s="169">
        <f t="shared" si="241"/>
        <v>0.29270490776244251</v>
      </c>
      <c r="AY69" s="405">
        <f t="shared" si="241"/>
        <v>0.29304639682149874</v>
      </c>
      <c r="AZ69" s="169">
        <f t="shared" ref="AZ69:BK69" si="242">AY69*((0.5*($BG65/12))+1)</f>
        <v>0.29329060215218328</v>
      </c>
      <c r="BA69" s="169">
        <f t="shared" si="242"/>
        <v>0.29353501098731005</v>
      </c>
      <c r="BB69" s="169">
        <f t="shared" si="242"/>
        <v>0.29377962349646614</v>
      </c>
      <c r="BC69" s="169">
        <f t="shared" si="242"/>
        <v>0.29402443984937982</v>
      </c>
      <c r="BD69" s="169">
        <f t="shared" si="242"/>
        <v>0.29426946021592093</v>
      </c>
      <c r="BE69" s="169">
        <f t="shared" si="242"/>
        <v>0.29451468476610082</v>
      </c>
      <c r="BF69" s="169">
        <f t="shared" si="242"/>
        <v>0.29476011367007254</v>
      </c>
      <c r="BG69" s="169">
        <f t="shared" si="242"/>
        <v>0.29500574709813093</v>
      </c>
      <c r="BH69" s="169">
        <f t="shared" si="242"/>
        <v>0.29525158522071271</v>
      </c>
      <c r="BI69" s="169">
        <f t="shared" si="242"/>
        <v>0.29549762820839659</v>
      </c>
      <c r="BJ69" s="169">
        <f t="shared" si="242"/>
        <v>0.29574387623190357</v>
      </c>
      <c r="BK69" s="405">
        <f t="shared" si="242"/>
        <v>0.2959903294620968</v>
      </c>
    </row>
    <row r="70" spans="1:63" s="385" customFormat="1" hidden="1" outlineLevel="1">
      <c r="A70" s="859"/>
      <c r="B70" s="390" t="s">
        <v>285</v>
      </c>
      <c r="C70" s="391">
        <v>3</v>
      </c>
      <c r="D70" s="383">
        <f t="shared" ref="D70:AI70" si="243">D68*D69</f>
        <v>0.25</v>
      </c>
      <c r="E70" s="384">
        <f t="shared" si="243"/>
        <v>0.2698709581163195</v>
      </c>
      <c r="F70" s="384">
        <f t="shared" si="243"/>
        <v>0.29132133613848105</v>
      </c>
      <c r="G70" s="384">
        <f t="shared" si="243"/>
        <v>0.31447667241367305</v>
      </c>
      <c r="H70" s="384">
        <f t="shared" si="243"/>
        <v>0.3394724835580395</v>
      </c>
      <c r="I70" s="384">
        <f t="shared" si="243"/>
        <v>0.3664550575677385</v>
      </c>
      <c r="J70" s="384">
        <f t="shared" si="243"/>
        <v>0.39558230996950638</v>
      </c>
      <c r="K70" s="384">
        <f t="shared" si="243"/>
        <v>0.42702470802135034</v>
      </c>
      <c r="L70" s="384">
        <f t="shared" si="243"/>
        <v>0.46096626837225363</v>
      </c>
      <c r="M70" s="384">
        <f t="shared" si="243"/>
        <v>0.49760563401969821</v>
      </c>
      <c r="N70" s="384">
        <f t="shared" si="243"/>
        <v>0.5371572368678984</v>
      </c>
      <c r="O70" s="400">
        <f t="shared" si="243"/>
        <v>0.57985255269061786</v>
      </c>
      <c r="P70" s="384">
        <f t="shared" si="243"/>
        <v>0.59148345532169633</v>
      </c>
      <c r="Q70" s="384">
        <f t="shared" si="243"/>
        <v>0.60334765501318399</v>
      </c>
      <c r="R70" s="384">
        <f t="shared" si="243"/>
        <v>0.61544983132608533</v>
      </c>
      <c r="S70" s="384">
        <f t="shared" si="243"/>
        <v>0.62779475768581539</v>
      </c>
      <c r="T70" s="384">
        <f t="shared" si="243"/>
        <v>0.64038730326496895</v>
      </c>
      <c r="U70" s="384">
        <f t="shared" si="243"/>
        <v>0.65323243490385241</v>
      </c>
      <c r="V70" s="384">
        <f t="shared" si="243"/>
        <v>0.66633521906954141</v>
      </c>
      <c r="W70" s="384">
        <f t="shared" si="243"/>
        <v>0.67970082385423081</v>
      </c>
      <c r="X70" s="384">
        <f t="shared" si="243"/>
        <v>0.69333452101367088</v>
      </c>
      <c r="Y70" s="384">
        <f t="shared" si="243"/>
        <v>0.70724168804649046</v>
      </c>
      <c r="Z70" s="384">
        <f t="shared" si="243"/>
        <v>0.72142781031522696</v>
      </c>
      <c r="AA70" s="400">
        <f t="shared" si="243"/>
        <v>0.73589848320990225</v>
      </c>
      <c r="AB70" s="384">
        <f t="shared" si="243"/>
        <v>0.74511677305190016</v>
      </c>
      <c r="AC70" s="384">
        <f t="shared" si="243"/>
        <v>0.75445053652178273</v>
      </c>
      <c r="AD70" s="384">
        <f t="shared" si="243"/>
        <v>0.76390122010897099</v>
      </c>
      <c r="AE70" s="384">
        <f t="shared" si="243"/>
        <v>0.7734702884224488</v>
      </c>
      <c r="AF70" s="384">
        <f t="shared" si="243"/>
        <v>0.78315922441773878</v>
      </c>
      <c r="AG70" s="384">
        <f t="shared" si="243"/>
        <v>0.79296952962672196</v>
      </c>
      <c r="AH70" s="384">
        <f t="shared" si="243"/>
        <v>0.80290272439033561</v>
      </c>
      <c r="AI70" s="384">
        <f t="shared" si="243"/>
        <v>0.81296034809418649</v>
      </c>
      <c r="AJ70" s="384">
        <f t="shared" ref="AJ70:BK70" si="244">AJ68*AJ69</f>
        <v>0.82314395940711549</v>
      </c>
      <c r="AK70" s="384">
        <f t="shared" si="244"/>
        <v>0.83345513652275049</v>
      </c>
      <c r="AL70" s="384">
        <f t="shared" si="244"/>
        <v>0.84389547740408533</v>
      </c>
      <c r="AM70" s="400">
        <f t="shared" si="244"/>
        <v>0.85446660003112174</v>
      </c>
      <c r="AN70" s="384">
        <f t="shared" si="244"/>
        <v>0.86359869777563758</v>
      </c>
      <c r="AO70" s="384">
        <f t="shared" si="244"/>
        <v>0.87282839466471041</v>
      </c>
      <c r="AP70" s="384">
        <f t="shared" si="244"/>
        <v>0.88215673378759318</v>
      </c>
      <c r="AQ70" s="384">
        <f t="shared" si="244"/>
        <v>0.89158476938153908</v>
      </c>
      <c r="AR70" s="384">
        <f t="shared" si="244"/>
        <v>0.90111356695094369</v>
      </c>
      <c r="AS70" s="384">
        <f t="shared" si="244"/>
        <v>0.91074420338776363</v>
      </c>
      <c r="AT70" s="384">
        <f t="shared" si="244"/>
        <v>0.92047776709322082</v>
      </c>
      <c r="AU70" s="384">
        <f t="shared" si="244"/>
        <v>0.93031535810080712</v>
      </c>
      <c r="AV70" s="384">
        <f t="shared" si="244"/>
        <v>0.94025808820060452</v>
      </c>
      <c r="AW70" s="384">
        <f t="shared" si="244"/>
        <v>0.95030708106493289</v>
      </c>
      <c r="AX70" s="384">
        <f t="shared" si="244"/>
        <v>0.96046347237534135</v>
      </c>
      <c r="AY70" s="400">
        <f t="shared" si="244"/>
        <v>0.97072840995095822</v>
      </c>
      <c r="AZ70" s="384">
        <f t="shared" si="244"/>
        <v>0.99665563886993969</v>
      </c>
      <c r="BA70" s="384">
        <f t="shared" si="244"/>
        <v>1.023275359316445</v>
      </c>
      <c r="BB70" s="384">
        <f t="shared" si="244"/>
        <v>1.0506060670779405</v>
      </c>
      <c r="BC70" s="384">
        <f t="shared" si="244"/>
        <v>1.0786667519467152</v>
      </c>
      <c r="BD70" s="384">
        <f t="shared" si="244"/>
        <v>1.1074769109142784</v>
      </c>
      <c r="BE70" s="384">
        <f t="shared" si="244"/>
        <v>1.1370565617181645</v>
      </c>
      <c r="BF70" s="384">
        <f t="shared" si="244"/>
        <v>1.1674262567505647</v>
      </c>
      <c r="BG70" s="384">
        <f t="shared" si="244"/>
        <v>1.1986070973384393</v>
      </c>
      <c r="BH70" s="384">
        <f t="shared" si="244"/>
        <v>1.2306207484050442</v>
      </c>
      <c r="BI70" s="384">
        <f t="shared" si="244"/>
        <v>1.2634894535230474</v>
      </c>
      <c r="BJ70" s="384">
        <f t="shared" si="244"/>
        <v>1.297236050369704</v>
      </c>
      <c r="BK70" s="400">
        <f t="shared" si="244"/>
        <v>1.3318839865948222</v>
      </c>
    </row>
    <row r="71" spans="1:63" s="339" customFormat="1" ht="6.75" hidden="1" customHeight="1" outlineLevel="1">
      <c r="A71" s="854"/>
      <c r="B71" s="373"/>
      <c r="C71" s="357"/>
      <c r="D71" s="349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40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40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40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40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401"/>
    </row>
    <row r="72" spans="1:63" s="248" customFormat="1" hidden="1" outlineLevel="1">
      <c r="A72" s="860"/>
      <c r="B72" s="374" t="s">
        <v>321</v>
      </c>
      <c r="C72" s="358">
        <v>5800</v>
      </c>
      <c r="D72" s="353">
        <f>C72</f>
        <v>5800</v>
      </c>
      <c r="E72" s="249">
        <f t="shared" ref="E72:O72" si="245">D72*((1+$G65/12))</f>
        <v>5814.5</v>
      </c>
      <c r="F72" s="249">
        <f t="shared" si="245"/>
        <v>5829.0362500000001</v>
      </c>
      <c r="G72" s="249">
        <f t="shared" si="245"/>
        <v>5843.6088406250001</v>
      </c>
      <c r="H72" s="249">
        <f t="shared" si="245"/>
        <v>5858.2178627265621</v>
      </c>
      <c r="I72" s="249">
        <f t="shared" si="245"/>
        <v>5872.8634073833782</v>
      </c>
      <c r="J72" s="249">
        <f t="shared" si="245"/>
        <v>5887.5455659018362</v>
      </c>
      <c r="K72" s="249">
        <f t="shared" si="245"/>
        <v>5902.2644298165906</v>
      </c>
      <c r="L72" s="249">
        <f t="shared" si="245"/>
        <v>5917.020090891132</v>
      </c>
      <c r="M72" s="249">
        <f t="shared" si="245"/>
        <v>5931.8126411183594</v>
      </c>
      <c r="N72" s="249">
        <f t="shared" si="245"/>
        <v>5946.6421727211546</v>
      </c>
      <c r="O72" s="402">
        <f t="shared" si="245"/>
        <v>5961.5087781529573</v>
      </c>
      <c r="P72" s="249">
        <f t="shared" ref="P72:AA72" si="246">O72*((1+$S65/12))</f>
        <v>5973.9285881074429</v>
      </c>
      <c r="Q72" s="249">
        <f t="shared" si="246"/>
        <v>5986.3742726660012</v>
      </c>
      <c r="R72" s="249">
        <f t="shared" si="246"/>
        <v>5998.8458857340556</v>
      </c>
      <c r="S72" s="249">
        <f t="shared" si="246"/>
        <v>6011.3434813293352</v>
      </c>
      <c r="T72" s="249">
        <f t="shared" si="246"/>
        <v>6023.867113582105</v>
      </c>
      <c r="U72" s="249">
        <f t="shared" si="246"/>
        <v>6036.4168367354014</v>
      </c>
      <c r="V72" s="249">
        <f t="shared" si="246"/>
        <v>6048.9927051452678</v>
      </c>
      <c r="W72" s="249">
        <f t="shared" si="246"/>
        <v>6061.5947732809873</v>
      </c>
      <c r="X72" s="249">
        <f t="shared" si="246"/>
        <v>6074.2230957253232</v>
      </c>
      <c r="Y72" s="249">
        <f t="shared" si="246"/>
        <v>6086.8777271747513</v>
      </c>
      <c r="Z72" s="249">
        <f t="shared" si="246"/>
        <v>6099.5587224396995</v>
      </c>
      <c r="AA72" s="402">
        <f t="shared" si="246"/>
        <v>6112.2661364447831</v>
      </c>
      <c r="AB72" s="249">
        <f t="shared" ref="AB72:AM72" si="247">AA72*((1+$AE65/12))</f>
        <v>6125.0000242290434</v>
      </c>
      <c r="AC72" s="249">
        <f t="shared" si="247"/>
        <v>6137.7604409461883</v>
      </c>
      <c r="AD72" s="249">
        <f t="shared" si="247"/>
        <v>6150.5474418648264</v>
      </c>
      <c r="AE72" s="249">
        <f t="shared" si="247"/>
        <v>6163.3610823687122</v>
      </c>
      <c r="AF72" s="249">
        <f t="shared" si="247"/>
        <v>6176.2014179569815</v>
      </c>
      <c r="AG72" s="249">
        <f t="shared" si="247"/>
        <v>6189.0685042443929</v>
      </c>
      <c r="AH72" s="249">
        <f t="shared" si="247"/>
        <v>6201.9623969615695</v>
      </c>
      <c r="AI72" s="249">
        <f t="shared" si="247"/>
        <v>6214.8831519552405</v>
      </c>
      <c r="AJ72" s="249">
        <f t="shared" si="247"/>
        <v>6227.830825188481</v>
      </c>
      <c r="AK72" s="249">
        <f t="shared" si="247"/>
        <v>6240.8054727409572</v>
      </c>
      <c r="AL72" s="249">
        <f t="shared" si="247"/>
        <v>6253.807150809168</v>
      </c>
      <c r="AM72" s="402">
        <f t="shared" si="247"/>
        <v>6266.835915706688</v>
      </c>
      <c r="AN72" s="249">
        <f t="shared" ref="AN72:AY72" si="248">AM72*((1+$AQ65/12))</f>
        <v>6278.3251148854833</v>
      </c>
      <c r="AO72" s="249">
        <f t="shared" si="248"/>
        <v>6289.8353775961068</v>
      </c>
      <c r="AP72" s="249">
        <f t="shared" si="248"/>
        <v>6301.3667424550331</v>
      </c>
      <c r="AQ72" s="249">
        <f t="shared" si="248"/>
        <v>6312.9192481495338</v>
      </c>
      <c r="AR72" s="249">
        <f t="shared" si="248"/>
        <v>6324.4929334378085</v>
      </c>
      <c r="AS72" s="249">
        <f t="shared" si="248"/>
        <v>6336.0878371491108</v>
      </c>
      <c r="AT72" s="249">
        <f t="shared" si="248"/>
        <v>6347.7039981838843</v>
      </c>
      <c r="AU72" s="249">
        <f t="shared" si="248"/>
        <v>6359.3414555138879</v>
      </c>
      <c r="AV72" s="249">
        <f t="shared" si="248"/>
        <v>6371.0002481823303</v>
      </c>
      <c r="AW72" s="249">
        <f t="shared" si="248"/>
        <v>6382.6804153039984</v>
      </c>
      <c r="AX72" s="249">
        <f t="shared" si="248"/>
        <v>6394.3819960653891</v>
      </c>
      <c r="AY72" s="402">
        <f t="shared" si="248"/>
        <v>6406.1050297248421</v>
      </c>
      <c r="AZ72" s="249">
        <f t="shared" ref="AZ72:BK72" si="249">AY72*((1+$BC65/12))</f>
        <v>6416.7818714410505</v>
      </c>
      <c r="BA72" s="249">
        <f t="shared" si="249"/>
        <v>6427.4765078934524</v>
      </c>
      <c r="BB72" s="249">
        <f t="shared" si="249"/>
        <v>6438.1889687399416</v>
      </c>
      <c r="BC72" s="249">
        <f t="shared" si="249"/>
        <v>6448.9192836878419</v>
      </c>
      <c r="BD72" s="249">
        <f t="shared" si="249"/>
        <v>6459.6674824939882</v>
      </c>
      <c r="BE72" s="249">
        <f t="shared" si="249"/>
        <v>6470.4335949648121</v>
      </c>
      <c r="BF72" s="249">
        <f t="shared" si="249"/>
        <v>6481.2176509564206</v>
      </c>
      <c r="BG72" s="249">
        <f t="shared" si="249"/>
        <v>6492.0196803746812</v>
      </c>
      <c r="BH72" s="249">
        <f t="shared" si="249"/>
        <v>6502.8397131753063</v>
      </c>
      <c r="BI72" s="249">
        <f t="shared" si="249"/>
        <v>6513.6777793639321</v>
      </c>
      <c r="BJ72" s="249">
        <f t="shared" si="249"/>
        <v>6524.5339089962054</v>
      </c>
      <c r="BK72" s="402">
        <f t="shared" si="249"/>
        <v>6535.4081321778658</v>
      </c>
    </row>
    <row r="73" spans="1:63" s="334" customFormat="1" hidden="1" outlineLevel="1">
      <c r="A73" s="861"/>
      <c r="B73" s="372" t="s">
        <v>261</v>
      </c>
      <c r="C73" s="359">
        <f t="shared" ref="C73:AH73" si="250">C72*C70</f>
        <v>17400</v>
      </c>
      <c r="D73" s="354">
        <f t="shared" si="250"/>
        <v>1450</v>
      </c>
      <c r="E73" s="335">
        <f t="shared" si="250"/>
        <v>1569.1646859673397</v>
      </c>
      <c r="F73" s="335">
        <f t="shared" si="250"/>
        <v>1698.1226287496411</v>
      </c>
      <c r="G73" s="335">
        <f t="shared" si="250"/>
        <v>1837.6786630868719</v>
      </c>
      <c r="H73" s="335">
        <f t="shared" si="250"/>
        <v>1988.7037670838561</v>
      </c>
      <c r="I73" s="335">
        <f t="shared" si="250"/>
        <v>2152.1404980401408</v>
      </c>
      <c r="J73" s="335">
        <f t="shared" si="250"/>
        <v>2329.0088750101731</v>
      </c>
      <c r="K73" s="335">
        <f t="shared" si="250"/>
        <v>2520.4127448072313</v>
      </c>
      <c r="L73" s="335">
        <f t="shared" si="250"/>
        <v>2727.546671181738</v>
      </c>
      <c r="M73" s="335">
        <f t="shared" si="250"/>
        <v>2951.7033901697619</v>
      </c>
      <c r="N73" s="335">
        <f t="shared" si="250"/>
        <v>3194.281878141011</v>
      </c>
      <c r="O73" s="403">
        <f t="shared" si="250"/>
        <v>3456.7960828995188</v>
      </c>
      <c r="P73" s="335">
        <f t="shared" si="250"/>
        <v>3533.4799231388533</v>
      </c>
      <c r="Q73" s="335">
        <f t="shared" si="250"/>
        <v>3611.8648794442865</v>
      </c>
      <c r="R73" s="335">
        <f t="shared" si="250"/>
        <v>3691.9886885262054</v>
      </c>
      <c r="S73" s="335">
        <f t="shared" si="250"/>
        <v>3773.889924227356</v>
      </c>
      <c r="T73" s="335">
        <f t="shared" si="250"/>
        <v>3857.6080160933766</v>
      </c>
      <c r="U73" s="335">
        <f t="shared" si="250"/>
        <v>3943.1832683552766</v>
      </c>
      <c r="V73" s="335">
        <f t="shared" si="250"/>
        <v>4030.6568793330298</v>
      </c>
      <c r="W73" s="335">
        <f t="shared" si="250"/>
        <v>4120.0709612695864</v>
      </c>
      <c r="X73" s="335">
        <f t="shared" si="250"/>
        <v>4211.4685606048943</v>
      </c>
      <c r="Y73" s="335">
        <f t="shared" si="250"/>
        <v>4304.8936786996564</v>
      </c>
      <c r="Z73" s="335">
        <f t="shared" si="250"/>
        <v>4400.3912930188153</v>
      </c>
      <c r="AA73" s="403">
        <f t="shared" si="250"/>
        <v>4498.0073787849651</v>
      </c>
      <c r="AB73" s="335">
        <f t="shared" si="250"/>
        <v>4563.840252996355</v>
      </c>
      <c r="AC73" s="335">
        <f t="shared" si="250"/>
        <v>4630.6366577140252</v>
      </c>
      <c r="AD73" s="335">
        <f t="shared" si="250"/>
        <v>4698.4106951786516</v>
      </c>
      <c r="AE73" s="335">
        <f t="shared" si="250"/>
        <v>4767.1766740314242</v>
      </c>
      <c r="AF73" s="335">
        <f t="shared" si="250"/>
        <v>4836.949112334928</v>
      </c>
      <c r="AG73" s="335">
        <f t="shared" si="250"/>
        <v>4907.7427406382358</v>
      </c>
      <c r="AH73" s="335">
        <f t="shared" si="250"/>
        <v>4979.5725050868605</v>
      </c>
      <c r="AI73" s="335">
        <f t="shared" ref="AI73:BK73" si="251">AI72*AI70</f>
        <v>5052.4535705782273</v>
      </c>
      <c r="AJ73" s="335">
        <f t="shared" si="251"/>
        <v>5126.4013239633296</v>
      </c>
      <c r="AK73" s="335">
        <f t="shared" si="251"/>
        <v>5201.4313772952428</v>
      </c>
      <c r="AL73" s="335">
        <f t="shared" si="251"/>
        <v>5277.5595711251854</v>
      </c>
      <c r="AM73" s="403">
        <f t="shared" si="251"/>
        <v>5354.8019778468151</v>
      </c>
      <c r="AN73" s="335">
        <f t="shared" si="251"/>
        <v>5421.953393427184</v>
      </c>
      <c r="AO73" s="335">
        <f t="shared" si="251"/>
        <v>5489.9469153325126</v>
      </c>
      <c r="AP73" s="335">
        <f t="shared" si="251"/>
        <v>5558.7931039218975</v>
      </c>
      <c r="AQ73" s="335">
        <f t="shared" si="251"/>
        <v>5628.502651985681</v>
      </c>
      <c r="AR73" s="335">
        <f t="shared" si="251"/>
        <v>5699.0863864061812</v>
      </c>
      <c r="AS73" s="335">
        <f t="shared" si="251"/>
        <v>5770.5552698392648</v>
      </c>
      <c r="AT73" s="335">
        <f t="shared" si="251"/>
        <v>5842.9204024170122</v>
      </c>
      <c r="AU73" s="335">
        <f t="shared" si="251"/>
        <v>5916.1930234717111</v>
      </c>
      <c r="AV73" s="335">
        <f t="shared" si="251"/>
        <v>5990.3845132814949</v>
      </c>
      <c r="AW73" s="335">
        <f t="shared" si="251"/>
        <v>6065.5063948378565</v>
      </c>
      <c r="AX73" s="335">
        <f t="shared" si="251"/>
        <v>6141.5703356353297</v>
      </c>
      <c r="AY73" s="403">
        <f t="shared" si="251"/>
        <v>6218.5881494836322</v>
      </c>
      <c r="AZ73" s="335">
        <f t="shared" si="251"/>
        <v>6395.3218355701274</v>
      </c>
      <c r="BA73" s="335">
        <f t="shared" si="251"/>
        <v>6577.0783331126813</v>
      </c>
      <c r="BB73" s="335">
        <f t="shared" si="251"/>
        <v>6764.0003915524512</v>
      </c>
      <c r="BC73" s="335">
        <f t="shared" si="251"/>
        <v>6956.2348173021019</v>
      </c>
      <c r="BD73" s="335">
        <f t="shared" si="251"/>
        <v>7153.9325890458549</v>
      </c>
      <c r="BE73" s="335">
        <f t="shared" si="251"/>
        <v>7357.2489763163921</v>
      </c>
      <c r="BF73" s="335">
        <f t="shared" si="251"/>
        <v>7566.3436614417415</v>
      </c>
      <c r="BG73" s="335">
        <f t="shared" si="251"/>
        <v>7781.3808649579187</v>
      </c>
      <c r="BH73" s="335">
        <f t="shared" si="251"/>
        <v>8002.5294745858382</v>
      </c>
      <c r="BI73" s="335">
        <f t="shared" si="251"/>
        <v>8229.9631778737512</v>
      </c>
      <c r="BJ73" s="335">
        <f t="shared" si="251"/>
        <v>8463.8605986094426</v>
      </c>
      <c r="BK73" s="403">
        <f t="shared" si="251"/>
        <v>8704.405437109277</v>
      </c>
    </row>
    <row r="74" spans="1:63" s="339" customFormat="1" ht="4.5" hidden="1" customHeight="1" outlineLevel="1">
      <c r="A74" s="854"/>
      <c r="B74" s="373"/>
      <c r="C74" s="360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40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40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40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1"/>
      <c r="AY74" s="401"/>
      <c r="AZ74" s="341"/>
      <c r="BA74" s="341"/>
      <c r="BB74" s="341"/>
      <c r="BC74" s="341"/>
      <c r="BD74" s="341"/>
      <c r="BE74" s="341"/>
      <c r="BF74" s="341"/>
      <c r="BG74" s="341"/>
      <c r="BH74" s="341"/>
      <c r="BI74" s="341"/>
      <c r="BJ74" s="341"/>
      <c r="BK74" s="401"/>
    </row>
    <row r="75" spans="1:63" s="248" customFormat="1" hidden="1" outlineLevel="1">
      <c r="A75" s="860"/>
      <c r="B75" s="374" t="s">
        <v>346</v>
      </c>
      <c r="C75" s="358">
        <v>18500</v>
      </c>
      <c r="D75" s="353">
        <f>C75/12</f>
        <v>1541.6666666666667</v>
      </c>
      <c r="E75" s="249">
        <f t="shared" ref="E75:O75" si="252">D75*(1+($I65/12))</f>
        <v>1580.2083333333333</v>
      </c>
      <c r="F75" s="249">
        <f t="shared" si="252"/>
        <v>1619.7135416666665</v>
      </c>
      <c r="G75" s="249">
        <f t="shared" si="252"/>
        <v>1660.206380208333</v>
      </c>
      <c r="H75" s="249">
        <f t="shared" si="252"/>
        <v>1701.7115397135412</v>
      </c>
      <c r="I75" s="249">
        <f t="shared" si="252"/>
        <v>1744.2543282063796</v>
      </c>
      <c r="J75" s="249">
        <f t="shared" si="252"/>
        <v>1787.8606864115388</v>
      </c>
      <c r="K75" s="249">
        <f t="shared" si="252"/>
        <v>1832.5572035718271</v>
      </c>
      <c r="L75" s="249">
        <f t="shared" si="252"/>
        <v>1878.3711336611227</v>
      </c>
      <c r="M75" s="249">
        <f t="shared" si="252"/>
        <v>1925.3304120026505</v>
      </c>
      <c r="N75" s="249">
        <f t="shared" si="252"/>
        <v>1973.4636723027165</v>
      </c>
      <c r="O75" s="402">
        <f t="shared" si="252"/>
        <v>2022.8002641102842</v>
      </c>
      <c r="P75" s="249">
        <f t="shared" ref="P75:AA75" si="253">O75*(1+($U65/12))</f>
        <v>2060.7277690623519</v>
      </c>
      <c r="Q75" s="249">
        <f t="shared" si="253"/>
        <v>2099.3664147322711</v>
      </c>
      <c r="R75" s="249">
        <f t="shared" si="253"/>
        <v>2138.7295350085014</v>
      </c>
      <c r="S75" s="249">
        <f t="shared" si="253"/>
        <v>2178.830713789911</v>
      </c>
      <c r="T75" s="249">
        <f t="shared" si="253"/>
        <v>2219.6837896734719</v>
      </c>
      <c r="U75" s="249">
        <f t="shared" si="253"/>
        <v>2261.3028607298497</v>
      </c>
      <c r="V75" s="249">
        <f t="shared" si="253"/>
        <v>2303.7022893685344</v>
      </c>
      <c r="W75" s="249">
        <f t="shared" si="253"/>
        <v>2346.8967072941946</v>
      </c>
      <c r="X75" s="249">
        <f t="shared" si="253"/>
        <v>2390.9010205559607</v>
      </c>
      <c r="Y75" s="249">
        <f t="shared" si="253"/>
        <v>2435.7304146913852</v>
      </c>
      <c r="Z75" s="249">
        <f t="shared" si="253"/>
        <v>2481.400359966849</v>
      </c>
      <c r="AA75" s="402">
        <f t="shared" si="253"/>
        <v>2527.9266167162277</v>
      </c>
      <c r="AB75" s="249">
        <f t="shared" ref="AB75:AM75" si="254">AA75*(1+($AG65/12))</f>
        <v>2553.2058828833901</v>
      </c>
      <c r="AC75" s="249">
        <f t="shared" si="254"/>
        <v>2578.7379417122243</v>
      </c>
      <c r="AD75" s="249">
        <f t="shared" si="254"/>
        <v>2604.5253211293466</v>
      </c>
      <c r="AE75" s="249">
        <f t="shared" si="254"/>
        <v>2630.5705743406402</v>
      </c>
      <c r="AF75" s="249">
        <f t="shared" si="254"/>
        <v>2656.8762800840468</v>
      </c>
      <c r="AG75" s="249">
        <f t="shared" si="254"/>
        <v>2683.4450428848872</v>
      </c>
      <c r="AH75" s="249">
        <f t="shared" si="254"/>
        <v>2710.2794933137361</v>
      </c>
      <c r="AI75" s="249">
        <f t="shared" si="254"/>
        <v>2737.3822882468735</v>
      </c>
      <c r="AJ75" s="249">
        <f t="shared" si="254"/>
        <v>2764.7561111293421</v>
      </c>
      <c r="AK75" s="249">
        <f t="shared" si="254"/>
        <v>2792.4036722406354</v>
      </c>
      <c r="AL75" s="249">
        <f t="shared" si="254"/>
        <v>2820.3277089630419</v>
      </c>
      <c r="AM75" s="402">
        <f t="shared" si="254"/>
        <v>2848.5309860526722</v>
      </c>
      <c r="AN75" s="249">
        <f t="shared" ref="AN75:AY75" si="255">AM75*(1+($AS65/12))</f>
        <v>2862.7736409829354</v>
      </c>
      <c r="AO75" s="249">
        <f t="shared" si="255"/>
        <v>2877.0875091878497</v>
      </c>
      <c r="AP75" s="249">
        <f t="shared" si="255"/>
        <v>2891.4729467337888</v>
      </c>
      <c r="AQ75" s="249">
        <f t="shared" si="255"/>
        <v>2905.9303114674576</v>
      </c>
      <c r="AR75" s="249">
        <f t="shared" si="255"/>
        <v>2920.4599630247944</v>
      </c>
      <c r="AS75" s="249">
        <f t="shared" si="255"/>
        <v>2935.0622628399183</v>
      </c>
      <c r="AT75" s="249">
        <f t="shared" si="255"/>
        <v>2949.7375741541177</v>
      </c>
      <c r="AU75" s="249">
        <f t="shared" si="255"/>
        <v>2964.4862620248882</v>
      </c>
      <c r="AV75" s="249">
        <f t="shared" si="255"/>
        <v>2979.3086933350123</v>
      </c>
      <c r="AW75" s="249">
        <f t="shared" si="255"/>
        <v>2994.2052368016871</v>
      </c>
      <c r="AX75" s="249">
        <f t="shared" si="255"/>
        <v>3009.1762629856953</v>
      </c>
      <c r="AY75" s="402">
        <f t="shared" si="255"/>
        <v>3024.2221443006233</v>
      </c>
      <c r="AZ75" s="249">
        <f t="shared" ref="AZ75:BK75" si="256">AY75*(1+($BES65/12))</f>
        <v>3024.2221443006233</v>
      </c>
      <c r="BA75" s="249">
        <f t="shared" si="256"/>
        <v>3024.2221443006233</v>
      </c>
      <c r="BB75" s="249">
        <f t="shared" si="256"/>
        <v>3024.2221443006233</v>
      </c>
      <c r="BC75" s="249">
        <f t="shared" si="256"/>
        <v>3024.2221443006233</v>
      </c>
      <c r="BD75" s="249">
        <f t="shared" si="256"/>
        <v>3024.2221443006233</v>
      </c>
      <c r="BE75" s="249">
        <f t="shared" si="256"/>
        <v>3024.2221443006233</v>
      </c>
      <c r="BF75" s="249">
        <f t="shared" si="256"/>
        <v>3024.2221443006233</v>
      </c>
      <c r="BG75" s="249">
        <f t="shared" si="256"/>
        <v>3024.2221443006233</v>
      </c>
      <c r="BH75" s="249">
        <f t="shared" si="256"/>
        <v>3024.2221443006233</v>
      </c>
      <c r="BI75" s="249">
        <f t="shared" si="256"/>
        <v>3024.2221443006233</v>
      </c>
      <c r="BJ75" s="249">
        <f t="shared" si="256"/>
        <v>3024.2221443006233</v>
      </c>
      <c r="BK75" s="402">
        <f t="shared" si="256"/>
        <v>3024.2221443006233</v>
      </c>
    </row>
    <row r="76" spans="1:63" s="54" customFormat="1" hidden="1" outlineLevel="1">
      <c r="A76" s="857"/>
      <c r="B76" s="370" t="s">
        <v>345</v>
      </c>
      <c r="C76" s="361">
        <v>0.03</v>
      </c>
      <c r="D76" s="355">
        <f>M65</f>
        <v>0.03</v>
      </c>
      <c r="E76" s="169">
        <f t="shared" ref="E76:O76" si="257">D76</f>
        <v>0.03</v>
      </c>
      <c r="F76" s="169">
        <f t="shared" si="257"/>
        <v>0.03</v>
      </c>
      <c r="G76" s="169">
        <f t="shared" si="257"/>
        <v>0.03</v>
      </c>
      <c r="H76" s="169">
        <f t="shared" si="257"/>
        <v>0.03</v>
      </c>
      <c r="I76" s="169">
        <f t="shared" si="257"/>
        <v>0.03</v>
      </c>
      <c r="J76" s="169">
        <f t="shared" si="257"/>
        <v>0.03</v>
      </c>
      <c r="K76" s="169">
        <f t="shared" si="257"/>
        <v>0.03</v>
      </c>
      <c r="L76" s="169">
        <f t="shared" si="257"/>
        <v>0.03</v>
      </c>
      <c r="M76" s="169">
        <f t="shared" si="257"/>
        <v>0.03</v>
      </c>
      <c r="N76" s="169">
        <f t="shared" si="257"/>
        <v>0.03</v>
      </c>
      <c r="O76" s="405">
        <f t="shared" si="257"/>
        <v>0.03</v>
      </c>
      <c r="P76" s="169">
        <f t="shared" ref="P76:AA76" si="258">$Y65</f>
        <v>0.03</v>
      </c>
      <c r="Q76" s="169">
        <f t="shared" si="258"/>
        <v>0.03</v>
      </c>
      <c r="R76" s="169">
        <f t="shared" si="258"/>
        <v>0.03</v>
      </c>
      <c r="S76" s="169">
        <f t="shared" si="258"/>
        <v>0.03</v>
      </c>
      <c r="T76" s="169">
        <f t="shared" si="258"/>
        <v>0.03</v>
      </c>
      <c r="U76" s="169">
        <f t="shared" si="258"/>
        <v>0.03</v>
      </c>
      <c r="V76" s="169">
        <f t="shared" si="258"/>
        <v>0.03</v>
      </c>
      <c r="W76" s="169">
        <f t="shared" si="258"/>
        <v>0.03</v>
      </c>
      <c r="X76" s="169">
        <f t="shared" si="258"/>
        <v>0.03</v>
      </c>
      <c r="Y76" s="169">
        <f t="shared" si="258"/>
        <v>0.03</v>
      </c>
      <c r="Z76" s="169">
        <f t="shared" si="258"/>
        <v>0.03</v>
      </c>
      <c r="AA76" s="405">
        <f t="shared" si="258"/>
        <v>0.03</v>
      </c>
      <c r="AB76" s="169">
        <f t="shared" ref="AB76:AM76" si="259">$AK65</f>
        <v>0.03</v>
      </c>
      <c r="AC76" s="169">
        <f t="shared" si="259"/>
        <v>0.03</v>
      </c>
      <c r="AD76" s="169">
        <f t="shared" si="259"/>
        <v>0.03</v>
      </c>
      <c r="AE76" s="169">
        <f t="shared" si="259"/>
        <v>0.03</v>
      </c>
      <c r="AF76" s="169">
        <f t="shared" si="259"/>
        <v>0.03</v>
      </c>
      <c r="AG76" s="169">
        <f t="shared" si="259"/>
        <v>0.03</v>
      </c>
      <c r="AH76" s="169">
        <f t="shared" si="259"/>
        <v>0.03</v>
      </c>
      <c r="AI76" s="169">
        <f t="shared" si="259"/>
        <v>0.03</v>
      </c>
      <c r="AJ76" s="169">
        <f t="shared" si="259"/>
        <v>0.03</v>
      </c>
      <c r="AK76" s="169">
        <f t="shared" si="259"/>
        <v>0.03</v>
      </c>
      <c r="AL76" s="169">
        <f t="shared" si="259"/>
        <v>0.03</v>
      </c>
      <c r="AM76" s="405">
        <f t="shared" si="259"/>
        <v>0.03</v>
      </c>
      <c r="AN76" s="169">
        <f t="shared" ref="AN76:AY76" si="260">$AW65</f>
        <v>0.03</v>
      </c>
      <c r="AO76" s="169">
        <f t="shared" si="260"/>
        <v>0.03</v>
      </c>
      <c r="AP76" s="169">
        <f t="shared" si="260"/>
        <v>0.03</v>
      </c>
      <c r="AQ76" s="169">
        <f t="shared" si="260"/>
        <v>0.03</v>
      </c>
      <c r="AR76" s="169">
        <f t="shared" si="260"/>
        <v>0.03</v>
      </c>
      <c r="AS76" s="169">
        <f t="shared" si="260"/>
        <v>0.03</v>
      </c>
      <c r="AT76" s="169">
        <f t="shared" si="260"/>
        <v>0.03</v>
      </c>
      <c r="AU76" s="169">
        <f t="shared" si="260"/>
        <v>0.03</v>
      </c>
      <c r="AV76" s="169">
        <f t="shared" si="260"/>
        <v>0.03</v>
      </c>
      <c r="AW76" s="169">
        <f t="shared" si="260"/>
        <v>0.03</v>
      </c>
      <c r="AX76" s="169">
        <f t="shared" si="260"/>
        <v>0.03</v>
      </c>
      <c r="AY76" s="405">
        <f t="shared" si="260"/>
        <v>0.03</v>
      </c>
      <c r="AZ76" s="169">
        <f t="shared" ref="AZ76:BK76" si="261">$BI65</f>
        <v>0.03</v>
      </c>
      <c r="BA76" s="169">
        <f t="shared" si="261"/>
        <v>0.03</v>
      </c>
      <c r="BB76" s="169">
        <f t="shared" si="261"/>
        <v>0.03</v>
      </c>
      <c r="BC76" s="169">
        <f t="shared" si="261"/>
        <v>0.03</v>
      </c>
      <c r="BD76" s="169">
        <f t="shared" si="261"/>
        <v>0.03</v>
      </c>
      <c r="BE76" s="169">
        <f t="shared" si="261"/>
        <v>0.03</v>
      </c>
      <c r="BF76" s="169">
        <f t="shared" si="261"/>
        <v>0.03</v>
      </c>
      <c r="BG76" s="169">
        <f t="shared" si="261"/>
        <v>0.03</v>
      </c>
      <c r="BH76" s="169">
        <f t="shared" si="261"/>
        <v>0.03</v>
      </c>
      <c r="BI76" s="169">
        <f t="shared" si="261"/>
        <v>0.03</v>
      </c>
      <c r="BJ76" s="169">
        <f t="shared" si="261"/>
        <v>0.03</v>
      </c>
      <c r="BK76" s="405">
        <f t="shared" si="261"/>
        <v>0.03</v>
      </c>
    </row>
    <row r="77" spans="1:63" s="336" customFormat="1" ht="19.5" hidden="1" outlineLevel="1" thickBot="1">
      <c r="A77" s="862"/>
      <c r="B77" s="375" t="s">
        <v>300</v>
      </c>
      <c r="C77" s="362">
        <f>C76*'Prg. HR'!D$38*12</f>
        <v>2268</v>
      </c>
      <c r="D77" s="351">
        <f>D76*'Prg. HR'!D$38</f>
        <v>189</v>
      </c>
      <c r="E77" s="337">
        <f>E76*'Prg. HR'!E$38</f>
        <v>186.16499999999999</v>
      </c>
      <c r="F77" s="337">
        <f>F76*'Prg. HR'!F$38</f>
        <v>183.372525</v>
      </c>
      <c r="G77" s="337">
        <f>G76*'Prg. HR'!G$38</f>
        <v>249.921937125</v>
      </c>
      <c r="H77" s="337">
        <f>H76*'Prg. HR'!H$38</f>
        <v>247.21260806812498</v>
      </c>
      <c r="I77" s="337">
        <f>I76*'Prg. HR'!I$38</f>
        <v>244.54391894710312</v>
      </c>
      <c r="J77" s="337">
        <f>J76*'Prg. HR'!J$38</f>
        <v>241.91526016289657</v>
      </c>
      <c r="K77" s="337">
        <f>K76*'Prg. HR'!K$38</f>
        <v>291.82603126045314</v>
      </c>
      <c r="L77" s="337">
        <f>L76*'Prg. HR'!L$38</f>
        <v>293.65064079154632</v>
      </c>
      <c r="M77" s="337">
        <f>M76*'Prg. HR'!M$38</f>
        <v>291.50308951300644</v>
      </c>
      <c r="N77" s="337">
        <f>N76*'Prg. HR'!N$38</f>
        <v>289.05901886475584</v>
      </c>
      <c r="O77" s="406">
        <f>O76*'Prg. HR'!O$38</f>
        <v>286.62421488965487</v>
      </c>
      <c r="P77" s="337">
        <f>P76*'Prg. HR'!P$38</f>
        <v>279.45094201642576</v>
      </c>
      <c r="Q77" s="337">
        <f>Q76*'Prg. HR'!Q$38</f>
        <v>281.46117788617937</v>
      </c>
      <c r="R77" s="337">
        <f>R76*'Prg. HR'!R$38</f>
        <v>279.49646855121995</v>
      </c>
      <c r="S77" s="337">
        <f>S76*'Prg. HR'!S$38</f>
        <v>277.23249721739614</v>
      </c>
      <c r="T77" s="337">
        <f>T76*'Prg. HR'!T$38</f>
        <v>274.97509106700556</v>
      </c>
      <c r="U77" s="337">
        <f>U76*'Prg. HR'!U$38</f>
        <v>414.49926314332305</v>
      </c>
      <c r="V77" s="337">
        <f>V76*'Prg. HR'!V$38</f>
        <v>412.30663239969999</v>
      </c>
      <c r="W77" s="337">
        <f>W76*'Prg. HR'!W$38</f>
        <v>410.14687526399837</v>
      </c>
      <c r="X77" s="337">
        <f>X76*'Prg. HR'!X$38</f>
        <v>408.01951316422958</v>
      </c>
      <c r="Y77" s="337">
        <f>Y76*'Prg. HR'!Y$38</f>
        <v>405.9240613858654</v>
      </c>
      <c r="Z77" s="337">
        <f>Z76*'Prg. HR'!Z$38</f>
        <v>403.86004137500237</v>
      </c>
      <c r="AA77" s="406">
        <f>AA76*'Prg. HR'!AA$38</f>
        <v>459.09970893625859</v>
      </c>
      <c r="AB77" s="337">
        <f>AB76*'Prg. HR'!AB$38</f>
        <v>531.26995076218304</v>
      </c>
      <c r="AC77" s="337">
        <f>AC76*'Prg. HR'!AC$38</f>
        <v>526.51940776953006</v>
      </c>
      <c r="AD77" s="337">
        <f>AD76*'Prg. HR'!AD$38</f>
        <v>520.76017980529616</v>
      </c>
      <c r="AE77" s="337">
        <f>AE76*'Prg. HR'!AE$38</f>
        <v>515.08121121907197</v>
      </c>
      <c r="AF77" s="337">
        <f>AF76*'Prg. HR'!AF$38</f>
        <v>509.65157405879171</v>
      </c>
      <c r="AG77" s="337">
        <f>AG76*'Prg. HR'!AG$38</f>
        <v>504.48764925596436</v>
      </c>
      <c r="AH77" s="337">
        <f>AH76*'Prg. HR'!AH$38</f>
        <v>499.58095910985151</v>
      </c>
      <c r="AI77" s="337">
        <f>AI76*'Prg. HR'!AI$38</f>
        <v>557.91943979726943</v>
      </c>
      <c r="AJ77" s="337">
        <f>AJ76*'Prg. HR'!AJ$38</f>
        <v>569.24097496813363</v>
      </c>
      <c r="AK77" s="337">
        <f>AK76*'Prg. HR'!AK$38</f>
        <v>568.97142800990878</v>
      </c>
      <c r="AL77" s="337">
        <f>AL76*'Prg. HR'!AL$38</f>
        <v>635.2591070569589</v>
      </c>
      <c r="AM77" s="406">
        <f>AM76*'Prg. HR'!AM$38</f>
        <v>631.70833931599736</v>
      </c>
      <c r="AN77" s="337">
        <f>AN76*'Prg. HR'!AN$38</f>
        <v>699.91968019399894</v>
      </c>
      <c r="AO77" s="337">
        <f>AO76*'Prg. HR'!AO$38</f>
        <v>684.837739158266</v>
      </c>
      <c r="AP77" s="337">
        <f>AP76*'Prg. HR'!AP$38</f>
        <v>679.63985936268057</v>
      </c>
      <c r="AQ77" s="337">
        <f>AQ76*'Prg. HR'!AQ$38</f>
        <v>676.22353425493441</v>
      </c>
      <c r="AR77" s="337">
        <f>AR76*'Prg. HR'!AR$38</f>
        <v>736.23703147884123</v>
      </c>
      <c r="AS77" s="337">
        <f>AS76*'Prg. HR'!AS$38</f>
        <v>818.48384838906247</v>
      </c>
      <c r="AT77" s="337">
        <f>AT76*'Prg. HR'!AT$38</f>
        <v>819.76682309065018</v>
      </c>
      <c r="AU77" s="337">
        <f>AU76*'Prg. HR'!AU$38</f>
        <v>818.23152371637798</v>
      </c>
      <c r="AV77" s="337">
        <f>AV76*'Prg. HR'!AV$38</f>
        <v>816.0844579756241</v>
      </c>
      <c r="AW77" s="337">
        <f>AW76*'Prg. HR'!AW$38</f>
        <v>813.87261268810914</v>
      </c>
      <c r="AX77" s="337">
        <f>AX76*'Prg. HR'!AX$38</f>
        <v>953.47832645652034</v>
      </c>
      <c r="AY77" s="406">
        <f>AY76*'Prg. HR'!AY$38</f>
        <v>1090.7300693176478</v>
      </c>
      <c r="AZ77" s="337">
        <f>AZ76*'Prg. HR'!AZ$38</f>
        <v>1112.1154522464165</v>
      </c>
      <c r="BA77" s="337">
        <f>BA76*'Prg. HR'!BA$38</f>
        <v>1118.0419750989795</v>
      </c>
      <c r="BB77" s="337">
        <f>BB76*'Prg. HR'!BB$38</f>
        <v>1118.8756414989919</v>
      </c>
      <c r="BC77" s="337">
        <f>BC76*'Prg. HR'!BC$38</f>
        <v>1118.0687811423625</v>
      </c>
      <c r="BD77" s="337">
        <f>BD76*'Prg. HR'!BD$38</f>
        <v>1186.0693159913515</v>
      </c>
      <c r="BE77" s="337">
        <f>BE76*'Prg. HR'!BE$38</f>
        <v>1405.1451714980487</v>
      </c>
      <c r="BF77" s="337">
        <f>BF76*'Prg. HR'!BF$38</f>
        <v>1436.5599218007567</v>
      </c>
      <c r="BG77" s="337">
        <f>BG76*'Prg. HR'!BG$38</f>
        <v>1448.8852627430567</v>
      </c>
      <c r="BH77" s="337">
        <f>BH76*'Prg. HR'!BH$38</f>
        <v>1522.5948900360445</v>
      </c>
      <c r="BI77" s="337">
        <f>BI76*'Prg. HR'!BI$38</f>
        <v>1613.4031538885886</v>
      </c>
      <c r="BJ77" s="337">
        <f>BJ76*'Prg. HR'!BJ$38</f>
        <v>1658.2545003713324</v>
      </c>
      <c r="BK77" s="406">
        <f>BK76*'Prg. HR'!BK$38</f>
        <v>1821.9050274413523</v>
      </c>
    </row>
    <row r="78" spans="1:63" s="54" customFormat="1" hidden="1" outlineLevel="1">
      <c r="A78" s="857"/>
      <c r="B78" s="192" t="s">
        <v>386</v>
      </c>
      <c r="C78" s="1207">
        <f t="shared" ref="C78:AH78" si="262">(C75+C77)/C66</f>
        <v>902.95652173913038</v>
      </c>
      <c r="D78" s="368">
        <f t="shared" si="262"/>
        <v>902.95652173913049</v>
      </c>
      <c r="E78" s="1208">
        <f t="shared" si="262"/>
        <v>857.28938321536896</v>
      </c>
      <c r="F78" s="1208">
        <f t="shared" si="262"/>
        <v>814.05348319890891</v>
      </c>
      <c r="G78" s="1208">
        <f t="shared" si="262"/>
        <v>802.21459729933542</v>
      </c>
      <c r="H78" s="1208">
        <f t="shared" si="262"/>
        <v>761.40283531454702</v>
      </c>
      <c r="I78" s="1208">
        <f t="shared" si="262"/>
        <v>722.77282803002004</v>
      </c>
      <c r="J78" s="1208">
        <f t="shared" si="262"/>
        <v>686.20001973211799</v>
      </c>
      <c r="K78" s="1208">
        <f t="shared" si="262"/>
        <v>668.07777713762914</v>
      </c>
      <c r="L78" s="1208">
        <f t="shared" si="262"/>
        <v>635.40389212938953</v>
      </c>
      <c r="M78" s="1208">
        <f t="shared" si="262"/>
        <v>603.26802605998569</v>
      </c>
      <c r="N78" s="1208">
        <f t="shared" si="262"/>
        <v>572.74553342543311</v>
      </c>
      <c r="O78" s="1209">
        <f t="shared" si="262"/>
        <v>543.83113532774598</v>
      </c>
      <c r="P78" s="1208">
        <f t="shared" si="262"/>
        <v>542.03925890643268</v>
      </c>
      <c r="Q78" s="1208">
        <f t="shared" si="262"/>
        <v>542.41423827770632</v>
      </c>
      <c r="R78" s="1208">
        <f t="shared" si="262"/>
        <v>541.902851490996</v>
      </c>
      <c r="S78" s="1208">
        <f t="shared" si="262"/>
        <v>541.35917879583621</v>
      </c>
      <c r="T78" s="1208">
        <f t="shared" si="262"/>
        <v>540.8521354654963</v>
      </c>
      <c r="U78" s="1208">
        <f t="shared" si="262"/>
        <v>570.61448188019585</v>
      </c>
      <c r="V78" s="1208">
        <f t="shared" si="262"/>
        <v>569.69368200728945</v>
      </c>
      <c r="W78" s="1208">
        <f t="shared" si="262"/>
        <v>568.82052338390145</v>
      </c>
      <c r="X78" s="1208">
        <f t="shared" si="262"/>
        <v>567.99381926182241</v>
      </c>
      <c r="Y78" s="1208">
        <f t="shared" si="262"/>
        <v>567.2124134688396</v>
      </c>
      <c r="Z78" s="1208">
        <f t="shared" si="262"/>
        <v>566.47518209423959</v>
      </c>
      <c r="AA78" s="1209">
        <f t="shared" si="262"/>
        <v>576.84128806253102</v>
      </c>
      <c r="AB78" s="1208">
        <f t="shared" si="262"/>
        <v>589.76267844874531</v>
      </c>
      <c r="AC78" s="1208">
        <f t="shared" si="262"/>
        <v>587.85760169159994</v>
      </c>
      <c r="AD78" s="1208">
        <f t="shared" si="262"/>
        <v>585.7912273661143</v>
      </c>
      <c r="AE78" s="1208">
        <f t="shared" si="262"/>
        <v>583.77089473964577</v>
      </c>
      <c r="AF78" s="1208">
        <f t="shared" si="262"/>
        <v>581.82681296821283</v>
      </c>
      <c r="AG78" s="1208">
        <f t="shared" si="262"/>
        <v>579.96019667164967</v>
      </c>
      <c r="AH78" s="1208">
        <f t="shared" si="262"/>
        <v>578.16769682669394</v>
      </c>
      <c r="AI78" s="1208">
        <f t="shared" ref="AI78:BK78" si="263">(AI75+AI77)/AI66</f>
        <v>587.68077479856026</v>
      </c>
      <c r="AJ78" s="1208">
        <f t="shared" si="263"/>
        <v>588.69471860178362</v>
      </c>
      <c r="AK78" s="1208">
        <f t="shared" si="263"/>
        <v>587.65241948912887</v>
      </c>
      <c r="AL78" s="1208">
        <f t="shared" si="263"/>
        <v>598.14156751630787</v>
      </c>
      <c r="AM78" s="1209">
        <f t="shared" si="263"/>
        <v>596.44432728883646</v>
      </c>
      <c r="AN78" s="1208">
        <f t="shared" si="263"/>
        <v>605.52923770975156</v>
      </c>
      <c r="AO78" s="1208">
        <f t="shared" si="263"/>
        <v>600.39539807492918</v>
      </c>
      <c r="AP78" s="1208">
        <f t="shared" si="263"/>
        <v>596.96930160873558</v>
      </c>
      <c r="AQ78" s="1208">
        <f t="shared" si="263"/>
        <v>593.86610585855431</v>
      </c>
      <c r="AR78" s="1208">
        <f t="shared" si="263"/>
        <v>601.21409788009191</v>
      </c>
      <c r="AS78" s="1208">
        <f t="shared" si="263"/>
        <v>612.03718945028186</v>
      </c>
      <c r="AT78" s="1208">
        <f t="shared" si="263"/>
        <v>609.55961591002949</v>
      </c>
      <c r="AU78" s="1208">
        <f t="shared" si="263"/>
        <v>606.64098707718279</v>
      </c>
      <c r="AV78" s="1208">
        <f t="shared" si="263"/>
        <v>603.64339572300776</v>
      </c>
      <c r="AW78" s="1208">
        <f t="shared" si="263"/>
        <v>600.65538898804823</v>
      </c>
      <c r="AX78" s="1208">
        <f t="shared" si="263"/>
        <v>619.87147762763834</v>
      </c>
      <c r="AY78" s="1209">
        <f t="shared" si="263"/>
        <v>638.37534753179796</v>
      </c>
      <c r="AZ78" s="1208">
        <f t="shared" si="263"/>
        <v>626.04193222660194</v>
      </c>
      <c r="BA78" s="1208">
        <f t="shared" si="263"/>
        <v>611.64772861410495</v>
      </c>
      <c r="BB78" s="1208">
        <f t="shared" si="263"/>
        <v>596.84958829048708</v>
      </c>
      <c r="BC78" s="1208">
        <f t="shared" si="263"/>
        <v>582.17888095276533</v>
      </c>
      <c r="BD78" s="1208">
        <f t="shared" si="263"/>
        <v>577.3034400189058</v>
      </c>
      <c r="BE78" s="1208">
        <f t="shared" si="263"/>
        <v>592.52927925200811</v>
      </c>
      <c r="BF78" s="1208">
        <f t="shared" si="263"/>
        <v>582.1772890513281</v>
      </c>
      <c r="BG78" s="1208">
        <f t="shared" si="263"/>
        <v>569.54719123436939</v>
      </c>
      <c r="BH78" s="1208">
        <f t="shared" si="263"/>
        <v>564.81211159508052</v>
      </c>
      <c r="BI78" s="1208">
        <f t="shared" si="263"/>
        <v>562.04140872151788</v>
      </c>
      <c r="BJ78" s="1208">
        <f t="shared" si="263"/>
        <v>553.63611404050164</v>
      </c>
      <c r="BK78" s="1209">
        <f t="shared" si="263"/>
        <v>559.01020098656988</v>
      </c>
    </row>
    <row r="79" spans="1:63" s="54" customFormat="1" hidden="1" outlineLevel="1">
      <c r="A79" s="857"/>
      <c r="B79" s="192" t="s">
        <v>390</v>
      </c>
      <c r="C79" s="1207">
        <f t="shared" ref="C79:AH79" si="264">(C75+C77)/C68</f>
        <v>1888</v>
      </c>
      <c r="D79" s="368">
        <f t="shared" si="264"/>
        <v>1888</v>
      </c>
      <c r="E79" s="1208">
        <f t="shared" si="264"/>
        <v>1788.7875242293842</v>
      </c>
      <c r="F79" s="1208">
        <f t="shared" si="264"/>
        <v>1695.0417973987355</v>
      </c>
      <c r="G79" s="1208">
        <f t="shared" si="264"/>
        <v>1666.9178381327945</v>
      </c>
      <c r="H79" s="1208">
        <f t="shared" si="264"/>
        <v>1578.8260540235181</v>
      </c>
      <c r="I79" s="1208">
        <f t="shared" si="264"/>
        <v>1495.6079780999771</v>
      </c>
      <c r="J79" s="1208">
        <f t="shared" si="264"/>
        <v>1416.9771374521822</v>
      </c>
      <c r="K79" s="1208">
        <f t="shared" si="264"/>
        <v>1376.6872920641183</v>
      </c>
      <c r="L79" s="1208">
        <f t="shared" si="264"/>
        <v>1306.6350675099552</v>
      </c>
      <c r="M79" s="1208">
        <f t="shared" si="264"/>
        <v>1237.9722439615407</v>
      </c>
      <c r="N79" s="1208">
        <f t="shared" si="264"/>
        <v>1172.8932093939975</v>
      </c>
      <c r="O79" s="1209">
        <f t="shared" si="264"/>
        <v>1111.3657024032191</v>
      </c>
      <c r="P79" s="1208">
        <f t="shared" si="264"/>
        <v>1105.8607475629797</v>
      </c>
      <c r="Q79" s="1208">
        <f t="shared" si="264"/>
        <v>1104.784467669801</v>
      </c>
      <c r="R79" s="1208">
        <f t="shared" si="264"/>
        <v>1101.9063690228502</v>
      </c>
      <c r="S79" s="1208">
        <f t="shared" si="264"/>
        <v>1098.9692484360235</v>
      </c>
      <c r="T79" s="1208">
        <f t="shared" si="264"/>
        <v>1096.1130858580591</v>
      </c>
      <c r="U79" s="1208">
        <f t="shared" si="264"/>
        <v>1154.5064983854529</v>
      </c>
      <c r="V79" s="1208">
        <f t="shared" si="264"/>
        <v>1150.725596704181</v>
      </c>
      <c r="W79" s="1208">
        <f t="shared" si="264"/>
        <v>1147.0501513125714</v>
      </c>
      <c r="X79" s="1208">
        <f t="shared" si="264"/>
        <v>1143.4772727459435</v>
      </c>
      <c r="Y79" s="1208">
        <f t="shared" si="264"/>
        <v>1140.0041505324709</v>
      </c>
      <c r="Z79" s="1208">
        <f t="shared" si="264"/>
        <v>1136.6280559932204</v>
      </c>
      <c r="AA79" s="1209">
        <f t="shared" si="264"/>
        <v>1155.5017309405057</v>
      </c>
      <c r="AB79" s="1208">
        <f t="shared" si="264"/>
        <v>1179.9103732731708</v>
      </c>
      <c r="AC79" s="1208">
        <f t="shared" si="264"/>
        <v>1174.6306877028032</v>
      </c>
      <c r="AD79" s="1208">
        <f t="shared" si="264"/>
        <v>1169.0404506623217</v>
      </c>
      <c r="AE79" s="1208">
        <f t="shared" si="264"/>
        <v>1163.5541098779941</v>
      </c>
      <c r="AF79" s="1208">
        <f t="shared" si="264"/>
        <v>1158.231436863879</v>
      </c>
      <c r="AG79" s="1208">
        <f t="shared" si="264"/>
        <v>1153.0742569120769</v>
      </c>
      <c r="AH79" s="1208">
        <f t="shared" si="264"/>
        <v>1148.0753226218401</v>
      </c>
      <c r="AI79" s="1208">
        <f t="shared" ref="AI79:BK79" si="265">(AI75+AI77)/AI68</f>
        <v>1165.5086828363847</v>
      </c>
      <c r="AJ79" s="1208">
        <f t="shared" si="265"/>
        <v>1166.0619934954336</v>
      </c>
      <c r="AK79" s="1208">
        <f t="shared" si="265"/>
        <v>1162.5442704619379</v>
      </c>
      <c r="AL79" s="1208">
        <f t="shared" si="265"/>
        <v>1181.8175281787769</v>
      </c>
      <c r="AM79" s="1209">
        <f t="shared" si="265"/>
        <v>1176.9928531440562</v>
      </c>
      <c r="AN79" s="1208">
        <f t="shared" si="265"/>
        <v>1193.5281031380134</v>
      </c>
      <c r="AO79" s="1208">
        <f t="shared" si="265"/>
        <v>1182.0300160577478</v>
      </c>
      <c r="AP79" s="1208">
        <f t="shared" si="265"/>
        <v>1173.9153117823387</v>
      </c>
      <c r="AQ79" s="1208">
        <f t="shared" si="265"/>
        <v>1166.4521455228548</v>
      </c>
      <c r="AR79" s="1208">
        <f t="shared" si="265"/>
        <v>1179.5087346766127</v>
      </c>
      <c r="AS79" s="1208">
        <f t="shared" si="265"/>
        <v>1199.3430867286218</v>
      </c>
      <c r="AT79" s="1208">
        <f t="shared" si="265"/>
        <v>1193.0961083581544</v>
      </c>
      <c r="AU79" s="1208">
        <f t="shared" si="265"/>
        <v>1185.9997854414037</v>
      </c>
      <c r="AV79" s="1208">
        <f t="shared" si="265"/>
        <v>1178.7641871582387</v>
      </c>
      <c r="AW79" s="1208">
        <f t="shared" si="265"/>
        <v>1171.5625362940227</v>
      </c>
      <c r="AX79" s="1208">
        <f t="shared" si="265"/>
        <v>1207.6341052602031</v>
      </c>
      <c r="AY79" s="1209">
        <f t="shared" si="265"/>
        <v>1242.2340862099688</v>
      </c>
      <c r="AZ79" s="1208">
        <f t="shared" si="265"/>
        <v>1217.2197668710603</v>
      </c>
      <c r="BA79" s="1208">
        <f t="shared" si="265"/>
        <v>1188.2427664558754</v>
      </c>
      <c r="BB79" s="1208">
        <f t="shared" si="265"/>
        <v>1158.5291059726549</v>
      </c>
      <c r="BC79" s="1208">
        <f t="shared" si="265"/>
        <v>1129.111254100013</v>
      </c>
      <c r="BD79" s="1208">
        <f t="shared" si="265"/>
        <v>1118.7232737421102</v>
      </c>
      <c r="BE79" s="1208">
        <f t="shared" si="265"/>
        <v>1147.2724951822213</v>
      </c>
      <c r="BF79" s="1208">
        <f t="shared" si="265"/>
        <v>1126.2900943493175</v>
      </c>
      <c r="BG79" s="1208">
        <f t="shared" si="265"/>
        <v>1100.9382435623131</v>
      </c>
      <c r="BH79" s="1208">
        <f t="shared" si="265"/>
        <v>1090.8762417961343</v>
      </c>
      <c r="BI79" s="1208">
        <f t="shared" si="265"/>
        <v>1084.62106455499</v>
      </c>
      <c r="BJ79" s="1208">
        <f t="shared" si="265"/>
        <v>1067.5110307534076</v>
      </c>
      <c r="BK79" s="1209">
        <f t="shared" si="265"/>
        <v>1076.9757671209943</v>
      </c>
    </row>
    <row r="80" spans="1:63" s="54" customFormat="1" hidden="1" outlineLevel="1">
      <c r="A80" s="857"/>
      <c r="B80" s="192" t="s">
        <v>391</v>
      </c>
      <c r="C80" s="1207">
        <f t="shared" ref="C80:AH80" si="266">(C77+C75)/C70</f>
        <v>6922.666666666667</v>
      </c>
      <c r="D80" s="368">
        <f t="shared" si="266"/>
        <v>6922.666666666667</v>
      </c>
      <c r="E80" s="1208">
        <f t="shared" si="266"/>
        <v>6545.2516479079341</v>
      </c>
      <c r="F80" s="1208">
        <f t="shared" si="266"/>
        <v>6189.3374874868778</v>
      </c>
      <c r="G80" s="1208">
        <f t="shared" si="266"/>
        <v>6073.9904892553905</v>
      </c>
      <c r="H80" s="1208">
        <f t="shared" si="266"/>
        <v>5741.0371743677997</v>
      </c>
      <c r="I80" s="1208">
        <f t="shared" si="266"/>
        <v>5427.127300012382</v>
      </c>
      <c r="J80" s="1208">
        <f t="shared" si="266"/>
        <v>5131.1089890013063</v>
      </c>
      <c r="K80" s="1208">
        <f t="shared" si="266"/>
        <v>4974.8485156181305</v>
      </c>
      <c r="L80" s="1208">
        <f t="shared" si="266"/>
        <v>4711.8887508242824</v>
      </c>
      <c r="M80" s="1208">
        <f t="shared" si="266"/>
        <v>4455.0008077840648</v>
      </c>
      <c r="N80" s="1208">
        <f t="shared" si="266"/>
        <v>4212.0305487458008</v>
      </c>
      <c r="O80" s="1209">
        <f t="shared" si="266"/>
        <v>3982.778843145215</v>
      </c>
      <c r="P80" s="1208">
        <f t="shared" si="266"/>
        <v>3956.4567529720675</v>
      </c>
      <c r="Q80" s="1208">
        <f t="shared" si="266"/>
        <v>3946.0294124561174</v>
      </c>
      <c r="R80" s="1208">
        <f t="shared" si="266"/>
        <v>3929.2008551684316</v>
      </c>
      <c r="S80" s="1208">
        <f t="shared" si="266"/>
        <v>3912.2072635026084</v>
      </c>
      <c r="T80" s="1208">
        <f t="shared" si="266"/>
        <v>3895.5470666292681</v>
      </c>
      <c r="U80" s="1208">
        <f t="shared" si="266"/>
        <v>4096.2481054190412</v>
      </c>
      <c r="V80" s="1208">
        <f t="shared" si="266"/>
        <v>4076.0398730849329</v>
      </c>
      <c r="W80" s="1208">
        <f t="shared" si="266"/>
        <v>4056.2604690169846</v>
      </c>
      <c r="X80" s="1208">
        <f t="shared" si="266"/>
        <v>4036.8977007348553</v>
      </c>
      <c r="Y80" s="1208">
        <f t="shared" si="266"/>
        <v>4017.9397285337272</v>
      </c>
      <c r="Z80" s="1208">
        <f t="shared" si="266"/>
        <v>3999.3750727202219</v>
      </c>
      <c r="AA80" s="1209">
        <f t="shared" si="266"/>
        <v>4059.0195438689184</v>
      </c>
      <c r="AB80" s="1208">
        <f t="shared" si="266"/>
        <v>4139.587169688808</v>
      </c>
      <c r="AC80" s="1208">
        <f t="shared" si="266"/>
        <v>4115.91906846248</v>
      </c>
      <c r="AD80" s="1208">
        <f t="shared" si="266"/>
        <v>4091.2167943504774</v>
      </c>
      <c r="AE80" s="1208">
        <f t="shared" si="266"/>
        <v>4066.9329289629304</v>
      </c>
      <c r="AF80" s="1208">
        <f t="shared" si="266"/>
        <v>4043.2746693331492</v>
      </c>
      <c r="AG80" s="1208">
        <f t="shared" si="266"/>
        <v>4020.2461419186197</v>
      </c>
      <c r="AH80" s="1208">
        <f t="shared" si="266"/>
        <v>3997.8198540314033</v>
      </c>
      <c r="AI80" s="1208">
        <f t="shared" ref="AI80:BK80" si="267">(AI77+AI75)/AI70</f>
        <v>4053.4593547757654</v>
      </c>
      <c r="AJ80" s="1208">
        <f t="shared" si="267"/>
        <v>4050.3207828905752</v>
      </c>
      <c r="AK80" s="1208">
        <f t="shared" si="267"/>
        <v>4033.0606327228388</v>
      </c>
      <c r="AL80" s="1208">
        <f t="shared" si="267"/>
        <v>4094.8042838785714</v>
      </c>
      <c r="AM80" s="1209">
        <f t="shared" si="267"/>
        <v>4072.9963292209559</v>
      </c>
      <c r="AN80" s="1208">
        <f t="shared" si="267"/>
        <v>4125.4037672281438</v>
      </c>
      <c r="AO80" s="1208">
        <f t="shared" si="267"/>
        <v>4080.8998310766451</v>
      </c>
      <c r="AP80" s="1208">
        <f t="shared" si="267"/>
        <v>4048.1613633029597</v>
      </c>
      <c r="AQ80" s="1208">
        <f t="shared" si="267"/>
        <v>4017.7378178041395</v>
      </c>
      <c r="AR80" s="1208">
        <f t="shared" si="267"/>
        <v>4057.9757409231252</v>
      </c>
      <c r="AS80" s="1208">
        <f t="shared" si="267"/>
        <v>4121.4054366381179</v>
      </c>
      <c r="AT80" s="1208">
        <f t="shared" si="267"/>
        <v>4095.160721967784</v>
      </c>
      <c r="AU80" s="1208">
        <f t="shared" si="267"/>
        <v>4066.0596998672554</v>
      </c>
      <c r="AV80" s="1208">
        <f t="shared" si="267"/>
        <v>4036.5440073735235</v>
      </c>
      <c r="AW80" s="1208">
        <f t="shared" si="267"/>
        <v>4007.2076967188218</v>
      </c>
      <c r="AX80" s="1208">
        <f t="shared" si="267"/>
        <v>4125.7733411163417</v>
      </c>
      <c r="AY80" s="1209">
        <f t="shared" si="267"/>
        <v>4239.0355236704791</v>
      </c>
      <c r="AZ80" s="1208">
        <f t="shared" si="267"/>
        <v>4150.217422375732</v>
      </c>
      <c r="BA80" s="1208">
        <f t="shared" si="267"/>
        <v>4048.0444307450766</v>
      </c>
      <c r="BB80" s="1208">
        <f t="shared" si="267"/>
        <v>3943.531182265916</v>
      </c>
      <c r="BC80" s="1208">
        <f t="shared" si="267"/>
        <v>3840.1952391387049</v>
      </c>
      <c r="BD80" s="1208">
        <f t="shared" si="267"/>
        <v>3801.6968288902435</v>
      </c>
      <c r="BE80" s="1208">
        <f t="shared" si="267"/>
        <v>3895.4678816554365</v>
      </c>
      <c r="BF80" s="1208">
        <f t="shared" si="267"/>
        <v>3821.0396933486845</v>
      </c>
      <c r="BG80" s="1208">
        <f t="shared" si="267"/>
        <v>3731.9213418445588</v>
      </c>
      <c r="BH80" s="1208">
        <f t="shared" si="267"/>
        <v>3694.7345802755281</v>
      </c>
      <c r="BI80" s="1208">
        <f t="shared" si="267"/>
        <v>3670.4899160478958</v>
      </c>
      <c r="BJ80" s="1208">
        <f t="shared" si="267"/>
        <v>3609.5794927511301</v>
      </c>
      <c r="BK80" s="1209">
        <f t="shared" si="267"/>
        <v>3638.5505198030701</v>
      </c>
    </row>
    <row r="81" spans="1:63" s="1216" customFormat="1" hidden="1" outlineLevel="1">
      <c r="A81" s="1210"/>
      <c r="B81" s="1211" t="s">
        <v>392</v>
      </c>
      <c r="C81" s="1212">
        <f t="shared" ref="C81:AH81" si="268">(C77+C75)/C73</f>
        <v>1.1935632183908047</v>
      </c>
      <c r="D81" s="1213">
        <f t="shared" si="268"/>
        <v>1.1935632183908047</v>
      </c>
      <c r="E81" s="1214">
        <f t="shared" si="268"/>
        <v>1.1256774697580074</v>
      </c>
      <c r="F81" s="1214">
        <f t="shared" si="268"/>
        <v>1.0618114593963759</v>
      </c>
      <c r="G81" s="1214">
        <f t="shared" si="268"/>
        <v>1.0394245499508401</v>
      </c>
      <c r="H81" s="1214">
        <f t="shared" si="268"/>
        <v>0.97999721227434455</v>
      </c>
      <c r="I81" s="1214">
        <f t="shared" si="268"/>
        <v>0.92410242219994154</v>
      </c>
      <c r="J81" s="1214">
        <f t="shared" si="268"/>
        <v>0.87151919786719123</v>
      </c>
      <c r="K81" s="1214">
        <f t="shared" si="268"/>
        <v>0.84287116830730024</v>
      </c>
      <c r="L81" s="1214">
        <f t="shared" si="268"/>
        <v>0.79632799592449055</v>
      </c>
      <c r="M81" s="1214">
        <f t="shared" si="268"/>
        <v>0.75103532045208654</v>
      </c>
      <c r="N81" s="1214">
        <f t="shared" si="268"/>
        <v>0.70830401870613924</v>
      </c>
      <c r="O81" s="1215">
        <f t="shared" si="268"/>
        <v>0.66808235823468698</v>
      </c>
      <c r="P81" s="1214">
        <f t="shared" si="268"/>
        <v>0.66228725278845091</v>
      </c>
      <c r="Q81" s="1214">
        <f t="shared" si="268"/>
        <v>0.6591685104745002</v>
      </c>
      <c r="R81" s="1214">
        <f t="shared" si="268"/>
        <v>0.65499279861690107</v>
      </c>
      <c r="S81" s="1214">
        <f t="shared" si="268"/>
        <v>0.65080414646967932</v>
      </c>
      <c r="T81" s="1214">
        <f t="shared" si="268"/>
        <v>0.64668542535507112</v>
      </c>
      <c r="U81" s="1214">
        <f t="shared" si="268"/>
        <v>0.67858933804749688</v>
      </c>
      <c r="V81" s="1214">
        <f t="shared" si="268"/>
        <v>0.67383778949143991</v>
      </c>
      <c r="W81" s="1214">
        <f t="shared" si="268"/>
        <v>0.66917380998423848</v>
      </c>
      <c r="X81" s="1214">
        <f t="shared" si="268"/>
        <v>0.66459490162219814</v>
      </c>
      <c r="Y81" s="1214">
        <f t="shared" si="268"/>
        <v>0.66009864311808175</v>
      </c>
      <c r="Z81" s="1214">
        <f t="shared" si="268"/>
        <v>0.65568269029149595</v>
      </c>
      <c r="AA81" s="1215">
        <f t="shared" si="268"/>
        <v>0.66407768465230133</v>
      </c>
      <c r="AB81" s="1214">
        <f t="shared" si="268"/>
        <v>0.67585096380629972</v>
      </c>
      <c r="AC81" s="1214">
        <f t="shared" si="268"/>
        <v>0.67058972210847256</v>
      </c>
      <c r="AD81" s="1214">
        <f t="shared" si="268"/>
        <v>0.66517929225337913</v>
      </c>
      <c r="AE81" s="1214">
        <f t="shared" si="268"/>
        <v>0.65985634698525897</v>
      </c>
      <c r="AF81" s="1214">
        <f t="shared" si="268"/>
        <v>0.65465395244033664</v>
      </c>
      <c r="AG81" s="1214">
        <f t="shared" si="268"/>
        <v>0.64957208652022203</v>
      </c>
      <c r="AH81" s="1214">
        <f t="shared" si="268"/>
        <v>0.64460562611440408</v>
      </c>
      <c r="AI81" s="1214">
        <f t="shared" ref="AI81:BK81" si="269">(AI77+AI75)/AI73</f>
        <v>0.65221811185629808</v>
      </c>
      <c r="AJ81" s="1214">
        <f t="shared" si="269"/>
        <v>0.65035818996704919</v>
      </c>
      <c r="AK81" s="1214">
        <f t="shared" si="269"/>
        <v>0.64624040123325965</v>
      </c>
      <c r="AL81" s="1214">
        <f t="shared" si="269"/>
        <v>0.65476983621868678</v>
      </c>
      <c r="AM81" s="1215">
        <f t="shared" si="269"/>
        <v>0.64992866958790629</v>
      </c>
      <c r="AN81" s="1214">
        <f t="shared" si="269"/>
        <v>0.65708667387215902</v>
      </c>
      <c r="AO81" s="1214">
        <f t="shared" si="269"/>
        <v>0.64880868672850889</v>
      </c>
      <c r="AP81" s="1214">
        <f t="shared" si="269"/>
        <v>0.64242592579618418</v>
      </c>
      <c r="AQ81" s="1214">
        <f t="shared" si="269"/>
        <v>0.63643104875479495</v>
      </c>
      <c r="AR81" s="1214">
        <f t="shared" si="269"/>
        <v>0.64162863072681597</v>
      </c>
      <c r="AS81" s="1214">
        <f t="shared" si="269"/>
        <v>0.65046532538168267</v>
      </c>
      <c r="AT81" s="1214">
        <f t="shared" si="269"/>
        <v>0.64514046703176986</v>
      </c>
      <c r="AU81" s="1214">
        <f t="shared" si="269"/>
        <v>0.63938376769213501</v>
      </c>
      <c r="AV81" s="1214">
        <f t="shared" si="269"/>
        <v>0.63358088999057316</v>
      </c>
      <c r="AW81" s="1214">
        <f t="shared" si="269"/>
        <v>0.62782521385695356</v>
      </c>
      <c r="AX81" s="1214">
        <f t="shared" si="269"/>
        <v>0.64521846578059083</v>
      </c>
      <c r="AY81" s="1215">
        <f t="shared" si="269"/>
        <v>0.66171808048744329</v>
      </c>
      <c r="AZ81" s="1214">
        <f t="shared" si="269"/>
        <v>0.64677551855813609</v>
      </c>
      <c r="BA81" s="1214">
        <f t="shared" si="269"/>
        <v>0.62980306902308492</v>
      </c>
      <c r="BB81" s="1214">
        <f t="shared" si="269"/>
        <v>0.61252181341886425</v>
      </c>
      <c r="BC81" s="1214">
        <f t="shared" si="269"/>
        <v>0.59547888106651459</v>
      </c>
      <c r="BD81" s="1214">
        <f t="shared" si="269"/>
        <v>0.58852825461883695</v>
      </c>
      <c r="BE81" s="1214">
        <f t="shared" si="269"/>
        <v>0.60204124259722358</v>
      </c>
      <c r="BF81" s="1214">
        <f t="shared" si="269"/>
        <v>0.5895558364383614</v>
      </c>
      <c r="BG81" s="1214">
        <f t="shared" si="269"/>
        <v>0.57484750903114545</v>
      </c>
      <c r="BH81" s="1214">
        <f t="shared" si="269"/>
        <v>0.56817248206036541</v>
      </c>
      <c r="BI81" s="1214">
        <f t="shared" si="269"/>
        <v>0.56350498756269818</v>
      </c>
      <c r="BJ81" s="1214">
        <f t="shared" si="269"/>
        <v>0.55323177764072062</v>
      </c>
      <c r="BK81" s="1215">
        <f t="shared" si="269"/>
        <v>0.55674419197910996</v>
      </c>
    </row>
    <row r="82" spans="1:63" s="339" customFormat="1" hidden="1" outlineLevel="1">
      <c r="A82" s="854"/>
      <c r="B82" s="373"/>
      <c r="C82" s="356"/>
      <c r="M82" s="341"/>
      <c r="N82" s="342"/>
      <c r="O82" s="407"/>
      <c r="Y82" s="341"/>
      <c r="Z82" s="342"/>
      <c r="AA82" s="407"/>
      <c r="AK82" s="341"/>
      <c r="AL82" s="342"/>
      <c r="AM82" s="407"/>
      <c r="AW82" s="341"/>
      <c r="AX82" s="342"/>
      <c r="AY82" s="407"/>
      <c r="BI82" s="341"/>
      <c r="BJ82" s="342"/>
      <c r="BK82" s="407"/>
    </row>
    <row r="83" spans="1:63" s="339" customFormat="1" collapsed="1">
      <c r="A83" s="854" t="s">
        <v>277</v>
      </c>
      <c r="B83" s="373"/>
      <c r="C83" s="356"/>
      <c r="D83" s="396" t="s">
        <v>389</v>
      </c>
      <c r="E83" s="415">
        <v>0.8</v>
      </c>
      <c r="F83" s="396" t="s">
        <v>355</v>
      </c>
      <c r="G83" s="415">
        <v>0.03</v>
      </c>
      <c r="H83" s="396" t="s">
        <v>356</v>
      </c>
      <c r="I83" s="415">
        <v>0.3</v>
      </c>
      <c r="J83" s="414" t="s">
        <v>354</v>
      </c>
      <c r="K83" s="415">
        <v>0.05</v>
      </c>
      <c r="L83" s="396" t="s">
        <v>357</v>
      </c>
      <c r="M83" s="415">
        <f>C94</f>
        <v>0.09</v>
      </c>
      <c r="O83" s="404"/>
      <c r="P83" s="396" t="s">
        <v>389</v>
      </c>
      <c r="Q83" s="415">
        <v>0.25</v>
      </c>
      <c r="R83" s="396" t="s">
        <v>355</v>
      </c>
      <c r="S83" s="415">
        <v>2.5000000000000001E-2</v>
      </c>
      <c r="T83" s="396" t="s">
        <v>356</v>
      </c>
      <c r="U83" s="415">
        <f>I83*0.75</f>
        <v>0.22499999999999998</v>
      </c>
      <c r="V83" s="414" t="s">
        <v>354</v>
      </c>
      <c r="W83" s="415">
        <v>0.04</v>
      </c>
      <c r="X83" s="396" t="s">
        <v>357</v>
      </c>
      <c r="Y83" s="415">
        <f>O94</f>
        <v>0.09</v>
      </c>
      <c r="AA83" s="404"/>
      <c r="AB83" s="396" t="s">
        <v>389</v>
      </c>
      <c r="AC83" s="415">
        <f>Q83*0.6</f>
        <v>0.15</v>
      </c>
      <c r="AD83" s="396" t="s">
        <v>355</v>
      </c>
      <c r="AE83" s="415">
        <v>2.5000000000000001E-2</v>
      </c>
      <c r="AF83" s="396" t="s">
        <v>356</v>
      </c>
      <c r="AG83" s="415">
        <v>0.12</v>
      </c>
      <c r="AH83" s="414" t="s">
        <v>354</v>
      </c>
      <c r="AI83" s="415">
        <v>0.03</v>
      </c>
      <c r="AJ83" s="396" t="s">
        <v>357</v>
      </c>
      <c r="AK83" s="415">
        <f>AA94</f>
        <v>0.09</v>
      </c>
      <c r="AM83" s="404"/>
      <c r="AN83" s="396" t="s">
        <v>389</v>
      </c>
      <c r="AO83" s="415">
        <v>0.2</v>
      </c>
      <c r="AP83" s="396" t="s">
        <v>355</v>
      </c>
      <c r="AQ83" s="415">
        <v>2.1999999999999999E-2</v>
      </c>
      <c r="AR83" s="396" t="s">
        <v>356</v>
      </c>
      <c r="AS83" s="415">
        <v>0.06</v>
      </c>
      <c r="AT83" s="414" t="s">
        <v>354</v>
      </c>
      <c r="AU83" s="415">
        <v>2.8000000000000001E-2</v>
      </c>
      <c r="AV83" s="396" t="s">
        <v>357</v>
      </c>
      <c r="AW83" s="415">
        <f>AM94</f>
        <v>0.09</v>
      </c>
      <c r="AY83" s="404"/>
      <c r="AZ83" s="396" t="s">
        <v>389</v>
      </c>
      <c r="BA83" s="415">
        <v>0.35</v>
      </c>
      <c r="BB83" s="396" t="s">
        <v>355</v>
      </c>
      <c r="BC83" s="415">
        <v>0.02</v>
      </c>
      <c r="BD83" s="396" t="s">
        <v>356</v>
      </c>
      <c r="BE83" s="415">
        <v>0.03</v>
      </c>
      <c r="BF83" s="414" t="s">
        <v>354</v>
      </c>
      <c r="BG83" s="415">
        <v>0.02</v>
      </c>
      <c r="BH83" s="396" t="s">
        <v>357</v>
      </c>
      <c r="BI83" s="415">
        <f>AY94</f>
        <v>0.09</v>
      </c>
      <c r="BK83" s="404"/>
    </row>
    <row r="84" spans="1:63" s="378" customFormat="1" hidden="1" outlineLevel="1">
      <c r="A84" s="856"/>
      <c r="B84" s="386" t="s">
        <v>226</v>
      </c>
      <c r="C84" s="387">
        <v>60</v>
      </c>
      <c r="D84" s="376">
        <f>C84/12</f>
        <v>5</v>
      </c>
      <c r="E84" s="377">
        <f t="shared" ref="E84:O84" si="270">D84*(1+($E83/12))</f>
        <v>5.333333333333333</v>
      </c>
      <c r="F84" s="377">
        <f t="shared" si="270"/>
        <v>5.6888888888888882</v>
      </c>
      <c r="G84" s="377">
        <f t="shared" si="270"/>
        <v>6.068148148148147</v>
      </c>
      <c r="H84" s="377">
        <f t="shared" si="270"/>
        <v>6.4726913580246901</v>
      </c>
      <c r="I84" s="377">
        <f t="shared" si="270"/>
        <v>6.904204115226336</v>
      </c>
      <c r="J84" s="377">
        <f t="shared" si="270"/>
        <v>7.3644843895747583</v>
      </c>
      <c r="K84" s="377">
        <f t="shared" si="270"/>
        <v>7.8554500155464089</v>
      </c>
      <c r="L84" s="377">
        <f t="shared" si="270"/>
        <v>8.3791466832495018</v>
      </c>
      <c r="M84" s="377">
        <f t="shared" si="270"/>
        <v>8.9377564621328016</v>
      </c>
      <c r="N84" s="377">
        <f t="shared" si="270"/>
        <v>9.5336068929416555</v>
      </c>
      <c r="O84" s="398">
        <f t="shared" si="270"/>
        <v>10.169180685804433</v>
      </c>
      <c r="P84" s="377">
        <f t="shared" ref="P84:AA84" si="271">O84*(1+($Q83/12))</f>
        <v>10.381038616758691</v>
      </c>
      <c r="Q84" s="377">
        <f t="shared" si="271"/>
        <v>10.597310254607828</v>
      </c>
      <c r="R84" s="377">
        <f t="shared" si="271"/>
        <v>10.818087551578824</v>
      </c>
      <c r="S84" s="377">
        <f t="shared" si="271"/>
        <v>11.043464375570048</v>
      </c>
      <c r="T84" s="377">
        <f t="shared" si="271"/>
        <v>11.27353655006109</v>
      </c>
      <c r="U84" s="377">
        <f t="shared" si="271"/>
        <v>11.508401894854028</v>
      </c>
      <c r="V84" s="377">
        <f t="shared" si="271"/>
        <v>11.748160267663486</v>
      </c>
      <c r="W84" s="377">
        <f t="shared" si="271"/>
        <v>11.992913606573142</v>
      </c>
      <c r="X84" s="377">
        <f t="shared" si="271"/>
        <v>12.242765973376748</v>
      </c>
      <c r="Y84" s="377">
        <f t="shared" si="271"/>
        <v>12.497823597822096</v>
      </c>
      <c r="Z84" s="377">
        <f t="shared" si="271"/>
        <v>12.758194922776722</v>
      </c>
      <c r="AA84" s="398">
        <f t="shared" si="271"/>
        <v>13.02399065033457</v>
      </c>
      <c r="AB84" s="377">
        <f t="shared" ref="AB84:AM84" si="272">AA84*(1+($AC83/12))</f>
        <v>13.186790533463752</v>
      </c>
      <c r="AC84" s="377">
        <f t="shared" si="272"/>
        <v>13.351625415132048</v>
      </c>
      <c r="AD84" s="377">
        <f t="shared" si="272"/>
        <v>13.518520732821198</v>
      </c>
      <c r="AE84" s="377">
        <f t="shared" si="272"/>
        <v>13.687502241981463</v>
      </c>
      <c r="AF84" s="377">
        <f t="shared" si="272"/>
        <v>13.85859602000623</v>
      </c>
      <c r="AG84" s="377">
        <f t="shared" si="272"/>
        <v>14.031828470256308</v>
      </c>
      <c r="AH84" s="377">
        <f t="shared" si="272"/>
        <v>14.20722632613451</v>
      </c>
      <c r="AI84" s="377">
        <f t="shared" si="272"/>
        <v>14.384816655211191</v>
      </c>
      <c r="AJ84" s="377">
        <f t="shared" si="272"/>
        <v>14.56462686340133</v>
      </c>
      <c r="AK84" s="377">
        <f t="shared" si="272"/>
        <v>14.746684699193846</v>
      </c>
      <c r="AL84" s="377">
        <f t="shared" si="272"/>
        <v>14.931018257933768</v>
      </c>
      <c r="AM84" s="398">
        <f t="shared" si="272"/>
        <v>15.11765598615794</v>
      </c>
      <c r="AN84" s="377">
        <f t="shared" ref="AN84:AY84" si="273">AM84*(1+($AO83/12))</f>
        <v>15.369616919260572</v>
      </c>
      <c r="AO84" s="377">
        <f t="shared" si="273"/>
        <v>15.625777201248248</v>
      </c>
      <c r="AP84" s="377">
        <f t="shared" si="273"/>
        <v>15.886206821269051</v>
      </c>
      <c r="AQ84" s="377">
        <f t="shared" si="273"/>
        <v>16.150976934956866</v>
      </c>
      <c r="AR84" s="377">
        <f t="shared" si="273"/>
        <v>16.420159883872813</v>
      </c>
      <c r="AS84" s="377">
        <f t="shared" si="273"/>
        <v>16.693829215270693</v>
      </c>
      <c r="AT84" s="377">
        <f t="shared" si="273"/>
        <v>16.972059702191871</v>
      </c>
      <c r="AU84" s="377">
        <f t="shared" si="273"/>
        <v>17.254927363895067</v>
      </c>
      <c r="AV84" s="377">
        <f t="shared" si="273"/>
        <v>17.542509486626649</v>
      </c>
      <c r="AW84" s="377">
        <f t="shared" si="273"/>
        <v>17.834884644737091</v>
      </c>
      <c r="AX84" s="377">
        <f t="shared" si="273"/>
        <v>18.132132722149375</v>
      </c>
      <c r="AY84" s="398">
        <f t="shared" si="273"/>
        <v>18.434334934185198</v>
      </c>
      <c r="AZ84" s="377">
        <f t="shared" ref="AZ84:BK84" si="274">AY84*(1+($BA83/12))</f>
        <v>18.972003036432266</v>
      </c>
      <c r="BA84" s="377">
        <f t="shared" si="274"/>
        <v>19.525353124994872</v>
      </c>
      <c r="BB84" s="377">
        <f t="shared" si="274"/>
        <v>20.094842591140555</v>
      </c>
      <c r="BC84" s="377">
        <f t="shared" si="274"/>
        <v>20.680942166715486</v>
      </c>
      <c r="BD84" s="377">
        <f t="shared" si="274"/>
        <v>21.284136313244684</v>
      </c>
      <c r="BE84" s="377">
        <f t="shared" si="274"/>
        <v>21.904923622380984</v>
      </c>
      <c r="BF84" s="377">
        <f t="shared" si="274"/>
        <v>22.54381722803376</v>
      </c>
      <c r="BG84" s="377">
        <f t="shared" si="274"/>
        <v>23.201345230518076</v>
      </c>
      <c r="BH84" s="377">
        <f t="shared" si="274"/>
        <v>23.878051133074852</v>
      </c>
      <c r="BI84" s="377">
        <f t="shared" si="274"/>
        <v>24.574494291122864</v>
      </c>
      <c r="BJ84" s="377">
        <f t="shared" si="274"/>
        <v>25.291250374613945</v>
      </c>
      <c r="BK84" s="398">
        <f t="shared" si="274"/>
        <v>26.028911843873516</v>
      </c>
    </row>
    <row r="85" spans="1:63" s="54" customFormat="1" hidden="1" outlineLevel="1">
      <c r="A85" s="857"/>
      <c r="B85" s="371" t="s">
        <v>347</v>
      </c>
      <c r="C85" s="364">
        <f>C86/C84</f>
        <v>0.53333333333333333</v>
      </c>
      <c r="D85" s="352">
        <f>C85</f>
        <v>0.53333333333333333</v>
      </c>
      <c r="E85" s="169">
        <f t="shared" ref="E85:O85" si="275">D85*((0.5*($K83/12))+1)</f>
        <v>0.5344444444444445</v>
      </c>
      <c r="F85" s="169">
        <f t="shared" si="275"/>
        <v>0.5355578703703705</v>
      </c>
      <c r="G85" s="169">
        <f t="shared" si="275"/>
        <v>0.53667361593364216</v>
      </c>
      <c r="H85" s="169">
        <f t="shared" si="275"/>
        <v>0.53779168596683735</v>
      </c>
      <c r="I85" s="169">
        <f t="shared" si="275"/>
        <v>0.53891208531260171</v>
      </c>
      <c r="J85" s="169">
        <f t="shared" si="275"/>
        <v>0.54003481882366966</v>
      </c>
      <c r="K85" s="169">
        <f t="shared" si="275"/>
        <v>0.54115989136288567</v>
      </c>
      <c r="L85" s="169">
        <f t="shared" si="275"/>
        <v>0.54228730780322509</v>
      </c>
      <c r="M85" s="169">
        <f t="shared" si="275"/>
        <v>0.54341707302781517</v>
      </c>
      <c r="N85" s="169">
        <f t="shared" si="275"/>
        <v>0.54454919192995654</v>
      </c>
      <c r="O85" s="405">
        <f t="shared" si="275"/>
        <v>0.54568366941314406</v>
      </c>
      <c r="P85" s="169">
        <f t="shared" ref="P85:AA85" si="276">O85*((0.5*($W83/12))+1)</f>
        <v>0.54659314219549937</v>
      </c>
      <c r="Q85" s="169">
        <f t="shared" si="276"/>
        <v>0.54750413076582527</v>
      </c>
      <c r="R85" s="169">
        <f t="shared" si="276"/>
        <v>0.54841663765043502</v>
      </c>
      <c r="S85" s="169">
        <f t="shared" si="276"/>
        <v>0.54933066537985242</v>
      </c>
      <c r="T85" s="169">
        <f t="shared" si="276"/>
        <v>0.55024621648881888</v>
      </c>
      <c r="U85" s="169">
        <f t="shared" si="276"/>
        <v>0.55116329351630022</v>
      </c>
      <c r="V85" s="169">
        <f t="shared" si="276"/>
        <v>0.55208189900549409</v>
      </c>
      <c r="W85" s="169">
        <f t="shared" si="276"/>
        <v>0.55300203550383664</v>
      </c>
      <c r="X85" s="169">
        <f t="shared" si="276"/>
        <v>0.55392370556300974</v>
      </c>
      <c r="Y85" s="169">
        <f t="shared" si="276"/>
        <v>0.55484691173894807</v>
      </c>
      <c r="Z85" s="169">
        <f t="shared" si="276"/>
        <v>0.55577165659184635</v>
      </c>
      <c r="AA85" s="405">
        <f t="shared" si="276"/>
        <v>0.55669794268616613</v>
      </c>
      <c r="AB85" s="169">
        <f t="shared" ref="AB85:AM85" si="277">AA85*((0.5*($AI83/12))+1)</f>
        <v>0.55739381511452379</v>
      </c>
      <c r="AC85" s="169">
        <f t="shared" si="277"/>
        <v>0.55809055738341695</v>
      </c>
      <c r="AD85" s="169">
        <f t="shared" si="277"/>
        <v>0.55878817058014618</v>
      </c>
      <c r="AE85" s="169">
        <f t="shared" si="277"/>
        <v>0.55948665579337131</v>
      </c>
      <c r="AF85" s="169">
        <f t="shared" si="277"/>
        <v>0.56018601411311297</v>
      </c>
      <c r="AG85" s="169">
        <f t="shared" si="277"/>
        <v>0.56088624663075437</v>
      </c>
      <c r="AH85" s="169">
        <f t="shared" si="277"/>
        <v>0.56158735443904284</v>
      </c>
      <c r="AI85" s="169">
        <f t="shared" si="277"/>
        <v>0.56228933863209163</v>
      </c>
      <c r="AJ85" s="169">
        <f t="shared" si="277"/>
        <v>0.56299220030538177</v>
      </c>
      <c r="AK85" s="169">
        <f t="shared" si="277"/>
        <v>0.56369594055576344</v>
      </c>
      <c r="AL85" s="169">
        <f t="shared" si="277"/>
        <v>0.56440056048145815</v>
      </c>
      <c r="AM85" s="405">
        <f t="shared" si="277"/>
        <v>0.56510606118205997</v>
      </c>
      <c r="AN85" s="169">
        <f t="shared" ref="AN85:AY85" si="278">AM85*((0.5*($AU83/12))+1)</f>
        <v>0.56576535158677244</v>
      </c>
      <c r="AO85" s="169">
        <f t="shared" si="278"/>
        <v>0.56642541116362377</v>
      </c>
      <c r="AP85" s="169">
        <f t="shared" si="278"/>
        <v>0.56708624080998138</v>
      </c>
      <c r="AQ85" s="169">
        <f t="shared" si="278"/>
        <v>0.56774784142425971</v>
      </c>
      <c r="AR85" s="169">
        <f t="shared" si="278"/>
        <v>0.56841021390592139</v>
      </c>
      <c r="AS85" s="169">
        <f t="shared" si="278"/>
        <v>0.5690733591554783</v>
      </c>
      <c r="AT85" s="169">
        <f t="shared" si="278"/>
        <v>0.56973727807449304</v>
      </c>
      <c r="AU85" s="169">
        <f t="shared" si="278"/>
        <v>0.57040197156558003</v>
      </c>
      <c r="AV85" s="169">
        <f t="shared" si="278"/>
        <v>0.57106744053240655</v>
      </c>
      <c r="AW85" s="169">
        <f t="shared" si="278"/>
        <v>0.57173368587969442</v>
      </c>
      <c r="AX85" s="169">
        <f t="shared" si="278"/>
        <v>0.57240070851322078</v>
      </c>
      <c r="AY85" s="405">
        <f t="shared" si="278"/>
        <v>0.57306850933981957</v>
      </c>
      <c r="AZ85" s="169">
        <f t="shared" ref="AZ85:BK85" si="279">AY85*((0.5*($BG83/12))+1)</f>
        <v>0.57354606643093597</v>
      </c>
      <c r="BA85" s="169">
        <f t="shared" si="279"/>
        <v>0.57402402148629506</v>
      </c>
      <c r="BB85" s="169">
        <f t="shared" si="279"/>
        <v>0.57450237483753364</v>
      </c>
      <c r="BC85" s="169">
        <f t="shared" si="279"/>
        <v>0.57498112681656488</v>
      </c>
      <c r="BD85" s="169">
        <f t="shared" si="279"/>
        <v>0.57546027775557862</v>
      </c>
      <c r="BE85" s="169">
        <f t="shared" si="279"/>
        <v>0.57593982798704157</v>
      </c>
      <c r="BF85" s="169">
        <f t="shared" si="279"/>
        <v>0.57641977784369736</v>
      </c>
      <c r="BG85" s="169">
        <f t="shared" si="279"/>
        <v>0.57690012765856702</v>
      </c>
      <c r="BH85" s="169">
        <f t="shared" si="279"/>
        <v>0.57738087776494906</v>
      </c>
      <c r="BI85" s="169">
        <f t="shared" si="279"/>
        <v>0.57786202849641977</v>
      </c>
      <c r="BJ85" s="169">
        <f t="shared" si="279"/>
        <v>0.57834358018683341</v>
      </c>
      <c r="BK85" s="405">
        <f t="shared" si="279"/>
        <v>0.57882553317032237</v>
      </c>
    </row>
    <row r="86" spans="1:63" s="338" customFormat="1" hidden="1" outlineLevel="1">
      <c r="A86" s="858"/>
      <c r="B86" s="388" t="s">
        <v>258</v>
      </c>
      <c r="C86" s="389">
        <v>32</v>
      </c>
      <c r="D86" s="380">
        <f t="shared" ref="D86:AI86" si="280">D84*D85</f>
        <v>2.6666666666666665</v>
      </c>
      <c r="E86" s="381">
        <f t="shared" si="280"/>
        <v>2.8503703703703707</v>
      </c>
      <c r="F86" s="381">
        <f t="shared" si="280"/>
        <v>3.0467292181069965</v>
      </c>
      <c r="G86" s="381">
        <f t="shared" si="280"/>
        <v>3.2566150086877004</v>
      </c>
      <c r="H86" s="381">
        <f t="shared" si="280"/>
        <v>3.4809595981750761</v>
      </c>
      <c r="I86" s="381">
        <f t="shared" si="280"/>
        <v>3.7207590371604709</v>
      </c>
      <c r="J86" s="381">
        <f t="shared" si="280"/>
        <v>3.9770779930537481</v>
      </c>
      <c r="K86" s="381">
        <f t="shared" si="280"/>
        <v>4.2510544770196734</v>
      </c>
      <c r="L86" s="381">
        <f t="shared" si="280"/>
        <v>4.5439048965476951</v>
      </c>
      <c r="M86" s="381">
        <f t="shared" si="280"/>
        <v>4.8569294560876477</v>
      </c>
      <c r="N86" s="381">
        <f t="shared" si="280"/>
        <v>5.1915179297292422</v>
      </c>
      <c r="O86" s="399">
        <f t="shared" si="280"/>
        <v>5.5491558315550353</v>
      </c>
      <c r="P86" s="381">
        <f t="shared" si="280"/>
        <v>5.6742045167869533</v>
      </c>
      <c r="Q86" s="381">
        <f t="shared" si="280"/>
        <v>5.8020711394048252</v>
      </c>
      <c r="R86" s="381">
        <f t="shared" si="280"/>
        <v>5.9328192008448859</v>
      </c>
      <c r="S86" s="381">
        <f t="shared" si="280"/>
        <v>6.0665136335305911</v>
      </c>
      <c r="T86" s="381">
        <f t="shared" si="280"/>
        <v>6.2032208331195271</v>
      </c>
      <c r="U86" s="381">
        <f t="shared" si="280"/>
        <v>6.3430086914769763</v>
      </c>
      <c r="V86" s="381">
        <f t="shared" si="280"/>
        <v>6.4859466303925517</v>
      </c>
      <c r="W86" s="381">
        <f t="shared" si="280"/>
        <v>6.6321056360566057</v>
      </c>
      <c r="X86" s="381">
        <f t="shared" si="280"/>
        <v>6.7815582943135766</v>
      </c>
      <c r="Y86" s="381">
        <f t="shared" si="280"/>
        <v>6.9343788267097386</v>
      </c>
      <c r="Z86" s="381">
        <f t="shared" si="280"/>
        <v>7.0906431273533022</v>
      </c>
      <c r="AA86" s="399">
        <f t="shared" si="280"/>
        <v>7.2504288006051176</v>
      </c>
      <c r="AB86" s="381">
        <f t="shared" si="280"/>
        <v>7.3502354845634468</v>
      </c>
      <c r="AC86" s="381">
        <f t="shared" si="280"/>
        <v>7.4514160699056404</v>
      </c>
      <c r="AD86" s="381">
        <f t="shared" si="280"/>
        <v>7.5539894692429348</v>
      </c>
      <c r="AE86" s="381">
        <f t="shared" si="280"/>
        <v>7.6579748555304805</v>
      </c>
      <c r="AF86" s="381">
        <f t="shared" si="280"/>
        <v>7.7633916656511408</v>
      </c>
      <c r="AG86" s="381">
        <f t="shared" si="280"/>
        <v>7.8702596040486199</v>
      </c>
      <c r="AH86" s="381">
        <f t="shared" si="280"/>
        <v>7.9785986464106013</v>
      </c>
      <c r="AI86" s="381">
        <f t="shared" si="280"/>
        <v>8.0884290434025967</v>
      </c>
      <c r="AJ86" s="381">
        <f t="shared" ref="AJ86:BK86" si="281">AJ84*AJ85</f>
        <v>8.1997713244531862</v>
      </c>
      <c r="AK86" s="381">
        <f t="shared" si="281"/>
        <v>8.3126463015913608</v>
      </c>
      <c r="AL86" s="381">
        <f t="shared" si="281"/>
        <v>8.4270750733367041</v>
      </c>
      <c r="AM86" s="399">
        <f t="shared" si="281"/>
        <v>8.5430790286431044</v>
      </c>
      <c r="AN86" s="381">
        <f t="shared" si="281"/>
        <v>8.6955967200794646</v>
      </c>
      <c r="AO86" s="381">
        <f t="shared" si="281"/>
        <v>8.8508372759682175</v>
      </c>
      <c r="AP86" s="381">
        <f t="shared" si="281"/>
        <v>9.0088493070033504</v>
      </c>
      <c r="AQ86" s="381">
        <f t="shared" si="281"/>
        <v>9.169682291714766</v>
      </c>
      <c r="AR86" s="381">
        <f t="shared" si="281"/>
        <v>9.3333865919615757</v>
      </c>
      <c r="AS86" s="381">
        <f t="shared" si="281"/>
        <v>9.5000134687019546</v>
      </c>
      <c r="AT86" s="381">
        <f t="shared" si="281"/>
        <v>9.6696150980445879</v>
      </c>
      <c r="AU86" s="381">
        <f t="shared" si="281"/>
        <v>9.8422445875866238</v>
      </c>
      <c r="AV86" s="381">
        <f t="shared" si="281"/>
        <v>10.017955993043342</v>
      </c>
      <c r="AW86" s="381">
        <f t="shared" si="281"/>
        <v>10.196804335174701</v>
      </c>
      <c r="AX86" s="381">
        <f t="shared" si="281"/>
        <v>10.378845617014058</v>
      </c>
      <c r="AY86" s="399">
        <f t="shared" si="281"/>
        <v>10.564136841404473</v>
      </c>
      <c r="AZ86" s="381">
        <f t="shared" si="281"/>
        <v>10.881317713861499</v>
      </c>
      <c r="BA86" s="381">
        <f t="shared" si="281"/>
        <v>11.208021721749555</v>
      </c>
      <c r="BB86" s="381">
        <f t="shared" si="281"/>
        <v>11.544534790596666</v>
      </c>
      <c r="BC86" s="381">
        <f t="shared" si="281"/>
        <v>11.89115143064628</v>
      </c>
      <c r="BD86" s="381">
        <f t="shared" si="281"/>
        <v>12.248174994607382</v>
      </c>
      <c r="BE86" s="381">
        <f t="shared" si="281"/>
        <v>12.615917943143387</v>
      </c>
      <c r="BF86" s="381">
        <f t="shared" si="281"/>
        <v>12.994702118332137</v>
      </c>
      <c r="BG86" s="381">
        <f t="shared" si="281"/>
        <v>13.384859025336363</v>
      </c>
      <c r="BH86" s="381">
        <f t="shared" si="281"/>
        <v>13.786730122531095</v>
      </c>
      <c r="BI86" s="381">
        <f t="shared" si="281"/>
        <v>14.200667120341945</v>
      </c>
      <c r="BJ86" s="381">
        <f t="shared" si="281"/>
        <v>14.627032289055821</v>
      </c>
      <c r="BK86" s="399">
        <f t="shared" si="281"/>
        <v>15.066198775873406</v>
      </c>
    </row>
    <row r="87" spans="1:63" s="54" customFormat="1" hidden="1" outlineLevel="1">
      <c r="A87" s="857"/>
      <c r="B87" s="371" t="s">
        <v>348</v>
      </c>
      <c r="C87" s="365">
        <f>C88/C86</f>
        <v>0.375</v>
      </c>
      <c r="D87" s="352">
        <f>C87</f>
        <v>0.375</v>
      </c>
      <c r="E87" s="169">
        <f t="shared" ref="E87:O87" si="282">D87*((0.5*($K83/12))+1)</f>
        <v>0.37578125000000007</v>
      </c>
      <c r="F87" s="169">
        <f t="shared" si="282"/>
        <v>0.3765641276041668</v>
      </c>
      <c r="G87" s="169">
        <f t="shared" si="282"/>
        <v>0.37734863620334219</v>
      </c>
      <c r="H87" s="169">
        <f t="shared" si="282"/>
        <v>0.37813477919543254</v>
      </c>
      <c r="I87" s="169">
        <f t="shared" si="282"/>
        <v>0.37892255998542307</v>
      </c>
      <c r="J87" s="169">
        <f t="shared" si="282"/>
        <v>0.37971198198539274</v>
      </c>
      <c r="K87" s="169">
        <f t="shared" si="282"/>
        <v>0.38050304861452899</v>
      </c>
      <c r="L87" s="169">
        <f t="shared" si="282"/>
        <v>0.38129576329914261</v>
      </c>
      <c r="M87" s="169">
        <f t="shared" si="282"/>
        <v>0.3820901294726825</v>
      </c>
      <c r="N87" s="169">
        <f t="shared" si="282"/>
        <v>0.38288615057575065</v>
      </c>
      <c r="O87" s="405">
        <f t="shared" si="282"/>
        <v>0.38368383005611684</v>
      </c>
      <c r="P87" s="169">
        <f t="shared" ref="P87:AA87" si="283">O87*((0.5*($W83/12))+1)</f>
        <v>0.38432330310621038</v>
      </c>
      <c r="Q87" s="169">
        <f t="shared" si="283"/>
        <v>0.38496384194472072</v>
      </c>
      <c r="R87" s="169">
        <f t="shared" si="283"/>
        <v>0.38560544834796195</v>
      </c>
      <c r="S87" s="169">
        <f t="shared" si="283"/>
        <v>0.38624812409520859</v>
      </c>
      <c r="T87" s="169">
        <f t="shared" si="283"/>
        <v>0.38689187096870059</v>
      </c>
      <c r="U87" s="169">
        <f t="shared" si="283"/>
        <v>0.38753669075364844</v>
      </c>
      <c r="V87" s="169">
        <f t="shared" si="283"/>
        <v>0.38818258523823784</v>
      </c>
      <c r="W87" s="169">
        <f t="shared" si="283"/>
        <v>0.38882955621363491</v>
      </c>
      <c r="X87" s="169">
        <f t="shared" si="283"/>
        <v>0.38947760547399096</v>
      </c>
      <c r="Y87" s="169">
        <f t="shared" si="283"/>
        <v>0.39012673481644761</v>
      </c>
      <c r="Z87" s="169">
        <f t="shared" si="283"/>
        <v>0.39077694604114172</v>
      </c>
      <c r="AA87" s="405">
        <f t="shared" si="283"/>
        <v>0.39142824095121032</v>
      </c>
      <c r="AB87" s="169">
        <f t="shared" ref="AB87:AM87" si="284">AA87*((0.5*($AI83/12))+1)</f>
        <v>0.39191752625239934</v>
      </c>
      <c r="AC87" s="169">
        <f t="shared" si="284"/>
        <v>0.39240742316021482</v>
      </c>
      <c r="AD87" s="169">
        <f t="shared" si="284"/>
        <v>0.3928979324391651</v>
      </c>
      <c r="AE87" s="169">
        <f t="shared" si="284"/>
        <v>0.39338905485471404</v>
      </c>
      <c r="AF87" s="169">
        <f t="shared" si="284"/>
        <v>0.3938807911732824</v>
      </c>
      <c r="AG87" s="169">
        <f t="shared" si="284"/>
        <v>0.394373142162249</v>
      </c>
      <c r="AH87" s="169">
        <f t="shared" si="284"/>
        <v>0.3948661085899518</v>
      </c>
      <c r="AI87" s="169">
        <f t="shared" si="284"/>
        <v>0.39535969122568926</v>
      </c>
      <c r="AJ87" s="169">
        <f t="shared" si="284"/>
        <v>0.39585389083972133</v>
      </c>
      <c r="AK87" s="169">
        <f t="shared" si="284"/>
        <v>0.39634870820327095</v>
      </c>
      <c r="AL87" s="169">
        <f t="shared" si="284"/>
        <v>0.39684414408852503</v>
      </c>
      <c r="AM87" s="405">
        <f t="shared" si="284"/>
        <v>0.39734019926863567</v>
      </c>
      <c r="AN87" s="169">
        <f t="shared" ref="AN87:AY87" si="285">AM87*((0.5*($AU83/12))+1)</f>
        <v>0.39780376283444913</v>
      </c>
      <c r="AO87" s="169">
        <f t="shared" si="285"/>
        <v>0.3982678672244227</v>
      </c>
      <c r="AP87" s="169">
        <f t="shared" si="285"/>
        <v>0.3987325130695179</v>
      </c>
      <c r="AQ87" s="169">
        <f t="shared" si="285"/>
        <v>0.39919770100143237</v>
      </c>
      <c r="AR87" s="169">
        <f t="shared" si="285"/>
        <v>0.39966343165260076</v>
      </c>
      <c r="AS87" s="169">
        <f t="shared" si="285"/>
        <v>0.40012970565619549</v>
      </c>
      <c r="AT87" s="169">
        <f t="shared" si="285"/>
        <v>0.40059652364612774</v>
      </c>
      <c r="AU87" s="169">
        <f t="shared" si="285"/>
        <v>0.40106388625704825</v>
      </c>
      <c r="AV87" s="169">
        <f t="shared" si="285"/>
        <v>0.4015317941243482</v>
      </c>
      <c r="AW87" s="169">
        <f t="shared" si="285"/>
        <v>0.40200024788416</v>
      </c>
      <c r="AX87" s="169">
        <f t="shared" si="285"/>
        <v>0.40246924817335822</v>
      </c>
      <c r="AY87" s="405">
        <f t="shared" si="285"/>
        <v>0.40293879562956053</v>
      </c>
      <c r="AZ87" s="169">
        <f t="shared" ref="AZ87:BK87" si="286">AY87*((0.5*($BG83/12))+1)</f>
        <v>0.40327457795925181</v>
      </c>
      <c r="BA87" s="169">
        <f t="shared" si="286"/>
        <v>0.40361064010755116</v>
      </c>
      <c r="BB87" s="169">
        <f t="shared" si="286"/>
        <v>0.40394698230764076</v>
      </c>
      <c r="BC87" s="169">
        <f t="shared" si="286"/>
        <v>0.4042836047928971</v>
      </c>
      <c r="BD87" s="169">
        <f t="shared" si="286"/>
        <v>0.40462050779689113</v>
      </c>
      <c r="BE87" s="169">
        <f t="shared" si="286"/>
        <v>0.40495769155338851</v>
      </c>
      <c r="BF87" s="169">
        <f t="shared" si="286"/>
        <v>0.40529515629634966</v>
      </c>
      <c r="BG87" s="169">
        <f t="shared" si="286"/>
        <v>0.40563290225992993</v>
      </c>
      <c r="BH87" s="169">
        <f t="shared" si="286"/>
        <v>0.40597092967847981</v>
      </c>
      <c r="BI87" s="169">
        <f t="shared" si="286"/>
        <v>0.40630923878654518</v>
      </c>
      <c r="BJ87" s="169">
        <f t="shared" si="286"/>
        <v>0.40664782981886727</v>
      </c>
      <c r="BK87" s="405">
        <f t="shared" si="286"/>
        <v>0.40698670301038298</v>
      </c>
    </row>
    <row r="88" spans="1:63" s="338" customFormat="1" hidden="1" outlineLevel="1">
      <c r="A88" s="858"/>
      <c r="B88" s="388" t="s">
        <v>285</v>
      </c>
      <c r="C88" s="389">
        <v>12</v>
      </c>
      <c r="D88" s="383">
        <f t="shared" ref="D88:AI88" si="287">D86*D87</f>
        <v>1</v>
      </c>
      <c r="E88" s="384">
        <f t="shared" si="287"/>
        <v>1.071115740740741</v>
      </c>
      <c r="F88" s="384">
        <f t="shared" si="287"/>
        <v>1.1472889300625864</v>
      </c>
      <c r="G88" s="384">
        <f t="shared" si="287"/>
        <v>1.2288792321676392</v>
      </c>
      <c r="H88" s="384">
        <f t="shared" si="287"/>
        <v>1.316271889044154</v>
      </c>
      <c r="I88" s="384">
        <f t="shared" si="287"/>
        <v>1.4098795394497434</v>
      </c>
      <c r="J88" s="384">
        <f t="shared" si="287"/>
        <v>1.5101441672529268</v>
      </c>
      <c r="K88" s="384">
        <f t="shared" si="287"/>
        <v>1.6175391883324279</v>
      </c>
      <c r="L88" s="384">
        <f t="shared" si="287"/>
        <v>1.732571685887865</v>
      </c>
      <c r="M88" s="384">
        <f t="shared" si="287"/>
        <v>1.8557848047162147</v>
      </c>
      <c r="N88" s="384">
        <f t="shared" si="287"/>
        <v>1.98776031575902</v>
      </c>
      <c r="O88" s="400">
        <f t="shared" si="287"/>
        <v>2.129121363029272</v>
      </c>
      <c r="P88" s="384">
        <f t="shared" si="287"/>
        <v>2.1807290223917404</v>
      </c>
      <c r="Q88" s="384">
        <f t="shared" si="287"/>
        <v>2.2335875970618648</v>
      </c>
      <c r="R88" s="384">
        <f t="shared" si="287"/>
        <v>2.2877274079091894</v>
      </c>
      <c r="S88" s="384">
        <f t="shared" si="287"/>
        <v>2.3431795107491986</v>
      </c>
      <c r="T88" s="384">
        <f t="shared" si="287"/>
        <v>2.3999757141576357</v>
      </c>
      <c r="U88" s="384">
        <f t="shared" si="287"/>
        <v>2.4581485977166171</v>
      </c>
      <c r="V88" s="384">
        <f t="shared" si="287"/>
        <v>2.5177315307030184</v>
      </c>
      <c r="W88" s="384">
        <f t="shared" si="287"/>
        <v>2.578758691229837</v>
      </c>
      <c r="X88" s="384">
        <f t="shared" si="287"/>
        <v>2.6412650858515341</v>
      </c>
      <c r="Y88" s="384">
        <f t="shared" si="287"/>
        <v>2.7052865696445791</v>
      </c>
      <c r="Z88" s="384">
        <f t="shared" si="287"/>
        <v>2.7708598667747335</v>
      </c>
      <c r="AA88" s="400">
        <f t="shared" si="287"/>
        <v>2.8380225915628547</v>
      </c>
      <c r="AB88" s="384">
        <f t="shared" si="287"/>
        <v>2.880686108482712</v>
      </c>
      <c r="AC88" s="384">
        <f t="shared" si="287"/>
        <v>2.9239909788862875</v>
      </c>
      <c r="AD88" s="384">
        <f t="shared" si="287"/>
        <v>2.9679468441327752</v>
      </c>
      <c r="AE88" s="384">
        <f t="shared" si="287"/>
        <v>3.0125634905183012</v>
      </c>
      <c r="AF88" s="384">
        <f t="shared" si="287"/>
        <v>3.057850851454738</v>
      </c>
      <c r="AG88" s="384">
        <f t="shared" si="287"/>
        <v>3.1038190096812719</v>
      </c>
      <c r="AH88" s="384">
        <f t="shared" si="287"/>
        <v>3.150478199509211</v>
      </c>
      <c r="AI88" s="384">
        <f t="shared" si="287"/>
        <v>3.1978388091005479</v>
      </c>
      <c r="AJ88" s="384">
        <f t="shared" ref="AJ88:BK88" si="288">AJ86*AJ87</f>
        <v>3.2459113827807689</v>
      </c>
      <c r="AK88" s="384">
        <f t="shared" si="288"/>
        <v>3.2947066233864337</v>
      </c>
      <c r="AL88" s="384">
        <f t="shared" si="288"/>
        <v>3.3442353946480488</v>
      </c>
      <c r="AM88" s="400">
        <f t="shared" si="288"/>
        <v>3.3945087236087534</v>
      </c>
      <c r="AN88" s="384">
        <f t="shared" si="288"/>
        <v>3.4591410953385049</v>
      </c>
      <c r="AO88" s="384">
        <f t="shared" si="288"/>
        <v>3.5250040850502811</v>
      </c>
      <c r="AP88" s="384">
        <f t="shared" si="288"/>
        <v>3.5921211240460309</v>
      </c>
      <c r="AQ88" s="384">
        <f t="shared" si="288"/>
        <v>3.6605160897660802</v>
      </c>
      <c r="AR88" s="384">
        <f t="shared" si="288"/>
        <v>3.7302133142837355</v>
      </c>
      <c r="AS88" s="384">
        <f t="shared" si="288"/>
        <v>3.801237592961606</v>
      </c>
      <c r="AT88" s="384">
        <f t="shared" si="288"/>
        <v>3.8736141932727728</v>
      </c>
      <c r="AU88" s="384">
        <f t="shared" si="288"/>
        <v>3.9473688637898903</v>
      </c>
      <c r="AV88" s="384">
        <f t="shared" si="288"/>
        <v>4.0225278433454594</v>
      </c>
      <c r="AW88" s="384">
        <f t="shared" si="288"/>
        <v>4.0991178703665065</v>
      </c>
      <c r="AX88" s="384">
        <f t="shared" si="288"/>
        <v>4.177166192387002</v>
      </c>
      <c r="AY88" s="400">
        <f t="shared" si="288"/>
        <v>4.2567005757413883</v>
      </c>
      <c r="AZ88" s="384">
        <f t="shared" si="288"/>
        <v>4.3881588086980265</v>
      </c>
      <c r="BA88" s="384">
        <f t="shared" si="288"/>
        <v>4.523676821454675</v>
      </c>
      <c r="BB88" s="384">
        <f t="shared" si="288"/>
        <v>4.663379990807095</v>
      </c>
      <c r="BC88" s="384">
        <f t="shared" si="288"/>
        <v>4.8073975655198939</v>
      </c>
      <c r="BD88" s="384">
        <f t="shared" si="288"/>
        <v>4.9558627859032232</v>
      </c>
      <c r="BE88" s="384">
        <f t="shared" si="288"/>
        <v>5.108913007082319</v>
      </c>
      <c r="BF88" s="384">
        <f t="shared" si="288"/>
        <v>5.2666898260739297</v>
      </c>
      <c r="BG88" s="384">
        <f t="shared" si="288"/>
        <v>5.4293392127872062</v>
      </c>
      <c r="BH88" s="384">
        <f t="shared" si="288"/>
        <v>5.5970116450702507</v>
      </c>
      <c r="BI88" s="384">
        <f t="shared" si="288"/>
        <v>5.7698622479272563</v>
      </c>
      <c r="BJ88" s="384">
        <f t="shared" si="288"/>
        <v>5.9480509370350481</v>
      </c>
      <c r="BK88" s="400">
        <f t="shared" si="288"/>
        <v>6.131742566691786</v>
      </c>
    </row>
    <row r="89" spans="1:63" s="395" customFormat="1" ht="6.75" hidden="1" customHeight="1" outlineLevel="1">
      <c r="A89" s="855"/>
      <c r="B89" s="394"/>
      <c r="C89" s="397"/>
      <c r="D89" s="349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40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40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40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401"/>
      <c r="AZ89" s="341"/>
      <c r="BA89" s="341"/>
      <c r="BB89" s="341"/>
      <c r="BC89" s="341"/>
      <c r="BD89" s="341"/>
      <c r="BE89" s="341"/>
      <c r="BF89" s="341"/>
      <c r="BG89" s="341"/>
      <c r="BH89" s="341"/>
      <c r="BI89" s="341"/>
      <c r="BJ89" s="341"/>
      <c r="BK89" s="401"/>
    </row>
    <row r="90" spans="1:63" s="54" customFormat="1" hidden="1" outlineLevel="1">
      <c r="A90" s="857"/>
      <c r="B90" s="370" t="s">
        <v>321</v>
      </c>
      <c r="C90" s="392">
        <v>9533</v>
      </c>
      <c r="D90" s="353">
        <f>C90</f>
        <v>9533</v>
      </c>
      <c r="E90" s="249">
        <f t="shared" ref="E90:O90" si="289">D90*((1+$G83/12))</f>
        <v>9556.8324999999986</v>
      </c>
      <c r="F90" s="249">
        <f t="shared" si="289"/>
        <v>9580.7245812499987</v>
      </c>
      <c r="G90" s="249">
        <f t="shared" si="289"/>
        <v>9604.6763927031225</v>
      </c>
      <c r="H90" s="249">
        <f t="shared" si="289"/>
        <v>9628.6880836848795</v>
      </c>
      <c r="I90" s="249">
        <f t="shared" si="289"/>
        <v>9652.7598038940905</v>
      </c>
      <c r="J90" s="249">
        <f t="shared" si="289"/>
        <v>9676.8917034038259</v>
      </c>
      <c r="K90" s="249">
        <f t="shared" si="289"/>
        <v>9701.0839326623354</v>
      </c>
      <c r="L90" s="249">
        <f t="shared" si="289"/>
        <v>9725.3366424939904</v>
      </c>
      <c r="M90" s="249">
        <f t="shared" si="289"/>
        <v>9749.6499841002242</v>
      </c>
      <c r="N90" s="249">
        <f t="shared" si="289"/>
        <v>9774.0241090604741</v>
      </c>
      <c r="O90" s="402">
        <f t="shared" si="289"/>
        <v>9798.459169333124</v>
      </c>
      <c r="P90" s="249">
        <f t="shared" ref="P90:AA90" si="290">O90*((1+$S83/12))</f>
        <v>9818.8726259359028</v>
      </c>
      <c r="Q90" s="249">
        <f t="shared" si="290"/>
        <v>9839.3286105732695</v>
      </c>
      <c r="R90" s="249">
        <f t="shared" si="290"/>
        <v>9859.8272118452987</v>
      </c>
      <c r="S90" s="249">
        <f t="shared" si="290"/>
        <v>9880.3685185366448</v>
      </c>
      <c r="T90" s="249">
        <f t="shared" si="290"/>
        <v>9900.95261961693</v>
      </c>
      <c r="U90" s="249">
        <f t="shared" si="290"/>
        <v>9921.579604241133</v>
      </c>
      <c r="V90" s="249">
        <f t="shared" si="290"/>
        <v>9942.2495617499699</v>
      </c>
      <c r="W90" s="249">
        <f t="shared" si="290"/>
        <v>9962.9625816702828</v>
      </c>
      <c r="X90" s="249">
        <f t="shared" si="290"/>
        <v>9983.7187537154296</v>
      </c>
      <c r="Y90" s="249">
        <f t="shared" si="290"/>
        <v>10004.518167785671</v>
      </c>
      <c r="Z90" s="249">
        <f t="shared" si="290"/>
        <v>10025.36091396856</v>
      </c>
      <c r="AA90" s="402">
        <f t="shared" si="290"/>
        <v>10046.247082539328</v>
      </c>
      <c r="AB90" s="249">
        <f t="shared" ref="AB90:AM90" si="291">AA90*((1+$AE83/12))</f>
        <v>10067.176763961286</v>
      </c>
      <c r="AC90" s="249">
        <f t="shared" si="291"/>
        <v>10088.150048886208</v>
      </c>
      <c r="AD90" s="249">
        <f t="shared" si="291"/>
        <v>10109.167028154721</v>
      </c>
      <c r="AE90" s="249">
        <f t="shared" si="291"/>
        <v>10130.227792796712</v>
      </c>
      <c r="AF90" s="249">
        <f t="shared" si="291"/>
        <v>10151.332434031705</v>
      </c>
      <c r="AG90" s="249">
        <f t="shared" si="291"/>
        <v>10172.481043269272</v>
      </c>
      <c r="AH90" s="249">
        <f t="shared" si="291"/>
        <v>10193.673712109417</v>
      </c>
      <c r="AI90" s="249">
        <f t="shared" si="291"/>
        <v>10214.910532342979</v>
      </c>
      <c r="AJ90" s="249">
        <f t="shared" si="291"/>
        <v>10236.191595952028</v>
      </c>
      <c r="AK90" s="249">
        <f t="shared" si="291"/>
        <v>10257.516995110263</v>
      </c>
      <c r="AL90" s="249">
        <f t="shared" si="291"/>
        <v>10278.886822183411</v>
      </c>
      <c r="AM90" s="402">
        <f t="shared" si="291"/>
        <v>10300.301169729628</v>
      </c>
      <c r="AN90" s="249">
        <f t="shared" ref="AN90:AY90" si="292">AM90*((1+$AQ83/12))</f>
        <v>10319.185055207467</v>
      </c>
      <c r="AO90" s="249">
        <f t="shared" si="292"/>
        <v>10338.103561142014</v>
      </c>
      <c r="AP90" s="249">
        <f t="shared" si="292"/>
        <v>10357.056751004107</v>
      </c>
      <c r="AQ90" s="249">
        <f t="shared" si="292"/>
        <v>10376.044688380949</v>
      </c>
      <c r="AR90" s="249">
        <f t="shared" si="292"/>
        <v>10395.067436976315</v>
      </c>
      <c r="AS90" s="249">
        <f t="shared" si="292"/>
        <v>10414.125060610771</v>
      </c>
      <c r="AT90" s="249">
        <f t="shared" si="292"/>
        <v>10433.217623221892</v>
      </c>
      <c r="AU90" s="249">
        <f t="shared" si="292"/>
        <v>10452.345188864465</v>
      </c>
      <c r="AV90" s="249">
        <f t="shared" si="292"/>
        <v>10471.507821710717</v>
      </c>
      <c r="AW90" s="249">
        <f t="shared" si="292"/>
        <v>10490.705586050521</v>
      </c>
      <c r="AX90" s="249">
        <f t="shared" si="292"/>
        <v>10509.938546291614</v>
      </c>
      <c r="AY90" s="402">
        <f t="shared" si="292"/>
        <v>10529.206766959816</v>
      </c>
      <c r="AZ90" s="249">
        <f t="shared" ref="AZ90:BK90" si="293">AY90*((1+$BC83/12))</f>
        <v>10546.755444904749</v>
      </c>
      <c r="BA90" s="249">
        <f t="shared" si="293"/>
        <v>10564.333370646258</v>
      </c>
      <c r="BB90" s="249">
        <f t="shared" si="293"/>
        <v>10581.940592930669</v>
      </c>
      <c r="BC90" s="249">
        <f t="shared" si="293"/>
        <v>10599.577160585553</v>
      </c>
      <c r="BD90" s="249">
        <f t="shared" si="293"/>
        <v>10617.243122519863</v>
      </c>
      <c r="BE90" s="249">
        <f t="shared" si="293"/>
        <v>10634.938527724064</v>
      </c>
      <c r="BF90" s="249">
        <f t="shared" si="293"/>
        <v>10652.663425270272</v>
      </c>
      <c r="BG90" s="249">
        <f t="shared" si="293"/>
        <v>10670.417864312389</v>
      </c>
      <c r="BH90" s="249">
        <f t="shared" si="293"/>
        <v>10688.201894086244</v>
      </c>
      <c r="BI90" s="249">
        <f t="shared" si="293"/>
        <v>10706.015563909721</v>
      </c>
      <c r="BJ90" s="249">
        <f t="shared" si="293"/>
        <v>10723.858923182905</v>
      </c>
      <c r="BK90" s="402">
        <f t="shared" si="293"/>
        <v>10741.73202138821</v>
      </c>
    </row>
    <row r="91" spans="1:63" s="334" customFormat="1" hidden="1" outlineLevel="1">
      <c r="A91" s="861"/>
      <c r="B91" s="372" t="s">
        <v>261</v>
      </c>
      <c r="C91" s="359">
        <f t="shared" ref="C91:AH91" si="294">C90*C88</f>
        <v>114396</v>
      </c>
      <c r="D91" s="354">
        <f t="shared" si="294"/>
        <v>9533</v>
      </c>
      <c r="E91" s="335">
        <f t="shared" si="294"/>
        <v>10236.473722372686</v>
      </c>
      <c r="F91" s="335">
        <f t="shared" si="294"/>
        <v>10991.859254046632</v>
      </c>
      <c r="G91" s="335">
        <f t="shared" si="294"/>
        <v>11802.987350683663</v>
      </c>
      <c r="H91" s="335">
        <f t="shared" si="294"/>
        <v>12673.971452928832</v>
      </c>
      <c r="I91" s="335">
        <f t="shared" si="294"/>
        <v>13609.228546733197</v>
      </c>
      <c r="J91" s="335">
        <f t="shared" si="294"/>
        <v>14613.501563033527</v>
      </c>
      <c r="K91" s="335">
        <f t="shared" si="294"/>
        <v>15691.883430383392</v>
      </c>
      <c r="L91" s="335">
        <f t="shared" si="294"/>
        <v>16849.842902512843</v>
      </c>
      <c r="M91" s="335">
        <f t="shared" si="294"/>
        <v>18093.252291794881</v>
      </c>
      <c r="N91" s="335">
        <f t="shared" si="294"/>
        <v>19428.417249262322</v>
      </c>
      <c r="O91" s="403">
        <f t="shared" si="294"/>
        <v>20862.108742197208</v>
      </c>
      <c r="P91" s="335">
        <f t="shared" si="294"/>
        <v>21412.300502546223</v>
      </c>
      <c r="Q91" s="335">
        <f t="shared" si="294"/>
        <v>21977.002347992406</v>
      </c>
      <c r="R91" s="335">
        <f t="shared" si="294"/>
        <v>22556.596949787334</v>
      </c>
      <c r="S91" s="335">
        <f t="shared" si="294"/>
        <v>23151.477071286481</v>
      </c>
      <c r="T91" s="335">
        <f t="shared" si="294"/>
        <v>23762.045834106055</v>
      </c>
      <c r="U91" s="335">
        <f t="shared" si="294"/>
        <v>24388.71699129913</v>
      </c>
      <c r="V91" s="335">
        <f t="shared" si="294"/>
        <v>25031.915207736165</v>
      </c>
      <c r="W91" s="335">
        <f t="shared" si="294"/>
        <v>25692.076347879898</v>
      </c>
      <c r="X91" s="335">
        <f t="shared" si="294"/>
        <v>26369.647771149754</v>
      </c>
      <c r="Y91" s="335">
        <f t="shared" si="294"/>
        <v>27065.088635075768</v>
      </c>
      <c r="Z91" s="335">
        <f t="shared" si="294"/>
        <v>27778.870206447544</v>
      </c>
      <c r="AA91" s="403">
        <f t="shared" si="294"/>
        <v>28511.476180669033</v>
      </c>
      <c r="AB91" s="335">
        <f t="shared" si="294"/>
        <v>29000.376255583218</v>
      </c>
      <c r="AC91" s="335">
        <f t="shared" si="294"/>
        <v>29497.659736594531</v>
      </c>
      <c r="AD91" s="335">
        <f t="shared" si="294"/>
        <v>30003.47037802291</v>
      </c>
      <c r="AE91" s="335">
        <f t="shared" si="294"/>
        <v>30517.954399213166</v>
      </c>
      <c r="AF91" s="335">
        <f t="shared" si="294"/>
        <v>31041.260526803948</v>
      </c>
      <c r="AG91" s="335">
        <f t="shared" si="294"/>
        <v>31573.540037721545</v>
      </c>
      <c r="AH91" s="335">
        <f t="shared" si="294"/>
        <v>32114.946802910854</v>
      </c>
      <c r="AI91" s="335">
        <f t="shared" ref="AI91:BK91" si="295">AI90*AI88</f>
        <v>32665.637331816317</v>
      </c>
      <c r="AJ91" s="335">
        <f t="shared" si="295"/>
        <v>33225.770817625533</v>
      </c>
      <c r="AK91" s="335">
        <f t="shared" si="295"/>
        <v>33795.509183288697</v>
      </c>
      <c r="AL91" s="335">
        <f t="shared" si="295"/>
        <v>34375.01712832717</v>
      </c>
      <c r="AM91" s="403">
        <f t="shared" si="295"/>
        <v>34964.462176444671</v>
      </c>
      <c r="AN91" s="335">
        <f t="shared" si="295"/>
        <v>35695.517094871087</v>
      </c>
      <c r="AO91" s="335">
        <f t="shared" si="295"/>
        <v>36441.857284698453</v>
      </c>
      <c r="AP91" s="335">
        <f t="shared" si="295"/>
        <v>37203.80233822541</v>
      </c>
      <c r="AQ91" s="335">
        <f t="shared" si="295"/>
        <v>37981.678529950339</v>
      </c>
      <c r="AR91" s="335">
        <f t="shared" si="295"/>
        <v>38775.818956286355</v>
      </c>
      <c r="AS91" s="335">
        <f t="shared" si="295"/>
        <v>39586.563678197228</v>
      </c>
      <c r="AT91" s="335">
        <f t="shared" si="295"/>
        <v>40414.259866815941</v>
      </c>
      <c r="AU91" s="335">
        <f t="shared" si="295"/>
        <v>41259.261952107649</v>
      </c>
      <c r="AV91" s="335">
        <f t="shared" si="295"/>
        <v>42121.931774641118</v>
      </c>
      <c r="AW91" s="335">
        <f t="shared" si="295"/>
        <v>43002.638740533424</v>
      </c>
      <c r="AX91" s="335">
        <f t="shared" si="295"/>
        <v>43901.759979634327</v>
      </c>
      <c r="AY91" s="403">
        <f t="shared" si="295"/>
        <v>44819.680507017969</v>
      </c>
      <c r="AZ91" s="335">
        <f t="shared" si="295"/>
        <v>46280.837808742646</v>
      </c>
      <c r="BA91" s="335">
        <f t="shared" si="295"/>
        <v>47789.630002912614</v>
      </c>
      <c r="BB91" s="335">
        <f t="shared" si="295"/>
        <v>49347.610024982248</v>
      </c>
      <c r="BC91" s="335">
        <f t="shared" si="295"/>
        <v>50956.38143733926</v>
      </c>
      <c r="BD91" s="335">
        <f t="shared" si="295"/>
        <v>52617.600079783129</v>
      </c>
      <c r="BE91" s="335">
        <f t="shared" si="295"/>
        <v>54332.975773810358</v>
      </c>
      <c r="BF91" s="335">
        <f t="shared" si="295"/>
        <v>56104.274082460797</v>
      </c>
      <c r="BG91" s="335">
        <f t="shared" si="295"/>
        <v>57933.318127536368</v>
      </c>
      <c r="BH91" s="335">
        <f t="shared" si="295"/>
        <v>59821.990466062613</v>
      </c>
      <c r="BI91" s="335">
        <f t="shared" si="295"/>
        <v>61772.235027924333</v>
      </c>
      <c r="BJ91" s="335">
        <f t="shared" si="295"/>
        <v>63786.059116669734</v>
      </c>
      <c r="BK91" s="403">
        <f t="shared" si="295"/>
        <v>65865.535475542289</v>
      </c>
    </row>
    <row r="92" spans="1:63" s="339" customFormat="1" ht="4.5" hidden="1" customHeight="1" outlineLevel="1">
      <c r="A92" s="854"/>
      <c r="B92" s="373"/>
      <c r="C92" s="360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40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40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401"/>
      <c r="AN92" s="341"/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40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401"/>
    </row>
    <row r="93" spans="1:63" s="248" customFormat="1" hidden="1" outlineLevel="1">
      <c r="A93" s="860"/>
      <c r="B93" s="374" t="s">
        <v>346</v>
      </c>
      <c r="C93" s="358">
        <v>24000</v>
      </c>
      <c r="D93" s="353">
        <f>C93/12</f>
        <v>2000</v>
      </c>
      <c r="E93" s="249">
        <f t="shared" ref="E93:O93" si="296">D93*(1+($I83/12))</f>
        <v>2050</v>
      </c>
      <c r="F93" s="249">
        <f t="shared" si="296"/>
        <v>2101.25</v>
      </c>
      <c r="G93" s="249">
        <f t="shared" si="296"/>
        <v>2153.78125</v>
      </c>
      <c r="H93" s="249">
        <f t="shared" si="296"/>
        <v>2207.6257812499998</v>
      </c>
      <c r="I93" s="249">
        <f t="shared" si="296"/>
        <v>2262.8164257812496</v>
      </c>
      <c r="J93" s="249">
        <f t="shared" si="296"/>
        <v>2319.3868364257805</v>
      </c>
      <c r="K93" s="249">
        <f t="shared" si="296"/>
        <v>2377.3715073364247</v>
      </c>
      <c r="L93" s="249">
        <f t="shared" si="296"/>
        <v>2436.8057950198349</v>
      </c>
      <c r="M93" s="249">
        <f t="shared" si="296"/>
        <v>2497.7259398953306</v>
      </c>
      <c r="N93" s="249">
        <f t="shared" si="296"/>
        <v>2560.1690883927135</v>
      </c>
      <c r="O93" s="402">
        <f t="shared" si="296"/>
        <v>2624.1733156025311</v>
      </c>
      <c r="P93" s="249">
        <f t="shared" ref="P93:AA93" si="297">O93*(1+($U83/12))</f>
        <v>2673.3765652700786</v>
      </c>
      <c r="Q93" s="249">
        <f t="shared" si="297"/>
        <v>2723.5023758688926</v>
      </c>
      <c r="R93" s="249">
        <f t="shared" si="297"/>
        <v>2774.5680454164344</v>
      </c>
      <c r="S93" s="249">
        <f t="shared" si="297"/>
        <v>2826.5911962679925</v>
      </c>
      <c r="T93" s="249">
        <f t="shared" si="297"/>
        <v>2879.5897811980176</v>
      </c>
      <c r="U93" s="249">
        <f t="shared" si="297"/>
        <v>2933.5820895954807</v>
      </c>
      <c r="V93" s="249">
        <f t="shared" si="297"/>
        <v>2988.5867537753961</v>
      </c>
      <c r="W93" s="249">
        <f t="shared" si="297"/>
        <v>3044.622755408685</v>
      </c>
      <c r="X93" s="249">
        <f t="shared" si="297"/>
        <v>3101.7094320725978</v>
      </c>
      <c r="Y93" s="249">
        <f t="shared" si="297"/>
        <v>3159.8664839239591</v>
      </c>
      <c r="Z93" s="249">
        <f t="shared" si="297"/>
        <v>3219.1139804975332</v>
      </c>
      <c r="AA93" s="402">
        <f t="shared" si="297"/>
        <v>3279.4723676318622</v>
      </c>
      <c r="AB93" s="249">
        <f t="shared" ref="AB93:AM93" si="298">AA93*(1+($AG83/12))</f>
        <v>3312.2670913081806</v>
      </c>
      <c r="AC93" s="249">
        <f t="shared" si="298"/>
        <v>3345.3897622212626</v>
      </c>
      <c r="AD93" s="249">
        <f t="shared" si="298"/>
        <v>3378.8436598434751</v>
      </c>
      <c r="AE93" s="249">
        <f t="shared" si="298"/>
        <v>3412.6320964419097</v>
      </c>
      <c r="AF93" s="249">
        <f t="shared" si="298"/>
        <v>3446.7584174063286</v>
      </c>
      <c r="AG93" s="249">
        <f t="shared" si="298"/>
        <v>3481.2260015803918</v>
      </c>
      <c r="AH93" s="249">
        <f t="shared" si="298"/>
        <v>3516.0382615961958</v>
      </c>
      <c r="AI93" s="249">
        <f t="shared" si="298"/>
        <v>3551.1986442121579</v>
      </c>
      <c r="AJ93" s="249">
        <f t="shared" si="298"/>
        <v>3586.7106306542796</v>
      </c>
      <c r="AK93" s="249">
        <f t="shared" si="298"/>
        <v>3622.5777369608222</v>
      </c>
      <c r="AL93" s="249">
        <f t="shared" si="298"/>
        <v>3658.8035143304305</v>
      </c>
      <c r="AM93" s="402">
        <f t="shared" si="298"/>
        <v>3695.3915494737348</v>
      </c>
      <c r="AN93" s="249">
        <f t="shared" ref="AN93:AY93" si="299">AM93*(1+($AS83/12))</f>
        <v>3713.8685072211033</v>
      </c>
      <c r="AO93" s="249">
        <f t="shared" si="299"/>
        <v>3732.4378497572084</v>
      </c>
      <c r="AP93" s="249">
        <f t="shared" si="299"/>
        <v>3751.1000390059939</v>
      </c>
      <c r="AQ93" s="249">
        <f t="shared" si="299"/>
        <v>3769.8555392010235</v>
      </c>
      <c r="AR93" s="249">
        <f t="shared" si="299"/>
        <v>3788.7048168970282</v>
      </c>
      <c r="AS93" s="249">
        <f t="shared" si="299"/>
        <v>3807.6483409815128</v>
      </c>
      <c r="AT93" s="249">
        <f t="shared" si="299"/>
        <v>3826.68658268642</v>
      </c>
      <c r="AU93" s="249">
        <f t="shared" si="299"/>
        <v>3845.8200155998516</v>
      </c>
      <c r="AV93" s="249">
        <f t="shared" si="299"/>
        <v>3865.0491156778503</v>
      </c>
      <c r="AW93" s="249">
        <f t="shared" si="299"/>
        <v>3884.3743612562394</v>
      </c>
      <c r="AX93" s="249">
        <f t="shared" si="299"/>
        <v>3903.7962330625201</v>
      </c>
      <c r="AY93" s="402">
        <f t="shared" si="299"/>
        <v>3923.3152142278323</v>
      </c>
      <c r="AZ93" s="249">
        <f t="shared" ref="AZ93:BK93" si="300">AY93*(1+($BES83/12))</f>
        <v>3923.3152142278323</v>
      </c>
      <c r="BA93" s="249">
        <f t="shared" si="300"/>
        <v>3923.3152142278323</v>
      </c>
      <c r="BB93" s="249">
        <f t="shared" si="300"/>
        <v>3923.3152142278323</v>
      </c>
      <c r="BC93" s="249">
        <f t="shared" si="300"/>
        <v>3923.3152142278323</v>
      </c>
      <c r="BD93" s="249">
        <f t="shared" si="300"/>
        <v>3923.3152142278323</v>
      </c>
      <c r="BE93" s="249">
        <f t="shared" si="300"/>
        <v>3923.3152142278323</v>
      </c>
      <c r="BF93" s="249">
        <f t="shared" si="300"/>
        <v>3923.3152142278323</v>
      </c>
      <c r="BG93" s="249">
        <f t="shared" si="300"/>
        <v>3923.3152142278323</v>
      </c>
      <c r="BH93" s="249">
        <f t="shared" si="300"/>
        <v>3923.3152142278323</v>
      </c>
      <c r="BI93" s="249">
        <f t="shared" si="300"/>
        <v>3923.3152142278323</v>
      </c>
      <c r="BJ93" s="249">
        <f t="shared" si="300"/>
        <v>3923.3152142278323</v>
      </c>
      <c r="BK93" s="402">
        <f t="shared" si="300"/>
        <v>3923.3152142278323</v>
      </c>
    </row>
    <row r="94" spans="1:63" s="54" customFormat="1" hidden="1" outlineLevel="1">
      <c r="A94" s="857"/>
      <c r="B94" s="370" t="s">
        <v>345</v>
      </c>
      <c r="C94" s="361">
        <v>0.09</v>
      </c>
      <c r="D94" s="355">
        <f>M83</f>
        <v>0.09</v>
      </c>
      <c r="E94" s="169">
        <f t="shared" ref="E94:O94" si="301">D94</f>
        <v>0.09</v>
      </c>
      <c r="F94" s="169">
        <f t="shared" si="301"/>
        <v>0.09</v>
      </c>
      <c r="G94" s="169">
        <f t="shared" si="301"/>
        <v>0.09</v>
      </c>
      <c r="H94" s="169">
        <f t="shared" si="301"/>
        <v>0.09</v>
      </c>
      <c r="I94" s="169">
        <f t="shared" si="301"/>
        <v>0.09</v>
      </c>
      <c r="J94" s="169">
        <f t="shared" si="301"/>
        <v>0.09</v>
      </c>
      <c r="K94" s="169">
        <f t="shared" si="301"/>
        <v>0.09</v>
      </c>
      <c r="L94" s="169">
        <f t="shared" si="301"/>
        <v>0.09</v>
      </c>
      <c r="M94" s="169">
        <f t="shared" si="301"/>
        <v>0.09</v>
      </c>
      <c r="N94" s="169">
        <f t="shared" si="301"/>
        <v>0.09</v>
      </c>
      <c r="O94" s="405">
        <f t="shared" si="301"/>
        <v>0.09</v>
      </c>
      <c r="P94" s="169">
        <f t="shared" ref="P94:AA94" si="302">$Y83</f>
        <v>0.09</v>
      </c>
      <c r="Q94" s="169">
        <f t="shared" si="302"/>
        <v>0.09</v>
      </c>
      <c r="R94" s="169">
        <f t="shared" si="302"/>
        <v>0.09</v>
      </c>
      <c r="S94" s="169">
        <f t="shared" si="302"/>
        <v>0.09</v>
      </c>
      <c r="T94" s="169">
        <f t="shared" si="302"/>
        <v>0.09</v>
      </c>
      <c r="U94" s="169">
        <f t="shared" si="302"/>
        <v>0.09</v>
      </c>
      <c r="V94" s="169">
        <f t="shared" si="302"/>
        <v>0.09</v>
      </c>
      <c r="W94" s="169">
        <f t="shared" si="302"/>
        <v>0.09</v>
      </c>
      <c r="X94" s="169">
        <f t="shared" si="302"/>
        <v>0.09</v>
      </c>
      <c r="Y94" s="169">
        <f t="shared" si="302"/>
        <v>0.09</v>
      </c>
      <c r="Z94" s="169">
        <f t="shared" si="302"/>
        <v>0.09</v>
      </c>
      <c r="AA94" s="405">
        <f t="shared" si="302"/>
        <v>0.09</v>
      </c>
      <c r="AB94" s="169">
        <f t="shared" ref="AB94:AM94" si="303">$AK83</f>
        <v>0.09</v>
      </c>
      <c r="AC94" s="169">
        <f t="shared" si="303"/>
        <v>0.09</v>
      </c>
      <c r="AD94" s="169">
        <f t="shared" si="303"/>
        <v>0.09</v>
      </c>
      <c r="AE94" s="169">
        <f t="shared" si="303"/>
        <v>0.09</v>
      </c>
      <c r="AF94" s="169">
        <f t="shared" si="303"/>
        <v>0.09</v>
      </c>
      <c r="AG94" s="169">
        <f t="shared" si="303"/>
        <v>0.09</v>
      </c>
      <c r="AH94" s="169">
        <f t="shared" si="303"/>
        <v>0.09</v>
      </c>
      <c r="AI94" s="169">
        <f t="shared" si="303"/>
        <v>0.09</v>
      </c>
      <c r="AJ94" s="169">
        <f t="shared" si="303"/>
        <v>0.09</v>
      </c>
      <c r="AK94" s="169">
        <f t="shared" si="303"/>
        <v>0.09</v>
      </c>
      <c r="AL94" s="169">
        <f t="shared" si="303"/>
        <v>0.09</v>
      </c>
      <c r="AM94" s="405">
        <f t="shared" si="303"/>
        <v>0.09</v>
      </c>
      <c r="AN94" s="169">
        <f t="shared" ref="AN94:AY94" si="304">$AW83</f>
        <v>0.09</v>
      </c>
      <c r="AO94" s="169">
        <f t="shared" si="304"/>
        <v>0.09</v>
      </c>
      <c r="AP94" s="169">
        <f t="shared" si="304"/>
        <v>0.09</v>
      </c>
      <c r="AQ94" s="169">
        <f t="shared" si="304"/>
        <v>0.09</v>
      </c>
      <c r="AR94" s="169">
        <f t="shared" si="304"/>
        <v>0.09</v>
      </c>
      <c r="AS94" s="169">
        <f t="shared" si="304"/>
        <v>0.09</v>
      </c>
      <c r="AT94" s="169">
        <f t="shared" si="304"/>
        <v>0.09</v>
      </c>
      <c r="AU94" s="169">
        <f t="shared" si="304"/>
        <v>0.09</v>
      </c>
      <c r="AV94" s="169">
        <f t="shared" si="304"/>
        <v>0.09</v>
      </c>
      <c r="AW94" s="169">
        <f t="shared" si="304"/>
        <v>0.09</v>
      </c>
      <c r="AX94" s="169">
        <f t="shared" si="304"/>
        <v>0.09</v>
      </c>
      <c r="AY94" s="405">
        <f t="shared" si="304"/>
        <v>0.09</v>
      </c>
      <c r="AZ94" s="169">
        <f t="shared" ref="AZ94:BK94" si="305">$BI83</f>
        <v>0.09</v>
      </c>
      <c r="BA94" s="169">
        <f t="shared" si="305"/>
        <v>0.09</v>
      </c>
      <c r="BB94" s="169">
        <f t="shared" si="305"/>
        <v>0.09</v>
      </c>
      <c r="BC94" s="169">
        <f t="shared" si="305"/>
        <v>0.09</v>
      </c>
      <c r="BD94" s="169">
        <f t="shared" si="305"/>
        <v>0.09</v>
      </c>
      <c r="BE94" s="169">
        <f t="shared" si="305"/>
        <v>0.09</v>
      </c>
      <c r="BF94" s="169">
        <f t="shared" si="305"/>
        <v>0.09</v>
      </c>
      <c r="BG94" s="169">
        <f t="shared" si="305"/>
        <v>0.09</v>
      </c>
      <c r="BH94" s="169">
        <f t="shared" si="305"/>
        <v>0.09</v>
      </c>
      <c r="BI94" s="169">
        <f t="shared" si="305"/>
        <v>0.09</v>
      </c>
      <c r="BJ94" s="169">
        <f t="shared" si="305"/>
        <v>0.09</v>
      </c>
      <c r="BK94" s="405">
        <f t="shared" si="305"/>
        <v>0.09</v>
      </c>
    </row>
    <row r="95" spans="1:63" s="336" customFormat="1" ht="19.5" hidden="1" outlineLevel="1" thickBot="1">
      <c r="A95" s="862"/>
      <c r="B95" s="375" t="s">
        <v>300</v>
      </c>
      <c r="C95" s="362">
        <f>C94*'Prg. HR'!D$38*12</f>
        <v>6804</v>
      </c>
      <c r="D95" s="351">
        <f>D94*'Prg. HR'!D$38</f>
        <v>567</v>
      </c>
      <c r="E95" s="337">
        <f>E94*'Prg. HR'!E$38</f>
        <v>558.495</v>
      </c>
      <c r="F95" s="337">
        <f>F94*'Prg. HR'!F$38</f>
        <v>550.11757499999999</v>
      </c>
      <c r="G95" s="337">
        <f>G94*'Prg. HR'!G$38</f>
        <v>749.765811375</v>
      </c>
      <c r="H95" s="337">
        <f>H94*'Prg. HR'!H$38</f>
        <v>741.63782420437497</v>
      </c>
      <c r="I95" s="337">
        <f>I94*'Prg. HR'!I$38</f>
        <v>733.63175684130942</v>
      </c>
      <c r="J95" s="337">
        <f>J94*'Prg. HR'!J$38</f>
        <v>725.74578048868966</v>
      </c>
      <c r="K95" s="337">
        <f>K94*'Prg. HR'!K$38</f>
        <v>875.47809378135935</v>
      </c>
      <c r="L95" s="337">
        <f>L94*'Prg. HR'!L$38</f>
        <v>880.95192237463891</v>
      </c>
      <c r="M95" s="337">
        <f>M94*'Prg. HR'!M$38</f>
        <v>874.50926853901933</v>
      </c>
      <c r="N95" s="337">
        <f>N94*'Prg. HR'!N$38</f>
        <v>867.17705659426747</v>
      </c>
      <c r="O95" s="406">
        <f>O94*'Prg. HR'!O$38</f>
        <v>859.87264466896454</v>
      </c>
      <c r="P95" s="337">
        <f>P94*'Prg. HR'!P$38</f>
        <v>838.35282604927716</v>
      </c>
      <c r="Q95" s="337">
        <f>Q94*'Prg. HR'!Q$38</f>
        <v>844.38353365853811</v>
      </c>
      <c r="R95" s="337">
        <f>R94*'Prg. HR'!R$38</f>
        <v>838.4894056536599</v>
      </c>
      <c r="S95" s="337">
        <f>S94*'Prg. HR'!S$38</f>
        <v>831.69749165218843</v>
      </c>
      <c r="T95" s="337">
        <f>T94*'Prg. HR'!T$38</f>
        <v>824.92527320101669</v>
      </c>
      <c r="U95" s="337">
        <f>U94*'Prg. HR'!U$38</f>
        <v>1243.4977894299691</v>
      </c>
      <c r="V95" s="337">
        <f>V94*'Prg. HR'!V$38</f>
        <v>1236.9198971991</v>
      </c>
      <c r="W95" s="337">
        <f>W94*'Prg. HR'!W$38</f>
        <v>1230.4406257919952</v>
      </c>
      <c r="X95" s="337">
        <f>X94*'Prg. HR'!X$38</f>
        <v>1224.0585394926889</v>
      </c>
      <c r="Y95" s="337">
        <f>Y94*'Prg. HR'!Y$38</f>
        <v>1217.772184157596</v>
      </c>
      <c r="Z95" s="337">
        <f>Z94*'Prg. HR'!Z$38</f>
        <v>1211.5801241250072</v>
      </c>
      <c r="AA95" s="406">
        <f>AA94*'Prg. HR'!AA$38</f>
        <v>1377.2991268087758</v>
      </c>
      <c r="AB95" s="337">
        <f>AB94*'Prg. HR'!AB$38</f>
        <v>1593.8098522865491</v>
      </c>
      <c r="AC95" s="337">
        <f>AC94*'Prg. HR'!AC$38</f>
        <v>1579.5582233085902</v>
      </c>
      <c r="AD95" s="337">
        <f>AD94*'Prg. HR'!AD$38</f>
        <v>1562.2805394158886</v>
      </c>
      <c r="AE95" s="337">
        <f>AE94*'Prg. HR'!AE$38</f>
        <v>1545.2436336572159</v>
      </c>
      <c r="AF95" s="337">
        <f>AF94*'Prg. HR'!AF$38</f>
        <v>1528.9547221763751</v>
      </c>
      <c r="AG95" s="337">
        <f>AG94*'Prg. HR'!AG$38</f>
        <v>1513.462947767893</v>
      </c>
      <c r="AH95" s="337">
        <f>AH94*'Prg. HR'!AH$38</f>
        <v>1498.7428773295544</v>
      </c>
      <c r="AI95" s="337">
        <f>AI94*'Prg. HR'!AI$38</f>
        <v>1673.7583193918083</v>
      </c>
      <c r="AJ95" s="337">
        <f>AJ94*'Prg. HR'!AJ$38</f>
        <v>1707.722924904401</v>
      </c>
      <c r="AK95" s="337">
        <f>AK94*'Prg. HR'!AK$38</f>
        <v>1706.9142840297266</v>
      </c>
      <c r="AL95" s="337">
        <f>AL94*'Prg. HR'!AL$38</f>
        <v>1905.7773211708768</v>
      </c>
      <c r="AM95" s="406">
        <f>AM94*'Prg. HR'!AM$38</f>
        <v>1895.1250179479921</v>
      </c>
      <c r="AN95" s="337">
        <f>AN94*'Prg. HR'!AN$38</f>
        <v>2099.7590405819969</v>
      </c>
      <c r="AO95" s="337">
        <f>AO94*'Prg. HR'!AO$38</f>
        <v>2054.5132174747978</v>
      </c>
      <c r="AP95" s="337">
        <f>AP94*'Prg. HR'!AP$38</f>
        <v>2038.9195780880416</v>
      </c>
      <c r="AQ95" s="337">
        <f>AQ94*'Prg. HR'!AQ$38</f>
        <v>2028.6706027648031</v>
      </c>
      <c r="AR95" s="337">
        <f>AR94*'Prg. HR'!AR$38</f>
        <v>2208.7110944365236</v>
      </c>
      <c r="AS95" s="337">
        <f>AS94*'Prg. HR'!AS$38</f>
        <v>2455.4515451671878</v>
      </c>
      <c r="AT95" s="337">
        <f>AT94*'Prg. HR'!AT$38</f>
        <v>2459.3004692719505</v>
      </c>
      <c r="AU95" s="337">
        <f>AU94*'Prg. HR'!AU$38</f>
        <v>2454.6945711491339</v>
      </c>
      <c r="AV95" s="337">
        <f>AV94*'Prg. HR'!AV$38</f>
        <v>2448.2533739268724</v>
      </c>
      <c r="AW95" s="337">
        <f>AW94*'Prg. HR'!AW$38</f>
        <v>2441.6178380643273</v>
      </c>
      <c r="AX95" s="337">
        <f>AX94*'Prg. HR'!AX$38</f>
        <v>2860.434979369561</v>
      </c>
      <c r="AY95" s="406">
        <f>AY94*'Prg. HR'!AY$38</f>
        <v>3272.1902079529436</v>
      </c>
      <c r="AZ95" s="337">
        <f>AZ94*'Prg. HR'!AZ$38</f>
        <v>3336.3463567392496</v>
      </c>
      <c r="BA95" s="337">
        <f>BA94*'Prg. HR'!BA$38</f>
        <v>3354.1259252969385</v>
      </c>
      <c r="BB95" s="337">
        <f>BB94*'Prg. HR'!BB$38</f>
        <v>3356.6269244969753</v>
      </c>
      <c r="BC95" s="337">
        <f>BC94*'Prg. HR'!BC$38</f>
        <v>3354.2063434270876</v>
      </c>
      <c r="BD95" s="337">
        <f>BD94*'Prg. HR'!BD$38</f>
        <v>3558.2079479740546</v>
      </c>
      <c r="BE95" s="337">
        <f>BE94*'Prg. HR'!BE$38</f>
        <v>4215.4355144941464</v>
      </c>
      <c r="BF95" s="337">
        <f>BF94*'Prg. HR'!BF$38</f>
        <v>4309.6797654022703</v>
      </c>
      <c r="BG95" s="337">
        <f>BG94*'Prg. HR'!BG$38</f>
        <v>4346.65578822917</v>
      </c>
      <c r="BH95" s="337">
        <f>BH94*'Prg. HR'!BH$38</f>
        <v>4567.7846701081335</v>
      </c>
      <c r="BI95" s="337">
        <f>BI94*'Prg. HR'!BI$38</f>
        <v>4840.209461665766</v>
      </c>
      <c r="BJ95" s="337">
        <f>BJ94*'Prg. HR'!BJ$38</f>
        <v>4974.7635011139973</v>
      </c>
      <c r="BK95" s="406">
        <f>BK94*'Prg. HR'!BK$38</f>
        <v>5465.7150823240572</v>
      </c>
    </row>
    <row r="96" spans="1:63" s="54" customFormat="1" hidden="1" outlineLevel="1">
      <c r="A96" s="857"/>
      <c r="B96" s="192" t="s">
        <v>386</v>
      </c>
      <c r="C96" s="1207">
        <f t="shared" ref="C96:AH96" si="306">(C93+C95)/C84</f>
        <v>513.4</v>
      </c>
      <c r="D96" s="368">
        <f t="shared" si="306"/>
        <v>513.4</v>
      </c>
      <c r="E96" s="1208">
        <f t="shared" si="306"/>
        <v>489.09281249999998</v>
      </c>
      <c r="F96" s="1208">
        <f t="shared" si="306"/>
        <v>466.06070654296883</v>
      </c>
      <c r="G96" s="1208">
        <f t="shared" si="306"/>
        <v>478.48981113967903</v>
      </c>
      <c r="H96" s="1208">
        <f t="shared" si="306"/>
        <v>455.64718635903239</v>
      </c>
      <c r="I96" s="1208">
        <f t="shared" si="306"/>
        <v>434.00341771679047</v>
      </c>
      <c r="J96" s="1208">
        <f t="shared" si="306"/>
        <v>413.48890917946574</v>
      </c>
      <c r="K96" s="1208">
        <f t="shared" si="306"/>
        <v>414.08825652002093</v>
      </c>
      <c r="L96" s="1208">
        <f t="shared" si="306"/>
        <v>395.95412788594604</v>
      </c>
      <c r="M96" s="1208">
        <f t="shared" si="306"/>
        <v>377.30220360352484</v>
      </c>
      <c r="N96" s="1208">
        <f t="shared" si="306"/>
        <v>359.50151747125915</v>
      </c>
      <c r="O96" s="1209">
        <f t="shared" si="306"/>
        <v>342.60832489042258</v>
      </c>
      <c r="P96" s="1208">
        <f t="shared" si="306"/>
        <v>338.2830486392927</v>
      </c>
      <c r="Q96" s="1208">
        <f t="shared" si="306"/>
        <v>336.67844234116615</v>
      </c>
      <c r="R96" s="1208">
        <f t="shared" si="306"/>
        <v>333.98301075339276</v>
      </c>
      <c r="S96" s="1208">
        <f t="shared" si="306"/>
        <v>331.26277801130186</v>
      </c>
      <c r="T96" s="1208">
        <f t="shared" si="306"/>
        <v>328.60274483954726</v>
      </c>
      <c r="U96" s="1208">
        <f t="shared" si="306"/>
        <v>362.95915950704051</v>
      </c>
      <c r="V96" s="1208">
        <f t="shared" si="306"/>
        <v>359.67390252626154</v>
      </c>
      <c r="W96" s="1208">
        <f t="shared" si="306"/>
        <v>356.46578650058649</v>
      </c>
      <c r="X96" s="1208">
        <f t="shared" si="306"/>
        <v>353.33257051324421</v>
      </c>
      <c r="Y96" s="1208">
        <f t="shared" si="306"/>
        <v>350.27208007996001</v>
      </c>
      <c r="Z96" s="1208">
        <f t="shared" si="306"/>
        <v>347.28220813687284</v>
      </c>
      <c r="AA96" s="1209">
        <f t="shared" si="306"/>
        <v>357.55335054091211</v>
      </c>
      <c r="AB96" s="1208">
        <f t="shared" si="306"/>
        <v>372.04480735056148</v>
      </c>
      <c r="AC96" s="1208">
        <f t="shared" si="306"/>
        <v>368.86505068874749</v>
      </c>
      <c r="AD96" s="1208">
        <f t="shared" si="306"/>
        <v>365.50775761011789</v>
      </c>
      <c r="AE96" s="1208">
        <f t="shared" si="306"/>
        <v>362.21917209208812</v>
      </c>
      <c r="AF96" s="1208">
        <f t="shared" si="306"/>
        <v>359.03443122230982</v>
      </c>
      <c r="AG96" s="1208">
        <f t="shared" si="306"/>
        <v>355.95424786838566</v>
      </c>
      <c r="AH96" s="1208">
        <f t="shared" si="306"/>
        <v>352.9739742162725</v>
      </c>
      <c r="AI96" s="1208">
        <f t="shared" ref="AI96:BK96" si="307">(AI93+AI95)/AI84</f>
        <v>363.2272199806676</v>
      </c>
      <c r="AJ96" s="1208">
        <f t="shared" si="307"/>
        <v>363.51316138848563</v>
      </c>
      <c r="AK96" s="1208">
        <f t="shared" si="307"/>
        <v>361.40272404969062</v>
      </c>
      <c r="AL96" s="1208">
        <f t="shared" si="307"/>
        <v>372.68595747275998</v>
      </c>
      <c r="AM96" s="1209">
        <f t="shared" si="307"/>
        <v>369.80048841834525</v>
      </c>
      <c r="AN96" s="1208">
        <f t="shared" si="307"/>
        <v>378.25455106286358</v>
      </c>
      <c r="AO96" s="1208">
        <f t="shared" si="307"/>
        <v>370.34644694471405</v>
      </c>
      <c r="AP96" s="1208">
        <f t="shared" si="307"/>
        <v>364.46835183727683</v>
      </c>
      <c r="AQ96" s="1208">
        <f t="shared" si="307"/>
        <v>359.02014876980024</v>
      </c>
      <c r="AR96" s="1208">
        <f t="shared" si="307"/>
        <v>365.24710805185032</v>
      </c>
      <c r="AS96" s="1208">
        <f t="shared" si="307"/>
        <v>375.17455134976012</v>
      </c>
      <c r="AT96" s="1208">
        <f t="shared" si="307"/>
        <v>370.3726690960533</v>
      </c>
      <c r="AU96" s="1208">
        <f t="shared" si="307"/>
        <v>365.14292143196417</v>
      </c>
      <c r="AV96" s="1208">
        <f t="shared" si="307"/>
        <v>359.88593846379865</v>
      </c>
      <c r="AW96" s="1208">
        <f t="shared" si="307"/>
        <v>354.69767959431732</v>
      </c>
      <c r="AX96" s="1208">
        <f t="shared" si="307"/>
        <v>373.05215641672476</v>
      </c>
      <c r="AY96" s="1209">
        <f t="shared" si="307"/>
        <v>390.33170699514682</v>
      </c>
      <c r="AZ96" s="1208">
        <f t="shared" si="307"/>
        <v>382.65129712588748</v>
      </c>
      <c r="BA96" s="1208">
        <f t="shared" si="307"/>
        <v>372.71751721656415</v>
      </c>
      <c r="BB96" s="1208">
        <f t="shared" si="307"/>
        <v>362.27913235480628</v>
      </c>
      <c r="BC96" s="1208">
        <f t="shared" si="307"/>
        <v>351.89506836722245</v>
      </c>
      <c r="BD96" s="1208">
        <f t="shared" si="307"/>
        <v>351.50701217536783</v>
      </c>
      <c r="BE96" s="1208">
        <f t="shared" si="307"/>
        <v>371.54892064569208</v>
      </c>
      <c r="BF96" s="1208">
        <f t="shared" si="307"/>
        <v>365.19968629767732</v>
      </c>
      <c r="BG96" s="1208">
        <f t="shared" si="307"/>
        <v>356.44359929522659</v>
      </c>
      <c r="BH96" s="1208">
        <f t="shared" si="307"/>
        <v>355.60271803650085</v>
      </c>
      <c r="BI96" s="1208">
        <f t="shared" si="307"/>
        <v>356.61058055055389</v>
      </c>
      <c r="BJ96" s="1208">
        <f t="shared" si="307"/>
        <v>351.82438920747325</v>
      </c>
      <c r="BK96" s="1209">
        <f t="shared" si="307"/>
        <v>360.71543646807527</v>
      </c>
    </row>
    <row r="97" spans="1:63" s="54" customFormat="1" hidden="1" outlineLevel="1">
      <c r="A97" s="857"/>
      <c r="B97" s="192" t="s">
        <v>390</v>
      </c>
      <c r="C97" s="1207">
        <f t="shared" ref="C97:AH97" si="308">(C93+C95)/C86</f>
        <v>962.625</v>
      </c>
      <c r="D97" s="368">
        <f t="shared" si="308"/>
        <v>962.625</v>
      </c>
      <c r="E97" s="1208">
        <f t="shared" si="308"/>
        <v>915.14247661122647</v>
      </c>
      <c r="F97" s="1208">
        <f t="shared" si="308"/>
        <v>870.23407240875724</v>
      </c>
      <c r="G97" s="1208">
        <f t="shared" si="308"/>
        <v>891.5843763015223</v>
      </c>
      <c r="H97" s="1208">
        <f t="shared" si="308"/>
        <v>847.25591385793507</v>
      </c>
      <c r="I97" s="1208">
        <f t="shared" si="308"/>
        <v>805.33250143210682</v>
      </c>
      <c r="J97" s="1208">
        <f t="shared" si="308"/>
        <v>765.67083226253362</v>
      </c>
      <c r="K97" s="1208">
        <f t="shared" si="308"/>
        <v>765.18652459102088</v>
      </c>
      <c r="L97" s="1208">
        <f t="shared" si="308"/>
        <v>730.15562449715742</v>
      </c>
      <c r="M97" s="1208">
        <f t="shared" si="308"/>
        <v>694.31422443404233</v>
      </c>
      <c r="N97" s="1208">
        <f t="shared" si="308"/>
        <v>660.18189504080749</v>
      </c>
      <c r="O97" s="1209">
        <f t="shared" si="308"/>
        <v>627.85152661592565</v>
      </c>
      <c r="P97" s="1208">
        <f t="shared" si="308"/>
        <v>618.89369354418159</v>
      </c>
      <c r="Q97" s="1208">
        <f t="shared" si="308"/>
        <v>614.93315469644915</v>
      </c>
      <c r="R97" s="1208">
        <f t="shared" si="308"/>
        <v>608.99503739395311</v>
      </c>
      <c r="S97" s="1208">
        <f t="shared" si="308"/>
        <v>603.02983046147529</v>
      </c>
      <c r="T97" s="1208">
        <f t="shared" si="308"/>
        <v>597.19219322651088</v>
      </c>
      <c r="U97" s="1208">
        <f t="shared" si="308"/>
        <v>658.53289538104241</v>
      </c>
      <c r="V97" s="1208">
        <f t="shared" si="308"/>
        <v>651.48649715589067</v>
      </c>
      <c r="W97" s="1208">
        <f t="shared" si="308"/>
        <v>644.6012195521356</v>
      </c>
      <c r="X97" s="1208">
        <f t="shared" si="308"/>
        <v>637.87226826502376</v>
      </c>
      <c r="Y97" s="1208">
        <f t="shared" si="308"/>
        <v>631.29499807824607</v>
      </c>
      <c r="Z97" s="1208">
        <f t="shared" si="308"/>
        <v>624.86491352673238</v>
      </c>
      <c r="AA97" s="1209">
        <f t="shared" si="308"/>
        <v>642.27532226121377</v>
      </c>
      <c r="AB97" s="1208">
        <f t="shared" si="308"/>
        <v>667.47207676518633</v>
      </c>
      <c r="AC97" s="1208">
        <f t="shared" si="308"/>
        <v>660.94121430427901</v>
      </c>
      <c r="AD97" s="1208">
        <f t="shared" si="308"/>
        <v>654.10790144436965</v>
      </c>
      <c r="AE97" s="1208">
        <f t="shared" si="308"/>
        <v>647.41342504129773</v>
      </c>
      <c r="AF97" s="1208">
        <f t="shared" si="308"/>
        <v>640.92001973796778</v>
      </c>
      <c r="AG97" s="1208">
        <f t="shared" si="308"/>
        <v>634.62823345482991</v>
      </c>
      <c r="AH97" s="1208">
        <f t="shared" si="308"/>
        <v>628.52906395809146</v>
      </c>
      <c r="AI97" s="1208">
        <f t="shared" ref="AI97:BK97" si="309">(AI93+AI95)/AI86</f>
        <v>645.97920505536877</v>
      </c>
      <c r="AJ97" s="1208">
        <f t="shared" si="309"/>
        <v>645.68063499157972</v>
      </c>
      <c r="AK97" s="1208">
        <f t="shared" si="309"/>
        <v>641.13061324048863</v>
      </c>
      <c r="AL97" s="1208">
        <f t="shared" si="309"/>
        <v>660.32173524923974</v>
      </c>
      <c r="AM97" s="1209">
        <f t="shared" si="309"/>
        <v>654.3912971749329</v>
      </c>
      <c r="AN97" s="1208">
        <f t="shared" si="309"/>
        <v>668.57143160498049</v>
      </c>
      <c r="AO97" s="1208">
        <f t="shared" si="309"/>
        <v>653.83091867983262</v>
      </c>
      <c r="AP97" s="1208">
        <f t="shared" si="309"/>
        <v>642.70357065390772</v>
      </c>
      <c r="AQ97" s="1208">
        <f t="shared" si="309"/>
        <v>632.35845665068075</v>
      </c>
      <c r="AR97" s="1208">
        <f t="shared" si="309"/>
        <v>642.57660949122749</v>
      </c>
      <c r="AS97" s="1208">
        <f t="shared" si="309"/>
        <v>659.27273753691497</v>
      </c>
      <c r="AT97" s="1208">
        <f t="shared" si="309"/>
        <v>650.07624276891204</v>
      </c>
      <c r="AU97" s="1208">
        <f t="shared" si="309"/>
        <v>640.15017414781687</v>
      </c>
      <c r="AV97" s="1208">
        <f t="shared" si="309"/>
        <v>630.19866467658665</v>
      </c>
      <c r="AW97" s="1208">
        <f t="shared" si="309"/>
        <v>620.389682039749</v>
      </c>
      <c r="AX97" s="1208">
        <f t="shared" si="309"/>
        <v>651.73252036271424</v>
      </c>
      <c r="AY97" s="1209">
        <f t="shared" si="309"/>
        <v>681.12573040318114</v>
      </c>
      <c r="AZ97" s="1208">
        <f t="shared" si="309"/>
        <v>667.16750322611574</v>
      </c>
      <c r="BA97" s="1208">
        <f t="shared" si="309"/>
        <v>649.30648067915888</v>
      </c>
      <c r="BB97" s="1208">
        <f t="shared" si="309"/>
        <v>630.59640520590892</v>
      </c>
      <c r="BC97" s="1208">
        <f t="shared" si="309"/>
        <v>612.01151125693707</v>
      </c>
      <c r="BD97" s="1208">
        <f t="shared" si="309"/>
        <v>610.82758578284904</v>
      </c>
      <c r="BE97" s="1208">
        <f t="shared" si="309"/>
        <v>645.11760185831747</v>
      </c>
      <c r="BF97" s="1208">
        <f t="shared" si="309"/>
        <v>633.56550266862166</v>
      </c>
      <c r="BG97" s="1208">
        <f t="shared" si="309"/>
        <v>617.86014980080643</v>
      </c>
      <c r="BH97" s="1208">
        <f t="shared" si="309"/>
        <v>615.88932320212075</v>
      </c>
      <c r="BI97" s="1208">
        <f t="shared" si="309"/>
        <v>617.12063254691486</v>
      </c>
      <c r="BJ97" s="1208">
        <f t="shared" si="309"/>
        <v>608.33110500477358</v>
      </c>
      <c r="BK97" s="1209">
        <f t="shared" si="309"/>
        <v>623.18508047213754</v>
      </c>
    </row>
    <row r="98" spans="1:63" s="54" customFormat="1" hidden="1" outlineLevel="1">
      <c r="A98" s="857"/>
      <c r="B98" s="192" t="s">
        <v>391</v>
      </c>
      <c r="C98" s="1207">
        <f t="shared" ref="C98:AH98" si="310">(C95+C93)/C88</f>
        <v>2567</v>
      </c>
      <c r="D98" s="368">
        <f t="shared" si="310"/>
        <v>2567</v>
      </c>
      <c r="E98" s="1208">
        <f t="shared" si="310"/>
        <v>2435.3063826660491</v>
      </c>
      <c r="F98" s="1208">
        <f t="shared" si="310"/>
        <v>2310.9850583630787</v>
      </c>
      <c r="G98" s="1208">
        <f t="shared" si="310"/>
        <v>2362.7602984659347</v>
      </c>
      <c r="H98" s="1208">
        <f t="shared" si="310"/>
        <v>2240.6188493443105</v>
      </c>
      <c r="I98" s="1208">
        <f t="shared" si="310"/>
        <v>2125.3221277273319</v>
      </c>
      <c r="J98" s="1208">
        <f t="shared" si="310"/>
        <v>2016.4515964418222</v>
      </c>
      <c r="K98" s="1208">
        <f t="shared" si="310"/>
        <v>2010.9865804681053</v>
      </c>
      <c r="L98" s="1208">
        <f t="shared" si="310"/>
        <v>1914.9324350722447</v>
      </c>
      <c r="M98" s="1208">
        <f t="shared" si="310"/>
        <v>1817.1477640426256</v>
      </c>
      <c r="N98" s="1208">
        <f t="shared" si="310"/>
        <v>1724.2250576263566</v>
      </c>
      <c r="O98" s="1209">
        <f t="shared" si="310"/>
        <v>1636.3773436167412</v>
      </c>
      <c r="P98" s="1208">
        <f t="shared" si="310"/>
        <v>1610.3465195633637</v>
      </c>
      <c r="Q98" s="1208">
        <f t="shared" si="310"/>
        <v>1597.3789943231893</v>
      </c>
      <c r="R98" s="1208">
        <f t="shared" si="310"/>
        <v>1579.3216615663825</v>
      </c>
      <c r="S98" s="1208">
        <f t="shared" si="310"/>
        <v>1561.2498620519666</v>
      </c>
      <c r="T98" s="1208">
        <f t="shared" si="310"/>
        <v>1543.5635588084597</v>
      </c>
      <c r="U98" s="1208">
        <f t="shared" si="310"/>
        <v>1699.278832412961</v>
      </c>
      <c r="V98" s="1208">
        <f t="shared" si="310"/>
        <v>1678.2991353310099</v>
      </c>
      <c r="W98" s="1208">
        <f t="shared" si="310"/>
        <v>1657.798923078707</v>
      </c>
      <c r="X98" s="1208">
        <f t="shared" si="310"/>
        <v>1637.7636590651691</v>
      </c>
      <c r="Y98" s="1208">
        <f t="shared" si="310"/>
        <v>1618.1792780114565</v>
      </c>
      <c r="Z98" s="1208">
        <f t="shared" si="310"/>
        <v>1599.0321841067498</v>
      </c>
      <c r="AA98" s="1209">
        <f t="shared" si="310"/>
        <v>1640.8507487871077</v>
      </c>
      <c r="AB98" s="1208">
        <f t="shared" si="310"/>
        <v>1703.0932072563826</v>
      </c>
      <c r="AC98" s="1208">
        <f t="shared" si="310"/>
        <v>1684.3239329711287</v>
      </c>
      <c r="AD98" s="1208">
        <f t="shared" si="310"/>
        <v>1664.829075031209</v>
      </c>
      <c r="AE98" s="1208">
        <f t="shared" si="310"/>
        <v>1645.7331922475566</v>
      </c>
      <c r="AF98" s="1208">
        <f t="shared" si="310"/>
        <v>1627.1928819600748</v>
      </c>
      <c r="AG98" s="1208">
        <f t="shared" si="310"/>
        <v>1609.2075387672764</v>
      </c>
      <c r="AH98" s="1208">
        <f t="shared" si="310"/>
        <v>1591.7523694361589</v>
      </c>
      <c r="AI98" s="1208">
        <f t="shared" ref="AI98:BK98" si="311">(AI95+AI93)/AI88</f>
        <v>1633.9025434098046</v>
      </c>
      <c r="AJ98" s="1208">
        <f t="shared" si="311"/>
        <v>1631.1084719210494</v>
      </c>
      <c r="AK98" s="1208">
        <f t="shared" si="311"/>
        <v>1617.5922867185909</v>
      </c>
      <c r="AL98" s="1208">
        <f t="shared" si="311"/>
        <v>1663.9321635093602</v>
      </c>
      <c r="AM98" s="1209">
        <f t="shared" si="311"/>
        <v>1646.9295036833385</v>
      </c>
      <c r="AN98" s="1208">
        <f t="shared" si="311"/>
        <v>1680.6563790177486</v>
      </c>
      <c r="AO98" s="1208">
        <f t="shared" si="311"/>
        <v>1641.686343506595</v>
      </c>
      <c r="AP98" s="1208">
        <f t="shared" si="311"/>
        <v>1611.8664758643699</v>
      </c>
      <c r="AQ98" s="1208">
        <f t="shared" si="311"/>
        <v>1584.073392868592</v>
      </c>
      <c r="AR98" s="1208">
        <f t="shared" si="311"/>
        <v>1607.7943554509986</v>
      </c>
      <c r="AS98" s="1208">
        <f t="shared" si="311"/>
        <v>1647.6475708189073</v>
      </c>
      <c r="AT98" s="1208">
        <f t="shared" si="311"/>
        <v>1622.7705544024279</v>
      </c>
      <c r="AU98" s="1208">
        <f t="shared" si="311"/>
        <v>1596.1301829542799</v>
      </c>
      <c r="AV98" s="1208">
        <f t="shared" si="311"/>
        <v>1569.4863368190063</v>
      </c>
      <c r="AW98" s="1208">
        <f t="shared" si="311"/>
        <v>1543.256963907445</v>
      </c>
      <c r="AX98" s="1208">
        <f t="shared" si="311"/>
        <v>1619.3349512308309</v>
      </c>
      <c r="AY98" s="1209">
        <f t="shared" si="311"/>
        <v>1690.3950123218467</v>
      </c>
      <c r="AZ98" s="1208">
        <f t="shared" si="311"/>
        <v>1654.3753057836655</v>
      </c>
      <c r="BA98" s="1208">
        <f t="shared" si="311"/>
        <v>1608.7447062994588</v>
      </c>
      <c r="BB98" s="1208">
        <f t="shared" si="311"/>
        <v>1561.087055542489</v>
      </c>
      <c r="BC98" s="1208">
        <f t="shared" si="311"/>
        <v>1513.8172906379743</v>
      </c>
      <c r="BD98" s="1208">
        <f t="shared" si="311"/>
        <v>1509.6308121126388</v>
      </c>
      <c r="BE98" s="1208">
        <f t="shared" si="311"/>
        <v>1593.0493859338562</v>
      </c>
      <c r="BF98" s="1208">
        <f t="shared" si="311"/>
        <v>1563.2200208318352</v>
      </c>
      <c r="BG98" s="1208">
        <f t="shared" si="311"/>
        <v>1523.2002787704855</v>
      </c>
      <c r="BH98" s="1208">
        <f t="shared" si="311"/>
        <v>1517.0774017979359</v>
      </c>
      <c r="BI98" s="1208">
        <f t="shared" si="311"/>
        <v>1518.8446966895567</v>
      </c>
      <c r="BJ98" s="1208">
        <f t="shared" si="311"/>
        <v>1495.9654531434285</v>
      </c>
      <c r="BK98" s="1209">
        <f t="shared" si="311"/>
        <v>1531.2172998837236</v>
      </c>
    </row>
    <row r="99" spans="1:63" s="1216" customFormat="1" hidden="1" outlineLevel="1">
      <c r="A99" s="1210"/>
      <c r="B99" s="1211" t="s">
        <v>392</v>
      </c>
      <c r="C99" s="1212">
        <f t="shared" ref="C99:AH99" si="312">(C95+C93)/C91</f>
        <v>0.2692751494807511</v>
      </c>
      <c r="D99" s="1213">
        <f t="shared" si="312"/>
        <v>0.2692751494807511</v>
      </c>
      <c r="E99" s="1214">
        <f t="shared" si="312"/>
        <v>0.25482359167287383</v>
      </c>
      <c r="F99" s="1214">
        <f t="shared" si="312"/>
        <v>0.24121192909415248</v>
      </c>
      <c r="G99" s="1214">
        <f t="shared" si="312"/>
        <v>0.24600103135811782</v>
      </c>
      <c r="H99" s="1214">
        <f t="shared" si="312"/>
        <v>0.2327024024322564</v>
      </c>
      <c r="I99" s="1214">
        <f t="shared" si="312"/>
        <v>0.22017766637785183</v>
      </c>
      <c r="J99" s="1214">
        <f t="shared" si="312"/>
        <v>0.20837802656534221</v>
      </c>
      <c r="K99" s="1214">
        <f t="shared" si="312"/>
        <v>0.20729503985604797</v>
      </c>
      <c r="L99" s="1214">
        <f t="shared" si="312"/>
        <v>0.19690140356737043</v>
      </c>
      <c r="M99" s="1214">
        <f t="shared" si="312"/>
        <v>0.18638082054289526</v>
      </c>
      <c r="N99" s="1214">
        <f t="shared" si="312"/>
        <v>0.1764089220966836</v>
      </c>
      <c r="O99" s="1215">
        <f t="shared" si="312"/>
        <v>0.16700353752947383</v>
      </c>
      <c r="P99" s="1214">
        <f t="shared" si="312"/>
        <v>0.16400523572428669</v>
      </c>
      <c r="Q99" s="1214">
        <f t="shared" si="312"/>
        <v>0.16234634064428519</v>
      </c>
      <c r="R99" s="1214">
        <f t="shared" si="312"/>
        <v>0.16017741768020369</v>
      </c>
      <c r="S99" s="1214">
        <f t="shared" si="312"/>
        <v>0.15801534721330407</v>
      </c>
      <c r="T99" s="1214">
        <f t="shared" si="312"/>
        <v>0.15590050958835722</v>
      </c>
      <c r="U99" s="1214">
        <f t="shared" si="312"/>
        <v>0.17127099717937835</v>
      </c>
      <c r="V99" s="1214">
        <f t="shared" si="312"/>
        <v>0.16880476846887824</v>
      </c>
      <c r="W99" s="1214">
        <f t="shared" si="312"/>
        <v>0.16639618080355956</v>
      </c>
      <c r="X99" s="1214">
        <f t="shared" si="312"/>
        <v>0.16404344908611107</v>
      </c>
      <c r="Y99" s="1214">
        <f t="shared" si="312"/>
        <v>0.161744848764627</v>
      </c>
      <c r="Z99" s="1214">
        <f t="shared" si="312"/>
        <v>0.1594987150915218</v>
      </c>
      <c r="AA99" s="1215">
        <f t="shared" si="312"/>
        <v>0.16332972256266265</v>
      </c>
      <c r="AB99" s="1214">
        <f t="shared" si="312"/>
        <v>0.16917287211576093</v>
      </c>
      <c r="AC99" s="1214">
        <f t="shared" si="312"/>
        <v>0.16696063448789486</v>
      </c>
      <c r="AD99" s="1214">
        <f t="shared" si="312"/>
        <v>0.16468508932482234</v>
      </c>
      <c r="AE99" s="1214">
        <f t="shared" si="312"/>
        <v>0.16245766886089039</v>
      </c>
      <c r="AF99" s="1214">
        <f t="shared" si="312"/>
        <v>0.16029352723244614</v>
      </c>
      <c r="AG99" s="1214">
        <f t="shared" si="312"/>
        <v>0.15819223765789422</v>
      </c>
      <c r="AH99" s="1214">
        <f t="shared" si="312"/>
        <v>0.15615100251298619</v>
      </c>
      <c r="AI99" s="1214">
        <f t="shared" ref="AI99:BK99" si="313">(AI95+AI93)/AI91</f>
        <v>0.15995270230086281</v>
      </c>
      <c r="AJ99" s="1214">
        <f t="shared" si="313"/>
        <v>0.15934720023862023</v>
      </c>
      <c r="AK99" s="1214">
        <f t="shared" si="313"/>
        <v>0.15769823120836102</v>
      </c>
      <c r="AL99" s="1214">
        <f t="shared" si="313"/>
        <v>0.16187863455392268</v>
      </c>
      <c r="AM99" s="1215">
        <f t="shared" si="313"/>
        <v>0.15989139312967957</v>
      </c>
      <c r="AN99" s="1214">
        <f t="shared" si="313"/>
        <v>0.16286716150803238</v>
      </c>
      <c r="AO99" s="1214">
        <f t="shared" si="313"/>
        <v>0.15879956452334512</v>
      </c>
      <c r="AP99" s="1214">
        <f t="shared" si="313"/>
        <v>0.15562978118354917</v>
      </c>
      <c r="AQ99" s="1214">
        <f t="shared" si="313"/>
        <v>0.15266640039074145</v>
      </c>
      <c r="AR99" s="1214">
        <f t="shared" si="313"/>
        <v>0.1546689682581481</v>
      </c>
      <c r="AS99" s="1214">
        <f t="shared" si="313"/>
        <v>0.15821276979386259</v>
      </c>
      <c r="AT99" s="1214">
        <f t="shared" si="313"/>
        <v>0.1555388388324731</v>
      </c>
      <c r="AU99" s="1214">
        <f t="shared" si="313"/>
        <v>0.15270546026883391</v>
      </c>
      <c r="AV99" s="1214">
        <f t="shared" si="313"/>
        <v>0.14988159905347817</v>
      </c>
      <c r="AW99" s="1214">
        <f t="shared" si="313"/>
        <v>0.14710707027747608</v>
      </c>
      <c r="AX99" s="1214">
        <f t="shared" si="313"/>
        <v>0.15407653851622244</v>
      </c>
      <c r="AY99" s="1215">
        <f t="shared" si="313"/>
        <v>0.16054343406250043</v>
      </c>
      <c r="AZ99" s="1214">
        <f t="shared" si="313"/>
        <v>0.15686106636547753</v>
      </c>
      <c r="BA99" s="1214">
        <f t="shared" si="313"/>
        <v>0.15228075921661741</v>
      </c>
      <c r="BB99" s="1214">
        <f t="shared" si="313"/>
        <v>0.14752370246582019</v>
      </c>
      <c r="BC99" s="1214">
        <f t="shared" si="313"/>
        <v>0.14281864905584088</v>
      </c>
      <c r="BD99" s="1214">
        <f t="shared" si="313"/>
        <v>0.14218670465505434</v>
      </c>
      <c r="BE99" s="1214">
        <f t="shared" si="313"/>
        <v>0.14979394396883058</v>
      </c>
      <c r="BF99" s="1214">
        <f t="shared" si="313"/>
        <v>0.14674452373324415</v>
      </c>
      <c r="BG99" s="1214">
        <f t="shared" si="313"/>
        <v>0.14274982462166602</v>
      </c>
      <c r="BH99" s="1214">
        <f t="shared" si="313"/>
        <v>0.14193944096783306</v>
      </c>
      <c r="BI99" s="1214">
        <f t="shared" si="313"/>
        <v>0.14186834379445748</v>
      </c>
      <c r="BJ99" s="1214">
        <f t="shared" si="313"/>
        <v>0.13949880018557881</v>
      </c>
      <c r="BK99" s="1215">
        <f t="shared" si="313"/>
        <v>0.14254845464724566</v>
      </c>
    </row>
    <row r="100" spans="1:63" s="339" customFormat="1" hidden="1" outlineLevel="1">
      <c r="A100" s="854"/>
      <c r="B100" s="373"/>
      <c r="C100" s="356"/>
      <c r="M100" s="341"/>
      <c r="N100" s="342"/>
      <c r="O100" s="407"/>
      <c r="Y100" s="341"/>
      <c r="Z100" s="342"/>
      <c r="AA100" s="407"/>
      <c r="AK100" s="341"/>
      <c r="AL100" s="342"/>
      <c r="AM100" s="407"/>
      <c r="AW100" s="341"/>
      <c r="AX100" s="342"/>
      <c r="AY100" s="407"/>
      <c r="BI100" s="341"/>
      <c r="BJ100" s="342"/>
      <c r="BK100" s="407"/>
    </row>
    <row r="101" spans="1:63" s="339" customFormat="1" collapsed="1">
      <c r="A101" s="854" t="s">
        <v>350</v>
      </c>
      <c r="B101" s="373"/>
      <c r="C101" s="356"/>
      <c r="D101" s="396" t="s">
        <v>389</v>
      </c>
      <c r="E101" s="415">
        <v>0.8</v>
      </c>
      <c r="F101" s="396" t="s">
        <v>355</v>
      </c>
      <c r="G101" s="415">
        <v>0.03</v>
      </c>
      <c r="H101" s="396" t="s">
        <v>356</v>
      </c>
      <c r="I101" s="415">
        <v>0.3</v>
      </c>
      <c r="J101" s="414" t="s">
        <v>354</v>
      </c>
      <c r="K101" s="415">
        <v>0.05</v>
      </c>
      <c r="L101" s="396" t="s">
        <v>357</v>
      </c>
      <c r="M101" s="415">
        <v>0.1</v>
      </c>
      <c r="O101" s="404"/>
      <c r="P101" s="396" t="s">
        <v>389</v>
      </c>
      <c r="Q101" s="415">
        <v>0.25</v>
      </c>
      <c r="R101" s="396" t="s">
        <v>355</v>
      </c>
      <c r="S101" s="415">
        <v>2.5000000000000001E-2</v>
      </c>
      <c r="T101" s="396" t="s">
        <v>356</v>
      </c>
      <c r="U101" s="415">
        <f>I101*0.75</f>
        <v>0.22499999999999998</v>
      </c>
      <c r="V101" s="414" t="s">
        <v>354</v>
      </c>
      <c r="W101" s="415">
        <v>0.04</v>
      </c>
      <c r="X101" s="396" t="s">
        <v>357</v>
      </c>
      <c r="Y101" s="415">
        <f>O112</f>
        <v>0.1</v>
      </c>
      <c r="AA101" s="404"/>
      <c r="AB101" s="396" t="s">
        <v>389</v>
      </c>
      <c r="AC101" s="415">
        <f>Q101*0.6</f>
        <v>0.15</v>
      </c>
      <c r="AD101" s="396" t="s">
        <v>355</v>
      </c>
      <c r="AE101" s="415">
        <v>2.5000000000000001E-2</v>
      </c>
      <c r="AF101" s="396" t="s">
        <v>356</v>
      </c>
      <c r="AG101" s="415">
        <v>0.12</v>
      </c>
      <c r="AH101" s="414" t="s">
        <v>354</v>
      </c>
      <c r="AI101" s="415">
        <v>0.03</v>
      </c>
      <c r="AJ101" s="396" t="s">
        <v>357</v>
      </c>
      <c r="AK101" s="415">
        <f>AA112</f>
        <v>0.1</v>
      </c>
      <c r="AM101" s="404"/>
      <c r="AN101" s="396" t="s">
        <v>389</v>
      </c>
      <c r="AO101" s="415">
        <v>0.2</v>
      </c>
      <c r="AP101" s="396" t="s">
        <v>355</v>
      </c>
      <c r="AQ101" s="415">
        <v>2.1999999999999999E-2</v>
      </c>
      <c r="AR101" s="396" t="s">
        <v>356</v>
      </c>
      <c r="AS101" s="415">
        <v>0.06</v>
      </c>
      <c r="AT101" s="414" t="s">
        <v>354</v>
      </c>
      <c r="AU101" s="415">
        <v>2.8000000000000001E-2</v>
      </c>
      <c r="AV101" s="396" t="s">
        <v>357</v>
      </c>
      <c r="AW101" s="415">
        <f>AM112</f>
        <v>0.1</v>
      </c>
      <c r="AY101" s="404"/>
      <c r="AZ101" s="396" t="s">
        <v>389</v>
      </c>
      <c r="BA101" s="415">
        <v>0.3</v>
      </c>
      <c r="BB101" s="396" t="s">
        <v>355</v>
      </c>
      <c r="BC101" s="415">
        <v>0.02</v>
      </c>
      <c r="BD101" s="396" t="s">
        <v>356</v>
      </c>
      <c r="BE101" s="415">
        <v>0.03</v>
      </c>
      <c r="BF101" s="414" t="s">
        <v>354</v>
      </c>
      <c r="BG101" s="415">
        <v>0.02</v>
      </c>
      <c r="BH101" s="396" t="s">
        <v>357</v>
      </c>
      <c r="BI101" s="415">
        <f>AY112</f>
        <v>0.1</v>
      </c>
      <c r="BK101" s="404"/>
    </row>
    <row r="102" spans="1:63" s="378" customFormat="1" hidden="1" outlineLevel="1">
      <c r="A102" s="856"/>
      <c r="B102" s="386" t="s">
        <v>226</v>
      </c>
      <c r="C102" s="387">
        <v>54</v>
      </c>
      <c r="D102" s="376">
        <f>C102/12</f>
        <v>4.5</v>
      </c>
      <c r="E102" s="377">
        <f t="shared" ref="E102:O102" si="314">D102*(1+($E101/12))</f>
        <v>4.8</v>
      </c>
      <c r="F102" s="377">
        <f t="shared" si="314"/>
        <v>5.12</v>
      </c>
      <c r="G102" s="377">
        <f t="shared" si="314"/>
        <v>5.4613333333333332</v>
      </c>
      <c r="H102" s="377">
        <f t="shared" si="314"/>
        <v>5.8254222222222216</v>
      </c>
      <c r="I102" s="377">
        <f t="shared" si="314"/>
        <v>6.2137837037037027</v>
      </c>
      <c r="J102" s="377">
        <f t="shared" si="314"/>
        <v>6.6280359506172823</v>
      </c>
      <c r="K102" s="377">
        <f t="shared" si="314"/>
        <v>7.0699050139917681</v>
      </c>
      <c r="L102" s="377">
        <f t="shared" si="314"/>
        <v>7.5412320149245522</v>
      </c>
      <c r="M102" s="377">
        <f t="shared" si="314"/>
        <v>8.0439808159195216</v>
      </c>
      <c r="N102" s="377">
        <f t="shared" si="314"/>
        <v>8.5802462036474889</v>
      </c>
      <c r="O102" s="398">
        <f t="shared" si="314"/>
        <v>9.1522626172239878</v>
      </c>
      <c r="P102" s="377">
        <f t="shared" ref="P102:AA102" si="315">O102*(1+($Q101/12))</f>
        <v>9.3429347550828208</v>
      </c>
      <c r="Q102" s="377">
        <f t="shared" si="315"/>
        <v>9.5375792291470454</v>
      </c>
      <c r="R102" s="377">
        <f t="shared" si="315"/>
        <v>9.7362787964209421</v>
      </c>
      <c r="S102" s="377">
        <f t="shared" si="315"/>
        <v>9.9391179380130446</v>
      </c>
      <c r="T102" s="377">
        <f t="shared" si="315"/>
        <v>10.146182895054983</v>
      </c>
      <c r="U102" s="377">
        <f t="shared" si="315"/>
        <v>10.357561705368628</v>
      </c>
      <c r="V102" s="377">
        <f t="shared" si="315"/>
        <v>10.573344240897141</v>
      </c>
      <c r="W102" s="377">
        <f t="shared" si="315"/>
        <v>10.793622245915831</v>
      </c>
      <c r="X102" s="377">
        <f t="shared" si="315"/>
        <v>11.018489376039076</v>
      </c>
      <c r="Y102" s="377">
        <f t="shared" si="315"/>
        <v>11.248041238039889</v>
      </c>
      <c r="Z102" s="377">
        <f t="shared" si="315"/>
        <v>11.482375430499053</v>
      </c>
      <c r="AA102" s="398">
        <f t="shared" si="315"/>
        <v>11.721591585301116</v>
      </c>
      <c r="AB102" s="377">
        <f t="shared" ref="AB102:AM102" si="316">AA102*(1+($AC101/12))</f>
        <v>11.868111480117379</v>
      </c>
      <c r="AC102" s="377">
        <f t="shared" si="316"/>
        <v>12.016462873618845</v>
      </c>
      <c r="AD102" s="377">
        <f t="shared" si="316"/>
        <v>12.166668659539081</v>
      </c>
      <c r="AE102" s="377">
        <f t="shared" si="316"/>
        <v>12.318752017783318</v>
      </c>
      <c r="AF102" s="377">
        <f t="shared" si="316"/>
        <v>12.472736418005608</v>
      </c>
      <c r="AG102" s="377">
        <f t="shared" si="316"/>
        <v>12.628645623230678</v>
      </c>
      <c r="AH102" s="377">
        <f t="shared" si="316"/>
        <v>12.786503693521061</v>
      </c>
      <c r="AI102" s="377">
        <f t="shared" si="316"/>
        <v>12.946334989690074</v>
      </c>
      <c r="AJ102" s="377">
        <f t="shared" si="316"/>
        <v>13.1081641770612</v>
      </c>
      <c r="AK102" s="377">
        <f t="shared" si="316"/>
        <v>13.272016229274465</v>
      </c>
      <c r="AL102" s="377">
        <f t="shared" si="316"/>
        <v>13.437916432140396</v>
      </c>
      <c r="AM102" s="398">
        <f t="shared" si="316"/>
        <v>13.60589038754215</v>
      </c>
      <c r="AN102" s="377">
        <f t="shared" ref="AN102:AY102" si="317">AM102*(1+($AO101/12))</f>
        <v>13.832655227334518</v>
      </c>
      <c r="AO102" s="377">
        <f t="shared" si="317"/>
        <v>14.063199481123426</v>
      </c>
      <c r="AP102" s="377">
        <f t="shared" si="317"/>
        <v>14.297586139142149</v>
      </c>
      <c r="AQ102" s="377">
        <f t="shared" si="317"/>
        <v>14.535879241461185</v>
      </c>
      <c r="AR102" s="377">
        <f t="shared" si="317"/>
        <v>14.778143895485536</v>
      </c>
      <c r="AS102" s="377">
        <f t="shared" si="317"/>
        <v>15.024446293743628</v>
      </c>
      <c r="AT102" s="377">
        <f t="shared" si="317"/>
        <v>15.274853731972687</v>
      </c>
      <c r="AU102" s="377">
        <f t="shared" si="317"/>
        <v>15.529434627505564</v>
      </c>
      <c r="AV102" s="377">
        <f t="shared" si="317"/>
        <v>15.788258537963989</v>
      </c>
      <c r="AW102" s="377">
        <f t="shared" si="317"/>
        <v>16.051396180263389</v>
      </c>
      <c r="AX102" s="377">
        <f t="shared" si="317"/>
        <v>16.318919449934445</v>
      </c>
      <c r="AY102" s="398">
        <f t="shared" si="317"/>
        <v>16.590901440766686</v>
      </c>
      <c r="AZ102" s="377">
        <f t="shared" ref="AZ102:BK102" si="318">AY102*(1+($BA101/12))</f>
        <v>17.00567397678585</v>
      </c>
      <c r="BA102" s="377">
        <f t="shared" si="318"/>
        <v>17.430815826205496</v>
      </c>
      <c r="BB102" s="377">
        <f t="shared" si="318"/>
        <v>17.866586221860633</v>
      </c>
      <c r="BC102" s="377">
        <f t="shared" si="318"/>
        <v>18.313250877407146</v>
      </c>
      <c r="BD102" s="377">
        <f t="shared" si="318"/>
        <v>18.771082149342323</v>
      </c>
      <c r="BE102" s="377">
        <f t="shared" si="318"/>
        <v>19.240359203075879</v>
      </c>
      <c r="BF102" s="377">
        <f t="shared" si="318"/>
        <v>19.721368183152773</v>
      </c>
      <c r="BG102" s="377">
        <f t="shared" si="318"/>
        <v>20.214402387731589</v>
      </c>
      <c r="BH102" s="377">
        <f t="shared" si="318"/>
        <v>20.719762447424877</v>
      </c>
      <c r="BI102" s="377">
        <f t="shared" si="318"/>
        <v>21.237756508610499</v>
      </c>
      <c r="BJ102" s="377">
        <f t="shared" si="318"/>
        <v>21.768700421325761</v>
      </c>
      <c r="BK102" s="398">
        <f t="shared" si="318"/>
        <v>22.312917931858902</v>
      </c>
    </row>
    <row r="103" spans="1:63" s="54" customFormat="1" hidden="1" outlineLevel="1">
      <c r="A103" s="857"/>
      <c r="B103" s="371" t="s">
        <v>347</v>
      </c>
      <c r="C103" s="364">
        <f>C104/C102</f>
        <v>0.42592592592592593</v>
      </c>
      <c r="D103" s="352">
        <f>C103</f>
        <v>0.42592592592592593</v>
      </c>
      <c r="E103" s="169">
        <f t="shared" ref="E103:O103" si="319">D103*((0.5*($K101/12))+1)</f>
        <v>0.42681327160493832</v>
      </c>
      <c r="F103" s="169">
        <f t="shared" si="319"/>
        <v>0.42770246592078198</v>
      </c>
      <c r="G103" s="169">
        <f t="shared" si="319"/>
        <v>0.42859351272478363</v>
      </c>
      <c r="H103" s="169">
        <f t="shared" si="319"/>
        <v>0.42948641587629366</v>
      </c>
      <c r="I103" s="169">
        <f t="shared" si="319"/>
        <v>0.43038117924270264</v>
      </c>
      <c r="J103" s="169">
        <f t="shared" si="319"/>
        <v>0.43127780669945831</v>
      </c>
      <c r="K103" s="169">
        <f t="shared" si="319"/>
        <v>0.43217630213008223</v>
      </c>
      <c r="L103" s="169">
        <f t="shared" si="319"/>
        <v>0.43307666942618661</v>
      </c>
      <c r="M103" s="169">
        <f t="shared" si="319"/>
        <v>0.43397891248749121</v>
      </c>
      <c r="N103" s="169">
        <f t="shared" si="319"/>
        <v>0.43488303522184019</v>
      </c>
      <c r="O103" s="405">
        <f t="shared" si="319"/>
        <v>0.43578904154521908</v>
      </c>
      <c r="P103" s="169">
        <f t="shared" ref="P103:AA103" si="320">O103*((0.5*($W101/12))+1)</f>
        <v>0.43651535661446111</v>
      </c>
      <c r="Q103" s="169">
        <f t="shared" si="320"/>
        <v>0.43724288220881857</v>
      </c>
      <c r="R103" s="169">
        <f t="shared" si="320"/>
        <v>0.43797162034583331</v>
      </c>
      <c r="S103" s="169">
        <f t="shared" si="320"/>
        <v>0.43870157304640972</v>
      </c>
      <c r="T103" s="169">
        <f t="shared" si="320"/>
        <v>0.43943274233482044</v>
      </c>
      <c r="U103" s="169">
        <f t="shared" si="320"/>
        <v>0.44016513023871184</v>
      </c>
      <c r="V103" s="169">
        <f t="shared" si="320"/>
        <v>0.44089873878910973</v>
      </c>
      <c r="W103" s="169">
        <f t="shared" si="320"/>
        <v>0.44163357002042491</v>
      </c>
      <c r="X103" s="169">
        <f t="shared" si="320"/>
        <v>0.44236962597045898</v>
      </c>
      <c r="Y103" s="169">
        <f t="shared" si="320"/>
        <v>0.44310690868040975</v>
      </c>
      <c r="Z103" s="169">
        <f t="shared" si="320"/>
        <v>0.4438454201948771</v>
      </c>
      <c r="AA103" s="405">
        <f t="shared" si="320"/>
        <v>0.44458516256186859</v>
      </c>
      <c r="AB103" s="169">
        <f t="shared" ref="AB103:AM103" si="321">AA103*((0.5*($AI101/12))+1)</f>
        <v>0.4451408940150709</v>
      </c>
      <c r="AC103" s="169">
        <f t="shared" si="321"/>
        <v>0.44569732013258972</v>
      </c>
      <c r="AD103" s="169">
        <f t="shared" si="321"/>
        <v>0.44625444178275547</v>
      </c>
      <c r="AE103" s="169">
        <f t="shared" si="321"/>
        <v>0.4468122598349839</v>
      </c>
      <c r="AF103" s="169">
        <f t="shared" si="321"/>
        <v>0.44737077515977763</v>
      </c>
      <c r="AG103" s="169">
        <f t="shared" si="321"/>
        <v>0.44792998862872735</v>
      </c>
      <c r="AH103" s="169">
        <f t="shared" si="321"/>
        <v>0.44848990111451326</v>
      </c>
      <c r="AI103" s="169">
        <f t="shared" si="321"/>
        <v>0.44905051349090641</v>
      </c>
      <c r="AJ103" s="169">
        <f t="shared" si="321"/>
        <v>0.44961182663277005</v>
      </c>
      <c r="AK103" s="169">
        <f t="shared" si="321"/>
        <v>0.45017384141606098</v>
      </c>
      <c r="AL103" s="169">
        <f t="shared" si="321"/>
        <v>0.45073655871783103</v>
      </c>
      <c r="AM103" s="405">
        <f t="shared" si="321"/>
        <v>0.45129997941622829</v>
      </c>
      <c r="AN103" s="169">
        <f t="shared" ref="AN103:AY103" si="322">AM103*((0.5*($AU101/12))+1)</f>
        <v>0.45182649605888059</v>
      </c>
      <c r="AO103" s="169">
        <f t="shared" si="322"/>
        <v>0.45235362697094933</v>
      </c>
      <c r="AP103" s="169">
        <f t="shared" si="322"/>
        <v>0.45288137286908214</v>
      </c>
      <c r="AQ103" s="169">
        <f t="shared" si="322"/>
        <v>0.45340973447076277</v>
      </c>
      <c r="AR103" s="169">
        <f t="shared" si="322"/>
        <v>0.45393871249431206</v>
      </c>
      <c r="AS103" s="169">
        <f t="shared" si="322"/>
        <v>0.45446830765888879</v>
      </c>
      <c r="AT103" s="169">
        <f t="shared" si="322"/>
        <v>0.45499852068449087</v>
      </c>
      <c r="AU103" s="169">
        <f t="shared" si="322"/>
        <v>0.45552935229195612</v>
      </c>
      <c r="AV103" s="169">
        <f t="shared" si="322"/>
        <v>0.45606080320296344</v>
      </c>
      <c r="AW103" s="169">
        <f t="shared" si="322"/>
        <v>0.45659287414003358</v>
      </c>
      <c r="AX103" s="169">
        <f t="shared" si="322"/>
        <v>0.4571255658265303</v>
      </c>
      <c r="AY103" s="405">
        <f t="shared" si="322"/>
        <v>0.4576588789866613</v>
      </c>
      <c r="AZ103" s="169">
        <f t="shared" ref="AZ103:BK103" si="323">AY103*((0.5*($BG101/12))+1)</f>
        <v>0.45804026138581683</v>
      </c>
      <c r="BA103" s="169">
        <f t="shared" si="323"/>
        <v>0.45842196160363829</v>
      </c>
      <c r="BB103" s="169">
        <f t="shared" si="323"/>
        <v>0.45880397990497462</v>
      </c>
      <c r="BC103" s="169">
        <f t="shared" si="323"/>
        <v>0.45918631655489539</v>
      </c>
      <c r="BD103" s="169">
        <f t="shared" si="323"/>
        <v>0.45956897181869111</v>
      </c>
      <c r="BE103" s="169">
        <f t="shared" si="323"/>
        <v>0.45995194596187333</v>
      </c>
      <c r="BF103" s="169">
        <f t="shared" si="323"/>
        <v>0.46033523925017483</v>
      </c>
      <c r="BG103" s="169">
        <f t="shared" si="323"/>
        <v>0.46071885194954992</v>
      </c>
      <c r="BH103" s="169">
        <f t="shared" si="323"/>
        <v>0.46110278432617452</v>
      </c>
      <c r="BI103" s="169">
        <f t="shared" si="323"/>
        <v>0.4614870366464463</v>
      </c>
      <c r="BJ103" s="169">
        <f t="shared" si="323"/>
        <v>0.46187160917698494</v>
      </c>
      <c r="BK103" s="405">
        <f t="shared" si="323"/>
        <v>0.46225650218463238</v>
      </c>
    </row>
    <row r="104" spans="1:63" s="338" customFormat="1" hidden="1" outlineLevel="1">
      <c r="A104" s="858"/>
      <c r="B104" s="388" t="s">
        <v>258</v>
      </c>
      <c r="C104" s="389">
        <v>23</v>
      </c>
      <c r="D104" s="380">
        <f t="shared" ref="D104:AI104" si="324">D102*D103</f>
        <v>1.9166666666666667</v>
      </c>
      <c r="E104" s="381">
        <f t="shared" si="324"/>
        <v>2.0487037037037039</v>
      </c>
      <c r="F104" s="381">
        <f t="shared" si="324"/>
        <v>2.1898366255144039</v>
      </c>
      <c r="G104" s="381">
        <f t="shared" si="324"/>
        <v>2.3406920374942848</v>
      </c>
      <c r="H104" s="381">
        <f t="shared" si="324"/>
        <v>2.5019397111883359</v>
      </c>
      <c r="I104" s="381">
        <f t="shared" si="324"/>
        <v>2.6742955579590881</v>
      </c>
      <c r="J104" s="381">
        <f t="shared" si="324"/>
        <v>2.8585248075073806</v>
      </c>
      <c r="K104" s="381">
        <f t="shared" si="324"/>
        <v>3.0554454053578897</v>
      </c>
      <c r="L104" s="381">
        <f t="shared" si="324"/>
        <v>3.2659316443936555</v>
      </c>
      <c r="M104" s="381">
        <f t="shared" si="324"/>
        <v>3.4909180465629963</v>
      </c>
      <c r="N104" s="381">
        <f t="shared" si="324"/>
        <v>3.7314035119928914</v>
      </c>
      <c r="O104" s="399">
        <f t="shared" si="324"/>
        <v>3.9884557539301801</v>
      </c>
      <c r="P104" s="381">
        <f t="shared" si="324"/>
        <v>4.0783344964406201</v>
      </c>
      <c r="Q104" s="381">
        <f t="shared" si="324"/>
        <v>4.1702386314472166</v>
      </c>
      <c r="R104" s="381">
        <f t="shared" si="324"/>
        <v>4.2642138006072594</v>
      </c>
      <c r="S104" s="381">
        <f t="shared" si="324"/>
        <v>4.3603066741001104</v>
      </c>
      <c r="T104" s="381">
        <f t="shared" si="324"/>
        <v>4.4585649738046582</v>
      </c>
      <c r="U104" s="381">
        <f t="shared" si="324"/>
        <v>4.5590374969990766</v>
      </c>
      <c r="V104" s="381">
        <f t="shared" si="324"/>
        <v>4.6617741405946465</v>
      </c>
      <c r="W104" s="381">
        <f t="shared" si="324"/>
        <v>4.7668259259156853</v>
      </c>
      <c r="X104" s="381">
        <f t="shared" si="324"/>
        <v>4.8742450240378821</v>
      </c>
      <c r="Y104" s="381">
        <f t="shared" si="324"/>
        <v>4.9840847816976241</v>
      </c>
      <c r="Z104" s="381">
        <f t="shared" si="324"/>
        <v>5.0963997477851848</v>
      </c>
      <c r="AA104" s="399">
        <f t="shared" si="324"/>
        <v>5.2112457004349277</v>
      </c>
      <c r="AB104" s="381">
        <f t="shared" si="324"/>
        <v>5.2829817545299766</v>
      </c>
      <c r="AC104" s="381">
        <f t="shared" si="324"/>
        <v>5.3557053002446775</v>
      </c>
      <c r="AD104" s="381">
        <f t="shared" si="324"/>
        <v>5.4294299310183582</v>
      </c>
      <c r="AE104" s="381">
        <f t="shared" si="324"/>
        <v>5.5041694274125321</v>
      </c>
      <c r="AF104" s="381">
        <f t="shared" si="324"/>
        <v>5.5799377596867572</v>
      </c>
      <c r="AG104" s="381">
        <f t="shared" si="324"/>
        <v>5.6567490904099449</v>
      </c>
      <c r="AH104" s="381">
        <f t="shared" si="324"/>
        <v>5.7346177771076192</v>
      </c>
      <c r="AI104" s="381">
        <f t="shared" si="324"/>
        <v>5.8135583749456163</v>
      </c>
      <c r="AJ104" s="381">
        <f t="shared" ref="AJ104:BK104" si="325">AJ102*AJ103</f>
        <v>5.8935856394507269</v>
      </c>
      <c r="AK104" s="381">
        <f t="shared" si="325"/>
        <v>5.9747145292687911</v>
      </c>
      <c r="AL104" s="381">
        <f t="shared" si="325"/>
        <v>6.0569602089607564</v>
      </c>
      <c r="AM104" s="399">
        <f t="shared" si="325"/>
        <v>6.1403380518372304</v>
      </c>
      <c r="AN104" s="381">
        <f t="shared" si="325"/>
        <v>6.2499601425571134</v>
      </c>
      <c r="AO104" s="381">
        <f t="shared" si="325"/>
        <v>6.3615392921021545</v>
      </c>
      <c r="AP104" s="381">
        <f t="shared" si="325"/>
        <v>6.475110439408656</v>
      </c>
      <c r="AQ104" s="381">
        <f t="shared" si="325"/>
        <v>6.5907091471699886</v>
      </c>
      <c r="AR104" s="381">
        <f t="shared" si="325"/>
        <v>6.7083716129723818</v>
      </c>
      <c r="AS104" s="381">
        <f t="shared" si="325"/>
        <v>6.8281346806295309</v>
      </c>
      <c r="AT104" s="381">
        <f t="shared" si="325"/>
        <v>6.9500358517195471</v>
      </c>
      <c r="AU104" s="381">
        <f t="shared" si="325"/>
        <v>7.0741132973278846</v>
      </c>
      <c r="AV104" s="381">
        <f t="shared" si="325"/>
        <v>7.2004058699999023</v>
      </c>
      <c r="AW104" s="381">
        <f t="shared" si="325"/>
        <v>7.3289531159068169</v>
      </c>
      <c r="AX104" s="381">
        <f t="shared" si="325"/>
        <v>7.4597952872288538</v>
      </c>
      <c r="AY104" s="399">
        <f t="shared" si="325"/>
        <v>7.5929733547594651</v>
      </c>
      <c r="AZ104" s="381">
        <f t="shared" si="325"/>
        <v>7.7892833533689743</v>
      </c>
      <c r="BA104" s="381">
        <f t="shared" si="325"/>
        <v>7.9906687834008663</v>
      </c>
      <c r="BB104" s="381">
        <f t="shared" si="325"/>
        <v>8.1972608659050419</v>
      </c>
      <c r="BC104" s="381">
        <f t="shared" si="325"/>
        <v>8.4091942145422927</v>
      </c>
      <c r="BD104" s="381">
        <f t="shared" si="325"/>
        <v>8.6266069232974374</v>
      </c>
      <c r="BE104" s="381">
        <f t="shared" si="325"/>
        <v>8.8496406564601884</v>
      </c>
      <c r="BF104" s="381">
        <f t="shared" si="325"/>
        <v>9.0784407409324182</v>
      </c>
      <c r="BG104" s="381">
        <f t="shared" si="325"/>
        <v>9.3131562609219376</v>
      </c>
      <c r="BH104" s="381">
        <f t="shared" si="325"/>
        <v>9.5539401550845238</v>
      </c>
      <c r="BI104" s="381">
        <f t="shared" si="325"/>
        <v>9.8009493161774373</v>
      </c>
      <c r="BJ104" s="381">
        <f t="shared" si="325"/>
        <v>10.054344693289439</v>
      </c>
      <c r="BK104" s="399">
        <f t="shared" si="325"/>
        <v>10.314291396713857</v>
      </c>
    </row>
    <row r="105" spans="1:63" s="54" customFormat="1" hidden="1" outlineLevel="1">
      <c r="A105" s="857"/>
      <c r="B105" s="371" t="s">
        <v>348</v>
      </c>
      <c r="C105" s="365">
        <f>C106/C104</f>
        <v>0.39130434782608697</v>
      </c>
      <c r="D105" s="352">
        <f>C105</f>
        <v>0.39130434782608697</v>
      </c>
      <c r="E105" s="169">
        <f t="shared" ref="E105:O105" si="326">D105*((0.5*($K101/12))+1)</f>
        <v>0.39211956521739139</v>
      </c>
      <c r="F105" s="169">
        <f t="shared" si="326"/>
        <v>0.392936480978261</v>
      </c>
      <c r="G105" s="169">
        <f t="shared" si="326"/>
        <v>0.39375509864696573</v>
      </c>
      <c r="H105" s="169">
        <f t="shared" si="326"/>
        <v>0.39457542176914695</v>
      </c>
      <c r="I105" s="169">
        <f t="shared" si="326"/>
        <v>0.39539745389783271</v>
      </c>
      <c r="J105" s="169">
        <f t="shared" si="326"/>
        <v>0.39622119859345323</v>
      </c>
      <c r="K105" s="169">
        <f t="shared" si="326"/>
        <v>0.39704665942385631</v>
      </c>
      <c r="L105" s="169">
        <f t="shared" si="326"/>
        <v>0.39787383996432274</v>
      </c>
      <c r="M105" s="169">
        <f t="shared" si="326"/>
        <v>0.3987027437975818</v>
      </c>
      <c r="N105" s="169">
        <f t="shared" si="326"/>
        <v>0.39953337451382681</v>
      </c>
      <c r="O105" s="405">
        <f t="shared" si="326"/>
        <v>0.40036573571073064</v>
      </c>
      <c r="P105" s="169">
        <f t="shared" ref="P105:AA105" si="327">O105*((0.5*($W101/12))+1)</f>
        <v>0.40103301193691521</v>
      </c>
      <c r="Q105" s="169">
        <f t="shared" si="327"/>
        <v>0.4017014002901434</v>
      </c>
      <c r="R105" s="169">
        <f t="shared" si="327"/>
        <v>0.4023709026239603</v>
      </c>
      <c r="S105" s="169">
        <f t="shared" si="327"/>
        <v>0.40304152079500027</v>
      </c>
      <c r="T105" s="169">
        <f t="shared" si="327"/>
        <v>0.40371325666299196</v>
      </c>
      <c r="U105" s="169">
        <f t="shared" si="327"/>
        <v>0.40438611209076364</v>
      </c>
      <c r="V105" s="169">
        <f t="shared" si="327"/>
        <v>0.40506008894424828</v>
      </c>
      <c r="W105" s="169">
        <f t="shared" si="327"/>
        <v>0.40573518909248868</v>
      </c>
      <c r="X105" s="169">
        <f t="shared" si="327"/>
        <v>0.40641141440764283</v>
      </c>
      <c r="Y105" s="169">
        <f t="shared" si="327"/>
        <v>0.4070887667649889</v>
      </c>
      <c r="Z105" s="169">
        <f t="shared" si="327"/>
        <v>0.40776724804293057</v>
      </c>
      <c r="AA105" s="405">
        <f t="shared" si="327"/>
        <v>0.40844686012300213</v>
      </c>
      <c r="AB105" s="169">
        <f t="shared" ref="AB105:AM105" si="328">AA105*((0.5*($AI101/12))+1)</f>
        <v>0.40895741869815588</v>
      </c>
      <c r="AC105" s="169">
        <f t="shared" si="328"/>
        <v>0.40946861547152857</v>
      </c>
      <c r="AD105" s="169">
        <f t="shared" si="328"/>
        <v>0.40998045124086796</v>
      </c>
      <c r="AE105" s="169">
        <f t="shared" si="328"/>
        <v>0.41049292680491906</v>
      </c>
      <c r="AF105" s="169">
        <f t="shared" si="328"/>
        <v>0.41100604296342519</v>
      </c>
      <c r="AG105" s="169">
        <f t="shared" si="328"/>
        <v>0.41151980051712944</v>
      </c>
      <c r="AH105" s="169">
        <f t="shared" si="328"/>
        <v>0.41203420026777582</v>
      </c>
      <c r="AI105" s="169">
        <f t="shared" si="328"/>
        <v>0.41254924301811052</v>
      </c>
      <c r="AJ105" s="169">
        <f t="shared" si="328"/>
        <v>0.41306492957188318</v>
      </c>
      <c r="AK105" s="169">
        <f t="shared" si="328"/>
        <v>0.41358126073384804</v>
      </c>
      <c r="AL105" s="169">
        <f t="shared" si="328"/>
        <v>0.41409823730976536</v>
      </c>
      <c r="AM105" s="405">
        <f t="shared" si="328"/>
        <v>0.41461586010640256</v>
      </c>
      <c r="AN105" s="169">
        <f t="shared" ref="AN105:AY105" si="329">AM105*((0.5*($AU101/12))+1)</f>
        <v>0.41509957860986008</v>
      </c>
      <c r="AO105" s="169">
        <f t="shared" si="329"/>
        <v>0.41558386145157161</v>
      </c>
      <c r="AP105" s="169">
        <f t="shared" si="329"/>
        <v>0.41606870928993184</v>
      </c>
      <c r="AQ105" s="169">
        <f t="shared" si="329"/>
        <v>0.41655412278410348</v>
      </c>
      <c r="AR105" s="169">
        <f t="shared" si="329"/>
        <v>0.4170401025940183</v>
      </c>
      <c r="AS105" s="169">
        <f t="shared" si="329"/>
        <v>0.41752664938037803</v>
      </c>
      <c r="AT105" s="169">
        <f t="shared" si="329"/>
        <v>0.41801376380465516</v>
      </c>
      <c r="AU105" s="169">
        <f t="shared" si="329"/>
        <v>0.41850144652909393</v>
      </c>
      <c r="AV105" s="169">
        <f t="shared" si="329"/>
        <v>0.41898969821671123</v>
      </c>
      <c r="AW105" s="169">
        <f t="shared" si="329"/>
        <v>0.41947851953129744</v>
      </c>
      <c r="AX105" s="169">
        <f t="shared" si="329"/>
        <v>0.41996791113741733</v>
      </c>
      <c r="AY105" s="405">
        <f t="shared" si="329"/>
        <v>0.42045787370041104</v>
      </c>
      <c r="AZ105" s="169">
        <f t="shared" ref="AZ105:BK105" si="330">AY105*((0.5*($BG101/12))+1)</f>
        <v>0.42080825526182802</v>
      </c>
      <c r="BA105" s="169">
        <f t="shared" si="330"/>
        <v>0.42115892880787953</v>
      </c>
      <c r="BB105" s="169">
        <f t="shared" si="330"/>
        <v>0.42150989458188604</v>
      </c>
      <c r="BC105" s="169">
        <f t="shared" si="330"/>
        <v>0.42186115282737091</v>
      </c>
      <c r="BD105" s="169">
        <f t="shared" si="330"/>
        <v>0.42221270378806036</v>
      </c>
      <c r="BE105" s="169">
        <f t="shared" si="330"/>
        <v>0.42256454770788371</v>
      </c>
      <c r="BF105" s="169">
        <f t="shared" si="330"/>
        <v>0.42291668483097355</v>
      </c>
      <c r="BG105" s="169">
        <f t="shared" si="330"/>
        <v>0.42326911540166601</v>
      </c>
      <c r="BH105" s="169">
        <f t="shared" si="330"/>
        <v>0.42362183966450068</v>
      </c>
      <c r="BI105" s="169">
        <f t="shared" si="330"/>
        <v>0.42397485786422107</v>
      </c>
      <c r="BJ105" s="169">
        <f t="shared" si="330"/>
        <v>0.42432817024577457</v>
      </c>
      <c r="BK105" s="405">
        <f t="shared" si="330"/>
        <v>0.4246817770543127</v>
      </c>
    </row>
    <row r="106" spans="1:63" s="385" customFormat="1" hidden="1" outlineLevel="1">
      <c r="A106" s="859"/>
      <c r="B106" s="390" t="s">
        <v>285</v>
      </c>
      <c r="C106" s="391">
        <v>9</v>
      </c>
      <c r="D106" s="383">
        <f t="shared" ref="D106:AI106" si="331">D104*D105</f>
        <v>0.75000000000000011</v>
      </c>
      <c r="E106" s="384">
        <f t="shared" si="331"/>
        <v>0.80333680555555576</v>
      </c>
      <c r="F106" s="384">
        <f t="shared" si="331"/>
        <v>0.86046669754693983</v>
      </c>
      <c r="G106" s="384">
        <f t="shared" si="331"/>
        <v>0.92165942412572932</v>
      </c>
      <c r="H106" s="384">
        <f t="shared" si="331"/>
        <v>0.98720391678311536</v>
      </c>
      <c r="I106" s="384">
        <f t="shared" si="331"/>
        <v>1.0574096545873073</v>
      </c>
      <c r="J106" s="384">
        <f t="shared" si="331"/>
        <v>1.1326081254396945</v>
      </c>
      <c r="K106" s="384">
        <f t="shared" si="331"/>
        <v>1.2131543912493206</v>
      </c>
      <c r="L106" s="384">
        <f t="shared" si="331"/>
        <v>1.2994287644158986</v>
      </c>
      <c r="M106" s="384">
        <f t="shared" si="331"/>
        <v>1.391838603537161</v>
      </c>
      <c r="N106" s="384">
        <f t="shared" si="331"/>
        <v>1.4908202368192645</v>
      </c>
      <c r="O106" s="400">
        <f t="shared" si="331"/>
        <v>1.5968410222719533</v>
      </c>
      <c r="P106" s="384">
        <f t="shared" si="331"/>
        <v>1.6355467667938042</v>
      </c>
      <c r="Q106" s="384">
        <f t="shared" si="331"/>
        <v>1.6751906977963982</v>
      </c>
      <c r="R106" s="384">
        <f t="shared" si="331"/>
        <v>1.7157955559318911</v>
      </c>
      <c r="S106" s="384">
        <f t="shared" si="331"/>
        <v>1.7573846330618981</v>
      </c>
      <c r="T106" s="384">
        <f t="shared" si="331"/>
        <v>1.7999817856182261</v>
      </c>
      <c r="U106" s="384">
        <f t="shared" si="331"/>
        <v>1.843611448287463</v>
      </c>
      <c r="V106" s="384">
        <f t="shared" si="331"/>
        <v>1.8882986480272641</v>
      </c>
      <c r="W106" s="384">
        <f t="shared" si="331"/>
        <v>1.9340690184223781</v>
      </c>
      <c r="X106" s="384">
        <f t="shared" si="331"/>
        <v>1.9809488143886507</v>
      </c>
      <c r="Y106" s="384">
        <f t="shared" si="331"/>
        <v>2.0289649272334347</v>
      </c>
      <c r="Z106" s="384">
        <f t="shared" si="331"/>
        <v>2.0781449000810501</v>
      </c>
      <c r="AA106" s="400">
        <f t="shared" si="331"/>
        <v>2.1285169436721412</v>
      </c>
      <c r="AB106" s="384">
        <f t="shared" si="331"/>
        <v>2.1605145813620337</v>
      </c>
      <c r="AC106" s="384">
        <f t="shared" si="331"/>
        <v>2.1929932341647151</v>
      </c>
      <c r="AD106" s="384">
        <f t="shared" si="331"/>
        <v>2.2259601330995813</v>
      </c>
      <c r="AE106" s="384">
        <f t="shared" si="331"/>
        <v>2.2594226178887258</v>
      </c>
      <c r="AF106" s="384">
        <f t="shared" si="331"/>
        <v>2.2933881385910539</v>
      </c>
      <c r="AG106" s="384">
        <f t="shared" si="331"/>
        <v>2.3278642572609538</v>
      </c>
      <c r="AH106" s="384">
        <f t="shared" si="331"/>
        <v>2.3628586496319079</v>
      </c>
      <c r="AI106" s="384">
        <f t="shared" si="331"/>
        <v>2.3983791068254106</v>
      </c>
      <c r="AJ106" s="384">
        <f t="shared" ref="AJ106:BK106" si="332">AJ104*AJ105</f>
        <v>2.4344335370855767</v>
      </c>
      <c r="AK106" s="384">
        <f t="shared" si="332"/>
        <v>2.4710299675398262</v>
      </c>
      <c r="AL106" s="384">
        <f t="shared" si="332"/>
        <v>2.5081765459860375</v>
      </c>
      <c r="AM106" s="400">
        <f t="shared" si="332"/>
        <v>2.5458815427065655</v>
      </c>
      <c r="AN106" s="384">
        <f t="shared" si="332"/>
        <v>2.5943558215038789</v>
      </c>
      <c r="AO106" s="384">
        <f t="shared" si="332"/>
        <v>2.6437530637877109</v>
      </c>
      <c r="AP106" s="384">
        <f t="shared" si="332"/>
        <v>2.6940908430345227</v>
      </c>
      <c r="AQ106" s="384">
        <f t="shared" si="332"/>
        <v>2.7453870673245615</v>
      </c>
      <c r="AR106" s="384">
        <f t="shared" si="332"/>
        <v>2.7976599857128019</v>
      </c>
      <c r="AS106" s="384">
        <f t="shared" si="332"/>
        <v>2.8509281947212055</v>
      </c>
      <c r="AT106" s="384">
        <f t="shared" si="332"/>
        <v>2.9052106449545803</v>
      </c>
      <c r="AU106" s="384">
        <f t="shared" si="332"/>
        <v>2.9605266478424181</v>
      </c>
      <c r="AV106" s="384">
        <f t="shared" si="332"/>
        <v>3.016895882509095</v>
      </c>
      <c r="AW106" s="384">
        <f t="shared" si="332"/>
        <v>3.074338402774881</v>
      </c>
      <c r="AX106" s="384">
        <f t="shared" si="332"/>
        <v>3.132874644290252</v>
      </c>
      <c r="AY106" s="400">
        <f t="shared" si="332"/>
        <v>3.1925254318060414</v>
      </c>
      <c r="AZ106" s="384">
        <f t="shared" si="332"/>
        <v>3.2777947376711989</v>
      </c>
      <c r="BA106" s="384">
        <f t="shared" si="332"/>
        <v>3.3653415052756706</v>
      </c>
      <c r="BB106" s="384">
        <f t="shared" si="332"/>
        <v>3.4552265634478538</v>
      </c>
      <c r="BC106" s="384">
        <f t="shared" si="332"/>
        <v>3.5475123656960692</v>
      </c>
      <c r="BD106" s="384">
        <f t="shared" si="332"/>
        <v>3.6422630336022115</v>
      </c>
      <c r="BE106" s="384">
        <f t="shared" si="332"/>
        <v>3.7395444013743986</v>
      </c>
      <c r="BF106" s="384">
        <f t="shared" si="332"/>
        <v>3.8394240615895856</v>
      </c>
      <c r="BG106" s="384">
        <f t="shared" si="332"/>
        <v>3.9419714121579159</v>
      </c>
      <c r="BH106" s="384">
        <f t="shared" si="332"/>
        <v>4.0472577045414511</v>
      </c>
      <c r="BI106" s="384">
        <f t="shared" si="332"/>
        <v>4.1553560932607638</v>
      </c>
      <c r="BJ106" s="384">
        <f t="shared" si="332"/>
        <v>4.2663416867238206</v>
      </c>
      <c r="BK106" s="400">
        <f t="shared" si="332"/>
        <v>4.3802915994124501</v>
      </c>
    </row>
    <row r="107" spans="1:63" s="339" customFormat="1" ht="6.75" hidden="1" customHeight="1" outlineLevel="1">
      <c r="A107" s="854"/>
      <c r="B107" s="373"/>
      <c r="C107" s="357"/>
      <c r="D107" s="349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40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40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401"/>
      <c r="AN107" s="341"/>
      <c r="AO107" s="341"/>
      <c r="AP107" s="341"/>
      <c r="AQ107" s="341"/>
      <c r="AR107" s="341"/>
      <c r="AS107" s="341"/>
      <c r="AT107" s="341"/>
      <c r="AU107" s="341"/>
      <c r="AV107" s="341"/>
      <c r="AW107" s="341"/>
      <c r="AX107" s="341"/>
      <c r="AY107" s="401"/>
      <c r="AZ107" s="341"/>
      <c r="BA107" s="341"/>
      <c r="BB107" s="341"/>
      <c r="BC107" s="341"/>
      <c r="BD107" s="341"/>
      <c r="BE107" s="341"/>
      <c r="BF107" s="341"/>
      <c r="BG107" s="341"/>
      <c r="BH107" s="341"/>
      <c r="BI107" s="341"/>
      <c r="BJ107" s="341"/>
      <c r="BK107" s="401"/>
    </row>
    <row r="108" spans="1:63" s="248" customFormat="1" hidden="1" outlineLevel="1">
      <c r="A108" s="860"/>
      <c r="B108" s="374" t="s">
        <v>321</v>
      </c>
      <c r="C108" s="358">
        <v>8600</v>
      </c>
      <c r="D108" s="353">
        <f>C108</f>
        <v>8600</v>
      </c>
      <c r="E108" s="249">
        <f t="shared" ref="E108:O108" si="333">D108*((1+$G101/12))</f>
        <v>8621.5</v>
      </c>
      <c r="F108" s="249">
        <f t="shared" si="333"/>
        <v>8643.0537499999991</v>
      </c>
      <c r="G108" s="249">
        <f t="shared" si="333"/>
        <v>8664.6613843749983</v>
      </c>
      <c r="H108" s="249">
        <f t="shared" si="333"/>
        <v>8686.3230378359349</v>
      </c>
      <c r="I108" s="249">
        <f t="shared" si="333"/>
        <v>8708.0388454305248</v>
      </c>
      <c r="J108" s="249">
        <f t="shared" si="333"/>
        <v>8729.8089425441012</v>
      </c>
      <c r="K108" s="249">
        <f t="shared" si="333"/>
        <v>8751.6334649004602</v>
      </c>
      <c r="L108" s="249">
        <f t="shared" si="333"/>
        <v>8773.5125485627104</v>
      </c>
      <c r="M108" s="249">
        <f t="shared" si="333"/>
        <v>8795.4463299341169</v>
      </c>
      <c r="N108" s="249">
        <f t="shared" si="333"/>
        <v>8817.4349457589524</v>
      </c>
      <c r="O108" s="402">
        <f t="shared" si="333"/>
        <v>8839.4785331233488</v>
      </c>
      <c r="P108" s="249">
        <f t="shared" ref="P108:AA108" si="334">O108*((1+$S101/12))</f>
        <v>8857.8941134006909</v>
      </c>
      <c r="Q108" s="249">
        <f t="shared" si="334"/>
        <v>8876.348059470276</v>
      </c>
      <c r="R108" s="249">
        <f t="shared" si="334"/>
        <v>8894.8404512608395</v>
      </c>
      <c r="S108" s="249">
        <f t="shared" si="334"/>
        <v>8913.3713688676344</v>
      </c>
      <c r="T108" s="249">
        <f t="shared" si="334"/>
        <v>8931.9408925527769</v>
      </c>
      <c r="U108" s="249">
        <f t="shared" si="334"/>
        <v>8950.5491027455955</v>
      </c>
      <c r="V108" s="249">
        <f t="shared" si="334"/>
        <v>8969.1960800429824</v>
      </c>
      <c r="W108" s="249">
        <f t="shared" si="334"/>
        <v>8987.8819052097388</v>
      </c>
      <c r="X108" s="249">
        <f t="shared" si="334"/>
        <v>9006.6066591789258</v>
      </c>
      <c r="Y108" s="249">
        <f t="shared" si="334"/>
        <v>9025.3704230522162</v>
      </c>
      <c r="Z108" s="249">
        <f t="shared" si="334"/>
        <v>9044.1732781002429</v>
      </c>
      <c r="AA108" s="402">
        <f t="shared" si="334"/>
        <v>9063.0153057629523</v>
      </c>
      <c r="AB108" s="249">
        <f t="shared" ref="AB108:AM108" si="335">AA108*((1+$AE101/12))</f>
        <v>9081.8965876499587</v>
      </c>
      <c r="AC108" s="249">
        <f t="shared" si="335"/>
        <v>9100.8172055408977</v>
      </c>
      <c r="AD108" s="249">
        <f t="shared" si="335"/>
        <v>9119.7772413857747</v>
      </c>
      <c r="AE108" s="249">
        <f t="shared" si="335"/>
        <v>9138.7767773053292</v>
      </c>
      <c r="AF108" s="249">
        <f t="shared" si="335"/>
        <v>9157.8158955913823</v>
      </c>
      <c r="AG108" s="249">
        <f t="shared" si="335"/>
        <v>9176.8946787071982</v>
      </c>
      <c r="AH108" s="249">
        <f t="shared" si="335"/>
        <v>9196.0132092878393</v>
      </c>
      <c r="AI108" s="249">
        <f t="shared" si="335"/>
        <v>9215.1715701405228</v>
      </c>
      <c r="AJ108" s="249">
        <f t="shared" si="335"/>
        <v>9234.3698442449841</v>
      </c>
      <c r="AK108" s="249">
        <f t="shared" si="335"/>
        <v>9253.608114753828</v>
      </c>
      <c r="AL108" s="249">
        <f t="shared" si="335"/>
        <v>9272.8864649929001</v>
      </c>
      <c r="AM108" s="402">
        <f t="shared" si="335"/>
        <v>9292.2049784616356</v>
      </c>
      <c r="AN108" s="249">
        <f t="shared" ref="AN108:AY108" si="336">AM108*((1+$AQ101/12))</f>
        <v>9309.2406875888155</v>
      </c>
      <c r="AO108" s="249">
        <f t="shared" si="336"/>
        <v>9326.3076288493958</v>
      </c>
      <c r="AP108" s="249">
        <f t="shared" si="336"/>
        <v>9343.4058595022871</v>
      </c>
      <c r="AQ108" s="249">
        <f t="shared" si="336"/>
        <v>9360.5354369113757</v>
      </c>
      <c r="AR108" s="249">
        <f t="shared" si="336"/>
        <v>9377.6964185457127</v>
      </c>
      <c r="AS108" s="249">
        <f t="shared" si="336"/>
        <v>9394.8888619797126</v>
      </c>
      <c r="AT108" s="249">
        <f t="shared" si="336"/>
        <v>9412.1128248933419</v>
      </c>
      <c r="AU108" s="249">
        <f t="shared" si="336"/>
        <v>9429.3683650723124</v>
      </c>
      <c r="AV108" s="249">
        <f t="shared" si="336"/>
        <v>9446.6555404082792</v>
      </c>
      <c r="AW108" s="249">
        <f t="shared" si="336"/>
        <v>9463.9744088990283</v>
      </c>
      <c r="AX108" s="249">
        <f t="shared" si="336"/>
        <v>9481.3250286486764</v>
      </c>
      <c r="AY108" s="402">
        <f t="shared" si="336"/>
        <v>9498.7074578678657</v>
      </c>
      <c r="AZ108" s="249">
        <f t="shared" ref="AZ108:BK108" si="337">AY108*((1+$BC101/12))</f>
        <v>9514.5386369643129</v>
      </c>
      <c r="BA108" s="249">
        <f t="shared" si="337"/>
        <v>9530.3962013592536</v>
      </c>
      <c r="BB108" s="249">
        <f t="shared" si="337"/>
        <v>9546.2801950281864</v>
      </c>
      <c r="BC108" s="249">
        <f t="shared" si="337"/>
        <v>9562.1906620199006</v>
      </c>
      <c r="BD108" s="249">
        <f t="shared" si="337"/>
        <v>9578.1276464566017</v>
      </c>
      <c r="BE108" s="249">
        <f t="shared" si="337"/>
        <v>9594.0911925340297</v>
      </c>
      <c r="BF108" s="249">
        <f t="shared" si="337"/>
        <v>9610.0813445215863</v>
      </c>
      <c r="BG108" s="249">
        <f t="shared" si="337"/>
        <v>9626.0981467624551</v>
      </c>
      <c r="BH108" s="249">
        <f t="shared" si="337"/>
        <v>9642.1416436737254</v>
      </c>
      <c r="BI108" s="249">
        <f t="shared" si="337"/>
        <v>9658.2118797465155</v>
      </c>
      <c r="BJ108" s="249">
        <f t="shared" si="337"/>
        <v>9674.308899546093</v>
      </c>
      <c r="BK108" s="402">
        <f t="shared" si="337"/>
        <v>9690.4327477120041</v>
      </c>
    </row>
    <row r="109" spans="1:63" s="334" customFormat="1" hidden="1" outlineLevel="1">
      <c r="A109" s="861"/>
      <c r="B109" s="372" t="s">
        <v>261</v>
      </c>
      <c r="C109" s="359">
        <f t="shared" ref="C109:AH109" si="338">C108*C106</f>
        <v>77400</v>
      </c>
      <c r="D109" s="354">
        <f t="shared" si="338"/>
        <v>6450.0000000000009</v>
      </c>
      <c r="E109" s="335">
        <f t="shared" si="338"/>
        <v>6925.968269097224</v>
      </c>
      <c r="F109" s="335">
        <f t="shared" si="338"/>
        <v>7437.059916983193</v>
      </c>
      <c r="G109" s="335">
        <f t="shared" si="338"/>
        <v>7985.8668217675058</v>
      </c>
      <c r="H109" s="335">
        <f t="shared" si="338"/>
        <v>8575.1721253950436</v>
      </c>
      <c r="I109" s="335">
        <f t="shared" si="338"/>
        <v>9207.9643476795463</v>
      </c>
      <c r="J109" s="335">
        <f t="shared" si="338"/>
        <v>9887.4525418615558</v>
      </c>
      <c r="K109" s="335">
        <f t="shared" si="338"/>
        <v>10617.0825685485</v>
      </c>
      <c r="L109" s="335">
        <f t="shared" si="338"/>
        <v>11400.554570566224</v>
      </c>
      <c r="M109" s="335">
        <f t="shared" si="338"/>
        <v>12241.841737341549</v>
      </c>
      <c r="N109" s="335">
        <f t="shared" si="338"/>
        <v>13145.21045397482</v>
      </c>
      <c r="O109" s="403">
        <f t="shared" si="338"/>
        <v>14115.241937183675</v>
      </c>
      <c r="P109" s="335">
        <f t="shared" si="338"/>
        <v>14487.50007777437</v>
      </c>
      <c r="Q109" s="335">
        <f t="shared" si="338"/>
        <v>14869.575699627716</v>
      </c>
      <c r="R109" s="335">
        <f t="shared" si="338"/>
        <v>15261.727716996566</v>
      </c>
      <c r="S109" s="335">
        <f t="shared" si="338"/>
        <v>15664.221872421876</v>
      </c>
      <c r="T109" s="335">
        <f t="shared" si="338"/>
        <v>16077.3309168136</v>
      </c>
      <c r="U109" s="335">
        <f t="shared" si="338"/>
        <v>16501.334794280861</v>
      </c>
      <c r="V109" s="335">
        <f t="shared" si="338"/>
        <v>16936.520831836602</v>
      </c>
      <c r="W109" s="335">
        <f t="shared" si="338"/>
        <v>17383.183934105255</v>
      </c>
      <c r="X109" s="335">
        <f t="shared" si="338"/>
        <v>17841.626783165419</v>
      </c>
      <c r="Y109" s="335">
        <f t="shared" si="338"/>
        <v>18312.160043662934</v>
      </c>
      <c r="Z109" s="335">
        <f t="shared" si="338"/>
        <v>18795.102573333334</v>
      </c>
      <c r="AA109" s="403">
        <f t="shared" si="338"/>
        <v>19290.781639076395</v>
      </c>
      <c r="AB109" s="335">
        <f t="shared" si="338"/>
        <v>19621.570004039833</v>
      </c>
      <c r="AC109" s="335">
        <f t="shared" si="338"/>
        <v>19958.030557121019</v>
      </c>
      <c r="AD109" s="335">
        <f t="shared" si="338"/>
        <v>20300.26056207361</v>
      </c>
      <c r="AE109" s="335">
        <f t="shared" si="338"/>
        <v>20648.358950479898</v>
      </c>
      <c r="AF109" s="335">
        <f t="shared" si="338"/>
        <v>21002.426350349884</v>
      </c>
      <c r="AG109" s="335">
        <f t="shared" si="338"/>
        <v>21362.565115210731</v>
      </c>
      <c r="AH109" s="335">
        <f t="shared" si="338"/>
        <v>21728.879353695051</v>
      </c>
      <c r="AI109" s="335">
        <f t="shared" ref="AI109:BK109" si="339">AI108*AI106</f>
        <v>22101.474959636544</v>
      </c>
      <c r="AJ109" s="335">
        <f t="shared" si="339"/>
        <v>22480.459642681704</v>
      </c>
      <c r="AK109" s="335">
        <f t="shared" si="339"/>
        <v>22865.942959426422</v>
      </c>
      <c r="AL109" s="335">
        <f t="shared" si="339"/>
        <v>23258.03634508657</v>
      </c>
      <c r="AM109" s="403">
        <f t="shared" si="339"/>
        <v>23656.853145711539</v>
      </c>
      <c r="AN109" s="335">
        <f t="shared" si="339"/>
        <v>24151.482771626816</v>
      </c>
      <c r="AO109" s="335">
        <f t="shared" si="339"/>
        <v>24656.454367597293</v>
      </c>
      <c r="AP109" s="335">
        <f t="shared" si="339"/>
        <v>25171.984168840216</v>
      </c>
      <c r="AQ109" s="335">
        <f t="shared" si="339"/>
        <v>25698.292931729753</v>
      </c>
      <c r="AR109" s="335">
        <f t="shared" si="339"/>
        <v>26235.606028327591</v>
      </c>
      <c r="AS109" s="335">
        <f t="shared" si="339"/>
        <v>26784.153542890184</v>
      </c>
      <c r="AT109" s="335">
        <f t="shared" si="339"/>
        <v>27344.170370393662</v>
      </c>
      <c r="AU109" s="335">
        <f t="shared" si="339"/>
        <v>27915.896317118877</v>
      </c>
      <c r="AV109" s="335">
        <f t="shared" si="339"/>
        <v>28499.576203339468</v>
      </c>
      <c r="AW109" s="335">
        <f t="shared" si="339"/>
        <v>29095.459968156989</v>
      </c>
      <c r="AX109" s="335">
        <f t="shared" si="339"/>
        <v>29703.802776527984</v>
      </c>
      <c r="AY109" s="403">
        <f t="shared" si="339"/>
        <v>30324.865128528872</v>
      </c>
      <c r="AZ109" s="335">
        <f t="shared" si="339"/>
        <v>31186.704675610927</v>
      </c>
      <c r="BA109" s="335">
        <f t="shared" si="339"/>
        <v>32073.037898155882</v>
      </c>
      <c r="BB109" s="335">
        <f t="shared" si="339"/>
        <v>32984.560911977547</v>
      </c>
      <c r="BC109" s="335">
        <f t="shared" si="339"/>
        <v>33921.989616659077</v>
      </c>
      <c r="BD109" s="335">
        <f t="shared" si="339"/>
        <v>34886.060257812234</v>
      </c>
      <c r="BE109" s="335">
        <f t="shared" si="339"/>
        <v>35877.530005316061</v>
      </c>
      <c r="BF109" s="335">
        <f t="shared" si="339"/>
        <v>36897.177547989377</v>
      </c>
      <c r="BG109" s="335">
        <f t="shared" si="339"/>
        <v>37945.803705163889</v>
      </c>
      <c r="BH109" s="335">
        <f t="shared" si="339"/>
        <v>39024.232055638458</v>
      </c>
      <c r="BI109" s="335">
        <f t="shared" si="339"/>
        <v>40133.309584508177</v>
      </c>
      <c r="BJ109" s="335">
        <f t="shared" si="339"/>
        <v>41273.90734837675</v>
      </c>
      <c r="BK109" s="403">
        <f t="shared" si="339"/>
        <v>42446.921159474201</v>
      </c>
    </row>
    <row r="110" spans="1:63" s="339" customFormat="1" ht="4.5" hidden="1" customHeight="1" outlineLevel="1">
      <c r="A110" s="854"/>
      <c r="B110" s="373"/>
      <c r="C110" s="360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40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40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40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401"/>
      <c r="AZ110" s="341"/>
      <c r="BA110" s="341"/>
      <c r="BB110" s="341"/>
      <c r="BC110" s="341"/>
      <c r="BD110" s="341"/>
      <c r="BE110" s="341"/>
      <c r="BF110" s="341"/>
      <c r="BG110" s="341"/>
      <c r="BH110" s="341"/>
      <c r="BI110" s="341"/>
      <c r="BJ110" s="341"/>
      <c r="BK110" s="401"/>
    </row>
    <row r="111" spans="1:63" s="248" customFormat="1" hidden="1" outlineLevel="1">
      <c r="A111" s="860"/>
      <c r="B111" s="374" t="s">
        <v>346</v>
      </c>
      <c r="C111" s="358">
        <v>14000</v>
      </c>
      <c r="D111" s="353">
        <f>C111/12</f>
        <v>1166.6666666666667</v>
      </c>
      <c r="E111" s="249">
        <f t="shared" ref="E111:O111" si="340">D111*(1+($I101/12))</f>
        <v>1195.8333333333333</v>
      </c>
      <c r="F111" s="249">
        <f t="shared" si="340"/>
        <v>1225.7291666666665</v>
      </c>
      <c r="G111" s="249">
        <f t="shared" si="340"/>
        <v>1256.372395833333</v>
      </c>
      <c r="H111" s="249">
        <f t="shared" si="340"/>
        <v>1287.7817057291663</v>
      </c>
      <c r="I111" s="249">
        <f t="shared" si="340"/>
        <v>1319.9762483723953</v>
      </c>
      <c r="J111" s="249">
        <f t="shared" si="340"/>
        <v>1352.9756545817049</v>
      </c>
      <c r="K111" s="249">
        <f t="shared" si="340"/>
        <v>1386.8000459462473</v>
      </c>
      <c r="L111" s="249">
        <f t="shared" si="340"/>
        <v>1421.4700470949033</v>
      </c>
      <c r="M111" s="249">
        <f t="shared" si="340"/>
        <v>1457.0067982722758</v>
      </c>
      <c r="N111" s="249">
        <f t="shared" si="340"/>
        <v>1493.4319682290825</v>
      </c>
      <c r="O111" s="402">
        <f t="shared" si="340"/>
        <v>1530.7677674348095</v>
      </c>
      <c r="P111" s="249">
        <f t="shared" ref="P111:AA111" si="341">O111*(1+($U101/12))</f>
        <v>1559.4696630742121</v>
      </c>
      <c r="Q111" s="249">
        <f t="shared" si="341"/>
        <v>1588.7097192568538</v>
      </c>
      <c r="R111" s="249">
        <f t="shared" si="341"/>
        <v>1618.4980264929197</v>
      </c>
      <c r="S111" s="249">
        <f t="shared" si="341"/>
        <v>1648.8448644896621</v>
      </c>
      <c r="T111" s="249">
        <f t="shared" si="341"/>
        <v>1679.7607056988434</v>
      </c>
      <c r="U111" s="249">
        <f t="shared" si="341"/>
        <v>1711.2562189306968</v>
      </c>
      <c r="V111" s="249">
        <f t="shared" si="341"/>
        <v>1743.3422730356474</v>
      </c>
      <c r="W111" s="249">
        <f t="shared" si="341"/>
        <v>1776.029940655066</v>
      </c>
      <c r="X111" s="249">
        <f t="shared" si="341"/>
        <v>1809.3305020423486</v>
      </c>
      <c r="Y111" s="249">
        <f t="shared" si="341"/>
        <v>1843.2554489556428</v>
      </c>
      <c r="Z111" s="249">
        <f t="shared" si="341"/>
        <v>1877.8164886235611</v>
      </c>
      <c r="AA111" s="402">
        <f t="shared" si="341"/>
        <v>1913.0255477852529</v>
      </c>
      <c r="AB111" s="249">
        <f t="shared" ref="AB111:AM111" si="342">AA111*(1+($AG101/12))</f>
        <v>1932.1558032631056</v>
      </c>
      <c r="AC111" s="249">
        <f t="shared" si="342"/>
        <v>1951.4773612957367</v>
      </c>
      <c r="AD111" s="249">
        <f t="shared" si="342"/>
        <v>1970.9921349086942</v>
      </c>
      <c r="AE111" s="249">
        <f t="shared" si="342"/>
        <v>1990.7020562577811</v>
      </c>
      <c r="AF111" s="249">
        <f t="shared" si="342"/>
        <v>2010.609076820359</v>
      </c>
      <c r="AG111" s="249">
        <f t="shared" si="342"/>
        <v>2030.7151675885625</v>
      </c>
      <c r="AH111" s="249">
        <f t="shared" si="342"/>
        <v>2051.022319264448</v>
      </c>
      <c r="AI111" s="249">
        <f t="shared" si="342"/>
        <v>2071.5325424570924</v>
      </c>
      <c r="AJ111" s="249">
        <f t="shared" si="342"/>
        <v>2092.2478678816633</v>
      </c>
      <c r="AK111" s="249">
        <f t="shared" si="342"/>
        <v>2113.1703465604801</v>
      </c>
      <c r="AL111" s="249">
        <f t="shared" si="342"/>
        <v>2134.302050026085</v>
      </c>
      <c r="AM111" s="402">
        <f t="shared" si="342"/>
        <v>2155.645070526346</v>
      </c>
      <c r="AN111" s="249">
        <f t="shared" ref="AN111:AY111" si="343">AM111*(1+($AS101/12))</f>
        <v>2166.4232958789776</v>
      </c>
      <c r="AO111" s="249">
        <f t="shared" si="343"/>
        <v>2177.2554123583723</v>
      </c>
      <c r="AP111" s="249">
        <f t="shared" si="343"/>
        <v>2188.1416894201639</v>
      </c>
      <c r="AQ111" s="249">
        <f t="shared" si="343"/>
        <v>2199.0823978672643</v>
      </c>
      <c r="AR111" s="249">
        <f t="shared" si="343"/>
        <v>2210.0778098566002</v>
      </c>
      <c r="AS111" s="249">
        <f t="shared" si="343"/>
        <v>2221.128198905883</v>
      </c>
      <c r="AT111" s="249">
        <f t="shared" si="343"/>
        <v>2232.233839900412</v>
      </c>
      <c r="AU111" s="249">
        <f t="shared" si="343"/>
        <v>2243.3950090999138</v>
      </c>
      <c r="AV111" s="249">
        <f t="shared" si="343"/>
        <v>2254.6119841454129</v>
      </c>
      <c r="AW111" s="249">
        <f t="shared" si="343"/>
        <v>2265.8850440661395</v>
      </c>
      <c r="AX111" s="249">
        <f t="shared" si="343"/>
        <v>2277.2144692864699</v>
      </c>
      <c r="AY111" s="402">
        <f t="shared" si="343"/>
        <v>2288.6005416329022</v>
      </c>
      <c r="AZ111" s="249">
        <f t="shared" ref="AZ111:BK111" si="344">AY111*(1+($BES101/12))</f>
        <v>2288.6005416329022</v>
      </c>
      <c r="BA111" s="249">
        <f t="shared" si="344"/>
        <v>2288.6005416329022</v>
      </c>
      <c r="BB111" s="249">
        <f t="shared" si="344"/>
        <v>2288.6005416329022</v>
      </c>
      <c r="BC111" s="249">
        <f t="shared" si="344"/>
        <v>2288.6005416329022</v>
      </c>
      <c r="BD111" s="249">
        <f t="shared" si="344"/>
        <v>2288.6005416329022</v>
      </c>
      <c r="BE111" s="249">
        <f t="shared" si="344"/>
        <v>2288.6005416329022</v>
      </c>
      <c r="BF111" s="249">
        <f t="shared" si="344"/>
        <v>2288.6005416329022</v>
      </c>
      <c r="BG111" s="249">
        <f t="shared" si="344"/>
        <v>2288.6005416329022</v>
      </c>
      <c r="BH111" s="249">
        <f t="shared" si="344"/>
        <v>2288.6005416329022</v>
      </c>
      <c r="BI111" s="249">
        <f t="shared" si="344"/>
        <v>2288.6005416329022</v>
      </c>
      <c r="BJ111" s="249">
        <f t="shared" si="344"/>
        <v>2288.6005416329022</v>
      </c>
      <c r="BK111" s="402">
        <f t="shared" si="344"/>
        <v>2288.6005416329022</v>
      </c>
    </row>
    <row r="112" spans="1:63" s="54" customFormat="1" hidden="1" outlineLevel="1">
      <c r="A112" s="857"/>
      <c r="B112" s="370" t="s">
        <v>345</v>
      </c>
      <c r="C112" s="361">
        <v>0.08</v>
      </c>
      <c r="D112" s="355">
        <f>M101</f>
        <v>0.1</v>
      </c>
      <c r="E112" s="169">
        <f t="shared" ref="E112:O112" si="345">D112</f>
        <v>0.1</v>
      </c>
      <c r="F112" s="169">
        <f t="shared" si="345"/>
        <v>0.1</v>
      </c>
      <c r="G112" s="169">
        <f t="shared" si="345"/>
        <v>0.1</v>
      </c>
      <c r="H112" s="169">
        <f t="shared" si="345"/>
        <v>0.1</v>
      </c>
      <c r="I112" s="169">
        <f t="shared" si="345"/>
        <v>0.1</v>
      </c>
      <c r="J112" s="169">
        <f t="shared" si="345"/>
        <v>0.1</v>
      </c>
      <c r="K112" s="169">
        <f t="shared" si="345"/>
        <v>0.1</v>
      </c>
      <c r="L112" s="169">
        <f t="shared" si="345"/>
        <v>0.1</v>
      </c>
      <c r="M112" s="169">
        <f t="shared" si="345"/>
        <v>0.1</v>
      </c>
      <c r="N112" s="169">
        <f t="shared" si="345"/>
        <v>0.1</v>
      </c>
      <c r="O112" s="405">
        <f t="shared" si="345"/>
        <v>0.1</v>
      </c>
      <c r="P112" s="169">
        <f t="shared" ref="P112:AA112" si="346">$Y101</f>
        <v>0.1</v>
      </c>
      <c r="Q112" s="169">
        <f t="shared" si="346"/>
        <v>0.1</v>
      </c>
      <c r="R112" s="169">
        <f t="shared" si="346"/>
        <v>0.1</v>
      </c>
      <c r="S112" s="169">
        <f t="shared" si="346"/>
        <v>0.1</v>
      </c>
      <c r="T112" s="169">
        <f t="shared" si="346"/>
        <v>0.1</v>
      </c>
      <c r="U112" s="169">
        <f t="shared" si="346"/>
        <v>0.1</v>
      </c>
      <c r="V112" s="169">
        <f t="shared" si="346"/>
        <v>0.1</v>
      </c>
      <c r="W112" s="169">
        <f t="shared" si="346"/>
        <v>0.1</v>
      </c>
      <c r="X112" s="169">
        <f t="shared" si="346"/>
        <v>0.1</v>
      </c>
      <c r="Y112" s="169">
        <f t="shared" si="346"/>
        <v>0.1</v>
      </c>
      <c r="Z112" s="169">
        <f t="shared" si="346"/>
        <v>0.1</v>
      </c>
      <c r="AA112" s="405">
        <f t="shared" si="346"/>
        <v>0.1</v>
      </c>
      <c r="AB112" s="169">
        <f t="shared" ref="AB112:AM112" si="347">$AK101</f>
        <v>0.1</v>
      </c>
      <c r="AC112" s="169">
        <f t="shared" si="347"/>
        <v>0.1</v>
      </c>
      <c r="AD112" s="169">
        <f t="shared" si="347"/>
        <v>0.1</v>
      </c>
      <c r="AE112" s="169">
        <f t="shared" si="347"/>
        <v>0.1</v>
      </c>
      <c r="AF112" s="169">
        <f t="shared" si="347"/>
        <v>0.1</v>
      </c>
      <c r="AG112" s="169">
        <f t="shared" si="347"/>
        <v>0.1</v>
      </c>
      <c r="AH112" s="169">
        <f t="shared" si="347"/>
        <v>0.1</v>
      </c>
      <c r="AI112" s="169">
        <f t="shared" si="347"/>
        <v>0.1</v>
      </c>
      <c r="AJ112" s="169">
        <f t="shared" si="347"/>
        <v>0.1</v>
      </c>
      <c r="AK112" s="169">
        <f t="shared" si="347"/>
        <v>0.1</v>
      </c>
      <c r="AL112" s="169">
        <f t="shared" si="347"/>
        <v>0.1</v>
      </c>
      <c r="AM112" s="405">
        <f t="shared" si="347"/>
        <v>0.1</v>
      </c>
      <c r="AN112" s="169">
        <f t="shared" ref="AN112:AY112" si="348">$AW101</f>
        <v>0.1</v>
      </c>
      <c r="AO112" s="169">
        <f t="shared" si="348"/>
        <v>0.1</v>
      </c>
      <c r="AP112" s="169">
        <f t="shared" si="348"/>
        <v>0.1</v>
      </c>
      <c r="AQ112" s="169">
        <f t="shared" si="348"/>
        <v>0.1</v>
      </c>
      <c r="AR112" s="169">
        <f t="shared" si="348"/>
        <v>0.1</v>
      </c>
      <c r="AS112" s="169">
        <f t="shared" si="348"/>
        <v>0.1</v>
      </c>
      <c r="AT112" s="169">
        <f t="shared" si="348"/>
        <v>0.1</v>
      </c>
      <c r="AU112" s="169">
        <f t="shared" si="348"/>
        <v>0.1</v>
      </c>
      <c r="AV112" s="169">
        <f t="shared" si="348"/>
        <v>0.1</v>
      </c>
      <c r="AW112" s="169">
        <f t="shared" si="348"/>
        <v>0.1</v>
      </c>
      <c r="AX112" s="169">
        <f t="shared" si="348"/>
        <v>0.1</v>
      </c>
      <c r="AY112" s="405">
        <f t="shared" si="348"/>
        <v>0.1</v>
      </c>
      <c r="AZ112" s="169">
        <f t="shared" ref="AZ112:BK112" si="349">$BI101</f>
        <v>0.1</v>
      </c>
      <c r="BA112" s="169">
        <f t="shared" si="349"/>
        <v>0.1</v>
      </c>
      <c r="BB112" s="169">
        <f t="shared" si="349"/>
        <v>0.1</v>
      </c>
      <c r="BC112" s="169">
        <f t="shared" si="349"/>
        <v>0.1</v>
      </c>
      <c r="BD112" s="169">
        <f t="shared" si="349"/>
        <v>0.1</v>
      </c>
      <c r="BE112" s="169">
        <f t="shared" si="349"/>
        <v>0.1</v>
      </c>
      <c r="BF112" s="169">
        <f t="shared" si="349"/>
        <v>0.1</v>
      </c>
      <c r="BG112" s="169">
        <f t="shared" si="349"/>
        <v>0.1</v>
      </c>
      <c r="BH112" s="169">
        <f t="shared" si="349"/>
        <v>0.1</v>
      </c>
      <c r="BI112" s="169">
        <f t="shared" si="349"/>
        <v>0.1</v>
      </c>
      <c r="BJ112" s="169">
        <f t="shared" si="349"/>
        <v>0.1</v>
      </c>
      <c r="BK112" s="405">
        <f t="shared" si="349"/>
        <v>0.1</v>
      </c>
    </row>
    <row r="113" spans="1:63" s="336" customFormat="1" ht="19.5" hidden="1" outlineLevel="1" thickBot="1">
      <c r="A113" s="862"/>
      <c r="B113" s="375" t="s">
        <v>300</v>
      </c>
      <c r="C113" s="362">
        <f>C112*'Prg. HR'!D$38*12</f>
        <v>6048</v>
      </c>
      <c r="D113" s="351">
        <f>D112*'Prg. HR'!D$38</f>
        <v>630</v>
      </c>
      <c r="E113" s="337">
        <f>E112*'Prg. HR'!E$38</f>
        <v>620.55000000000007</v>
      </c>
      <c r="F113" s="337">
        <f>F112*'Prg. HR'!F$38</f>
        <v>611.24175000000002</v>
      </c>
      <c r="G113" s="337">
        <f>G112*'Prg. HR'!G$38</f>
        <v>833.07312375000004</v>
      </c>
      <c r="H113" s="337">
        <f>H112*'Prg. HR'!H$38</f>
        <v>824.04202689375006</v>
      </c>
      <c r="I113" s="337">
        <f>I112*'Prg. HR'!I$38</f>
        <v>815.14639649034382</v>
      </c>
      <c r="J113" s="337">
        <f>J112*'Prg. HR'!J$38</f>
        <v>806.38420054298865</v>
      </c>
      <c r="K113" s="337">
        <f>K112*'Prg. HR'!K$38</f>
        <v>972.75343753484378</v>
      </c>
      <c r="L113" s="337">
        <f>L112*'Prg. HR'!L$38</f>
        <v>978.83546930515445</v>
      </c>
      <c r="M113" s="337">
        <f>M112*'Prg. HR'!M$38</f>
        <v>971.67696504335493</v>
      </c>
      <c r="N113" s="337">
        <f>N112*'Prg. HR'!N$38</f>
        <v>963.53006288251947</v>
      </c>
      <c r="O113" s="406">
        <f>O112*'Prg. HR'!O$38</f>
        <v>955.41404963218292</v>
      </c>
      <c r="P113" s="337">
        <f>P112*'Prg. HR'!P$38</f>
        <v>931.50314005475252</v>
      </c>
      <c r="Q113" s="337">
        <f>Q112*'Prg. HR'!Q$38</f>
        <v>938.20392628726461</v>
      </c>
      <c r="R113" s="337">
        <f>R112*'Prg. HR'!R$38</f>
        <v>931.65489517073331</v>
      </c>
      <c r="S113" s="337">
        <f>S112*'Prg. HR'!S$38</f>
        <v>924.10832405798726</v>
      </c>
      <c r="T113" s="337">
        <f>T112*'Prg. HR'!T$38</f>
        <v>916.58363689001862</v>
      </c>
      <c r="U113" s="337">
        <f>U112*'Prg. HR'!U$38</f>
        <v>1381.6642104777436</v>
      </c>
      <c r="V113" s="337">
        <f>V112*'Prg. HR'!V$38</f>
        <v>1374.3554413323336</v>
      </c>
      <c r="W113" s="337">
        <f>W112*'Prg. HR'!W$38</f>
        <v>1367.1562508799948</v>
      </c>
      <c r="X113" s="337">
        <f>X112*'Prg. HR'!X$38</f>
        <v>1360.0650438807654</v>
      </c>
      <c r="Y113" s="337">
        <f>Y112*'Prg. HR'!Y$38</f>
        <v>1353.0802046195513</v>
      </c>
      <c r="Z113" s="337">
        <f>Z112*'Prg. HR'!Z$38</f>
        <v>1346.2001379166747</v>
      </c>
      <c r="AA113" s="406">
        <f>AA112*'Prg. HR'!AA$38</f>
        <v>1530.3323631208623</v>
      </c>
      <c r="AB113" s="337">
        <f>AB112*'Prg. HR'!AB$38</f>
        <v>1770.8998358739436</v>
      </c>
      <c r="AC113" s="337">
        <f>AC112*'Prg. HR'!AC$38</f>
        <v>1755.0646925651004</v>
      </c>
      <c r="AD113" s="337">
        <f>AD112*'Prg. HR'!AD$38</f>
        <v>1735.8672660176542</v>
      </c>
      <c r="AE113" s="337">
        <f>AE112*'Prg. HR'!AE$38</f>
        <v>1716.93737073024</v>
      </c>
      <c r="AF113" s="337">
        <f>AF112*'Prg. HR'!AF$38</f>
        <v>1698.8385801959726</v>
      </c>
      <c r="AG113" s="337">
        <f>AG112*'Prg. HR'!AG$38</f>
        <v>1681.6254975198813</v>
      </c>
      <c r="AH113" s="337">
        <f>AH112*'Prg. HR'!AH$38</f>
        <v>1665.2698636995051</v>
      </c>
      <c r="AI113" s="337">
        <f>AI112*'Prg. HR'!AI$38</f>
        <v>1859.7314659908982</v>
      </c>
      <c r="AJ113" s="337">
        <f>AJ112*'Prg. HR'!AJ$38</f>
        <v>1897.4699165604457</v>
      </c>
      <c r="AK113" s="337">
        <f>AK112*'Prg. HR'!AK$38</f>
        <v>1896.5714266996963</v>
      </c>
      <c r="AL113" s="337">
        <f>AL112*'Prg. HR'!AL$38</f>
        <v>2117.53035685653</v>
      </c>
      <c r="AM113" s="406">
        <f>AM112*'Prg. HR'!AM$38</f>
        <v>2105.6944643866582</v>
      </c>
      <c r="AN113" s="337">
        <f>AN112*'Prg. HR'!AN$38</f>
        <v>2333.0656006466634</v>
      </c>
      <c r="AO113" s="337">
        <f>AO112*'Prg. HR'!AO$38</f>
        <v>2282.792463860887</v>
      </c>
      <c r="AP113" s="337">
        <f>AP112*'Prg. HR'!AP$38</f>
        <v>2265.4661978756021</v>
      </c>
      <c r="AQ113" s="337">
        <f>AQ112*'Prg. HR'!AQ$38</f>
        <v>2254.0784475164483</v>
      </c>
      <c r="AR113" s="337">
        <f>AR112*'Prg. HR'!AR$38</f>
        <v>2454.123438262804</v>
      </c>
      <c r="AS113" s="337">
        <f>AS112*'Prg. HR'!AS$38</f>
        <v>2728.2794946302088</v>
      </c>
      <c r="AT113" s="337">
        <f>AT112*'Prg. HR'!AT$38</f>
        <v>2732.5560769688345</v>
      </c>
      <c r="AU113" s="337">
        <f>AU112*'Prg. HR'!AU$38</f>
        <v>2727.4384123879267</v>
      </c>
      <c r="AV113" s="337">
        <f>AV112*'Prg. HR'!AV$38</f>
        <v>2720.2815265854138</v>
      </c>
      <c r="AW113" s="337">
        <f>AW112*'Prg. HR'!AW$38</f>
        <v>2712.908708960364</v>
      </c>
      <c r="AX113" s="337">
        <f>AX112*'Prg. HR'!AX$38</f>
        <v>3178.2610881884011</v>
      </c>
      <c r="AY113" s="406">
        <f>AY112*'Prg. HR'!AY$38</f>
        <v>3635.766897725493</v>
      </c>
      <c r="AZ113" s="337">
        <f>AZ112*'Prg. HR'!AZ$38</f>
        <v>3707.0515074880554</v>
      </c>
      <c r="BA113" s="337">
        <f>BA112*'Prg. HR'!BA$38</f>
        <v>3726.8065836632654</v>
      </c>
      <c r="BB113" s="337">
        <f>BB112*'Prg. HR'!BB$38</f>
        <v>3729.5854716633062</v>
      </c>
      <c r="BC113" s="337">
        <f>BC112*'Prg. HR'!BC$38</f>
        <v>3726.8959371412088</v>
      </c>
      <c r="BD113" s="337">
        <f>BD112*'Prg. HR'!BD$38</f>
        <v>3953.5643866378387</v>
      </c>
      <c r="BE113" s="337">
        <f>BE112*'Prg. HR'!BE$38</f>
        <v>4683.8172383268293</v>
      </c>
      <c r="BF113" s="337">
        <f>BF112*'Prg. HR'!BF$38</f>
        <v>4788.5330726691891</v>
      </c>
      <c r="BG113" s="337">
        <f>BG112*'Prg. HR'!BG$38</f>
        <v>4829.6175424768562</v>
      </c>
      <c r="BH113" s="337">
        <f>BH112*'Prg. HR'!BH$38</f>
        <v>5075.3163001201492</v>
      </c>
      <c r="BI113" s="337">
        <f>BI112*'Prg. HR'!BI$38</f>
        <v>5378.0105129619624</v>
      </c>
      <c r="BJ113" s="337">
        <f>BJ112*'Prg. HR'!BJ$38</f>
        <v>5527.5150012377753</v>
      </c>
      <c r="BK113" s="406">
        <f>BK112*'Prg. HR'!BK$38</f>
        <v>6073.0167581378419</v>
      </c>
    </row>
    <row r="114" spans="1:63" s="54" customFormat="1" hidden="1" outlineLevel="1">
      <c r="A114" s="857"/>
      <c r="B114" s="192" t="s">
        <v>386</v>
      </c>
      <c r="C114" s="1207">
        <f t="shared" ref="C114:AH114" si="350">(C111+C113)/C102</f>
        <v>371.25925925925924</v>
      </c>
      <c r="D114" s="368">
        <f t="shared" si="350"/>
        <v>399.2592592592593</v>
      </c>
      <c r="E114" s="1208">
        <f t="shared" si="350"/>
        <v>378.41319444444446</v>
      </c>
      <c r="F114" s="1208">
        <f t="shared" si="350"/>
        <v>358.78338216145835</v>
      </c>
      <c r="G114" s="1208">
        <f t="shared" si="350"/>
        <v>382.58890129089349</v>
      </c>
      <c r="H114" s="1208">
        <f t="shared" si="350"/>
        <v>362.51856982433793</v>
      </c>
      <c r="I114" s="1208">
        <f t="shared" si="350"/>
        <v>343.61071235712745</v>
      </c>
      <c r="J114" s="1208">
        <f t="shared" si="350"/>
        <v>325.79181392695796</v>
      </c>
      <c r="K114" s="1208">
        <f t="shared" si="350"/>
        <v>333.74613644898943</v>
      </c>
      <c r="L114" s="1208">
        <f t="shared" si="350"/>
        <v>318.29089884115871</v>
      </c>
      <c r="M114" s="1208">
        <f t="shared" si="350"/>
        <v>301.92560361520498</v>
      </c>
      <c r="N114" s="1208">
        <f t="shared" si="350"/>
        <v>286.35099422521694</v>
      </c>
      <c r="O114" s="1209">
        <f t="shared" si="350"/>
        <v>271.6466868409297</v>
      </c>
      <c r="P114" s="1208">
        <f t="shared" si="350"/>
        <v>266.61566931887273</v>
      </c>
      <c r="Q114" s="1208">
        <f t="shared" si="350"/>
        <v>264.94287332595013</v>
      </c>
      <c r="R114" s="1208">
        <f t="shared" si="350"/>
        <v>261.92275046613184</v>
      </c>
      <c r="S114" s="1208">
        <f t="shared" si="350"/>
        <v>258.87138120246669</v>
      </c>
      <c r="T114" s="1208">
        <f t="shared" si="350"/>
        <v>255.89370598220347</v>
      </c>
      <c r="U114" s="1208">
        <f t="shared" si="350"/>
        <v>298.61472394659148</v>
      </c>
      <c r="V114" s="1208">
        <f t="shared" si="350"/>
        <v>294.86391848559037</v>
      </c>
      <c r="W114" s="1208">
        <f t="shared" si="350"/>
        <v>291.2077261851926</v>
      </c>
      <c r="X114" s="1208">
        <f t="shared" si="350"/>
        <v>287.64338175206802</v>
      </c>
      <c r="Y114" s="1208">
        <f t="shared" si="350"/>
        <v>284.16820190572093</v>
      </c>
      <c r="Z114" s="1208">
        <f t="shared" si="350"/>
        <v>280.7795865981463</v>
      </c>
      <c r="AA114" s="1209">
        <f t="shared" si="350"/>
        <v>293.7619764217078</v>
      </c>
      <c r="AB114" s="1208">
        <f t="shared" si="350"/>
        <v>312.01726115741076</v>
      </c>
      <c r="AC114" s="1208">
        <f t="shared" si="350"/>
        <v>308.45533272509374</v>
      </c>
      <c r="AD114" s="1208">
        <f t="shared" si="350"/>
        <v>304.67332551380406</v>
      </c>
      <c r="AE114" s="1208">
        <f t="shared" si="350"/>
        <v>300.97524665125837</v>
      </c>
      <c r="AF114" s="1208">
        <f t="shared" si="350"/>
        <v>297.40447746986644</v>
      </c>
      <c r="AG114" s="1208">
        <f t="shared" si="350"/>
        <v>293.96190025947908</v>
      </c>
      <c r="AH114" s="1208">
        <f t="shared" si="350"/>
        <v>290.64177917901071</v>
      </c>
      <c r="AI114" s="1208">
        <f t="shared" ref="AI114:BK114" si="351">(AI111+AI113)/AI102</f>
        <v>303.6584494050777</v>
      </c>
      <c r="AJ114" s="1208">
        <f t="shared" si="351"/>
        <v>304.36892081531653</v>
      </c>
      <c r="AK114" s="1208">
        <f t="shared" si="351"/>
        <v>302.12001733510351</v>
      </c>
      <c r="AL114" s="1208">
        <f t="shared" si="351"/>
        <v>316.40562942579498</v>
      </c>
      <c r="AM114" s="1209">
        <f t="shared" si="351"/>
        <v>313.19813797814948</v>
      </c>
      <c r="AN114" s="1208">
        <f t="shared" si="351"/>
        <v>325.28020272161945</v>
      </c>
      <c r="AO114" s="1208">
        <f t="shared" si="351"/>
        <v>317.14318510562526</v>
      </c>
      <c r="AP114" s="1208">
        <f t="shared" si="351"/>
        <v>311.49369158918603</v>
      </c>
      <c r="AQ114" s="1208">
        <f t="shared" si="351"/>
        <v>306.35648325158132</v>
      </c>
      <c r="AR114" s="1208">
        <f t="shared" si="351"/>
        <v>315.6148215300729</v>
      </c>
      <c r="AS114" s="1208">
        <f t="shared" si="351"/>
        <v>329.42363377458298</v>
      </c>
      <c r="AT114" s="1208">
        <f t="shared" si="351"/>
        <v>325.03027550942471</v>
      </c>
      <c r="AU114" s="1208">
        <f t="shared" si="351"/>
        <v>320.0910748343378</v>
      </c>
      <c r="AV114" s="1208">
        <f t="shared" si="351"/>
        <v>315.10083894106128</v>
      </c>
      <c r="AW114" s="1208">
        <f t="shared" si="351"/>
        <v>310.17823603085509</v>
      </c>
      <c r="AX114" s="1208">
        <f t="shared" si="351"/>
        <v>334.30372483986901</v>
      </c>
      <c r="AY114" s="1209">
        <f t="shared" si="351"/>
        <v>357.08532538209226</v>
      </c>
      <c r="AZ114" s="1208">
        <f t="shared" si="351"/>
        <v>352.56774046741799</v>
      </c>
      <c r="BA114" s="1208">
        <f t="shared" si="351"/>
        <v>345.10186931426364</v>
      </c>
      <c r="BB114" s="1208">
        <f t="shared" si="351"/>
        <v>336.84028602692251</v>
      </c>
      <c r="BC114" s="1208">
        <f t="shared" si="351"/>
        <v>328.4778065370885</v>
      </c>
      <c r="BD114" s="1208">
        <f t="shared" si="351"/>
        <v>332.54155933090118</v>
      </c>
      <c r="BE114" s="1208">
        <f t="shared" si="351"/>
        <v>362.38501092251323</v>
      </c>
      <c r="BF114" s="1208">
        <f t="shared" si="351"/>
        <v>358.8561173127847</v>
      </c>
      <c r="BG114" s="1208">
        <f t="shared" si="351"/>
        <v>352.13596462440597</v>
      </c>
      <c r="BH114" s="1208">
        <f t="shared" si="351"/>
        <v>355.40546666201107</v>
      </c>
      <c r="BI114" s="1208">
        <f t="shared" si="351"/>
        <v>360.98968605683768</v>
      </c>
      <c r="BJ114" s="1208">
        <f t="shared" si="351"/>
        <v>359.05292422572001</v>
      </c>
      <c r="BK114" s="1209">
        <f t="shared" si="351"/>
        <v>374.74333591447635</v>
      </c>
    </row>
    <row r="115" spans="1:63" s="54" customFormat="1" hidden="1" outlineLevel="1">
      <c r="A115" s="857"/>
      <c r="B115" s="192" t="s">
        <v>390</v>
      </c>
      <c r="C115" s="1207">
        <f t="shared" ref="C115:AH115" si="352">(C111+C113)/C104</f>
        <v>871.6521739130435</v>
      </c>
      <c r="D115" s="368">
        <f t="shared" si="352"/>
        <v>937.39130434782612</v>
      </c>
      <c r="E115" s="1208">
        <f t="shared" si="352"/>
        <v>886.60128355780512</v>
      </c>
      <c r="F115" s="1208">
        <f t="shared" si="352"/>
        <v>838.86208462476179</v>
      </c>
      <c r="G115" s="1208">
        <f t="shared" si="352"/>
        <v>892.66143777721754</v>
      </c>
      <c r="H115" s="1208">
        <f t="shared" si="352"/>
        <v>844.07458867978562</v>
      </c>
      <c r="I115" s="1208">
        <f t="shared" si="352"/>
        <v>798.38693913554425</v>
      </c>
      <c r="J115" s="1208">
        <f t="shared" si="352"/>
        <v>755.41057032408435</v>
      </c>
      <c r="K115" s="1208">
        <f t="shared" si="352"/>
        <v>772.24534247723284</v>
      </c>
      <c r="L115" s="1208">
        <f t="shared" si="352"/>
        <v>734.95277236449715</v>
      </c>
      <c r="M115" s="1208">
        <f t="shared" si="352"/>
        <v>695.71491823098086</v>
      </c>
      <c r="N115" s="1208">
        <f t="shared" si="352"/>
        <v>658.45519607161759</v>
      </c>
      <c r="O115" s="1209">
        <f t="shared" si="352"/>
        <v>623.34446473854848</v>
      </c>
      <c r="P115" s="1208">
        <f t="shared" si="352"/>
        <v>610.78187806884637</v>
      </c>
      <c r="Q115" s="1208">
        <f t="shared" si="352"/>
        <v>605.93981996353818</v>
      </c>
      <c r="R115" s="1208">
        <f t="shared" si="352"/>
        <v>598.03589615991825</v>
      </c>
      <c r="S115" s="1208">
        <f t="shared" si="352"/>
        <v>590.08537262546133</v>
      </c>
      <c r="T115" s="1208">
        <f t="shared" si="352"/>
        <v>582.3273537210124</v>
      </c>
      <c r="U115" s="1208">
        <f t="shared" si="352"/>
        <v>678.4152206346871</v>
      </c>
      <c r="V115" s="1208">
        <f t="shared" si="352"/>
        <v>668.77922875308877</v>
      </c>
      <c r="W115" s="1208">
        <f t="shared" si="352"/>
        <v>659.38765971011821</v>
      </c>
      <c r="X115" s="1208">
        <f t="shared" si="352"/>
        <v>650.2331192405976</v>
      </c>
      <c r="Y115" s="1208">
        <f t="shared" si="352"/>
        <v>641.30844349050051</v>
      </c>
      <c r="Z115" s="1208">
        <f t="shared" si="352"/>
        <v>632.60670004179769</v>
      </c>
      <c r="AA115" s="1209">
        <f t="shared" si="352"/>
        <v>660.75524142312736</v>
      </c>
      <c r="AB115" s="1208">
        <f t="shared" si="352"/>
        <v>700.94045582531214</v>
      </c>
      <c r="AC115" s="1208">
        <f t="shared" si="352"/>
        <v>692.07356381082093</v>
      </c>
      <c r="AD115" s="1208">
        <f t="shared" si="352"/>
        <v>682.7345500397829</v>
      </c>
      <c r="AE115" s="1208">
        <f t="shared" si="352"/>
        <v>673.60561405010276</v>
      </c>
      <c r="AF115" s="1208">
        <f t="shared" si="352"/>
        <v>664.78298088123654</v>
      </c>
      <c r="AG115" s="1208">
        <f t="shared" si="352"/>
        <v>656.26751439304337</v>
      </c>
      <c r="AH115" s="1208">
        <f t="shared" si="352"/>
        <v>648.04531485938844</v>
      </c>
      <c r="AI115" s="1208">
        <f t="shared" ref="AI115:BK115" si="353">(AI111+AI113)/AI104</f>
        <v>676.22336526117124</v>
      </c>
      <c r="AJ115" s="1208">
        <f t="shared" si="353"/>
        <v>676.95932977296047</v>
      </c>
      <c r="AK115" s="1208">
        <f t="shared" si="353"/>
        <v>671.11855363421091</v>
      </c>
      <c r="AL115" s="1208">
        <f t="shared" si="353"/>
        <v>701.97463087051347</v>
      </c>
      <c r="AM115" s="1209">
        <f t="shared" si="353"/>
        <v>693.99103093973508</v>
      </c>
      <c r="AN115" s="1208">
        <f t="shared" si="353"/>
        <v>719.92281452929672</v>
      </c>
      <c r="AO115" s="1208">
        <f t="shared" si="353"/>
        <v>701.09570521027911</v>
      </c>
      <c r="AP115" s="1208">
        <f t="shared" si="353"/>
        <v>687.80415854999603</v>
      </c>
      <c r="AQ115" s="1208">
        <f t="shared" si="353"/>
        <v>675.67248773159315</v>
      </c>
      <c r="AR115" s="1208">
        <f t="shared" si="353"/>
        <v>695.28069063734597</v>
      </c>
      <c r="AS115" s="1208">
        <f t="shared" si="353"/>
        <v>724.85501898151972</v>
      </c>
      <c r="AT115" s="1208">
        <f t="shared" si="353"/>
        <v>714.35457640709581</v>
      </c>
      <c r="AU115" s="1208">
        <f t="shared" si="353"/>
        <v>702.67936242489657</v>
      </c>
      <c r="AV115" s="1208">
        <f t="shared" si="353"/>
        <v>690.91848439522664</v>
      </c>
      <c r="AW115" s="1208">
        <f t="shared" si="353"/>
        <v>679.33218759722865</v>
      </c>
      <c r="AX115" s="1208">
        <f t="shared" si="353"/>
        <v>731.31705997544293</v>
      </c>
      <c r="AY115" s="1209">
        <f t="shared" si="353"/>
        <v>780.24341223913996</v>
      </c>
      <c r="AZ115" s="1208">
        <f t="shared" si="353"/>
        <v>769.73089527263812</v>
      </c>
      <c r="BA115" s="1208">
        <f t="shared" si="353"/>
        <v>752.80396276617807</v>
      </c>
      <c r="BB115" s="1208">
        <f t="shared" si="353"/>
        <v>734.17036638759612</v>
      </c>
      <c r="BC115" s="1208">
        <f t="shared" si="353"/>
        <v>715.34754999133179</v>
      </c>
      <c r="BD115" s="1208">
        <f t="shared" si="353"/>
        <v>723.59445420108852</v>
      </c>
      <c r="BE115" s="1208">
        <f t="shared" si="353"/>
        <v>787.87580768829355</v>
      </c>
      <c r="BF115" s="1208">
        <f t="shared" si="353"/>
        <v>779.5538701258539</v>
      </c>
      <c r="BG115" s="1208">
        <f t="shared" si="353"/>
        <v>764.31854944578197</v>
      </c>
      <c r="BH115" s="1208">
        <f t="shared" si="353"/>
        <v>770.77276204561929</v>
      </c>
      <c r="BI115" s="1208">
        <f t="shared" si="353"/>
        <v>782.23147648976862</v>
      </c>
      <c r="BJ115" s="1208">
        <f t="shared" si="353"/>
        <v>777.38686918973235</v>
      </c>
      <c r="BK115" s="1209">
        <f t="shared" si="353"/>
        <v>810.68267107857378</v>
      </c>
    </row>
    <row r="116" spans="1:63" s="54" customFormat="1" hidden="1" outlineLevel="1">
      <c r="A116" s="857"/>
      <c r="B116" s="192" t="s">
        <v>391</v>
      </c>
      <c r="C116" s="1207">
        <f t="shared" ref="C116:AH116" si="354">(C113+C111)/C106</f>
        <v>2227.5555555555557</v>
      </c>
      <c r="D116" s="368">
        <f t="shared" si="354"/>
        <v>2395.5555555555552</v>
      </c>
      <c r="E116" s="1208">
        <f t="shared" si="354"/>
        <v>2261.048318428775</v>
      </c>
      <c r="F116" s="1208">
        <f t="shared" si="354"/>
        <v>2134.8541691428527</v>
      </c>
      <c r="G116" s="1208">
        <f t="shared" si="354"/>
        <v>2267.0473115004993</v>
      </c>
      <c r="H116" s="1208">
        <f t="shared" si="354"/>
        <v>2139.1970764302341</v>
      </c>
      <c r="I116" s="1208">
        <f t="shared" si="354"/>
        <v>2019.201012209453</v>
      </c>
      <c r="J116" s="1208">
        <f t="shared" si="354"/>
        <v>1906.5374922031392</v>
      </c>
      <c r="K116" s="1208">
        <f t="shared" si="354"/>
        <v>1944.9737811616833</v>
      </c>
      <c r="L116" s="1208">
        <f t="shared" si="354"/>
        <v>1847.2005408307323</v>
      </c>
      <c r="M116" s="1208">
        <f t="shared" si="354"/>
        <v>1744.9464019344443</v>
      </c>
      <c r="N116" s="1208">
        <f t="shared" si="354"/>
        <v>1648.0605578266409</v>
      </c>
      <c r="O116" s="1209">
        <f t="shared" si="354"/>
        <v>1556.9375926538401</v>
      </c>
      <c r="P116" s="1208">
        <f t="shared" si="354"/>
        <v>1523.0214468352192</v>
      </c>
      <c r="Q116" s="1208">
        <f t="shared" si="354"/>
        <v>1508.4334272319595</v>
      </c>
      <c r="R116" s="1208">
        <f t="shared" si="354"/>
        <v>1486.2801764739399</v>
      </c>
      <c r="S116" s="1208">
        <f t="shared" si="354"/>
        <v>1464.0808506813805</v>
      </c>
      <c r="T116" s="1208">
        <f t="shared" si="354"/>
        <v>1442.4281197362868</v>
      </c>
      <c r="U116" s="1208">
        <f t="shared" si="354"/>
        <v>1677.6422343663924</v>
      </c>
      <c r="V116" s="1208">
        <f t="shared" si="354"/>
        <v>1651.0617733191145</v>
      </c>
      <c r="W116" s="1208">
        <f t="shared" si="354"/>
        <v>1625.1675413832754</v>
      </c>
      <c r="X116" s="1208">
        <f t="shared" si="354"/>
        <v>1599.9381321224269</v>
      </c>
      <c r="Y116" s="1208">
        <f t="shared" si="354"/>
        <v>1575.3528366473593</v>
      </c>
      <c r="Z116" s="1208">
        <f t="shared" si="354"/>
        <v>1551.3916408882246</v>
      </c>
      <c r="AA116" s="1209">
        <f t="shared" si="354"/>
        <v>1617.7263334186082</v>
      </c>
      <c r="AB116" s="1208">
        <f t="shared" si="354"/>
        <v>1713.9692881880785</v>
      </c>
      <c r="AC116" s="1208">
        <f t="shared" si="354"/>
        <v>1690.1748697243995</v>
      </c>
      <c r="AD116" s="1208">
        <f t="shared" si="354"/>
        <v>1665.2856202616083</v>
      </c>
      <c r="AE116" s="1208">
        <f t="shared" si="354"/>
        <v>1640.9676514845876</v>
      </c>
      <c r="AF116" s="1208">
        <f t="shared" si="354"/>
        <v>1617.4530575950548</v>
      </c>
      <c r="AG116" s="1208">
        <f t="shared" si="354"/>
        <v>1594.7410393579019</v>
      </c>
      <c r="AH116" s="1208">
        <f t="shared" si="354"/>
        <v>1572.7949632293437</v>
      </c>
      <c r="AI116" s="1208">
        <f t="shared" ref="AI116:BK116" si="355">(AI113+AI111)/AI106</f>
        <v>1639.133695444657</v>
      </c>
      <c r="AJ116" s="1208">
        <f t="shared" si="355"/>
        <v>1638.8690525593347</v>
      </c>
      <c r="AK116" s="1208">
        <f t="shared" si="355"/>
        <v>1622.7005847494038</v>
      </c>
      <c r="AL116" s="1208">
        <f t="shared" si="355"/>
        <v>1695.1886475802664</v>
      </c>
      <c r="AM116" s="1209">
        <f t="shared" si="355"/>
        <v>1673.8168934532237</v>
      </c>
      <c r="AN116" s="1208">
        <f t="shared" si="355"/>
        <v>1734.3376183138239</v>
      </c>
      <c r="AO116" s="1208">
        <f t="shared" si="355"/>
        <v>1687.0137900963182</v>
      </c>
      <c r="AP116" s="1208">
        <f t="shared" si="355"/>
        <v>1653.1023438984669</v>
      </c>
      <c r="AQ116" s="1208">
        <f t="shared" si="355"/>
        <v>1622.0520954531244</v>
      </c>
      <c r="AR116" s="1208">
        <f t="shared" si="355"/>
        <v>1667.1794542363</v>
      </c>
      <c r="AS116" s="1208">
        <f t="shared" si="355"/>
        <v>1736.0688714294672</v>
      </c>
      <c r="AT116" s="1208">
        <f t="shared" si="355"/>
        <v>1708.925969100208</v>
      </c>
      <c r="AU116" s="1208">
        <f t="shared" si="355"/>
        <v>1679.0368784927168</v>
      </c>
      <c r="AV116" s="1208">
        <f t="shared" si="355"/>
        <v>1649.0106733790567</v>
      </c>
      <c r="AW116" s="1208">
        <f t="shared" si="355"/>
        <v>1619.4683540799124</v>
      </c>
      <c r="AX116" s="1208">
        <f t="shared" si="355"/>
        <v>1741.3641389762022</v>
      </c>
      <c r="AY116" s="1209">
        <f t="shared" si="355"/>
        <v>1855.6993721446802</v>
      </c>
      <c r="AZ116" s="1208">
        <f t="shared" si="355"/>
        <v>1829.1725165745847</v>
      </c>
      <c r="BA116" s="1208">
        <f t="shared" si="355"/>
        <v>1787.4581571784402</v>
      </c>
      <c r="BB116" s="1208">
        <f t="shared" si="355"/>
        <v>1741.7630661217377</v>
      </c>
      <c r="BC116" s="1208">
        <f t="shared" si="355"/>
        <v>1695.6942946677482</v>
      </c>
      <c r="BD116" s="1208">
        <f t="shared" si="355"/>
        <v>1713.8149745591593</v>
      </c>
      <c r="BE116" s="1208">
        <f t="shared" si="355"/>
        <v>1864.5099593942919</v>
      </c>
      <c r="BF116" s="1208">
        <f t="shared" si="355"/>
        <v>1843.2800078280593</v>
      </c>
      <c r="BG116" s="1208">
        <f t="shared" si="355"/>
        <v>1805.750813452272</v>
      </c>
      <c r="BH116" s="1208">
        <f t="shared" si="355"/>
        <v>1819.4830621954113</v>
      </c>
      <c r="BI116" s="1208">
        <f t="shared" si="355"/>
        <v>1844.9949613292401</v>
      </c>
      <c r="BJ116" s="1208">
        <f t="shared" si="355"/>
        <v>1832.0416217934887</v>
      </c>
      <c r="BK116" s="1209">
        <f t="shared" si="355"/>
        <v>1908.917958998969</v>
      </c>
    </row>
    <row r="117" spans="1:63" s="1216" customFormat="1" hidden="1" outlineLevel="1">
      <c r="A117" s="1210"/>
      <c r="B117" s="1211" t="s">
        <v>392</v>
      </c>
      <c r="C117" s="1212">
        <f t="shared" ref="C117:AH117" si="356">(C113+C111)/C109</f>
        <v>0.25901808785529717</v>
      </c>
      <c r="D117" s="1213">
        <f t="shared" si="356"/>
        <v>0.27855297157622738</v>
      </c>
      <c r="E117" s="1214">
        <f t="shared" si="356"/>
        <v>0.26225695278417621</v>
      </c>
      <c r="F117" s="1214">
        <f t="shared" si="356"/>
        <v>0.24700230160466757</v>
      </c>
      <c r="G117" s="1214">
        <f t="shared" si="356"/>
        <v>0.26164292070186035</v>
      </c>
      <c r="H117" s="1214">
        <f t="shared" si="356"/>
        <v>0.24627187673222692</v>
      </c>
      <c r="I117" s="1214">
        <f t="shared" si="356"/>
        <v>0.23187781405787053</v>
      </c>
      <c r="J117" s="1214">
        <f t="shared" si="356"/>
        <v>0.21839395395147365</v>
      </c>
      <c r="K117" s="1214">
        <f t="shared" si="356"/>
        <v>0.22224122947587421</v>
      </c>
      <c r="L117" s="1214">
        <f t="shared" si="356"/>
        <v>0.2105428732911932</v>
      </c>
      <c r="M117" s="1214">
        <f t="shared" si="356"/>
        <v>0.19839202429054162</v>
      </c>
      <c r="N117" s="1214">
        <f t="shared" si="356"/>
        <v>0.18690929595339198</v>
      </c>
      <c r="O117" s="1215">
        <f t="shared" si="356"/>
        <v>0.17613455214803383</v>
      </c>
      <c r="P117" s="1214">
        <f t="shared" si="356"/>
        <v>0.17193945054401949</v>
      </c>
      <c r="Q117" s="1214">
        <f t="shared" si="356"/>
        <v>0.16993851718360625</v>
      </c>
      <c r="R117" s="1214">
        <f t="shared" si="356"/>
        <v>0.16709464150796099</v>
      </c>
      <c r="S117" s="1214">
        <f t="shared" si="356"/>
        <v>0.16425668695854856</v>
      </c>
      <c r="T117" s="1214">
        <f t="shared" si="356"/>
        <v>0.16149100594014748</v>
      </c>
      <c r="U117" s="1214">
        <f t="shared" si="356"/>
        <v>0.1874345601714841</v>
      </c>
      <c r="V117" s="1214">
        <f t="shared" si="356"/>
        <v>0.18408135562927755</v>
      </c>
      <c r="W117" s="1214">
        <f t="shared" si="356"/>
        <v>0.18081763406807366</v>
      </c>
      <c r="X117" s="1214">
        <f t="shared" si="356"/>
        <v>0.17764050242961127</v>
      </c>
      <c r="Y117" s="1214">
        <f t="shared" si="356"/>
        <v>0.17454716679812499</v>
      </c>
      <c r="Z117" s="1214">
        <f t="shared" si="356"/>
        <v>0.17153493118545152</v>
      </c>
      <c r="AA117" s="1215">
        <f t="shared" si="356"/>
        <v>0.17849758373352137</v>
      </c>
      <c r="AB117" s="1214">
        <f t="shared" si="356"/>
        <v>0.18872371774402541</v>
      </c>
      <c r="AC117" s="1214">
        <f t="shared" si="356"/>
        <v>0.18571682427544656</v>
      </c>
      <c r="AD117" s="1214">
        <f t="shared" si="356"/>
        <v>0.18260156758045593</v>
      </c>
      <c r="AE117" s="1214">
        <f t="shared" si="356"/>
        <v>0.17956097314464065</v>
      </c>
      <c r="AF117" s="1214">
        <f t="shared" si="356"/>
        <v>0.1766199578628464</v>
      </c>
      <c r="AG117" s="1214">
        <f t="shared" si="356"/>
        <v>0.17377785135293305</v>
      </c>
      <c r="AH117" s="1214">
        <f t="shared" si="356"/>
        <v>0.17103008960892355</v>
      </c>
      <c r="AI117" s="1214">
        <f t="shared" ref="AI117:BK117" si="357">(AI113+AI111)/AI109</f>
        <v>0.17787337793643071</v>
      </c>
      <c r="AJ117" s="1214">
        <f t="shared" si="357"/>
        <v>0.17747492034669865</v>
      </c>
      <c r="AK117" s="1214">
        <f t="shared" si="357"/>
        <v>0.17535868870026947</v>
      </c>
      <c r="AL117" s="1214">
        <f t="shared" si="357"/>
        <v>0.18281132352692558</v>
      </c>
      <c r="AM117" s="1215">
        <f t="shared" si="357"/>
        <v>0.18013129255466889</v>
      </c>
      <c r="AN117" s="1214">
        <f t="shared" si="357"/>
        <v>0.18630280132579044</v>
      </c>
      <c r="AO117" s="1214">
        <f t="shared" si="357"/>
        <v>0.18088764141532487</v>
      </c>
      <c r="AP117" s="1214">
        <f t="shared" si="357"/>
        <v>0.17692716861028296</v>
      </c>
      <c r="AQ117" s="1214">
        <f t="shared" si="357"/>
        <v>0.1732862512391001</v>
      </c>
      <c r="AR117" s="1214">
        <f t="shared" si="357"/>
        <v>0.17778134200838688</v>
      </c>
      <c r="AS117" s="1214">
        <f t="shared" si="357"/>
        <v>0.18478865444115949</v>
      </c>
      <c r="AT117" s="1214">
        <f t="shared" si="357"/>
        <v>0.181566668493434</v>
      </c>
      <c r="AU117" s="1214">
        <f t="shared" si="357"/>
        <v>0.17806461827412556</v>
      </c>
      <c r="AV117" s="1214">
        <f t="shared" si="357"/>
        <v>0.17456026276446482</v>
      </c>
      <c r="AW117" s="1214">
        <f t="shared" si="357"/>
        <v>0.17111926597742247</v>
      </c>
      <c r="AX117" s="1214">
        <f t="shared" si="357"/>
        <v>0.18366252962687324</v>
      </c>
      <c r="AY117" s="1215">
        <f t="shared" si="357"/>
        <v>0.19536335658043533</v>
      </c>
      <c r="AZ117" s="1214">
        <f t="shared" si="357"/>
        <v>0.19225025893196607</v>
      </c>
      <c r="BA117" s="1214">
        <f t="shared" si="357"/>
        <v>0.18755339436187421</v>
      </c>
      <c r="BB117" s="1214">
        <f t="shared" si="357"/>
        <v>0.18245463474127524</v>
      </c>
      <c r="BC117" s="1214">
        <f t="shared" si="357"/>
        <v>0.17733324450461782</v>
      </c>
      <c r="BD117" s="1214">
        <f t="shared" si="357"/>
        <v>0.17893006209759374</v>
      </c>
      <c r="BE117" s="1214">
        <f t="shared" si="357"/>
        <v>0.19433940349089279</v>
      </c>
      <c r="BF117" s="1214">
        <f t="shared" si="357"/>
        <v>0.19180691002983621</v>
      </c>
      <c r="BG117" s="1214">
        <f t="shared" si="357"/>
        <v>0.18758907149306389</v>
      </c>
      <c r="BH117" s="1214">
        <f t="shared" si="357"/>
        <v>0.18870113398398233</v>
      </c>
      <c r="BI117" s="1214">
        <f t="shared" si="357"/>
        <v>0.1910286276902079</v>
      </c>
      <c r="BJ117" s="1214">
        <f t="shared" si="357"/>
        <v>0.1893718342898319</v>
      </c>
      <c r="BK117" s="1215">
        <f t="shared" si="357"/>
        <v>0.19698995996331339</v>
      </c>
    </row>
    <row r="118" spans="1:63" s="339" customFormat="1" hidden="1" outlineLevel="1">
      <c r="A118" s="854"/>
      <c r="B118" s="373"/>
      <c r="C118" s="356"/>
      <c r="M118" s="341"/>
      <c r="N118" s="342"/>
      <c r="O118" s="407"/>
      <c r="Y118" s="341"/>
      <c r="Z118" s="342"/>
      <c r="AA118" s="407"/>
      <c r="AK118" s="341"/>
      <c r="AL118" s="342"/>
      <c r="AM118" s="407"/>
      <c r="AW118" s="341"/>
      <c r="AX118" s="342"/>
      <c r="AY118" s="407"/>
      <c r="BI118" s="341"/>
      <c r="BJ118" s="342"/>
      <c r="BK118" s="407"/>
    </row>
    <row r="119" spans="1:63" s="339" customFormat="1" collapsed="1">
      <c r="A119" s="854" t="s">
        <v>351</v>
      </c>
      <c r="B119" s="373"/>
      <c r="C119" s="356"/>
      <c r="D119" s="396" t="s">
        <v>389</v>
      </c>
      <c r="E119" s="415">
        <v>0.8</v>
      </c>
      <c r="F119" s="396" t="s">
        <v>355</v>
      </c>
      <c r="G119" s="415">
        <v>0.03</v>
      </c>
      <c r="H119" s="396" t="s">
        <v>356</v>
      </c>
      <c r="I119" s="415">
        <v>0.3</v>
      </c>
      <c r="J119" s="414" t="s">
        <v>354</v>
      </c>
      <c r="K119" s="415">
        <v>0.05</v>
      </c>
      <c r="L119" s="396" t="s">
        <v>357</v>
      </c>
      <c r="M119" s="415">
        <f>C130</f>
        <v>0.09</v>
      </c>
      <c r="O119" s="404"/>
      <c r="P119" s="396" t="s">
        <v>389</v>
      </c>
      <c r="Q119" s="415">
        <v>0.2</v>
      </c>
      <c r="R119" s="396" t="s">
        <v>355</v>
      </c>
      <c r="S119" s="415">
        <v>2.5000000000000001E-2</v>
      </c>
      <c r="T119" s="396" t="s">
        <v>356</v>
      </c>
      <c r="U119" s="415">
        <f>I119*0.75</f>
        <v>0.22499999999999998</v>
      </c>
      <c r="V119" s="414" t="s">
        <v>354</v>
      </c>
      <c r="W119" s="415">
        <v>0.04</v>
      </c>
      <c r="X119" s="396" t="s">
        <v>357</v>
      </c>
      <c r="Y119" s="415">
        <f>O130</f>
        <v>0.09</v>
      </c>
      <c r="AA119" s="404"/>
      <c r="AB119" s="396" t="s">
        <v>389</v>
      </c>
      <c r="AC119" s="415">
        <f>Q119*0.6</f>
        <v>0.12</v>
      </c>
      <c r="AD119" s="396" t="s">
        <v>355</v>
      </c>
      <c r="AE119" s="415">
        <v>2.5000000000000001E-2</v>
      </c>
      <c r="AF119" s="396" t="s">
        <v>356</v>
      </c>
      <c r="AG119" s="415">
        <v>0.12</v>
      </c>
      <c r="AH119" s="414" t="s">
        <v>354</v>
      </c>
      <c r="AI119" s="415">
        <v>0.03</v>
      </c>
      <c r="AJ119" s="396" t="s">
        <v>357</v>
      </c>
      <c r="AK119" s="415">
        <f>AA130</f>
        <v>0.09</v>
      </c>
      <c r="AM119" s="404"/>
      <c r="AN119" s="396" t="s">
        <v>389</v>
      </c>
      <c r="AO119" s="415">
        <v>0.4</v>
      </c>
      <c r="AP119" s="396" t="s">
        <v>355</v>
      </c>
      <c r="AQ119" s="415">
        <v>2.1999999999999999E-2</v>
      </c>
      <c r="AR119" s="396" t="s">
        <v>356</v>
      </c>
      <c r="AS119" s="415">
        <v>0.06</v>
      </c>
      <c r="AT119" s="414" t="s">
        <v>354</v>
      </c>
      <c r="AU119" s="415">
        <v>2.8000000000000001E-2</v>
      </c>
      <c r="AV119" s="396" t="s">
        <v>357</v>
      </c>
      <c r="AW119" s="415">
        <f>AM130</f>
        <v>0.09</v>
      </c>
      <c r="AY119" s="404"/>
      <c r="AZ119" s="396" t="s">
        <v>389</v>
      </c>
      <c r="BA119" s="415">
        <v>0.4</v>
      </c>
      <c r="BB119" s="396" t="s">
        <v>355</v>
      </c>
      <c r="BC119" s="415">
        <v>0.02</v>
      </c>
      <c r="BD119" s="396" t="s">
        <v>356</v>
      </c>
      <c r="BE119" s="415">
        <v>0.03</v>
      </c>
      <c r="BF119" s="414" t="s">
        <v>354</v>
      </c>
      <c r="BG119" s="415">
        <v>0.02</v>
      </c>
      <c r="BH119" s="396" t="s">
        <v>357</v>
      </c>
      <c r="BI119" s="415">
        <f>AY130</f>
        <v>0.09</v>
      </c>
      <c r="BK119" s="404"/>
    </row>
    <row r="120" spans="1:63" s="378" customFormat="1" hidden="1" outlineLevel="1">
      <c r="A120" s="856"/>
      <c r="B120" s="386" t="s">
        <v>226</v>
      </c>
      <c r="C120" s="387">
        <v>32</v>
      </c>
      <c r="D120" s="376">
        <f>C120/12</f>
        <v>2.6666666666666665</v>
      </c>
      <c r="E120" s="377">
        <f t="shared" ref="E120:O120" si="358">D120*(1+($E119/12))</f>
        <v>2.8444444444444441</v>
      </c>
      <c r="F120" s="377">
        <f t="shared" si="358"/>
        <v>3.0340740740740735</v>
      </c>
      <c r="G120" s="377">
        <f t="shared" si="358"/>
        <v>3.236345679012345</v>
      </c>
      <c r="H120" s="377">
        <f t="shared" si="358"/>
        <v>3.452102057613168</v>
      </c>
      <c r="I120" s="377">
        <f t="shared" si="358"/>
        <v>3.6822421947873791</v>
      </c>
      <c r="J120" s="377">
        <f t="shared" si="358"/>
        <v>3.9277250077732044</v>
      </c>
      <c r="K120" s="377">
        <f t="shared" si="358"/>
        <v>4.1895733416247509</v>
      </c>
      <c r="L120" s="377">
        <f t="shared" si="358"/>
        <v>4.4688782310664008</v>
      </c>
      <c r="M120" s="377">
        <f t="shared" si="358"/>
        <v>4.7668034464708278</v>
      </c>
      <c r="N120" s="377">
        <f t="shared" si="358"/>
        <v>5.0845903429022163</v>
      </c>
      <c r="O120" s="398">
        <f t="shared" si="358"/>
        <v>5.4235630324290307</v>
      </c>
      <c r="P120" s="377">
        <f t="shared" ref="P120:AA120" si="359">O120*(1+($Q119/12))</f>
        <v>5.5139557496361808</v>
      </c>
      <c r="Q120" s="377">
        <f t="shared" si="359"/>
        <v>5.6058550121301165</v>
      </c>
      <c r="R120" s="377">
        <f t="shared" si="359"/>
        <v>5.6992859289989513</v>
      </c>
      <c r="S120" s="377">
        <f t="shared" si="359"/>
        <v>5.7942740278156002</v>
      </c>
      <c r="T120" s="377">
        <f t="shared" si="359"/>
        <v>5.8908452616125269</v>
      </c>
      <c r="U120" s="377">
        <f t="shared" si="359"/>
        <v>5.9890260159727351</v>
      </c>
      <c r="V120" s="377">
        <f t="shared" si="359"/>
        <v>6.0888431162389471</v>
      </c>
      <c r="W120" s="377">
        <f t="shared" si="359"/>
        <v>6.1903238348429293</v>
      </c>
      <c r="X120" s="377">
        <f t="shared" si="359"/>
        <v>6.2934958987569773</v>
      </c>
      <c r="Y120" s="377">
        <f t="shared" si="359"/>
        <v>6.3983874970695931</v>
      </c>
      <c r="Z120" s="377">
        <f t="shared" si="359"/>
        <v>6.505027288687419</v>
      </c>
      <c r="AA120" s="398">
        <f t="shared" si="359"/>
        <v>6.6134444101655419</v>
      </c>
      <c r="AB120" s="377">
        <f t="shared" ref="AB120:AM120" si="360">AA120*(1+($AC119/12))</f>
        <v>6.6795788542671977</v>
      </c>
      <c r="AC120" s="377">
        <f t="shared" si="360"/>
        <v>6.7463746428098696</v>
      </c>
      <c r="AD120" s="377">
        <f t="shared" si="360"/>
        <v>6.8138383892379686</v>
      </c>
      <c r="AE120" s="377">
        <f t="shared" si="360"/>
        <v>6.8819767731303481</v>
      </c>
      <c r="AF120" s="377">
        <f t="shared" si="360"/>
        <v>6.9507965408616519</v>
      </c>
      <c r="AG120" s="377">
        <f t="shared" si="360"/>
        <v>7.0203045062702687</v>
      </c>
      <c r="AH120" s="377">
        <f t="shared" si="360"/>
        <v>7.0905075513329718</v>
      </c>
      <c r="AI120" s="377">
        <f t="shared" si="360"/>
        <v>7.1614126268463014</v>
      </c>
      <c r="AJ120" s="377">
        <f t="shared" si="360"/>
        <v>7.2330267531147641</v>
      </c>
      <c r="AK120" s="377">
        <f t="shared" si="360"/>
        <v>7.3053570206459115</v>
      </c>
      <c r="AL120" s="377">
        <f t="shared" si="360"/>
        <v>7.3784105908523703</v>
      </c>
      <c r="AM120" s="398">
        <f t="shared" si="360"/>
        <v>7.4521946967608939</v>
      </c>
      <c r="AN120" s="377">
        <f t="shared" ref="AN120:AY120" si="361">AM120*(1+($AO119/12))</f>
        <v>7.700601186652924</v>
      </c>
      <c r="AO120" s="377">
        <f t="shared" si="361"/>
        <v>7.9572878928746889</v>
      </c>
      <c r="AP120" s="377">
        <f t="shared" si="361"/>
        <v>8.2225308226371787</v>
      </c>
      <c r="AQ120" s="377">
        <f t="shared" si="361"/>
        <v>8.4966151833917518</v>
      </c>
      <c r="AR120" s="377">
        <f t="shared" si="361"/>
        <v>8.7798356895048109</v>
      </c>
      <c r="AS120" s="377">
        <f t="shared" si="361"/>
        <v>9.072496879154972</v>
      </c>
      <c r="AT120" s="377">
        <f t="shared" si="361"/>
        <v>9.3749134417934723</v>
      </c>
      <c r="AU120" s="377">
        <f t="shared" si="361"/>
        <v>9.6874105565199216</v>
      </c>
      <c r="AV120" s="377">
        <f t="shared" si="361"/>
        <v>10.010324241737253</v>
      </c>
      <c r="AW120" s="377">
        <f t="shared" si="361"/>
        <v>10.344001716461829</v>
      </c>
      <c r="AX120" s="377">
        <f t="shared" si="361"/>
        <v>10.688801773677225</v>
      </c>
      <c r="AY120" s="398">
        <f t="shared" si="361"/>
        <v>11.045095166133134</v>
      </c>
      <c r="AZ120" s="377">
        <f t="shared" ref="AZ120:BK120" si="362">AY120*(1+($BA119/12))</f>
        <v>11.41326500500424</v>
      </c>
      <c r="BA120" s="377">
        <f t="shared" si="362"/>
        <v>11.793707171837715</v>
      </c>
      <c r="BB120" s="377">
        <f t="shared" si="362"/>
        <v>12.186830744232307</v>
      </c>
      <c r="BC120" s="377">
        <f t="shared" si="362"/>
        <v>12.593058435706718</v>
      </c>
      <c r="BD120" s="377">
        <f t="shared" si="362"/>
        <v>13.012827050230277</v>
      </c>
      <c r="BE120" s="377">
        <f t="shared" si="362"/>
        <v>13.44658795190462</v>
      </c>
      <c r="BF120" s="377">
        <f t="shared" si="362"/>
        <v>13.894807550301442</v>
      </c>
      <c r="BG120" s="377">
        <f t="shared" si="362"/>
        <v>14.357967801978159</v>
      </c>
      <c r="BH120" s="377">
        <f t="shared" si="362"/>
        <v>14.836566728710766</v>
      </c>
      <c r="BI120" s="377">
        <f t="shared" si="362"/>
        <v>15.331118953001127</v>
      </c>
      <c r="BJ120" s="377">
        <f t="shared" si="362"/>
        <v>15.842156251434499</v>
      </c>
      <c r="BK120" s="398">
        <f t="shared" si="362"/>
        <v>16.370228126482317</v>
      </c>
    </row>
    <row r="121" spans="1:63" s="54" customFormat="1" hidden="1" outlineLevel="1">
      <c r="A121" s="857"/>
      <c r="B121" s="371" t="s">
        <v>347</v>
      </c>
      <c r="C121" s="364">
        <f>C122/C120</f>
        <v>0.65625</v>
      </c>
      <c r="D121" s="352">
        <f>C121</f>
        <v>0.65625</v>
      </c>
      <c r="E121" s="169">
        <f t="shared" ref="E121:O121" si="363">D121*((0.5*($K119/12))+1)</f>
        <v>0.65761718750000009</v>
      </c>
      <c r="F121" s="169">
        <f t="shared" si="363"/>
        <v>0.65898722330729187</v>
      </c>
      <c r="G121" s="169">
        <f t="shared" si="363"/>
        <v>0.66036011335584877</v>
      </c>
      <c r="H121" s="169">
        <f t="shared" si="363"/>
        <v>0.66173586359200687</v>
      </c>
      <c r="I121" s="169">
        <f t="shared" si="363"/>
        <v>0.66311447997449025</v>
      </c>
      <c r="J121" s="169">
        <f t="shared" si="363"/>
        <v>0.66449596847443715</v>
      </c>
      <c r="K121" s="169">
        <f t="shared" si="363"/>
        <v>0.66588033507542566</v>
      </c>
      <c r="L121" s="169">
        <f t="shared" si="363"/>
        <v>0.66726758577349954</v>
      </c>
      <c r="M121" s="169">
        <f t="shared" si="363"/>
        <v>0.66865772657719436</v>
      </c>
      <c r="N121" s="169">
        <f t="shared" si="363"/>
        <v>0.67005076350756354</v>
      </c>
      <c r="O121" s="405">
        <f t="shared" si="363"/>
        <v>0.67144670259820438</v>
      </c>
      <c r="P121" s="169">
        <f t="shared" ref="P121:AA121" si="364">O121*((0.5*($W119/12))+1)</f>
        <v>0.67256578043586812</v>
      </c>
      <c r="Q121" s="169">
        <f t="shared" si="364"/>
        <v>0.6736867234032613</v>
      </c>
      <c r="R121" s="169">
        <f t="shared" si="364"/>
        <v>0.67480953460893345</v>
      </c>
      <c r="S121" s="169">
        <f t="shared" si="364"/>
        <v>0.67593421716661506</v>
      </c>
      <c r="T121" s="169">
        <f t="shared" si="364"/>
        <v>0.67706077419522614</v>
      </c>
      <c r="U121" s="169">
        <f t="shared" si="364"/>
        <v>0.67818920881888489</v>
      </c>
      <c r="V121" s="169">
        <f t="shared" si="364"/>
        <v>0.67931952416691643</v>
      </c>
      <c r="W121" s="169">
        <f t="shared" si="364"/>
        <v>0.68045172337386128</v>
      </c>
      <c r="X121" s="169">
        <f t="shared" si="364"/>
        <v>0.68158580957948445</v>
      </c>
      <c r="Y121" s="169">
        <f t="shared" si="364"/>
        <v>0.68272178592878363</v>
      </c>
      <c r="Z121" s="169">
        <f t="shared" si="364"/>
        <v>0.68385965557199835</v>
      </c>
      <c r="AA121" s="405">
        <f t="shared" si="364"/>
        <v>0.68499942166461836</v>
      </c>
      <c r="AB121" s="169">
        <f t="shared" ref="AB121:AM121" si="365">AA121*((0.5*($AI119/12))+1)</f>
        <v>0.68585567094169908</v>
      </c>
      <c r="AC121" s="169">
        <f t="shared" si="365"/>
        <v>0.68671299053037616</v>
      </c>
      <c r="AD121" s="169">
        <f t="shared" si="365"/>
        <v>0.68757138176853916</v>
      </c>
      <c r="AE121" s="169">
        <f t="shared" si="365"/>
        <v>0.68843084599574977</v>
      </c>
      <c r="AF121" s="169">
        <f t="shared" si="365"/>
        <v>0.68929138455324446</v>
      </c>
      <c r="AG121" s="169">
        <f t="shared" si="365"/>
        <v>0.69015299878393599</v>
      </c>
      <c r="AH121" s="169">
        <f t="shared" si="365"/>
        <v>0.69101569003241592</v>
      </c>
      <c r="AI121" s="169">
        <f t="shared" si="365"/>
        <v>0.69187945964495645</v>
      </c>
      <c r="AJ121" s="169">
        <f t="shared" si="365"/>
        <v>0.69274430896951267</v>
      </c>
      <c r="AK121" s="169">
        <f t="shared" si="365"/>
        <v>0.69361023935572452</v>
      </c>
      <c r="AL121" s="169">
        <f t="shared" si="365"/>
        <v>0.69447725215491918</v>
      </c>
      <c r="AM121" s="405">
        <f t="shared" si="365"/>
        <v>0.69534534872011278</v>
      </c>
      <c r="AN121" s="169">
        <f t="shared" ref="AN121:AY121" si="366">AM121*((0.5*($AU119/12))+1)</f>
        <v>0.69615658496028632</v>
      </c>
      <c r="AO121" s="169">
        <f t="shared" si="366"/>
        <v>0.69696876764274007</v>
      </c>
      <c r="AP121" s="169">
        <f t="shared" si="366"/>
        <v>0.69778189787165668</v>
      </c>
      <c r="AQ121" s="169">
        <f t="shared" si="366"/>
        <v>0.69859597675250695</v>
      </c>
      <c r="AR121" s="169">
        <f t="shared" si="366"/>
        <v>0.69941100539205159</v>
      </c>
      <c r="AS121" s="169">
        <f t="shared" si="366"/>
        <v>0.70022698489834234</v>
      </c>
      <c r="AT121" s="169">
        <f t="shared" si="366"/>
        <v>0.70104391638072383</v>
      </c>
      <c r="AU121" s="169">
        <f t="shared" si="366"/>
        <v>0.70186180094983475</v>
      </c>
      <c r="AV121" s="169">
        <f t="shared" si="366"/>
        <v>0.70268063971760963</v>
      </c>
      <c r="AW121" s="169">
        <f t="shared" si="366"/>
        <v>0.70350043379728022</v>
      </c>
      <c r="AX121" s="169">
        <f t="shared" si="366"/>
        <v>0.70432118430337709</v>
      </c>
      <c r="AY121" s="405">
        <f t="shared" si="366"/>
        <v>0.70514289235173111</v>
      </c>
      <c r="AZ121" s="169">
        <f t="shared" ref="AZ121:BK121" si="367">AY121*((0.5*($BG119/12))+1)</f>
        <v>0.70573051142869081</v>
      </c>
      <c r="BA121" s="169">
        <f t="shared" si="367"/>
        <v>0.70631862018821467</v>
      </c>
      <c r="BB121" s="169">
        <f t="shared" si="367"/>
        <v>0.7069072190383715</v>
      </c>
      <c r="BC121" s="169">
        <f t="shared" si="367"/>
        <v>0.70749630838757005</v>
      </c>
      <c r="BD121" s="169">
        <f t="shared" si="367"/>
        <v>0.70808588864455968</v>
      </c>
      <c r="BE121" s="169">
        <f t="shared" si="367"/>
        <v>0.70867596021843005</v>
      </c>
      <c r="BF121" s="169">
        <f t="shared" si="367"/>
        <v>0.70926652351861197</v>
      </c>
      <c r="BG121" s="169">
        <f t="shared" si="367"/>
        <v>0.70985757895487744</v>
      </c>
      <c r="BH121" s="169">
        <f t="shared" si="367"/>
        <v>0.71044912693733975</v>
      </c>
      <c r="BI121" s="169">
        <f t="shared" si="367"/>
        <v>0.71104116787645411</v>
      </c>
      <c r="BJ121" s="169">
        <f t="shared" si="367"/>
        <v>0.7116337021830178</v>
      </c>
      <c r="BK121" s="405">
        <f t="shared" si="367"/>
        <v>0.71222673026817029</v>
      </c>
    </row>
    <row r="122" spans="1:63" s="338" customFormat="1" hidden="1" outlineLevel="1">
      <c r="A122" s="858"/>
      <c r="B122" s="388" t="s">
        <v>258</v>
      </c>
      <c r="C122" s="389">
        <v>21</v>
      </c>
      <c r="D122" s="380">
        <f t="shared" ref="D122:AI122" si="368">D120*D121</f>
        <v>1.75</v>
      </c>
      <c r="E122" s="381">
        <f t="shared" si="368"/>
        <v>1.8705555555555555</v>
      </c>
      <c r="F122" s="381">
        <f t="shared" si="368"/>
        <v>1.9994160493827162</v>
      </c>
      <c r="G122" s="381">
        <f t="shared" si="368"/>
        <v>2.1371535994513033</v>
      </c>
      <c r="H122" s="381">
        <f t="shared" si="368"/>
        <v>2.2843797363023937</v>
      </c>
      <c r="I122" s="381">
        <f t="shared" si="368"/>
        <v>2.4417481181365583</v>
      </c>
      <c r="J122" s="381">
        <f t="shared" si="368"/>
        <v>2.6099574329415218</v>
      </c>
      <c r="K122" s="381">
        <f t="shared" si="368"/>
        <v>2.7897545005441597</v>
      </c>
      <c r="L122" s="381">
        <f t="shared" si="368"/>
        <v>2.9819375883594246</v>
      </c>
      <c r="M122" s="381">
        <f t="shared" si="368"/>
        <v>3.1873599555575183</v>
      </c>
      <c r="N122" s="381">
        <f t="shared" si="368"/>
        <v>3.4069336413848146</v>
      </c>
      <c r="O122" s="399">
        <f t="shared" si="368"/>
        <v>3.641633514457991</v>
      </c>
      <c r="P122" s="381">
        <f t="shared" si="368"/>
        <v>3.7084979520429</v>
      </c>
      <c r="Q122" s="381">
        <f t="shared" si="368"/>
        <v>3.7765900949956879</v>
      </c>
      <c r="R122" s="381">
        <f t="shared" si="368"/>
        <v>3.8459324853510251</v>
      </c>
      <c r="S122" s="381">
        <f t="shared" si="368"/>
        <v>3.9165480790403873</v>
      </c>
      <c r="T122" s="381">
        <f t="shared" si="368"/>
        <v>3.9884602534916569</v>
      </c>
      <c r="U122" s="381">
        <f t="shared" si="368"/>
        <v>4.0616928153682679</v>
      </c>
      <c r="V122" s="381">
        <f t="shared" si="368"/>
        <v>4.1362700084504462</v>
      </c>
      <c r="W122" s="381">
        <f t="shared" si="368"/>
        <v>4.2122165216611611</v>
      </c>
      <c r="X122" s="381">
        <f t="shared" si="368"/>
        <v>4.2895574972394392</v>
      </c>
      <c r="Y122" s="381">
        <f t="shared" si="368"/>
        <v>4.3683185390637522</v>
      </c>
      <c r="Z122" s="381">
        <f t="shared" si="368"/>
        <v>4.4485257211282283</v>
      </c>
      <c r="AA122" s="399">
        <f t="shared" si="368"/>
        <v>4.5302055961744996</v>
      </c>
      <c r="AB122" s="381">
        <f t="shared" si="368"/>
        <v>4.5812270367014145</v>
      </c>
      <c r="AC122" s="381">
        <f t="shared" si="368"/>
        <v>4.632823106202264</v>
      </c>
      <c r="AD122" s="381">
        <f t="shared" si="368"/>
        <v>4.6850002764358676</v>
      </c>
      <c r="AE122" s="381">
        <f t="shared" si="368"/>
        <v>4.7377650920492256</v>
      </c>
      <c r="AF122" s="381">
        <f t="shared" si="368"/>
        <v>4.7911241713984305</v>
      </c>
      <c r="AG122" s="381">
        <f t="shared" si="368"/>
        <v>4.8450842073788047</v>
      </c>
      <c r="AH122" s="381">
        <f t="shared" si="368"/>
        <v>4.8996519682644095</v>
      </c>
      <c r="AI122" s="381">
        <f t="shared" si="368"/>
        <v>4.9548342985569871</v>
      </c>
      <c r="AJ122" s="381">
        <f t="shared" ref="AJ122:BK122" si="369">AJ120*AJ121</f>
        <v>5.0106381198444847</v>
      </c>
      <c r="AK122" s="381">
        <f t="shared" si="369"/>
        <v>5.067070431669233</v>
      </c>
      <c r="AL122" s="381">
        <f t="shared" si="369"/>
        <v>5.1241383124059077</v>
      </c>
      <c r="AM122" s="399">
        <f t="shared" si="369"/>
        <v>5.1818489201493785</v>
      </c>
      <c r="AN122" s="381">
        <f t="shared" si="369"/>
        <v>5.3608242242414281</v>
      </c>
      <c r="AO122" s="381">
        <f t="shared" si="369"/>
        <v>5.5459811364753682</v>
      </c>
      <c r="AP122" s="381">
        <f t="shared" si="369"/>
        <v>5.7375331627279653</v>
      </c>
      <c r="AQ122" s="381">
        <f t="shared" si="369"/>
        <v>5.9357011831317417</v>
      </c>
      <c r="AR122" s="381">
        <f t="shared" si="369"/>
        <v>6.1407137067735764</v>
      </c>
      <c r="AS122" s="381">
        <f t="shared" si="369"/>
        <v>6.3528071351903064</v>
      </c>
      <c r="AT122" s="381">
        <f t="shared" si="369"/>
        <v>6.5722260349651869</v>
      </c>
      <c r="AU122" s="381">
        <f t="shared" si="369"/>
        <v>6.7992234197395129</v>
      </c>
      <c r="AV122" s="381">
        <f t="shared" si="369"/>
        <v>7.0340610419646286</v>
      </c>
      <c r="AW122" s="381">
        <f t="shared" si="369"/>
        <v>7.2770096947307081</v>
      </c>
      <c r="AX122" s="381">
        <f t="shared" si="369"/>
        <v>7.5283495240203813</v>
      </c>
      <c r="AY122" s="399">
        <f t="shared" si="369"/>
        <v>7.7883703517472416</v>
      </c>
      <c r="AZ122" s="381">
        <f t="shared" si="369"/>
        <v>8.054689349052822</v>
      </c>
      <c r="BA122" s="381">
        <f t="shared" si="369"/>
        <v>8.330114976516267</v>
      </c>
      <c r="BB122" s="381">
        <f t="shared" si="369"/>
        <v>8.6149586302965879</v>
      </c>
      <c r="BC122" s="381">
        <f t="shared" si="369"/>
        <v>8.9095423545714514</v>
      </c>
      <c r="BD122" s="381">
        <f t="shared" si="369"/>
        <v>9.21419920564027</v>
      </c>
      <c r="BE122" s="381">
        <f t="shared" si="369"/>
        <v>9.5292736284775792</v>
      </c>
      <c r="BF122" s="381">
        <f t="shared" si="369"/>
        <v>9.855121846162465</v>
      </c>
      <c r="BG122" s="381">
        <f t="shared" si="369"/>
        <v>10.192112262624299</v>
      </c>
      <c r="BH122" s="381">
        <f t="shared" si="369"/>
        <v>10.540625879160146</v>
      </c>
      <c r="BI122" s="381">
        <f t="shared" si="369"/>
        <v>10.901056725194762</v>
      </c>
      <c r="BJ122" s="381">
        <f t="shared" si="369"/>
        <v>11.273812303770171</v>
      </c>
      <c r="BK122" s="399">
        <f t="shared" si="369"/>
        <v>11.659314052268536</v>
      </c>
    </row>
    <row r="123" spans="1:63" s="54" customFormat="1" hidden="1" outlineLevel="1">
      <c r="A123" s="857"/>
      <c r="B123" s="371" t="s">
        <v>348</v>
      </c>
      <c r="C123" s="365">
        <f>C124/C122</f>
        <v>0.42857142857142855</v>
      </c>
      <c r="D123" s="352">
        <f>C123</f>
        <v>0.42857142857142855</v>
      </c>
      <c r="E123" s="169">
        <f t="shared" ref="E123:O123" si="370">D123*((0.5*($K119/12))+1)</f>
        <v>0.42946428571428574</v>
      </c>
      <c r="F123" s="169">
        <f t="shared" si="370"/>
        <v>0.43035900297619056</v>
      </c>
      <c r="G123" s="169">
        <f t="shared" si="370"/>
        <v>0.43125558423239102</v>
      </c>
      <c r="H123" s="169">
        <f t="shared" si="370"/>
        <v>0.43215403336620856</v>
      </c>
      <c r="I123" s="169">
        <f t="shared" si="370"/>
        <v>0.43305435426905486</v>
      </c>
      <c r="J123" s="169">
        <f t="shared" si="370"/>
        <v>0.43395655084044876</v>
      </c>
      <c r="K123" s="169">
        <f t="shared" si="370"/>
        <v>0.43486062698803307</v>
      </c>
      <c r="L123" s="169">
        <f t="shared" si="370"/>
        <v>0.43576658662759155</v>
      </c>
      <c r="M123" s="169">
        <f t="shared" si="370"/>
        <v>0.43667443368306574</v>
      </c>
      <c r="N123" s="169">
        <f t="shared" si="370"/>
        <v>0.43758417208657219</v>
      </c>
      <c r="O123" s="405">
        <f t="shared" si="370"/>
        <v>0.43849580577841923</v>
      </c>
      <c r="P123" s="169">
        <f t="shared" ref="P123:AA123" si="371">O123*((0.5*($W119/12))+1)</f>
        <v>0.4392266321213833</v>
      </c>
      <c r="Q123" s="169">
        <f t="shared" si="371"/>
        <v>0.43995867650825227</v>
      </c>
      <c r="R123" s="169">
        <f t="shared" si="371"/>
        <v>0.44069194096909936</v>
      </c>
      <c r="S123" s="169">
        <f t="shared" si="371"/>
        <v>0.44142642753738121</v>
      </c>
      <c r="T123" s="169">
        <f t="shared" si="371"/>
        <v>0.44216213824994355</v>
      </c>
      <c r="U123" s="169">
        <f t="shared" si="371"/>
        <v>0.44289907514702681</v>
      </c>
      <c r="V123" s="169">
        <f t="shared" si="371"/>
        <v>0.44363724027227186</v>
      </c>
      <c r="W123" s="169">
        <f t="shared" si="371"/>
        <v>0.44437663567272567</v>
      </c>
      <c r="X123" s="169">
        <f t="shared" si="371"/>
        <v>0.44511726339884689</v>
      </c>
      <c r="Y123" s="169">
        <f t="shared" si="371"/>
        <v>0.44585912550451162</v>
      </c>
      <c r="Z123" s="169">
        <f t="shared" si="371"/>
        <v>0.44660222404701916</v>
      </c>
      <c r="AA123" s="405">
        <f t="shared" si="371"/>
        <v>0.44734656108709753</v>
      </c>
      <c r="AB123" s="169">
        <f t="shared" ref="AB123:AM123" si="372">AA123*((0.5*($AI119/12))+1)</f>
        <v>0.44790574428845636</v>
      </c>
      <c r="AC123" s="169">
        <f t="shared" si="372"/>
        <v>0.44846562646881694</v>
      </c>
      <c r="AD123" s="169">
        <f t="shared" si="372"/>
        <v>0.44902620850190295</v>
      </c>
      <c r="AE123" s="169">
        <f t="shared" si="372"/>
        <v>0.44958749126253034</v>
      </c>
      <c r="AF123" s="169">
        <f t="shared" si="372"/>
        <v>0.45014947562660851</v>
      </c>
      <c r="AG123" s="169">
        <f t="shared" si="372"/>
        <v>0.45071216247114176</v>
      </c>
      <c r="AH123" s="169">
        <f t="shared" si="372"/>
        <v>0.4512755526742307</v>
      </c>
      <c r="AI123" s="169">
        <f t="shared" si="372"/>
        <v>0.45183964711507346</v>
      </c>
      <c r="AJ123" s="169">
        <f t="shared" si="372"/>
        <v>0.45240444667396729</v>
      </c>
      <c r="AK123" s="169">
        <f t="shared" si="372"/>
        <v>0.45296995223230974</v>
      </c>
      <c r="AL123" s="169">
        <f t="shared" si="372"/>
        <v>0.45353616467260011</v>
      </c>
      <c r="AM123" s="405">
        <f t="shared" si="372"/>
        <v>0.45410308487844087</v>
      </c>
      <c r="AN123" s="169">
        <f t="shared" ref="AN123:AY123" si="373">AM123*((0.5*($AU119/12))+1)</f>
        <v>0.45463287181079909</v>
      </c>
      <c r="AO123" s="169">
        <f t="shared" si="373"/>
        <v>0.45516327682791174</v>
      </c>
      <c r="AP123" s="169">
        <f t="shared" si="373"/>
        <v>0.45569430065087768</v>
      </c>
      <c r="AQ123" s="169">
        <f t="shared" si="373"/>
        <v>0.45622594400163707</v>
      </c>
      <c r="AR123" s="169">
        <f t="shared" si="373"/>
        <v>0.45675820760297237</v>
      </c>
      <c r="AS123" s="169">
        <f t="shared" si="373"/>
        <v>0.45729109217850922</v>
      </c>
      <c r="AT123" s="169">
        <f t="shared" si="373"/>
        <v>0.4578245984527175</v>
      </c>
      <c r="AU123" s="169">
        <f t="shared" si="373"/>
        <v>0.45835872715091236</v>
      </c>
      <c r="AV123" s="169">
        <f t="shared" si="373"/>
        <v>0.45889347899925514</v>
      </c>
      <c r="AW123" s="169">
        <f t="shared" si="373"/>
        <v>0.45942885472475431</v>
      </c>
      <c r="AX123" s="169">
        <f t="shared" si="373"/>
        <v>0.45996485505526657</v>
      </c>
      <c r="AY123" s="405">
        <f t="shared" si="373"/>
        <v>0.46050148071949776</v>
      </c>
      <c r="AZ123" s="169">
        <f t="shared" ref="AZ123:BK123" si="374">AY123*((0.5*($BG119/12))+1)</f>
        <v>0.46088523195343062</v>
      </c>
      <c r="BA123" s="169">
        <f t="shared" si="374"/>
        <v>0.46126930298005842</v>
      </c>
      <c r="BB123" s="169">
        <f t="shared" si="374"/>
        <v>0.46165369406587509</v>
      </c>
      <c r="BC123" s="169">
        <f t="shared" si="374"/>
        <v>0.46203840547759661</v>
      </c>
      <c r="BD123" s="169">
        <f t="shared" si="374"/>
        <v>0.46242343748216125</v>
      </c>
      <c r="BE123" s="169">
        <f t="shared" si="374"/>
        <v>0.46280879034672967</v>
      </c>
      <c r="BF123" s="169">
        <f t="shared" si="374"/>
        <v>0.46319446433868522</v>
      </c>
      <c r="BG123" s="169">
        <f t="shared" si="374"/>
        <v>0.46358045972563405</v>
      </c>
      <c r="BH123" s="169">
        <f t="shared" si="374"/>
        <v>0.46396677677540538</v>
      </c>
      <c r="BI123" s="169">
        <f t="shared" si="374"/>
        <v>0.46435341575605149</v>
      </c>
      <c r="BJ123" s="169">
        <f t="shared" si="374"/>
        <v>0.46474037693584813</v>
      </c>
      <c r="BK123" s="405">
        <f t="shared" si="374"/>
        <v>0.46512766058329463</v>
      </c>
    </row>
    <row r="124" spans="1:63" s="385" customFormat="1" hidden="1" outlineLevel="1">
      <c r="A124" s="859"/>
      <c r="B124" s="390" t="s">
        <v>285</v>
      </c>
      <c r="C124" s="391">
        <v>9</v>
      </c>
      <c r="D124" s="383">
        <f t="shared" ref="D124:AI124" si="375">D122*D123</f>
        <v>0.75</v>
      </c>
      <c r="E124" s="384">
        <f t="shared" si="375"/>
        <v>0.80333680555555564</v>
      </c>
      <c r="F124" s="384">
        <f t="shared" si="375"/>
        <v>0.8604666975469395</v>
      </c>
      <c r="G124" s="384">
        <f t="shared" si="375"/>
        <v>0.92165942412572921</v>
      </c>
      <c r="H124" s="384">
        <f t="shared" si="375"/>
        <v>0.98720391678311536</v>
      </c>
      <c r="I124" s="384">
        <f t="shared" si="375"/>
        <v>1.0574096545873071</v>
      </c>
      <c r="J124" s="384">
        <f t="shared" si="375"/>
        <v>1.1326081254396947</v>
      </c>
      <c r="K124" s="384">
        <f t="shared" si="375"/>
        <v>1.2131543912493203</v>
      </c>
      <c r="L124" s="384">
        <f t="shared" si="375"/>
        <v>1.2994287644158986</v>
      </c>
      <c r="M124" s="384">
        <f t="shared" si="375"/>
        <v>1.3918386035371608</v>
      </c>
      <c r="N124" s="384">
        <f t="shared" si="375"/>
        <v>1.4908202368192647</v>
      </c>
      <c r="O124" s="400">
        <f t="shared" si="375"/>
        <v>1.5968410222719536</v>
      </c>
      <c r="P124" s="384">
        <f t="shared" si="375"/>
        <v>1.6288710657048502</v>
      </c>
      <c r="Q124" s="384">
        <f t="shared" si="375"/>
        <v>1.6615435799084775</v>
      </c>
      <c r="R124" s="384">
        <f t="shared" si="375"/>
        <v>1.6948714518054555</v>
      </c>
      <c r="S124" s="384">
        <f t="shared" si="375"/>
        <v>1.728867826809191</v>
      </c>
      <c r="T124" s="384">
        <f t="shared" si="375"/>
        <v>1.7635461140087829</v>
      </c>
      <c r="U124" s="384">
        <f t="shared" si="375"/>
        <v>1.7989199914579295</v>
      </c>
      <c r="V124" s="384">
        <f t="shared" si="375"/>
        <v>1.8350034115699225</v>
      </c>
      <c r="W124" s="384">
        <f t="shared" si="375"/>
        <v>1.8718106066208575</v>
      </c>
      <c r="X124" s="384">
        <f t="shared" si="375"/>
        <v>1.909356094363226</v>
      </c>
      <c r="Y124" s="384">
        <f t="shared" si="375"/>
        <v>1.9476546837521103</v>
      </c>
      <c r="Z124" s="384">
        <f t="shared" si="375"/>
        <v>1.9867214807862366</v>
      </c>
      <c r="AA124" s="400">
        <f t="shared" si="375"/>
        <v>2.026571894466187</v>
      </c>
      <c r="AB124" s="384">
        <f t="shared" si="375"/>
        <v>2.0519579056281465</v>
      </c>
      <c r="AC124" s="384">
        <f t="shared" si="375"/>
        <v>2.0776619166422088</v>
      </c>
      <c r="AD124" s="384">
        <f t="shared" si="375"/>
        <v>2.1036879109583646</v>
      </c>
      <c r="AE124" s="384">
        <f t="shared" si="375"/>
        <v>2.1300399219256025</v>
      </c>
      <c r="AF124" s="384">
        <f t="shared" si="375"/>
        <v>2.1567220334169726</v>
      </c>
      <c r="AG124" s="384">
        <f t="shared" si="375"/>
        <v>2.1837383804624788</v>
      </c>
      <c r="AH124" s="384">
        <f t="shared" si="375"/>
        <v>2.2110931498899036</v>
      </c>
      <c r="AI124" s="384">
        <f t="shared" si="375"/>
        <v>2.2387905809736517</v>
      </c>
      <c r="AJ124" s="384">
        <f t="shared" ref="AJ124:BK124" si="376">AJ122*AJ123</f>
        <v>2.2668349660917317</v>
      </c>
      <c r="AK124" s="384">
        <f t="shared" si="376"/>
        <v>2.2952306513909617</v>
      </c>
      <c r="AL124" s="384">
        <f t="shared" si="376"/>
        <v>2.3239820374605049</v>
      </c>
      <c r="AM124" s="400">
        <f t="shared" si="376"/>
        <v>2.3530935800138502</v>
      </c>
      <c r="AN124" s="384">
        <f t="shared" si="376"/>
        <v>2.4372069123397795</v>
      </c>
      <c r="AO124" s="384">
        <f t="shared" si="376"/>
        <v>2.5243269473039147</v>
      </c>
      <c r="AP124" s="384">
        <f t="shared" si="376"/>
        <v>2.6145611620505385</v>
      </c>
      <c r="AQ124" s="384">
        <f t="shared" si="376"/>
        <v>2.708020875585913</v>
      </c>
      <c r="AR124" s="384">
        <f t="shared" si="376"/>
        <v>2.8048213861089031</v>
      </c>
      <c r="AS124" s="384">
        <f t="shared" si="376"/>
        <v>2.9050821132506015</v>
      </c>
      <c r="AT124" s="384">
        <f t="shared" si="376"/>
        <v>3.0089267453984325</v>
      </c>
      <c r="AU124" s="384">
        <f t="shared" si="376"/>
        <v>3.1164833922864768</v>
      </c>
      <c r="AV124" s="384">
        <f t="shared" si="376"/>
        <v>3.2278847430402742</v>
      </c>
      <c r="AW124" s="384">
        <f t="shared" si="376"/>
        <v>3.3432682298710632</v>
      </c>
      <c r="AX124" s="384">
        <f t="shared" si="376"/>
        <v>3.46277619762142</v>
      </c>
      <c r="AY124" s="400">
        <f t="shared" si="376"/>
        <v>3.5865560793714404</v>
      </c>
      <c r="AZ124" s="384">
        <f t="shared" si="376"/>
        <v>3.7122873689510367</v>
      </c>
      <c r="BA124" s="384">
        <f t="shared" si="376"/>
        <v>3.842426328961404</v>
      </c>
      <c r="BB124" s="384">
        <f t="shared" si="376"/>
        <v>3.9771274759011113</v>
      </c>
      <c r="BC124" s="384">
        <f t="shared" si="376"/>
        <v>4.1165507430413051</v>
      </c>
      <c r="BD124" s="384">
        <f t="shared" si="376"/>
        <v>4.2608616703175732</v>
      </c>
      <c r="BE124" s="384">
        <f t="shared" si="376"/>
        <v>4.4102316008787001</v>
      </c>
      <c r="BF124" s="384">
        <f t="shared" si="376"/>
        <v>4.5648378845256978</v>
      </c>
      <c r="BG124" s="384">
        <f t="shared" si="376"/>
        <v>4.7248640882826445</v>
      </c>
      <c r="BH124" s="384">
        <f t="shared" si="376"/>
        <v>4.8905002143493563</v>
      </c>
      <c r="BI124" s="384">
        <f t="shared" si="376"/>
        <v>5.0619429256946642</v>
      </c>
      <c r="BJ124" s="384">
        <f t="shared" si="376"/>
        <v>5.2393957795581514</v>
      </c>
      <c r="BK124" s="400">
        <f t="shared" si="376"/>
        <v>5.4230694691375971</v>
      </c>
    </row>
    <row r="125" spans="1:63" s="339" customFormat="1" ht="6.75" hidden="1" customHeight="1" outlineLevel="1">
      <c r="A125" s="854"/>
      <c r="B125" s="373"/>
      <c r="C125" s="357"/>
      <c r="D125" s="349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40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40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401"/>
      <c r="AN125" s="341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401"/>
      <c r="AZ125" s="341"/>
      <c r="BA125" s="341"/>
      <c r="BB125" s="341"/>
      <c r="BC125" s="341"/>
      <c r="BD125" s="341"/>
      <c r="BE125" s="341"/>
      <c r="BF125" s="341"/>
      <c r="BG125" s="341"/>
      <c r="BH125" s="341"/>
      <c r="BI125" s="341"/>
      <c r="BJ125" s="341"/>
      <c r="BK125" s="401"/>
    </row>
    <row r="126" spans="1:63" s="248" customFormat="1" hidden="1" outlineLevel="1">
      <c r="A126" s="860"/>
      <c r="B126" s="374" t="s">
        <v>321</v>
      </c>
      <c r="C126" s="358">
        <v>8300</v>
      </c>
      <c r="D126" s="353">
        <f>C126</f>
        <v>8300</v>
      </c>
      <c r="E126" s="249">
        <f t="shared" ref="E126:O126" si="377">D126*((1+$G119/12))</f>
        <v>8320.75</v>
      </c>
      <c r="F126" s="249">
        <f t="shared" si="377"/>
        <v>8341.5518749999992</v>
      </c>
      <c r="G126" s="249">
        <f t="shared" si="377"/>
        <v>8362.4057546874992</v>
      </c>
      <c r="H126" s="249">
        <f t="shared" si="377"/>
        <v>8383.3117690742183</v>
      </c>
      <c r="I126" s="249">
        <f t="shared" si="377"/>
        <v>8404.2700484969027</v>
      </c>
      <c r="J126" s="249">
        <f t="shared" si="377"/>
        <v>8425.2807236181452</v>
      </c>
      <c r="K126" s="249">
        <f t="shared" si="377"/>
        <v>8446.3439254271907</v>
      </c>
      <c r="L126" s="249">
        <f t="shared" si="377"/>
        <v>8467.4597852407587</v>
      </c>
      <c r="M126" s="249">
        <f t="shared" si="377"/>
        <v>8488.62843470386</v>
      </c>
      <c r="N126" s="249">
        <f t="shared" si="377"/>
        <v>8509.8500057906185</v>
      </c>
      <c r="O126" s="402">
        <f t="shared" si="377"/>
        <v>8531.1246308050941</v>
      </c>
      <c r="P126" s="249">
        <f t="shared" ref="P126:AA126" si="378">O126*((1+$S119/12))</f>
        <v>8548.8978071192723</v>
      </c>
      <c r="Q126" s="249">
        <f t="shared" si="378"/>
        <v>8566.7080108841055</v>
      </c>
      <c r="R126" s="249">
        <f t="shared" si="378"/>
        <v>8584.5553192401148</v>
      </c>
      <c r="S126" s="249">
        <f t="shared" si="378"/>
        <v>8602.4398094885328</v>
      </c>
      <c r="T126" s="249">
        <f t="shared" si="378"/>
        <v>8620.3615590916343</v>
      </c>
      <c r="U126" s="249">
        <f t="shared" si="378"/>
        <v>8638.3206456730768</v>
      </c>
      <c r="V126" s="249">
        <f t="shared" si="378"/>
        <v>8656.3171470182297</v>
      </c>
      <c r="W126" s="249">
        <f t="shared" si="378"/>
        <v>8674.3511410745177</v>
      </c>
      <c r="X126" s="249">
        <f t="shared" si="378"/>
        <v>8692.422705951758</v>
      </c>
      <c r="Y126" s="249">
        <f t="shared" si="378"/>
        <v>8710.5319199224923</v>
      </c>
      <c r="Z126" s="249">
        <f t="shared" si="378"/>
        <v>8728.6788614223315</v>
      </c>
      <c r="AA126" s="402">
        <f t="shared" si="378"/>
        <v>8746.8636090502951</v>
      </c>
      <c r="AB126" s="249">
        <f t="shared" ref="AB126:AM126" si="379">AA126*((1+$AE119/12))</f>
        <v>8765.0862415691499</v>
      </c>
      <c r="AC126" s="249">
        <f t="shared" si="379"/>
        <v>8783.346837905754</v>
      </c>
      <c r="AD126" s="249">
        <f t="shared" si="379"/>
        <v>8801.6454771513927</v>
      </c>
      <c r="AE126" s="249">
        <f t="shared" si="379"/>
        <v>8819.9822385621264</v>
      </c>
      <c r="AF126" s="249">
        <f t="shared" si="379"/>
        <v>8838.3572015591326</v>
      </c>
      <c r="AG126" s="249">
        <f t="shared" si="379"/>
        <v>8856.7704457290492</v>
      </c>
      <c r="AH126" s="249">
        <f t="shared" si="379"/>
        <v>8875.222050824319</v>
      </c>
      <c r="AI126" s="249">
        <f t="shared" si="379"/>
        <v>8893.7120967635365</v>
      </c>
      <c r="AJ126" s="249">
        <f t="shared" si="379"/>
        <v>8912.2406636317955</v>
      </c>
      <c r="AK126" s="249">
        <f t="shared" si="379"/>
        <v>8930.8078316810297</v>
      </c>
      <c r="AL126" s="249">
        <f t="shared" si="379"/>
        <v>8949.4136813303667</v>
      </c>
      <c r="AM126" s="402">
        <f t="shared" si="379"/>
        <v>8968.0582931664721</v>
      </c>
      <c r="AN126" s="249">
        <f t="shared" ref="AN126:AY126" si="380">AM126*((1+$AQ119/12))</f>
        <v>8984.4997333706106</v>
      </c>
      <c r="AO126" s="249">
        <f t="shared" si="380"/>
        <v>9000.9713162151238</v>
      </c>
      <c r="AP126" s="249">
        <f t="shared" si="380"/>
        <v>9017.4730969615175</v>
      </c>
      <c r="AQ126" s="249">
        <f t="shared" si="380"/>
        <v>9034.0051309726132</v>
      </c>
      <c r="AR126" s="249">
        <f t="shared" si="380"/>
        <v>9050.5674737127301</v>
      </c>
      <c r="AS126" s="249">
        <f t="shared" si="380"/>
        <v>9067.160180747871</v>
      </c>
      <c r="AT126" s="249">
        <f t="shared" si="380"/>
        <v>9083.783307745909</v>
      </c>
      <c r="AU126" s="249">
        <f t="shared" si="380"/>
        <v>9100.4369104767775</v>
      </c>
      <c r="AV126" s="249">
        <f t="shared" si="380"/>
        <v>9117.1210448126512</v>
      </c>
      <c r="AW126" s="249">
        <f t="shared" si="380"/>
        <v>9133.8357667281416</v>
      </c>
      <c r="AX126" s="249">
        <f t="shared" si="380"/>
        <v>9150.5811323004764</v>
      </c>
      <c r="AY126" s="402">
        <f t="shared" si="380"/>
        <v>9167.3571977096944</v>
      </c>
      <c r="AZ126" s="249">
        <f t="shared" ref="AZ126:BK126" si="381">AY126*((1+$BC119/12))</f>
        <v>9182.6361263725448</v>
      </c>
      <c r="BA126" s="249">
        <f t="shared" si="381"/>
        <v>9197.9405199164994</v>
      </c>
      <c r="BB126" s="249">
        <f t="shared" si="381"/>
        <v>9213.2704207830266</v>
      </c>
      <c r="BC126" s="249">
        <f t="shared" si="381"/>
        <v>9228.6258714843316</v>
      </c>
      <c r="BD126" s="249">
        <f t="shared" si="381"/>
        <v>9244.006914603473</v>
      </c>
      <c r="BE126" s="249">
        <f t="shared" si="381"/>
        <v>9259.413592794479</v>
      </c>
      <c r="BF126" s="249">
        <f t="shared" si="381"/>
        <v>9274.8459487824693</v>
      </c>
      <c r="BG126" s="249">
        <f t="shared" si="381"/>
        <v>9290.3040253637737</v>
      </c>
      <c r="BH126" s="249">
        <f t="shared" si="381"/>
        <v>9305.7878654060478</v>
      </c>
      <c r="BI126" s="249">
        <f t="shared" si="381"/>
        <v>9321.2975118483919</v>
      </c>
      <c r="BJ126" s="249">
        <f t="shared" si="381"/>
        <v>9336.8330077014725</v>
      </c>
      <c r="BK126" s="402">
        <f t="shared" si="381"/>
        <v>9352.3943960476427</v>
      </c>
    </row>
    <row r="127" spans="1:63" s="334" customFormat="1" hidden="1" outlineLevel="1">
      <c r="A127" s="861"/>
      <c r="B127" s="372" t="s">
        <v>261</v>
      </c>
      <c r="C127" s="359">
        <f t="shared" ref="C127:AH127" si="382">C126*C124</f>
        <v>74700</v>
      </c>
      <c r="D127" s="354">
        <f t="shared" si="382"/>
        <v>6225</v>
      </c>
      <c r="E127" s="335">
        <f t="shared" si="382"/>
        <v>6684.3647248263896</v>
      </c>
      <c r="F127" s="335">
        <f t="shared" si="382"/>
        <v>7177.62759429773</v>
      </c>
      <c r="G127" s="335">
        <f t="shared" si="382"/>
        <v>7707.2900721709648</v>
      </c>
      <c r="H127" s="335">
        <f t="shared" si="382"/>
        <v>8276.0382140440561</v>
      </c>
      <c r="I127" s="335">
        <f t="shared" si="382"/>
        <v>8886.7562890395602</v>
      </c>
      <c r="J127" s="335">
        <f t="shared" si="382"/>
        <v>9542.5414066803423</v>
      </c>
      <c r="K127" s="335">
        <f t="shared" si="382"/>
        <v>10246.719223134018</v>
      </c>
      <c r="L127" s="335">
        <f t="shared" si="382"/>
        <v>11002.860806476709</v>
      </c>
      <c r="M127" s="335">
        <f t="shared" si="382"/>
        <v>11814.800746504055</v>
      </c>
      <c r="N127" s="335">
        <f t="shared" si="382"/>
        <v>12686.656600929191</v>
      </c>
      <c r="O127" s="403">
        <f t="shared" si="382"/>
        <v>13622.849776584249</v>
      </c>
      <c r="P127" s="335">
        <f t="shared" si="382"/>
        <v>13925.052281684226</v>
      </c>
      <c r="Q127" s="335">
        <f t="shared" si="382"/>
        <v>14233.958696435009</v>
      </c>
      <c r="R127" s="335">
        <f t="shared" si="382"/>
        <v>14549.717737024739</v>
      </c>
      <c r="S127" s="335">
        <f t="shared" si="382"/>
        <v>14872.481418687312</v>
      </c>
      <c r="T127" s="335">
        <f t="shared" si="382"/>
        <v>15202.405128886745</v>
      </c>
      <c r="U127" s="335">
        <f t="shared" si="382"/>
        <v>15539.647702125067</v>
      </c>
      <c r="V127" s="335">
        <f t="shared" si="382"/>
        <v>15884.371496409671</v>
      </c>
      <c r="W127" s="335">
        <f t="shared" si="382"/>
        <v>16236.742471417021</v>
      </c>
      <c r="X127" s="335">
        <f t="shared" si="382"/>
        <v>16596.930268390272</v>
      </c>
      <c r="Y127" s="335">
        <f t="shared" si="382"/>
        <v>16965.108291809305</v>
      </c>
      <c r="Z127" s="335">
        <f t="shared" si="382"/>
        <v>17341.453792872497</v>
      </c>
      <c r="AA127" s="403">
        <f t="shared" si="382"/>
        <v>17726.147954830405</v>
      </c>
      <c r="AB127" s="335">
        <f t="shared" si="382"/>
        <v>17985.588006900314</v>
      </c>
      <c r="AC127" s="335">
        <f t="shared" si="382"/>
        <v>18248.825225776553</v>
      </c>
      <c r="AD127" s="335">
        <f t="shared" si="382"/>
        <v>18515.91518682475</v>
      </c>
      <c r="AE127" s="335">
        <f t="shared" si="382"/>
        <v>18786.914278812073</v>
      </c>
      <c r="AF127" s="335">
        <f t="shared" si="382"/>
        <v>19061.879715812156</v>
      </c>
      <c r="AG127" s="335">
        <f t="shared" si="382"/>
        <v>19340.8695492843</v>
      </c>
      <c r="AH127" s="335">
        <f t="shared" si="382"/>
        <v>19623.942680329474</v>
      </c>
      <c r="AI127" s="335">
        <f t="shared" ref="AI127:BK127" si="383">AI126*AI124</f>
        <v>19911.15887212563</v>
      </c>
      <c r="AJ127" s="335">
        <f t="shared" si="383"/>
        <v>20202.578762545134</v>
      </c>
      <c r="AK127" s="335">
        <f t="shared" si="383"/>
        <v>20498.263876956753</v>
      </c>
      <c r="AL127" s="335">
        <f t="shared" si="383"/>
        <v>20798.276641215063</v>
      </c>
      <c r="AM127" s="403">
        <f t="shared" si="383"/>
        <v>21102.680394839994</v>
      </c>
      <c r="AN127" s="335">
        <f t="shared" si="383"/>
        <v>21897.084854085759</v>
      </c>
      <c r="AO127" s="335">
        <f t="shared" si="383"/>
        <v>22721.394445431422</v>
      </c>
      <c r="AP127" s="335">
        <f t="shared" si="383"/>
        <v>23576.734939151174</v>
      </c>
      <c r="AQ127" s="335">
        <f t="shared" si="383"/>
        <v>24464.274484824087</v>
      </c>
      <c r="AR127" s="335">
        <f t="shared" si="383"/>
        <v>25385.225206691091</v>
      </c>
      <c r="AS127" s="335">
        <f t="shared" si="383"/>
        <v>26340.844859068729</v>
      </c>
      <c r="AT127" s="335">
        <f t="shared" si="383"/>
        <v>27332.438544080505</v>
      </c>
      <c r="AU127" s="335">
        <f t="shared" si="383"/>
        <v>28361.360494051733</v>
      </c>
      <c r="AV127" s="335">
        <f t="shared" si="383"/>
        <v>29429.015921002159</v>
      </c>
      <c r="AW127" s="335">
        <f t="shared" si="383"/>
        <v>30536.862935762198</v>
      </c>
      <c r="AX127" s="335">
        <f t="shared" si="383"/>
        <v>31686.414539333753</v>
      </c>
      <c r="AY127" s="403">
        <f t="shared" si="383"/>
        <v>32879.240689215236</v>
      </c>
      <c r="AZ127" s="335">
        <f t="shared" si="383"/>
        <v>34088.584105606271</v>
      </c>
      <c r="BA127" s="335">
        <f t="shared" si="383"/>
        <v>35342.4088259481</v>
      </c>
      <c r="BB127" s="335">
        <f t="shared" si="383"/>
        <v>36642.35093340317</v>
      </c>
      <c r="BC127" s="335">
        <f t="shared" si="383"/>
        <v>37990.10668850904</v>
      </c>
      <c r="BD127" s="335">
        <f t="shared" si="383"/>
        <v>39387.434742584548</v>
      </c>
      <c r="BE127" s="335">
        <f t="shared" si="383"/>
        <v>40836.158432547993</v>
      </c>
      <c r="BF127" s="335">
        <f t="shared" si="383"/>
        <v>42338.168160141904</v>
      </c>
      <c r="BG127" s="335">
        <f t="shared" si="383"/>
        <v>43895.42385866899</v>
      </c>
      <c r="BH127" s="335">
        <f t="shared" si="383"/>
        <v>45509.957550457919</v>
      </c>
      <c r="BI127" s="335">
        <f t="shared" si="383"/>
        <v>47183.875998396245</v>
      </c>
      <c r="BJ127" s="335">
        <f t="shared" si="383"/>
        <v>48919.363454990336</v>
      </c>
      <c r="BK127" s="403">
        <f t="shared" si="383"/>
        <v>50718.684512539527</v>
      </c>
    </row>
    <row r="128" spans="1:63" s="339" customFormat="1" ht="4.5" hidden="1" customHeight="1" outlineLevel="1">
      <c r="A128" s="854"/>
      <c r="B128" s="373"/>
      <c r="C128" s="360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40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40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401"/>
      <c r="AN128" s="341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401"/>
      <c r="AZ128" s="341"/>
      <c r="BA128" s="341"/>
      <c r="BB128" s="341"/>
      <c r="BC128" s="341"/>
      <c r="BD128" s="341"/>
      <c r="BE128" s="341"/>
      <c r="BF128" s="341"/>
      <c r="BG128" s="341"/>
      <c r="BH128" s="341"/>
      <c r="BI128" s="341"/>
      <c r="BJ128" s="341"/>
      <c r="BK128" s="401"/>
    </row>
    <row r="129" spans="1:63" s="248" customFormat="1" hidden="1" outlineLevel="1">
      <c r="A129" s="860"/>
      <c r="B129" s="374" t="s">
        <v>346</v>
      </c>
      <c r="C129" s="358">
        <v>8000</v>
      </c>
      <c r="D129" s="353">
        <f>C129/12</f>
        <v>666.66666666666663</v>
      </c>
      <c r="E129" s="249">
        <f t="shared" ref="E129:O129" si="384">D129*(1+($I119/12))</f>
        <v>683.33333333333326</v>
      </c>
      <c r="F129" s="249">
        <f t="shared" si="384"/>
        <v>700.41666666666652</v>
      </c>
      <c r="G129" s="249">
        <f t="shared" si="384"/>
        <v>717.92708333333314</v>
      </c>
      <c r="H129" s="249">
        <f t="shared" si="384"/>
        <v>735.87526041666638</v>
      </c>
      <c r="I129" s="249">
        <f t="shared" si="384"/>
        <v>754.272141927083</v>
      </c>
      <c r="J129" s="249">
        <f t="shared" si="384"/>
        <v>773.12894547526002</v>
      </c>
      <c r="K129" s="249">
        <f t="shared" si="384"/>
        <v>792.4571691121414</v>
      </c>
      <c r="L129" s="249">
        <f t="shared" si="384"/>
        <v>812.2685983399449</v>
      </c>
      <c r="M129" s="249">
        <f t="shared" si="384"/>
        <v>832.57531329844346</v>
      </c>
      <c r="N129" s="249">
        <f t="shared" si="384"/>
        <v>853.38969613090444</v>
      </c>
      <c r="O129" s="402">
        <f t="shared" si="384"/>
        <v>874.72443853417701</v>
      </c>
      <c r="P129" s="249">
        <f t="shared" ref="P129:AA129" si="385">O129*(1+($U119/12))</f>
        <v>891.12552175669282</v>
      </c>
      <c r="Q129" s="249">
        <f t="shared" si="385"/>
        <v>907.83412528963083</v>
      </c>
      <c r="R129" s="249">
        <f t="shared" si="385"/>
        <v>924.85601513881147</v>
      </c>
      <c r="S129" s="249">
        <f t="shared" si="385"/>
        <v>942.1970654226642</v>
      </c>
      <c r="T129" s="249">
        <f t="shared" si="385"/>
        <v>959.8632603993392</v>
      </c>
      <c r="U129" s="249">
        <f t="shared" si="385"/>
        <v>977.86069653182687</v>
      </c>
      <c r="V129" s="249">
        <f t="shared" si="385"/>
        <v>996.19558459179871</v>
      </c>
      <c r="W129" s="249">
        <f t="shared" si="385"/>
        <v>1014.8742518028949</v>
      </c>
      <c r="X129" s="249">
        <f t="shared" si="385"/>
        <v>1033.9031440241993</v>
      </c>
      <c r="Y129" s="249">
        <f t="shared" si="385"/>
        <v>1053.288827974653</v>
      </c>
      <c r="Z129" s="249">
        <f t="shared" si="385"/>
        <v>1073.0379934991779</v>
      </c>
      <c r="AA129" s="402">
        <f t="shared" si="385"/>
        <v>1093.1574558772875</v>
      </c>
      <c r="AB129" s="249">
        <f t="shared" ref="AB129:AM129" si="386">AA129*(1+($AG119/12))</f>
        <v>1104.0890304360603</v>
      </c>
      <c r="AC129" s="249">
        <f t="shared" si="386"/>
        <v>1115.1299207404209</v>
      </c>
      <c r="AD129" s="249">
        <f t="shared" si="386"/>
        <v>1126.2812199478251</v>
      </c>
      <c r="AE129" s="249">
        <f t="shared" si="386"/>
        <v>1137.5440321473034</v>
      </c>
      <c r="AF129" s="249">
        <f t="shared" si="386"/>
        <v>1148.9194724687763</v>
      </c>
      <c r="AG129" s="249">
        <f t="shared" si="386"/>
        <v>1160.4086671934642</v>
      </c>
      <c r="AH129" s="249">
        <f t="shared" si="386"/>
        <v>1172.012753865399</v>
      </c>
      <c r="AI129" s="249">
        <f t="shared" si="386"/>
        <v>1183.7328814040529</v>
      </c>
      <c r="AJ129" s="249">
        <f t="shared" si="386"/>
        <v>1195.5702102180935</v>
      </c>
      <c r="AK129" s="249">
        <f t="shared" si="386"/>
        <v>1207.5259123202745</v>
      </c>
      <c r="AL129" s="249">
        <f t="shared" si="386"/>
        <v>1219.6011714434774</v>
      </c>
      <c r="AM129" s="402">
        <f t="shared" si="386"/>
        <v>1231.7971831579121</v>
      </c>
      <c r="AN129" s="249">
        <f t="shared" ref="AN129:AY129" si="387">AM129*(1+($AS119/12))</f>
        <v>1237.9561690737014</v>
      </c>
      <c r="AO129" s="249">
        <f t="shared" si="387"/>
        <v>1244.1459499190698</v>
      </c>
      <c r="AP129" s="249">
        <f t="shared" si="387"/>
        <v>1250.366679668665</v>
      </c>
      <c r="AQ129" s="249">
        <f t="shared" si="387"/>
        <v>1256.6185130670083</v>
      </c>
      <c r="AR129" s="249">
        <f t="shared" si="387"/>
        <v>1262.9016056323433</v>
      </c>
      <c r="AS129" s="249">
        <f t="shared" si="387"/>
        <v>1269.2161136605048</v>
      </c>
      <c r="AT129" s="249">
        <f t="shared" si="387"/>
        <v>1275.5621942288071</v>
      </c>
      <c r="AU129" s="249">
        <f t="shared" si="387"/>
        <v>1281.940005199951</v>
      </c>
      <c r="AV129" s="249">
        <f t="shared" si="387"/>
        <v>1288.3497052259506</v>
      </c>
      <c r="AW129" s="249">
        <f t="shared" si="387"/>
        <v>1294.7914537520803</v>
      </c>
      <c r="AX129" s="249">
        <f t="shared" si="387"/>
        <v>1301.2654110208405</v>
      </c>
      <c r="AY129" s="402">
        <f t="shared" si="387"/>
        <v>1307.7717380759445</v>
      </c>
      <c r="AZ129" s="249">
        <f t="shared" ref="AZ129:BK129" si="388">AY129*(1+($BES119/12))</f>
        <v>1307.7717380759445</v>
      </c>
      <c r="BA129" s="249">
        <f t="shared" si="388"/>
        <v>1307.7717380759445</v>
      </c>
      <c r="BB129" s="249">
        <f t="shared" si="388"/>
        <v>1307.7717380759445</v>
      </c>
      <c r="BC129" s="249">
        <f t="shared" si="388"/>
        <v>1307.7717380759445</v>
      </c>
      <c r="BD129" s="249">
        <f t="shared" si="388"/>
        <v>1307.7717380759445</v>
      </c>
      <c r="BE129" s="249">
        <f t="shared" si="388"/>
        <v>1307.7717380759445</v>
      </c>
      <c r="BF129" s="249">
        <f t="shared" si="388"/>
        <v>1307.7717380759445</v>
      </c>
      <c r="BG129" s="249">
        <f t="shared" si="388"/>
        <v>1307.7717380759445</v>
      </c>
      <c r="BH129" s="249">
        <f t="shared" si="388"/>
        <v>1307.7717380759445</v>
      </c>
      <c r="BI129" s="249">
        <f t="shared" si="388"/>
        <v>1307.7717380759445</v>
      </c>
      <c r="BJ129" s="249">
        <f t="shared" si="388"/>
        <v>1307.7717380759445</v>
      </c>
      <c r="BK129" s="402">
        <f t="shared" si="388"/>
        <v>1307.7717380759445</v>
      </c>
    </row>
    <row r="130" spans="1:63" s="54" customFormat="1" hidden="1" outlineLevel="1">
      <c r="A130" s="857"/>
      <c r="B130" s="370" t="s">
        <v>345</v>
      </c>
      <c r="C130" s="361">
        <v>0.09</v>
      </c>
      <c r="D130" s="355">
        <f>M119</f>
        <v>0.09</v>
      </c>
      <c r="E130" s="169">
        <f t="shared" ref="E130:O130" si="389">D130</f>
        <v>0.09</v>
      </c>
      <c r="F130" s="169">
        <f t="shared" si="389"/>
        <v>0.09</v>
      </c>
      <c r="G130" s="169">
        <f t="shared" si="389"/>
        <v>0.09</v>
      </c>
      <c r="H130" s="169">
        <f t="shared" si="389"/>
        <v>0.09</v>
      </c>
      <c r="I130" s="169">
        <f t="shared" si="389"/>
        <v>0.09</v>
      </c>
      <c r="J130" s="169">
        <f t="shared" si="389"/>
        <v>0.09</v>
      </c>
      <c r="K130" s="169">
        <f t="shared" si="389"/>
        <v>0.09</v>
      </c>
      <c r="L130" s="169">
        <f t="shared" si="389"/>
        <v>0.09</v>
      </c>
      <c r="M130" s="169">
        <f t="shared" si="389"/>
        <v>0.09</v>
      </c>
      <c r="N130" s="169">
        <f t="shared" si="389"/>
        <v>0.09</v>
      </c>
      <c r="O130" s="405">
        <f t="shared" si="389"/>
        <v>0.09</v>
      </c>
      <c r="P130" s="169">
        <f t="shared" ref="P130:AA130" si="390">$Y119</f>
        <v>0.09</v>
      </c>
      <c r="Q130" s="169">
        <f t="shared" si="390"/>
        <v>0.09</v>
      </c>
      <c r="R130" s="169">
        <f t="shared" si="390"/>
        <v>0.09</v>
      </c>
      <c r="S130" s="169">
        <f t="shared" si="390"/>
        <v>0.09</v>
      </c>
      <c r="T130" s="169">
        <f t="shared" si="390"/>
        <v>0.09</v>
      </c>
      <c r="U130" s="169">
        <f t="shared" si="390"/>
        <v>0.09</v>
      </c>
      <c r="V130" s="169">
        <f t="shared" si="390"/>
        <v>0.09</v>
      </c>
      <c r="W130" s="169">
        <f t="shared" si="390"/>
        <v>0.09</v>
      </c>
      <c r="X130" s="169">
        <f t="shared" si="390"/>
        <v>0.09</v>
      </c>
      <c r="Y130" s="169">
        <f t="shared" si="390"/>
        <v>0.09</v>
      </c>
      <c r="Z130" s="169">
        <f t="shared" si="390"/>
        <v>0.09</v>
      </c>
      <c r="AA130" s="405">
        <f t="shared" si="390"/>
        <v>0.09</v>
      </c>
      <c r="AB130" s="169">
        <f t="shared" ref="AB130:AM130" si="391">$AK119</f>
        <v>0.09</v>
      </c>
      <c r="AC130" s="169">
        <f t="shared" si="391"/>
        <v>0.09</v>
      </c>
      <c r="AD130" s="169">
        <f t="shared" si="391"/>
        <v>0.09</v>
      </c>
      <c r="AE130" s="169">
        <f t="shared" si="391"/>
        <v>0.09</v>
      </c>
      <c r="AF130" s="169">
        <f t="shared" si="391"/>
        <v>0.09</v>
      </c>
      <c r="AG130" s="169">
        <f t="shared" si="391"/>
        <v>0.09</v>
      </c>
      <c r="AH130" s="169">
        <f t="shared" si="391"/>
        <v>0.09</v>
      </c>
      <c r="AI130" s="169">
        <f t="shared" si="391"/>
        <v>0.09</v>
      </c>
      <c r="AJ130" s="169">
        <f t="shared" si="391"/>
        <v>0.09</v>
      </c>
      <c r="AK130" s="169">
        <f t="shared" si="391"/>
        <v>0.09</v>
      </c>
      <c r="AL130" s="169">
        <f t="shared" si="391"/>
        <v>0.09</v>
      </c>
      <c r="AM130" s="405">
        <f t="shared" si="391"/>
        <v>0.09</v>
      </c>
      <c r="AN130" s="169">
        <f t="shared" ref="AN130:AY130" si="392">$AW119</f>
        <v>0.09</v>
      </c>
      <c r="AO130" s="169">
        <f t="shared" si="392"/>
        <v>0.09</v>
      </c>
      <c r="AP130" s="169">
        <f t="shared" si="392"/>
        <v>0.09</v>
      </c>
      <c r="AQ130" s="169">
        <f t="shared" si="392"/>
        <v>0.09</v>
      </c>
      <c r="AR130" s="169">
        <f t="shared" si="392"/>
        <v>0.09</v>
      </c>
      <c r="AS130" s="169">
        <f t="shared" si="392"/>
        <v>0.09</v>
      </c>
      <c r="AT130" s="169">
        <f t="shared" si="392"/>
        <v>0.09</v>
      </c>
      <c r="AU130" s="169">
        <f t="shared" si="392"/>
        <v>0.09</v>
      </c>
      <c r="AV130" s="169">
        <f t="shared" si="392"/>
        <v>0.09</v>
      </c>
      <c r="AW130" s="169">
        <f t="shared" si="392"/>
        <v>0.09</v>
      </c>
      <c r="AX130" s="169">
        <f t="shared" si="392"/>
        <v>0.09</v>
      </c>
      <c r="AY130" s="405">
        <f t="shared" si="392"/>
        <v>0.09</v>
      </c>
      <c r="AZ130" s="169">
        <f t="shared" ref="AZ130:BK130" si="393">$BI119</f>
        <v>0.09</v>
      </c>
      <c r="BA130" s="169">
        <f t="shared" si="393"/>
        <v>0.09</v>
      </c>
      <c r="BB130" s="169">
        <f t="shared" si="393"/>
        <v>0.09</v>
      </c>
      <c r="BC130" s="169">
        <f t="shared" si="393"/>
        <v>0.09</v>
      </c>
      <c r="BD130" s="169">
        <f t="shared" si="393"/>
        <v>0.09</v>
      </c>
      <c r="BE130" s="169">
        <f t="shared" si="393"/>
        <v>0.09</v>
      </c>
      <c r="BF130" s="169">
        <f t="shared" si="393"/>
        <v>0.09</v>
      </c>
      <c r="BG130" s="169">
        <f t="shared" si="393"/>
        <v>0.09</v>
      </c>
      <c r="BH130" s="169">
        <f t="shared" si="393"/>
        <v>0.09</v>
      </c>
      <c r="BI130" s="169">
        <f t="shared" si="393"/>
        <v>0.09</v>
      </c>
      <c r="BJ130" s="169">
        <f t="shared" si="393"/>
        <v>0.09</v>
      </c>
      <c r="BK130" s="405">
        <f t="shared" si="393"/>
        <v>0.09</v>
      </c>
    </row>
    <row r="131" spans="1:63" s="336" customFormat="1" ht="19.5" hidden="1" outlineLevel="1" thickBot="1">
      <c r="A131" s="862"/>
      <c r="B131" s="375" t="s">
        <v>300</v>
      </c>
      <c r="C131" s="362">
        <f>C130*'Prg. HR'!D$38*12</f>
        <v>6804</v>
      </c>
      <c r="D131" s="351">
        <f>D130*'Prg. HR'!D$38</f>
        <v>567</v>
      </c>
      <c r="E131" s="337">
        <f>E130*'Prg. HR'!E$38</f>
        <v>558.495</v>
      </c>
      <c r="F131" s="337">
        <f>F130*'Prg. HR'!F$38</f>
        <v>550.11757499999999</v>
      </c>
      <c r="G131" s="337">
        <f>G130*'Prg. HR'!G$38</f>
        <v>749.765811375</v>
      </c>
      <c r="H131" s="337">
        <f>H130*'Prg. HR'!H$38</f>
        <v>741.63782420437497</v>
      </c>
      <c r="I131" s="337">
        <f>I130*'Prg. HR'!I$38</f>
        <v>733.63175684130942</v>
      </c>
      <c r="J131" s="337">
        <f>J130*'Prg. HR'!J$38</f>
        <v>725.74578048868966</v>
      </c>
      <c r="K131" s="337">
        <f>K130*'Prg. HR'!K$38</f>
        <v>875.47809378135935</v>
      </c>
      <c r="L131" s="337">
        <f>L130*'Prg. HR'!L$38</f>
        <v>880.95192237463891</v>
      </c>
      <c r="M131" s="337">
        <f>M130*'Prg. HR'!M$38</f>
        <v>874.50926853901933</v>
      </c>
      <c r="N131" s="337">
        <f>N130*'Prg. HR'!N$38</f>
        <v>867.17705659426747</v>
      </c>
      <c r="O131" s="406">
        <f>O130*'Prg. HR'!O$38</f>
        <v>859.87264466896454</v>
      </c>
      <c r="P131" s="337">
        <f>P130*'Prg. HR'!P$38</f>
        <v>838.35282604927716</v>
      </c>
      <c r="Q131" s="337">
        <f>Q130*'Prg. HR'!Q$38</f>
        <v>844.38353365853811</v>
      </c>
      <c r="R131" s="337">
        <f>R130*'Prg. HR'!R$38</f>
        <v>838.4894056536599</v>
      </c>
      <c r="S131" s="337">
        <f>S130*'Prg. HR'!S$38</f>
        <v>831.69749165218843</v>
      </c>
      <c r="T131" s="337">
        <f>T130*'Prg. HR'!T$38</f>
        <v>824.92527320101669</v>
      </c>
      <c r="U131" s="337">
        <f>U130*'Prg. HR'!U$38</f>
        <v>1243.4977894299691</v>
      </c>
      <c r="V131" s="337">
        <f>V130*'Prg. HR'!V$38</f>
        <v>1236.9198971991</v>
      </c>
      <c r="W131" s="337">
        <f>W130*'Prg. HR'!W$38</f>
        <v>1230.4406257919952</v>
      </c>
      <c r="X131" s="337">
        <f>X130*'Prg. HR'!X$38</f>
        <v>1224.0585394926889</v>
      </c>
      <c r="Y131" s="337">
        <f>Y130*'Prg. HR'!Y$38</f>
        <v>1217.772184157596</v>
      </c>
      <c r="Z131" s="337">
        <f>Z130*'Prg. HR'!Z$38</f>
        <v>1211.5801241250072</v>
      </c>
      <c r="AA131" s="406">
        <f>AA130*'Prg. HR'!AA$38</f>
        <v>1377.2991268087758</v>
      </c>
      <c r="AB131" s="337">
        <f>AB130*'Prg. HR'!AB$38</f>
        <v>1593.8098522865491</v>
      </c>
      <c r="AC131" s="337">
        <f>AC130*'Prg. HR'!AC$38</f>
        <v>1579.5582233085902</v>
      </c>
      <c r="AD131" s="337">
        <f>AD130*'Prg. HR'!AD$38</f>
        <v>1562.2805394158886</v>
      </c>
      <c r="AE131" s="337">
        <f>AE130*'Prg. HR'!AE$38</f>
        <v>1545.2436336572159</v>
      </c>
      <c r="AF131" s="337">
        <f>AF130*'Prg. HR'!AF$38</f>
        <v>1528.9547221763751</v>
      </c>
      <c r="AG131" s="337">
        <f>AG130*'Prg. HR'!AG$38</f>
        <v>1513.462947767893</v>
      </c>
      <c r="AH131" s="337">
        <f>AH130*'Prg. HR'!AH$38</f>
        <v>1498.7428773295544</v>
      </c>
      <c r="AI131" s="337">
        <f>AI130*'Prg. HR'!AI$38</f>
        <v>1673.7583193918083</v>
      </c>
      <c r="AJ131" s="337">
        <f>AJ130*'Prg. HR'!AJ$38</f>
        <v>1707.722924904401</v>
      </c>
      <c r="AK131" s="337">
        <f>AK130*'Prg. HR'!AK$38</f>
        <v>1706.9142840297266</v>
      </c>
      <c r="AL131" s="337">
        <f>AL130*'Prg. HR'!AL$38</f>
        <v>1905.7773211708768</v>
      </c>
      <c r="AM131" s="406">
        <f>AM130*'Prg. HR'!AM$38</f>
        <v>1895.1250179479921</v>
      </c>
      <c r="AN131" s="337">
        <f>AN130*'Prg. HR'!AN$38</f>
        <v>2099.7590405819969</v>
      </c>
      <c r="AO131" s="337">
        <f>AO130*'Prg. HR'!AO$38</f>
        <v>2054.5132174747978</v>
      </c>
      <c r="AP131" s="337">
        <f>AP130*'Prg. HR'!AP$38</f>
        <v>2038.9195780880416</v>
      </c>
      <c r="AQ131" s="337">
        <f>AQ130*'Prg. HR'!AQ$38</f>
        <v>2028.6706027648031</v>
      </c>
      <c r="AR131" s="337">
        <f>AR130*'Prg. HR'!AR$38</f>
        <v>2208.7110944365236</v>
      </c>
      <c r="AS131" s="337">
        <f>AS130*'Prg. HR'!AS$38</f>
        <v>2455.4515451671878</v>
      </c>
      <c r="AT131" s="337">
        <f>AT130*'Prg. HR'!AT$38</f>
        <v>2459.3004692719505</v>
      </c>
      <c r="AU131" s="337">
        <f>AU130*'Prg. HR'!AU$38</f>
        <v>2454.6945711491339</v>
      </c>
      <c r="AV131" s="337">
        <f>AV130*'Prg. HR'!AV$38</f>
        <v>2448.2533739268724</v>
      </c>
      <c r="AW131" s="337">
        <f>AW130*'Prg. HR'!AW$38</f>
        <v>2441.6178380643273</v>
      </c>
      <c r="AX131" s="337">
        <f>AX130*'Prg. HR'!AX$38</f>
        <v>2860.434979369561</v>
      </c>
      <c r="AY131" s="406">
        <f>AY130*'Prg. HR'!AY$38</f>
        <v>3272.1902079529436</v>
      </c>
      <c r="AZ131" s="337">
        <f>AZ130*'Prg. HR'!AZ$38</f>
        <v>3336.3463567392496</v>
      </c>
      <c r="BA131" s="337">
        <f>BA130*'Prg. HR'!BA$38</f>
        <v>3354.1259252969385</v>
      </c>
      <c r="BB131" s="337">
        <f>BB130*'Prg. HR'!BB$38</f>
        <v>3356.6269244969753</v>
      </c>
      <c r="BC131" s="337">
        <f>BC130*'Prg. HR'!BC$38</f>
        <v>3354.2063434270876</v>
      </c>
      <c r="BD131" s="337">
        <f>BD130*'Prg. HR'!BD$38</f>
        <v>3558.2079479740546</v>
      </c>
      <c r="BE131" s="337">
        <f>BE130*'Prg. HR'!BE$38</f>
        <v>4215.4355144941464</v>
      </c>
      <c r="BF131" s="337">
        <f>BF130*'Prg. HR'!BF$38</f>
        <v>4309.6797654022703</v>
      </c>
      <c r="BG131" s="337">
        <f>BG130*'Prg. HR'!BG$38</f>
        <v>4346.65578822917</v>
      </c>
      <c r="BH131" s="337">
        <f>BH130*'Prg. HR'!BH$38</f>
        <v>4567.7846701081335</v>
      </c>
      <c r="BI131" s="337">
        <f>BI130*'Prg. HR'!BI$38</f>
        <v>4840.209461665766</v>
      </c>
      <c r="BJ131" s="337">
        <f>BJ130*'Prg. HR'!BJ$38</f>
        <v>4974.7635011139973</v>
      </c>
      <c r="BK131" s="406">
        <f>BK130*'Prg. HR'!BK$38</f>
        <v>5465.7150823240572</v>
      </c>
    </row>
    <row r="132" spans="1:63" s="54" customFormat="1" hidden="1" outlineLevel="1">
      <c r="A132" s="857"/>
      <c r="B132" s="192" t="s">
        <v>386</v>
      </c>
      <c r="C132" s="1207">
        <f t="shared" ref="C132:AH132" si="394">(C129+C131)/C120</f>
        <v>462.625</v>
      </c>
      <c r="D132" s="368">
        <f t="shared" si="394"/>
        <v>462.62499999999994</v>
      </c>
      <c r="E132" s="1208">
        <f t="shared" si="394"/>
        <v>436.58027343750007</v>
      </c>
      <c r="F132" s="1208">
        <f t="shared" si="394"/>
        <v>412.16338531494142</v>
      </c>
      <c r="G132" s="1208">
        <f t="shared" si="394"/>
        <v>453.50312984991075</v>
      </c>
      <c r="H132" s="1208">
        <f t="shared" si="394"/>
        <v>428.00388284076826</v>
      </c>
      <c r="I132" s="1208">
        <f t="shared" si="394"/>
        <v>404.07551162025271</v>
      </c>
      <c r="J132" s="1208">
        <f t="shared" si="394"/>
        <v>381.61396813615676</v>
      </c>
      <c r="K132" s="1208">
        <f t="shared" si="394"/>
        <v>398.11578098467226</v>
      </c>
      <c r="L132" s="1208">
        <f t="shared" si="394"/>
        <v>378.89162182665552</v>
      </c>
      <c r="M132" s="1208">
        <f t="shared" si="394"/>
        <v>358.11935629553335</v>
      </c>
      <c r="N132" s="1208">
        <f t="shared" si="394"/>
        <v>338.38847118273355</v>
      </c>
      <c r="O132" s="1209">
        <f t="shared" si="394"/>
        <v>319.82611298725408</v>
      </c>
      <c r="P132" s="1208">
        <f t="shared" si="394"/>
        <v>313.65473832830151</v>
      </c>
      <c r="Q132" s="1208">
        <f t="shared" si="394"/>
        <v>312.56920757969448</v>
      </c>
      <c r="R132" s="1208">
        <f t="shared" si="394"/>
        <v>309.39760572816067</v>
      </c>
      <c r="S132" s="1208">
        <f t="shared" si="394"/>
        <v>306.14612780811098</v>
      </c>
      <c r="T132" s="1208">
        <f t="shared" si="394"/>
        <v>302.9766450038781</v>
      </c>
      <c r="U132" s="1208">
        <f t="shared" si="394"/>
        <v>370.90479821550815</v>
      </c>
      <c r="V132" s="1208">
        <f t="shared" si="394"/>
        <v>366.75529967838696</v>
      </c>
      <c r="W132" s="1208">
        <f t="shared" si="394"/>
        <v>362.71363784829555</v>
      </c>
      <c r="X132" s="1208">
        <f t="shared" si="394"/>
        <v>358.77701675516403</v>
      </c>
      <c r="Y132" s="1208">
        <f t="shared" si="394"/>
        <v>354.94271223372692</v>
      </c>
      <c r="Z132" s="1208">
        <f t="shared" si="394"/>
        <v>351.20807588267235</v>
      </c>
      <c r="AA132" s="1209">
        <f t="shared" si="394"/>
        <v>373.5506688298035</v>
      </c>
      <c r="AB132" s="1208">
        <f t="shared" si="394"/>
        <v>403.90254259803783</v>
      </c>
      <c r="AC132" s="1208">
        <f t="shared" si="394"/>
        <v>399.4275869219548</v>
      </c>
      <c r="AD132" s="1208">
        <f t="shared" si="394"/>
        <v>394.57374915291922</v>
      </c>
      <c r="AE132" s="1208">
        <f t="shared" si="394"/>
        <v>389.82806165214964</v>
      </c>
      <c r="AF132" s="1208">
        <f t="shared" si="394"/>
        <v>385.26148462305446</v>
      </c>
      <c r="AG132" s="1208">
        <f t="shared" si="394"/>
        <v>380.8768711632319</v>
      </c>
      <c r="AH132" s="1208">
        <f t="shared" si="394"/>
        <v>376.66635453943883</v>
      </c>
      <c r="AI132" s="1208">
        <f t="shared" ref="AI132:BK132" si="395">(AI129+AI131)/AI120</f>
        <v>399.01222701284638</v>
      </c>
      <c r="AJ132" s="1208">
        <f t="shared" si="395"/>
        <v>401.3939439491561</v>
      </c>
      <c r="AK132" s="1208">
        <f t="shared" si="395"/>
        <v>398.94562142731769</v>
      </c>
      <c r="AL132" s="1208">
        <f t="shared" si="395"/>
        <v>423.58424678739703</v>
      </c>
      <c r="AM132" s="1209">
        <f t="shared" si="395"/>
        <v>419.59749152354073</v>
      </c>
      <c r="AN132" s="1208">
        <f t="shared" si="395"/>
        <v>433.43566674259108</v>
      </c>
      <c r="AO132" s="1208">
        <f t="shared" si="395"/>
        <v>414.54566075806235</v>
      </c>
      <c r="AP132" s="1208">
        <f t="shared" si="395"/>
        <v>400.03331440255363</v>
      </c>
      <c r="AQ132" s="1208">
        <f t="shared" si="395"/>
        <v>386.6585746113974</v>
      </c>
      <c r="AR132" s="1208">
        <f t="shared" si="395"/>
        <v>395.40747946100436</v>
      </c>
      <c r="AS132" s="1208">
        <f t="shared" si="395"/>
        <v>410.54493690546349</v>
      </c>
      <c r="AT132" s="1208">
        <f t="shared" si="395"/>
        <v>398.38902904966534</v>
      </c>
      <c r="AU132" s="1208">
        <f t="shared" si="395"/>
        <v>385.72067886956813</v>
      </c>
      <c r="AV132" s="1208">
        <f t="shared" si="395"/>
        <v>373.27492985425511</v>
      </c>
      <c r="AW132" s="1208">
        <f t="shared" si="395"/>
        <v>361.21506881327633</v>
      </c>
      <c r="AX132" s="1208">
        <f t="shared" si="395"/>
        <v>389.35144261344726</v>
      </c>
      <c r="AY132" s="1209">
        <f t="shared" si="395"/>
        <v>414.66025209743162</v>
      </c>
      <c r="AZ132" s="1208">
        <f t="shared" si="395"/>
        <v>406.90530648144437</v>
      </c>
      <c r="BA132" s="1208">
        <f t="shared" si="395"/>
        <v>395.28687591167812</v>
      </c>
      <c r="BB132" s="1208">
        <f t="shared" si="395"/>
        <v>382.74090782629861</v>
      </c>
      <c r="BC132" s="1208">
        <f t="shared" si="395"/>
        <v>370.20221142501219</v>
      </c>
      <c r="BD132" s="1208">
        <f t="shared" si="395"/>
        <v>373.93716732475053</v>
      </c>
      <c r="BE132" s="1208">
        <f t="shared" si="395"/>
        <v>410.75158042511191</v>
      </c>
      <c r="BF132" s="1208">
        <f t="shared" si="395"/>
        <v>404.28422510654678</v>
      </c>
      <c r="BG132" s="1208">
        <f t="shared" si="395"/>
        <v>393.81809489265464</v>
      </c>
      <c r="BH132" s="1208">
        <f t="shared" si="395"/>
        <v>396.01860158213566</v>
      </c>
      <c r="BI132" s="1208">
        <f t="shared" si="395"/>
        <v>401.01320840239254</v>
      </c>
      <c r="BJ132" s="1208">
        <f t="shared" si="395"/>
        <v>396.57071546817127</v>
      </c>
      <c r="BK132" s="1209">
        <f t="shared" si="395"/>
        <v>413.76862729496418</v>
      </c>
    </row>
    <row r="133" spans="1:63" s="54" customFormat="1" hidden="1" outlineLevel="1">
      <c r="A133" s="857"/>
      <c r="B133" s="192" t="s">
        <v>390</v>
      </c>
      <c r="C133" s="1207">
        <f t="shared" ref="C133:AH133" si="396">(C129+C131)/C122</f>
        <v>704.95238095238096</v>
      </c>
      <c r="D133" s="368">
        <f t="shared" si="396"/>
        <v>704.95238095238085</v>
      </c>
      <c r="E133" s="1208">
        <f t="shared" si="396"/>
        <v>663.88209088209089</v>
      </c>
      <c r="F133" s="1208">
        <f t="shared" si="396"/>
        <v>625.4497367132501</v>
      </c>
      <c r="G133" s="1208">
        <f t="shared" si="396"/>
        <v>686.75124477957559</v>
      </c>
      <c r="H133" s="1208">
        <f t="shared" si="396"/>
        <v>646.78961257667902</v>
      </c>
      <c r="I133" s="1208">
        <f t="shared" si="396"/>
        <v>609.36010873386056</v>
      </c>
      <c r="J133" s="1208">
        <f t="shared" si="396"/>
        <v>574.29087043563788</v>
      </c>
      <c r="K133" s="1208">
        <f t="shared" si="396"/>
        <v>597.87886803952074</v>
      </c>
      <c r="L133" s="1208">
        <f t="shared" si="396"/>
        <v>567.82560685522083</v>
      </c>
      <c r="M133" s="1208">
        <f t="shared" si="396"/>
        <v>535.57947820137792</v>
      </c>
      <c r="N133" s="1208">
        <f t="shared" si="396"/>
        <v>505.01915617758084</v>
      </c>
      <c r="O133" s="1209">
        <f t="shared" si="396"/>
        <v>476.32390143501675</v>
      </c>
      <c r="P133" s="1208">
        <f t="shared" si="396"/>
        <v>466.35548142968565</v>
      </c>
      <c r="Q133" s="1208">
        <f t="shared" si="396"/>
        <v>463.96818687577735</v>
      </c>
      <c r="R133" s="1208">
        <f t="shared" si="396"/>
        <v>458.49619760850476</v>
      </c>
      <c r="S133" s="1208">
        <f t="shared" si="396"/>
        <v>452.92296207671814</v>
      </c>
      <c r="T133" s="1208">
        <f t="shared" si="396"/>
        <v>447.48810823371775</v>
      </c>
      <c r="U133" s="1208">
        <f t="shared" si="396"/>
        <v>546.90460035697913</v>
      </c>
      <c r="V133" s="1208">
        <f t="shared" si="396"/>
        <v>539.88629301970582</v>
      </c>
      <c r="W133" s="1208">
        <f t="shared" si="396"/>
        <v>533.04830510218198</v>
      </c>
      <c r="X133" s="1208">
        <f t="shared" si="396"/>
        <v>526.38569012538187</v>
      </c>
      <c r="Y133" s="1208">
        <f t="shared" si="396"/>
        <v>519.89363683606234</v>
      </c>
      <c r="Z133" s="1208">
        <f t="shared" si="396"/>
        <v>513.56747400007475</v>
      </c>
      <c r="AA133" s="1209">
        <f t="shared" si="396"/>
        <v>545.32990396114099</v>
      </c>
      <c r="AB133" s="1208">
        <f t="shared" si="396"/>
        <v>588.90311724545234</v>
      </c>
      <c r="AC133" s="1208">
        <f t="shared" si="396"/>
        <v>581.65142123416183</v>
      </c>
      <c r="AD133" s="1208">
        <f t="shared" si="396"/>
        <v>573.86586995231676</v>
      </c>
      <c r="AE133" s="1208">
        <f t="shared" si="396"/>
        <v>566.25594846538354</v>
      </c>
      <c r="AF133" s="1208">
        <f t="shared" si="396"/>
        <v>558.92398085427521</v>
      </c>
      <c r="AG133" s="1208">
        <f t="shared" si="396"/>
        <v>551.87309456648734</v>
      </c>
      <c r="AH133" s="1208">
        <f t="shared" si="396"/>
        <v>545.09088573917791</v>
      </c>
      <c r="AI133" s="1208">
        <f t="shared" ref="AI133:BK133" si="397">(AI129+AI131)/AI122</f>
        <v>576.70772191676679</v>
      </c>
      <c r="AJ133" s="1208">
        <f t="shared" si="397"/>
        <v>579.42582674731329</v>
      </c>
      <c r="AK133" s="1208">
        <f t="shared" si="397"/>
        <v>575.17262403433858</v>
      </c>
      <c r="AL133" s="1208">
        <f t="shared" si="397"/>
        <v>609.93250026986743</v>
      </c>
      <c r="AM133" s="1209">
        <f t="shared" si="397"/>
        <v>603.43754696263193</v>
      </c>
      <c r="AN133" s="1208">
        <f t="shared" si="397"/>
        <v>622.61232042690119</v>
      </c>
      <c r="AO133" s="1208">
        <f t="shared" si="397"/>
        <v>594.78369763988428</v>
      </c>
      <c r="AP133" s="1208">
        <f t="shared" si="397"/>
        <v>573.2927661533173</v>
      </c>
      <c r="AQ133" s="1208">
        <f t="shared" si="397"/>
        <v>553.47953248860426</v>
      </c>
      <c r="AR133" s="1208">
        <f t="shared" si="397"/>
        <v>565.34351963672714</v>
      </c>
      <c r="AS133" s="1208">
        <f t="shared" si="397"/>
        <v>586.30265008290939</v>
      </c>
      <c r="AT133" s="1208">
        <f t="shared" si="397"/>
        <v>568.27970365455349</v>
      </c>
      <c r="AU133" s="1208">
        <f t="shared" si="397"/>
        <v>549.56784704277891</v>
      </c>
      <c r="AV133" s="1208">
        <f t="shared" si="397"/>
        <v>531.2156173881001</v>
      </c>
      <c r="AW133" s="1208">
        <f t="shared" si="397"/>
        <v>513.45393898842087</v>
      </c>
      <c r="AX133" s="1208">
        <f t="shared" si="397"/>
        <v>552.8038220212602</v>
      </c>
      <c r="AY133" s="1209">
        <f t="shared" si="397"/>
        <v>588.05138163485265</v>
      </c>
      <c r="AZ133" s="1208">
        <f t="shared" si="397"/>
        <v>576.57321015878927</v>
      </c>
      <c r="BA133" s="1208">
        <f t="shared" si="397"/>
        <v>559.64385563889698</v>
      </c>
      <c r="BB133" s="1208">
        <f t="shared" si="397"/>
        <v>541.43018704343308</v>
      </c>
      <c r="BC133" s="1208">
        <f t="shared" si="397"/>
        <v>523.25673934430415</v>
      </c>
      <c r="BD133" s="1208">
        <f t="shared" si="397"/>
        <v>528.09577668685483</v>
      </c>
      <c r="BE133" s="1208">
        <f t="shared" si="397"/>
        <v>579.60422461417897</v>
      </c>
      <c r="BF133" s="1208">
        <f t="shared" si="397"/>
        <v>570.00325223433151</v>
      </c>
      <c r="BG133" s="1208">
        <f t="shared" si="397"/>
        <v>554.78465901916923</v>
      </c>
      <c r="BH133" s="1208">
        <f t="shared" si="397"/>
        <v>557.42006931491903</v>
      </c>
      <c r="BI133" s="1208">
        <f t="shared" si="397"/>
        <v>563.98029610582262</v>
      </c>
      <c r="BJ133" s="1208">
        <f t="shared" si="397"/>
        <v>557.26803586120957</v>
      </c>
      <c r="BK133" s="1209">
        <f t="shared" si="397"/>
        <v>580.95071374135375</v>
      </c>
    </row>
    <row r="134" spans="1:63" s="54" customFormat="1" hidden="1" outlineLevel="1">
      <c r="A134" s="857"/>
      <c r="B134" s="192" t="s">
        <v>391</v>
      </c>
      <c r="C134" s="1207">
        <f t="shared" ref="C134:AH134" si="398">(C131+C129)/C124</f>
        <v>1644.8888888888889</v>
      </c>
      <c r="D134" s="368">
        <f t="shared" si="398"/>
        <v>1644.8888888888887</v>
      </c>
      <c r="E134" s="1208">
        <f t="shared" si="398"/>
        <v>1545.8377168148477</v>
      </c>
      <c r="F134" s="1208">
        <f t="shared" si="398"/>
        <v>1453.3209074003103</v>
      </c>
      <c r="G134" s="1208">
        <f t="shared" si="398"/>
        <v>1592.446034065742</v>
      </c>
      <c r="H134" s="1208">
        <f t="shared" si="398"/>
        <v>1496.6645284751689</v>
      </c>
      <c r="I134" s="1208">
        <f t="shared" si="398"/>
        <v>1407.121537346944</v>
      </c>
      <c r="J134" s="1208">
        <f t="shared" si="398"/>
        <v>1323.3833417732767</v>
      </c>
      <c r="K134" s="1208">
        <f t="shared" si="398"/>
        <v>1374.8746861278241</v>
      </c>
      <c r="L134" s="1208">
        <f t="shared" si="398"/>
        <v>1303.0498993730505</v>
      </c>
      <c r="M134" s="1208">
        <f t="shared" si="398"/>
        <v>1226.4960732509853</v>
      </c>
      <c r="N134" s="1208">
        <f t="shared" si="398"/>
        <v>1154.1074572452023</v>
      </c>
      <c r="O134" s="1209">
        <f t="shared" si="398"/>
        <v>1086.2678619911653</v>
      </c>
      <c r="P134" s="1208">
        <f t="shared" si="398"/>
        <v>1061.7650372821772</v>
      </c>
      <c r="Q134" s="1208">
        <f t="shared" si="398"/>
        <v>1054.5721942753294</v>
      </c>
      <c r="R134" s="1208">
        <f t="shared" si="398"/>
        <v>1040.400685794828</v>
      </c>
      <c r="S134" s="1208">
        <f t="shared" si="398"/>
        <v>1026.0440558656026</v>
      </c>
      <c r="T134" s="1208">
        <f t="shared" si="398"/>
        <v>1012.0452872895318</v>
      </c>
      <c r="U134" s="1208">
        <f t="shared" si="398"/>
        <v>1234.8289509871433</v>
      </c>
      <c r="V134" s="1208">
        <f t="shared" si="398"/>
        <v>1216.9544033056454</v>
      </c>
      <c r="W134" s="1208">
        <f t="shared" si="398"/>
        <v>1199.5417002408767</v>
      </c>
      <c r="X134" s="1208">
        <f t="shared" si="398"/>
        <v>1182.5775664281853</v>
      </c>
      <c r="Y134" s="1208">
        <f t="shared" si="398"/>
        <v>1166.0491107987912</v>
      </c>
      <c r="Z134" s="1208">
        <f t="shared" si="398"/>
        <v>1149.9438344624216</v>
      </c>
      <c r="AA134" s="1209">
        <f t="shared" si="398"/>
        <v>1219.0322926277424</v>
      </c>
      <c r="AB134" s="1208">
        <f t="shared" si="398"/>
        <v>1314.7925088145155</v>
      </c>
      <c r="AC134" s="1208">
        <f t="shared" si="398"/>
        <v>1296.9810547444613</v>
      </c>
      <c r="AD134" s="1208">
        <f t="shared" si="398"/>
        <v>1278.0231066398539</v>
      </c>
      <c r="AE134" s="1208">
        <f t="shared" si="398"/>
        <v>1259.5011192932106</v>
      </c>
      <c r="AF134" s="1208">
        <f t="shared" si="398"/>
        <v>1241.6408573535546</v>
      </c>
      <c r="AG134" s="1208">
        <f t="shared" si="398"/>
        <v>1224.446865468874</v>
      </c>
      <c r="AH134" s="1208">
        <f t="shared" si="398"/>
        <v>1207.889243077768</v>
      </c>
      <c r="AI134" s="1208">
        <f t="shared" ref="AI134:BK134" si="399">(AI131+AI129)/AI124</f>
        <v>1276.3548431372872</v>
      </c>
      <c r="AJ134" s="1208">
        <f t="shared" si="399"/>
        <v>1280.7695216242782</v>
      </c>
      <c r="AK134" s="1208">
        <f t="shared" si="399"/>
        <v>1269.780967147587</v>
      </c>
      <c r="AL134" s="1208">
        <f t="shared" si="399"/>
        <v>1344.8376287923304</v>
      </c>
      <c r="AM134" s="1209">
        <f t="shared" si="399"/>
        <v>1328.8558634746262</v>
      </c>
      <c r="AN134" s="1208">
        <f t="shared" si="399"/>
        <v>1369.4837285897111</v>
      </c>
      <c r="AO134" s="1208">
        <f t="shared" si="399"/>
        <v>1306.7479911494711</v>
      </c>
      <c r="AP134" s="1208">
        <f t="shared" si="399"/>
        <v>1258.0643763471944</v>
      </c>
      <c r="AQ134" s="1208">
        <f t="shared" si="399"/>
        <v>1213.169789587017</v>
      </c>
      <c r="AR134" s="1208">
        <f t="shared" si="399"/>
        <v>1237.7304013946484</v>
      </c>
      <c r="AS134" s="1208">
        <f t="shared" si="399"/>
        <v>1282.1213010946624</v>
      </c>
      <c r="AT134" s="1208">
        <f t="shared" si="399"/>
        <v>1241.2607482759436</v>
      </c>
      <c r="AU134" s="1208">
        <f t="shared" si="399"/>
        <v>1198.9906911095779</v>
      </c>
      <c r="AV134" s="1208">
        <f t="shared" si="399"/>
        <v>1157.6011464502906</v>
      </c>
      <c r="AW134" s="1208">
        <f t="shared" si="399"/>
        <v>1117.5918397551088</v>
      </c>
      <c r="AX134" s="1208">
        <f t="shared" si="399"/>
        <v>1201.8392621645812</v>
      </c>
      <c r="AY134" s="1209">
        <f t="shared" si="399"/>
        <v>1276.9804360152502</v>
      </c>
      <c r="AZ134" s="1208">
        <f t="shared" si="399"/>
        <v>1251.0125518993591</v>
      </c>
      <c r="BA134" s="1208">
        <f t="shared" si="399"/>
        <v>1213.2692377821022</v>
      </c>
      <c r="BB134" s="1208">
        <f t="shared" si="399"/>
        <v>1172.8059235808355</v>
      </c>
      <c r="BC134" s="1208">
        <f t="shared" si="399"/>
        <v>1132.4962019194654</v>
      </c>
      <c r="BD134" s="1208">
        <f t="shared" si="399"/>
        <v>1142.0177566307439</v>
      </c>
      <c r="BE134" s="1208">
        <f t="shared" si="399"/>
        <v>1252.3621778660424</v>
      </c>
      <c r="BF134" s="1208">
        <f t="shared" si="399"/>
        <v>1230.591676107658</v>
      </c>
      <c r="BG134" s="1208">
        <f t="shared" si="399"/>
        <v>1196.7386618226178</v>
      </c>
      <c r="BH134" s="1208">
        <f t="shared" si="399"/>
        <v>1201.4223802596798</v>
      </c>
      <c r="BI134" s="1208">
        <f t="shared" si="399"/>
        <v>1214.549687736356</v>
      </c>
      <c r="BJ134" s="1208">
        <f t="shared" si="399"/>
        <v>1199.0953734973921</v>
      </c>
      <c r="BK134" s="1209">
        <f t="shared" si="399"/>
        <v>1249.0134708669248</v>
      </c>
    </row>
    <row r="135" spans="1:63" s="1216" customFormat="1" hidden="1" outlineLevel="1">
      <c r="A135" s="1210"/>
      <c r="B135" s="1211" t="s">
        <v>392</v>
      </c>
      <c r="C135" s="1212">
        <f t="shared" ref="C135:AH135" si="400">(C131+C129)/C127</f>
        <v>0.19817938420348058</v>
      </c>
      <c r="D135" s="1213">
        <f t="shared" si="400"/>
        <v>0.19817938420348055</v>
      </c>
      <c r="E135" s="1214">
        <f t="shared" si="400"/>
        <v>0.18578105541145301</v>
      </c>
      <c r="F135" s="1214">
        <f t="shared" si="400"/>
        <v>0.17422668217840587</v>
      </c>
      <c r="G135" s="1214">
        <f t="shared" si="400"/>
        <v>0.19042917562007863</v>
      </c>
      <c r="H135" s="1214">
        <f t="shared" si="400"/>
        <v>0.17852903121130709</v>
      </c>
      <c r="I135" s="1214">
        <f t="shared" si="400"/>
        <v>0.1674293578415661</v>
      </c>
      <c r="J135" s="1214">
        <f t="shared" si="400"/>
        <v>0.15707290773867105</v>
      </c>
      <c r="K135" s="1214">
        <f t="shared" si="400"/>
        <v>0.16277749263664837</v>
      </c>
      <c r="L135" s="1214">
        <f t="shared" si="400"/>
        <v>0.15388911579412956</v>
      </c>
      <c r="M135" s="1214">
        <f t="shared" si="400"/>
        <v>0.1444869548343912</v>
      </c>
      <c r="N135" s="1214">
        <f t="shared" si="400"/>
        <v>0.13562018795394484</v>
      </c>
      <c r="O135" s="1215">
        <f t="shared" si="400"/>
        <v>0.12732997219015574</v>
      </c>
      <c r="P135" s="1214">
        <f t="shared" si="400"/>
        <v>0.12419905597631196</v>
      </c>
      <c r="Q135" s="1214">
        <f t="shared" si="400"/>
        <v>0.12310121845351593</v>
      </c>
      <c r="R135" s="1214">
        <f t="shared" si="400"/>
        <v>0.1211944762547027</v>
      </c>
      <c r="S135" s="1214">
        <f t="shared" si="400"/>
        <v>0.11927361057892798</v>
      </c>
      <c r="T135" s="1214">
        <f t="shared" si="400"/>
        <v>0.11740172153477231</v>
      </c>
      <c r="U135" s="1214">
        <f t="shared" si="400"/>
        <v>0.14294780219876041</v>
      </c>
      <c r="V135" s="1214">
        <f t="shared" si="400"/>
        <v>0.14058569974239443</v>
      </c>
      <c r="W135" s="1214">
        <f t="shared" si="400"/>
        <v>0.13828604361666247</v>
      </c>
      <c r="X135" s="1214">
        <f t="shared" si="400"/>
        <v>0.13604694645354359</v>
      </c>
      <c r="Y135" s="1214">
        <f t="shared" si="400"/>
        <v>0.13386657916169678</v>
      </c>
      <c r="Z135" s="1214">
        <f t="shared" si="400"/>
        <v>0.13174317129992788</v>
      </c>
      <c r="AA135" s="1215">
        <f t="shared" si="400"/>
        <v>0.13936793199409464</v>
      </c>
      <c r="AB135" s="1214">
        <f t="shared" si="400"/>
        <v>0.15000337390623752</v>
      </c>
      <c r="AC135" s="1214">
        <f t="shared" si="400"/>
        <v>0.14766365016432681</v>
      </c>
      <c r="AD135" s="1214">
        <f t="shared" si="400"/>
        <v>0.1452027475950417</v>
      </c>
      <c r="AE135" s="1214">
        <f t="shared" si="400"/>
        <v>0.14280086798661629</v>
      </c>
      <c r="AF135" s="1214">
        <f t="shared" si="400"/>
        <v>0.14048321752989601</v>
      </c>
      <c r="AG135" s="1214">
        <f t="shared" si="400"/>
        <v>0.13824981385391241</v>
      </c>
      <c r="AH135" s="1214">
        <f t="shared" si="400"/>
        <v>0.13609679128710708</v>
      </c>
      <c r="AI135" s="1214">
        <f t="shared" ref="AI135:BK135" si="401">(AI131+AI129)/AI127</f>
        <v>0.14351204865308814</v>
      </c>
      <c r="AJ135" s="1214">
        <f t="shared" si="401"/>
        <v>0.14370903681390898</v>
      </c>
      <c r="AK135" s="1214">
        <f t="shared" si="401"/>
        <v>0.14217985551577794</v>
      </c>
      <c r="AL135" s="1214">
        <f t="shared" si="401"/>
        <v>0.15027103189987023</v>
      </c>
      <c r="AM135" s="1215">
        <f t="shared" si="401"/>
        <v>0.14817654168095612</v>
      </c>
      <c r="AN135" s="1214">
        <f t="shared" si="401"/>
        <v>0.15242737706398013</v>
      </c>
      <c r="AO135" s="1214">
        <f t="shared" si="401"/>
        <v>0.1451785529852076</v>
      </c>
      <c r="AP135" s="1214">
        <f t="shared" si="401"/>
        <v>0.1395140703853173</v>
      </c>
      <c r="AQ135" s="1214">
        <f t="shared" si="401"/>
        <v>0.13428925177690323</v>
      </c>
      <c r="AR135" s="1214">
        <f t="shared" si="401"/>
        <v>0.13675721494697679</v>
      </c>
      <c r="AS135" s="1214">
        <f t="shared" si="401"/>
        <v>0.14140274082914805</v>
      </c>
      <c r="AT135" s="1214">
        <f t="shared" si="401"/>
        <v>0.13664579022019357</v>
      </c>
      <c r="AU135" s="1214">
        <f t="shared" si="401"/>
        <v>0.13175089316088254</v>
      </c>
      <c r="AV135" s="1214">
        <f t="shared" si="401"/>
        <v>0.12697003152205907</v>
      </c>
      <c r="AW135" s="1214">
        <f t="shared" si="401"/>
        <v>0.12235733905202949</v>
      </c>
      <c r="AX135" s="1214">
        <f t="shared" si="401"/>
        <v>0.13134021159839016</v>
      </c>
      <c r="AY135" s="1215">
        <f t="shared" si="401"/>
        <v>0.13929646336179435</v>
      </c>
      <c r="AZ135" s="1214">
        <f t="shared" si="401"/>
        <v>0.13623675540256347</v>
      </c>
      <c r="BA135" s="1214">
        <f t="shared" si="401"/>
        <v>0.13190661922144248</v>
      </c>
      <c r="BB135" s="1214">
        <f t="shared" si="401"/>
        <v>0.12729528929654055</v>
      </c>
      <c r="BC135" s="1214">
        <f t="shared" si="401"/>
        <v>0.12271558276284472</v>
      </c>
      <c r="BD135" s="1214">
        <f t="shared" si="401"/>
        <v>0.12354142172120297</v>
      </c>
      <c r="BE135" s="1214">
        <f t="shared" si="401"/>
        <v>0.13525286081189955</v>
      </c>
      <c r="BF135" s="1214">
        <f t="shared" si="401"/>
        <v>0.13268055155883215</v>
      </c>
      <c r="BG135" s="1214">
        <f t="shared" si="401"/>
        <v>0.1288158771290327</v>
      </c>
      <c r="BH135" s="1214">
        <f t="shared" si="401"/>
        <v>0.12910485362834531</v>
      </c>
      <c r="BI135" s="1214">
        <f t="shared" si="401"/>
        <v>0.13029835022351019</v>
      </c>
      <c r="BJ135" s="1214">
        <f t="shared" si="401"/>
        <v>0.12842634890313664</v>
      </c>
      <c r="BK135" s="1215">
        <f t="shared" si="401"/>
        <v>0.13355012823184217</v>
      </c>
    </row>
    <row r="136" spans="1:63" s="339" customFormat="1" hidden="1" outlineLevel="1">
      <c r="A136" s="854"/>
      <c r="B136" s="373"/>
      <c r="C136" s="356"/>
      <c r="M136" s="341"/>
      <c r="N136" s="342"/>
      <c r="O136" s="407"/>
      <c r="Y136" s="341"/>
      <c r="Z136" s="342"/>
      <c r="AA136" s="407"/>
      <c r="AK136" s="341"/>
      <c r="AL136" s="342"/>
      <c r="AM136" s="407"/>
      <c r="AW136" s="341"/>
      <c r="AX136" s="342"/>
      <c r="AY136" s="407"/>
      <c r="BI136" s="341"/>
      <c r="BJ136" s="342"/>
      <c r="BK136" s="407"/>
    </row>
    <row r="137" spans="1:63" s="339" customFormat="1" collapsed="1">
      <c r="A137" s="854" t="s">
        <v>280</v>
      </c>
      <c r="B137" s="373"/>
      <c r="C137" s="356"/>
      <c r="D137" s="396" t="s">
        <v>389</v>
      </c>
      <c r="E137" s="415">
        <v>1.35</v>
      </c>
      <c r="F137" s="396" t="s">
        <v>355</v>
      </c>
      <c r="G137" s="415">
        <v>0.03</v>
      </c>
      <c r="H137" s="396" t="s">
        <v>356</v>
      </c>
      <c r="I137" s="415">
        <v>0.3</v>
      </c>
      <c r="J137" s="414" t="s">
        <v>354</v>
      </c>
      <c r="K137" s="415">
        <v>0.05</v>
      </c>
      <c r="L137" s="396" t="s">
        <v>357</v>
      </c>
      <c r="M137" s="415">
        <f>C148</f>
        <v>0.19</v>
      </c>
      <c r="O137" s="404"/>
      <c r="P137" s="396" t="s">
        <v>389</v>
      </c>
      <c r="Q137" s="415">
        <v>0.4</v>
      </c>
      <c r="R137" s="396" t="s">
        <v>355</v>
      </c>
      <c r="S137" s="415">
        <v>2.5000000000000001E-2</v>
      </c>
      <c r="T137" s="396" t="s">
        <v>356</v>
      </c>
      <c r="U137" s="415">
        <f>I137*0.75</f>
        <v>0.22499999999999998</v>
      </c>
      <c r="V137" s="414" t="s">
        <v>354</v>
      </c>
      <c r="W137" s="415">
        <v>0.04</v>
      </c>
      <c r="X137" s="396" t="s">
        <v>357</v>
      </c>
      <c r="Y137" s="415">
        <f>O148</f>
        <v>0.19</v>
      </c>
      <c r="AA137" s="404"/>
      <c r="AB137" s="396" t="s">
        <v>389</v>
      </c>
      <c r="AC137" s="415">
        <f>Q137*0.6</f>
        <v>0.24</v>
      </c>
      <c r="AD137" s="396" t="s">
        <v>355</v>
      </c>
      <c r="AE137" s="415">
        <v>2.5000000000000001E-2</v>
      </c>
      <c r="AF137" s="396" t="s">
        <v>356</v>
      </c>
      <c r="AG137" s="415">
        <v>0.12</v>
      </c>
      <c r="AH137" s="414" t="s">
        <v>354</v>
      </c>
      <c r="AI137" s="415">
        <v>0.03</v>
      </c>
      <c r="AJ137" s="396" t="s">
        <v>357</v>
      </c>
      <c r="AK137" s="415">
        <f>AA148</f>
        <v>0.19</v>
      </c>
      <c r="AM137" s="404"/>
      <c r="AN137" s="396" t="s">
        <v>389</v>
      </c>
      <c r="AO137" s="415">
        <v>0.5</v>
      </c>
      <c r="AP137" s="396" t="s">
        <v>355</v>
      </c>
      <c r="AQ137" s="415">
        <v>2.1999999999999999E-2</v>
      </c>
      <c r="AR137" s="396" t="s">
        <v>356</v>
      </c>
      <c r="AS137" s="415">
        <v>0.06</v>
      </c>
      <c r="AT137" s="414" t="s">
        <v>354</v>
      </c>
      <c r="AU137" s="415">
        <v>2.8000000000000001E-2</v>
      </c>
      <c r="AV137" s="396" t="s">
        <v>357</v>
      </c>
      <c r="AW137" s="415">
        <f>AM148</f>
        <v>0.19</v>
      </c>
      <c r="AY137" s="404"/>
      <c r="AZ137" s="396" t="s">
        <v>389</v>
      </c>
      <c r="BA137" s="415">
        <v>0.6</v>
      </c>
      <c r="BB137" s="396" t="s">
        <v>355</v>
      </c>
      <c r="BC137" s="415">
        <v>0.02</v>
      </c>
      <c r="BD137" s="396" t="s">
        <v>356</v>
      </c>
      <c r="BE137" s="415">
        <v>0.03</v>
      </c>
      <c r="BF137" s="414" t="s">
        <v>354</v>
      </c>
      <c r="BG137" s="415">
        <v>0.02</v>
      </c>
      <c r="BH137" s="396" t="s">
        <v>357</v>
      </c>
      <c r="BI137" s="415">
        <f>AY148</f>
        <v>0.19</v>
      </c>
      <c r="BK137" s="404"/>
    </row>
    <row r="138" spans="1:63" s="378" customFormat="1" hidden="1" outlineLevel="1">
      <c r="A138" s="856"/>
      <c r="B138" s="386" t="s">
        <v>226</v>
      </c>
      <c r="C138" s="387">
        <v>104</v>
      </c>
      <c r="D138" s="376">
        <f>C138/12</f>
        <v>8.6666666666666661</v>
      </c>
      <c r="E138" s="377">
        <f t="shared" ref="E138:O138" si="402">D138*(1+($E137/12))</f>
        <v>9.6416666666666657</v>
      </c>
      <c r="F138" s="377">
        <f t="shared" si="402"/>
        <v>10.726354166666667</v>
      </c>
      <c r="G138" s="377">
        <f t="shared" si="402"/>
        <v>11.933069010416668</v>
      </c>
      <c r="H138" s="377">
        <f t="shared" si="402"/>
        <v>13.275539274088544</v>
      </c>
      <c r="I138" s="377">
        <f t="shared" si="402"/>
        <v>14.769037442423507</v>
      </c>
      <c r="J138" s="377">
        <f t="shared" si="402"/>
        <v>16.430554154696154</v>
      </c>
      <c r="K138" s="377">
        <f t="shared" si="402"/>
        <v>18.278991497099472</v>
      </c>
      <c r="L138" s="377">
        <f t="shared" si="402"/>
        <v>20.335378040523164</v>
      </c>
      <c r="M138" s="377">
        <f t="shared" si="402"/>
        <v>22.623108070082022</v>
      </c>
      <c r="N138" s="377">
        <f t="shared" si="402"/>
        <v>25.168207727966251</v>
      </c>
      <c r="O138" s="398">
        <f t="shared" si="402"/>
        <v>27.999631097362457</v>
      </c>
      <c r="P138" s="377">
        <f t="shared" ref="P138:AA138" si="403">O138*(1+($Q137/12))</f>
        <v>28.932952133941207</v>
      </c>
      <c r="Q138" s="377">
        <f t="shared" si="403"/>
        <v>29.897383871739251</v>
      </c>
      <c r="R138" s="377">
        <f t="shared" si="403"/>
        <v>30.893963334130561</v>
      </c>
      <c r="S138" s="377">
        <f t="shared" si="403"/>
        <v>31.923762111934916</v>
      </c>
      <c r="T138" s="377">
        <f t="shared" si="403"/>
        <v>32.987887515666081</v>
      </c>
      <c r="U138" s="377">
        <f t="shared" si="403"/>
        <v>34.087483766188285</v>
      </c>
      <c r="V138" s="377">
        <f t="shared" si="403"/>
        <v>35.223733225061231</v>
      </c>
      <c r="W138" s="377">
        <f t="shared" si="403"/>
        <v>36.397857665896609</v>
      </c>
      <c r="X138" s="377">
        <f t="shared" si="403"/>
        <v>37.611119588093167</v>
      </c>
      <c r="Y138" s="377">
        <f t="shared" si="403"/>
        <v>38.864823574362944</v>
      </c>
      <c r="Z138" s="377">
        <f t="shared" si="403"/>
        <v>40.160317693508382</v>
      </c>
      <c r="AA138" s="398">
        <f t="shared" si="403"/>
        <v>41.498994949958664</v>
      </c>
      <c r="AB138" s="377">
        <f t="shared" ref="AB138:AM138" si="404">AA138*(1+($AC137/12))</f>
        <v>42.328974848957841</v>
      </c>
      <c r="AC138" s="377">
        <f t="shared" si="404"/>
        <v>43.175554345937002</v>
      </c>
      <c r="AD138" s="377">
        <f t="shared" si="404"/>
        <v>44.039065432855743</v>
      </c>
      <c r="AE138" s="377">
        <f t="shared" si="404"/>
        <v>44.919846741512856</v>
      </c>
      <c r="AF138" s="377">
        <f t="shared" si="404"/>
        <v>45.818243676343116</v>
      </c>
      <c r="AG138" s="377">
        <f t="shared" si="404"/>
        <v>46.734608549869982</v>
      </c>
      <c r="AH138" s="377">
        <f t="shared" si="404"/>
        <v>47.669300720867383</v>
      </c>
      <c r="AI138" s="377">
        <f t="shared" si="404"/>
        <v>48.622686735284731</v>
      </c>
      <c r="AJ138" s="377">
        <f t="shared" si="404"/>
        <v>49.595140469990426</v>
      </c>
      <c r="AK138" s="377">
        <f t="shared" si="404"/>
        <v>50.587043279390237</v>
      </c>
      <c r="AL138" s="377">
        <f t="shared" si="404"/>
        <v>51.59878414497804</v>
      </c>
      <c r="AM138" s="398">
        <f t="shared" si="404"/>
        <v>52.630759827877604</v>
      </c>
      <c r="AN138" s="377">
        <f t="shared" ref="AN138:AY138" si="405">AM138*(1+($AO137/12))</f>
        <v>54.823708154039174</v>
      </c>
      <c r="AO138" s="377">
        <f t="shared" si="405"/>
        <v>57.108029327124143</v>
      </c>
      <c r="AP138" s="377">
        <f t="shared" si="405"/>
        <v>59.487530549087651</v>
      </c>
      <c r="AQ138" s="377">
        <f t="shared" si="405"/>
        <v>61.966177655299639</v>
      </c>
      <c r="AR138" s="377">
        <f t="shared" si="405"/>
        <v>64.548101724270467</v>
      </c>
      <c r="AS138" s="377">
        <f t="shared" si="405"/>
        <v>67.237605962781743</v>
      </c>
      <c r="AT138" s="377">
        <f t="shared" si="405"/>
        <v>70.039172877897656</v>
      </c>
      <c r="AU138" s="377">
        <f t="shared" si="405"/>
        <v>72.957471747810061</v>
      </c>
      <c r="AV138" s="377">
        <f t="shared" si="405"/>
        <v>75.997366403968826</v>
      </c>
      <c r="AW138" s="377">
        <f t="shared" si="405"/>
        <v>79.163923337467537</v>
      </c>
      <c r="AX138" s="377">
        <f t="shared" si="405"/>
        <v>82.462420143195359</v>
      </c>
      <c r="AY138" s="398">
        <f t="shared" si="405"/>
        <v>85.898354315828499</v>
      </c>
      <c r="AZ138" s="377">
        <f t="shared" ref="AZ138:BK138" si="406">AY138*(1+($BA137/12))</f>
        <v>90.193272031619927</v>
      </c>
      <c r="BA138" s="377">
        <f t="shared" si="406"/>
        <v>94.702935633200923</v>
      </c>
      <c r="BB138" s="377">
        <f t="shared" si="406"/>
        <v>99.438082414860972</v>
      </c>
      <c r="BC138" s="377">
        <f t="shared" si="406"/>
        <v>104.40998653560402</v>
      </c>
      <c r="BD138" s="377">
        <f t="shared" si="406"/>
        <v>109.63048586238422</v>
      </c>
      <c r="BE138" s="377">
        <f t="shared" si="406"/>
        <v>115.11201015550344</v>
      </c>
      <c r="BF138" s="377">
        <f t="shared" si="406"/>
        <v>120.86761066327861</v>
      </c>
      <c r="BG138" s="377">
        <f t="shared" si="406"/>
        <v>126.91099119644255</v>
      </c>
      <c r="BH138" s="377">
        <f t="shared" si="406"/>
        <v>133.25654075626468</v>
      </c>
      <c r="BI138" s="377">
        <f t="shared" si="406"/>
        <v>139.91936779407791</v>
      </c>
      <c r="BJ138" s="377">
        <f t="shared" si="406"/>
        <v>146.91533618378182</v>
      </c>
      <c r="BK138" s="398">
        <f t="shared" si="406"/>
        <v>154.2611029929709</v>
      </c>
    </row>
    <row r="139" spans="1:63" s="54" customFormat="1" hidden="1" outlineLevel="1">
      <c r="A139" s="857"/>
      <c r="B139" s="371" t="s">
        <v>347</v>
      </c>
      <c r="C139" s="364">
        <f>C140/C138</f>
        <v>0.51923076923076927</v>
      </c>
      <c r="D139" s="352">
        <f>C139</f>
        <v>0.51923076923076927</v>
      </c>
      <c r="E139" s="169">
        <f t="shared" ref="E139:O139" si="407">D139*((0.5*($K137/12))+1)</f>
        <v>0.52031250000000007</v>
      </c>
      <c r="F139" s="169">
        <f t="shared" si="407"/>
        <v>0.52139648437500008</v>
      </c>
      <c r="G139" s="169">
        <f t="shared" si="407"/>
        <v>0.52248272705078136</v>
      </c>
      <c r="H139" s="169">
        <f t="shared" si="407"/>
        <v>0.52357123273213724</v>
      </c>
      <c r="I139" s="169">
        <f t="shared" si="407"/>
        <v>0.52466200613366254</v>
      </c>
      <c r="J139" s="169">
        <f t="shared" si="407"/>
        <v>0.52575505197977435</v>
      </c>
      <c r="K139" s="169">
        <f t="shared" si="407"/>
        <v>0.52685037500473231</v>
      </c>
      <c r="L139" s="169">
        <f t="shared" si="407"/>
        <v>0.52794797995265885</v>
      </c>
      <c r="M139" s="169">
        <f t="shared" si="407"/>
        <v>0.52904787157756028</v>
      </c>
      <c r="N139" s="169">
        <f t="shared" si="407"/>
        <v>0.53015005464334697</v>
      </c>
      <c r="O139" s="405">
        <f t="shared" si="407"/>
        <v>0.53125453392385402</v>
      </c>
      <c r="P139" s="169">
        <f t="shared" ref="P139:AA139" si="408">O139*((0.5*($W137/12))+1)</f>
        <v>0.5321399581470605</v>
      </c>
      <c r="Q139" s="169">
        <f t="shared" si="408"/>
        <v>0.53302685807730565</v>
      </c>
      <c r="R139" s="169">
        <f t="shared" si="408"/>
        <v>0.53391523617410119</v>
      </c>
      <c r="S139" s="169">
        <f t="shared" si="408"/>
        <v>0.5348050949010581</v>
      </c>
      <c r="T139" s="169">
        <f t="shared" si="408"/>
        <v>0.53569643672589318</v>
      </c>
      <c r="U139" s="169">
        <f t="shared" si="408"/>
        <v>0.53658926412043639</v>
      </c>
      <c r="V139" s="169">
        <f t="shared" si="408"/>
        <v>0.53748357956063719</v>
      </c>
      <c r="W139" s="169">
        <f t="shared" si="408"/>
        <v>0.53837938552657161</v>
      </c>
      <c r="X139" s="169">
        <f t="shared" si="408"/>
        <v>0.53927668450244926</v>
      </c>
      <c r="Y139" s="169">
        <f t="shared" si="408"/>
        <v>0.54017547897661999</v>
      </c>
      <c r="Z139" s="169">
        <f t="shared" si="408"/>
        <v>0.54107577144158103</v>
      </c>
      <c r="AA139" s="405">
        <f t="shared" si="408"/>
        <v>0.5419775643939837</v>
      </c>
      <c r="AB139" s="169">
        <f t="shared" ref="AB139:AM139" si="409">AA139*((0.5*($AI137/12))+1)</f>
        <v>0.54265503634947621</v>
      </c>
      <c r="AC139" s="169">
        <f t="shared" si="409"/>
        <v>0.54333335514491299</v>
      </c>
      <c r="AD139" s="169">
        <f t="shared" si="409"/>
        <v>0.54401252183884408</v>
      </c>
      <c r="AE139" s="169">
        <f t="shared" si="409"/>
        <v>0.54469253749114266</v>
      </c>
      <c r="AF139" s="169">
        <f t="shared" si="409"/>
        <v>0.54537340316300653</v>
      </c>
      <c r="AG139" s="169">
        <f t="shared" si="409"/>
        <v>0.54605511991696032</v>
      </c>
      <c r="AH139" s="169">
        <f t="shared" si="409"/>
        <v>0.54673768881685647</v>
      </c>
      <c r="AI139" s="169">
        <f t="shared" si="409"/>
        <v>0.54742111092787749</v>
      </c>
      <c r="AJ139" s="169">
        <f t="shared" si="409"/>
        <v>0.54810538731653735</v>
      </c>
      <c r="AK139" s="169">
        <f t="shared" si="409"/>
        <v>0.54879051905068299</v>
      </c>
      <c r="AL139" s="169">
        <f t="shared" si="409"/>
        <v>0.54947650719949637</v>
      </c>
      <c r="AM139" s="405">
        <f t="shared" si="409"/>
        <v>0.55016335283349571</v>
      </c>
      <c r="AN139" s="169">
        <f t="shared" ref="AN139:AY139" si="410">AM139*((0.5*($AU137/12))+1)</f>
        <v>0.55080521007846817</v>
      </c>
      <c r="AO139" s="169">
        <f t="shared" si="410"/>
        <v>0.55144781615689309</v>
      </c>
      <c r="AP139" s="169">
        <f t="shared" si="410"/>
        <v>0.55209117194240953</v>
      </c>
      <c r="AQ139" s="169">
        <f t="shared" si="410"/>
        <v>0.55273527830967573</v>
      </c>
      <c r="AR139" s="169">
        <f t="shared" si="410"/>
        <v>0.55338013613437043</v>
      </c>
      <c r="AS139" s="169">
        <f t="shared" si="410"/>
        <v>0.5540257462931939</v>
      </c>
      <c r="AT139" s="169">
        <f t="shared" si="410"/>
        <v>0.55467210966386937</v>
      </c>
      <c r="AU139" s="169">
        <f t="shared" si="410"/>
        <v>0.55531922712514392</v>
      </c>
      <c r="AV139" s="169">
        <f t="shared" si="410"/>
        <v>0.55596709955679002</v>
      </c>
      <c r="AW139" s="169">
        <f t="shared" si="410"/>
        <v>0.55661572783960633</v>
      </c>
      <c r="AX139" s="169">
        <f t="shared" si="410"/>
        <v>0.55726511285541924</v>
      </c>
      <c r="AY139" s="405">
        <f t="shared" si="410"/>
        <v>0.55791525548708398</v>
      </c>
      <c r="AZ139" s="169">
        <f t="shared" ref="AZ139:BK139" si="411">AY139*((0.5*($BG137/12))+1)</f>
        <v>0.55838018486665653</v>
      </c>
      <c r="BA139" s="169">
        <f t="shared" si="411"/>
        <v>0.55884550168737868</v>
      </c>
      <c r="BB139" s="169">
        <f t="shared" si="411"/>
        <v>0.55931120627211806</v>
      </c>
      <c r="BC139" s="169">
        <f t="shared" si="411"/>
        <v>0.5597772989440114</v>
      </c>
      <c r="BD139" s="169">
        <f t="shared" si="411"/>
        <v>0.56024378002646469</v>
      </c>
      <c r="BE139" s="169">
        <f t="shared" si="411"/>
        <v>0.56071064984315333</v>
      </c>
      <c r="BF139" s="169">
        <f t="shared" si="411"/>
        <v>0.56117790871802253</v>
      </c>
      <c r="BG139" s="169">
        <f t="shared" si="411"/>
        <v>0.56164555697528751</v>
      </c>
      <c r="BH139" s="169">
        <f t="shared" si="411"/>
        <v>0.56211359493943358</v>
      </c>
      <c r="BI139" s="169">
        <f t="shared" si="411"/>
        <v>0.56258202293521642</v>
      </c>
      <c r="BJ139" s="169">
        <f t="shared" si="411"/>
        <v>0.56305084128766236</v>
      </c>
      <c r="BK139" s="405">
        <f t="shared" si="411"/>
        <v>0.56352005032206864</v>
      </c>
    </row>
    <row r="140" spans="1:63" s="338" customFormat="1" hidden="1" outlineLevel="1">
      <c r="A140" s="858"/>
      <c r="B140" s="388" t="s">
        <v>258</v>
      </c>
      <c r="C140" s="389">
        <v>54</v>
      </c>
      <c r="D140" s="380">
        <f t="shared" ref="D140:AI140" si="412">D138*D139</f>
        <v>4.5</v>
      </c>
      <c r="E140" s="381">
        <f t="shared" si="412"/>
        <v>5.0166796874999999</v>
      </c>
      <c r="F140" s="381">
        <f t="shared" si="412"/>
        <v>5.5926833526611341</v>
      </c>
      <c r="G140" s="381">
        <f t="shared" si="412"/>
        <v>6.2348224386476696</v>
      </c>
      <c r="H140" s="381">
        <f t="shared" si="412"/>
        <v>6.9506904629184412</v>
      </c>
      <c r="I140" s="381">
        <f t="shared" si="412"/>
        <v>7.748752813205094</v>
      </c>
      <c r="J140" s="381">
        <f t="shared" si="412"/>
        <v>8.638446853658774</v>
      </c>
      <c r="K140" s="381">
        <f t="shared" si="412"/>
        <v>9.6302935249551709</v>
      </c>
      <c r="L140" s="381">
        <f t="shared" si="412"/>
        <v>10.736021758067862</v>
      </c>
      <c r="M140" s="381">
        <f t="shared" si="412"/>
        <v>11.968707172946022</v>
      </c>
      <c r="N140" s="381">
        <f t="shared" si="412"/>
        <v>13.342926702256415</v>
      </c>
      <c r="O140" s="399">
        <f t="shared" si="412"/>
        <v>14.87493096866914</v>
      </c>
      <c r="P140" s="381">
        <f t="shared" si="412"/>
        <v>15.396379937626378</v>
      </c>
      <c r="Q140" s="381">
        <f t="shared" si="412"/>
        <v>15.936108589884284</v>
      </c>
      <c r="R140" s="381">
        <f t="shared" si="412"/>
        <v>16.494757729896342</v>
      </c>
      <c r="S140" s="381">
        <f t="shared" si="412"/>
        <v>17.072990625872155</v>
      </c>
      <c r="T140" s="381">
        <f t="shared" si="412"/>
        <v>17.671493797256897</v>
      </c>
      <c r="U140" s="381">
        <f t="shared" si="412"/>
        <v>18.290977829816292</v>
      </c>
      <c r="V140" s="381">
        <f t="shared" si="412"/>
        <v>18.932178219294858</v>
      </c>
      <c r="W140" s="381">
        <f t="shared" si="412"/>
        <v>19.595856244649031</v>
      </c>
      <c r="X140" s="381">
        <f t="shared" si="412"/>
        <v>20.28279987189201</v>
      </c>
      <c r="Y140" s="381">
        <f t="shared" si="412"/>
        <v>20.993824689623334</v>
      </c>
      <c r="Z140" s="381">
        <f t="shared" si="412"/>
        <v>21.729774877354025</v>
      </c>
      <c r="AA140" s="399">
        <f t="shared" si="412"/>
        <v>22.491524207776827</v>
      </c>
      <c r="AB140" s="381">
        <f t="shared" si="412"/>
        <v>22.970031385297283</v>
      </c>
      <c r="AC140" s="381">
        <f t="shared" si="412"/>
        <v>23.45871880301948</v>
      </c>
      <c r="AD140" s="381">
        <f t="shared" si="412"/>
        <v>23.957803045553717</v>
      </c>
      <c r="AE140" s="381">
        <f t="shared" si="412"/>
        <v>24.467505305347874</v>
      </c>
      <c r="AF140" s="381">
        <f t="shared" si="412"/>
        <v>24.98805148071915</v>
      </c>
      <c r="AG140" s="381">
        <f t="shared" si="412"/>
        <v>25.519672275971452</v>
      </c>
      <c r="AH140" s="381">
        <f t="shared" si="412"/>
        <v>26.062603303642742</v>
      </c>
      <c r="AI140" s="381">
        <f t="shared" si="412"/>
        <v>26.617085188927739</v>
      </c>
      <c r="AJ140" s="381">
        <f t="shared" ref="AJ140:BK140" si="413">AJ138*AJ139</f>
        <v>27.18336367632218</v>
      </c>
      <c r="AK140" s="381">
        <f t="shared" si="413"/>
        <v>27.761689738535932</v>
      </c>
      <c r="AL140" s="381">
        <f t="shared" si="413"/>
        <v>28.352319687723284</v>
      </c>
      <c r="AM140" s="399">
        <f t="shared" si="413"/>
        <v>28.955515289079599</v>
      </c>
      <c r="AN140" s="381">
        <f t="shared" si="413"/>
        <v>30.197184087066177</v>
      </c>
      <c r="AO140" s="381">
        <f t="shared" si="413"/>
        <v>31.492098057466414</v>
      </c>
      <c r="AP140" s="381">
        <f t="shared" si="413"/>
        <v>32.842540456805693</v>
      </c>
      <c r="AQ140" s="381">
        <f t="shared" si="413"/>
        <v>34.250892452088856</v>
      </c>
      <c r="AR140" s="381">
        <f t="shared" si="413"/>
        <v>35.719637319391978</v>
      </c>
      <c r="AS140" s="381">
        <f t="shared" si="413"/>
        <v>37.251364822497862</v>
      </c>
      <c r="AT140" s="381">
        <f t="shared" si="413"/>
        <v>38.848775779295956</v>
      </c>
      <c r="AU140" s="381">
        <f t="shared" si="413"/>
        <v>40.514686823998403</v>
      </c>
      <c r="AV140" s="381">
        <f t="shared" si="413"/>
        <v>42.252035373569186</v>
      </c>
      <c r="AW140" s="381">
        <f t="shared" si="413"/>
        <v>44.063884807123294</v>
      </c>
      <c r="AX140" s="381">
        <f t="shared" si="413"/>
        <v>45.95342986742876</v>
      </c>
      <c r="AY140" s="399">
        <f t="shared" si="413"/>
        <v>47.924002294035517</v>
      </c>
      <c r="AZ140" s="381">
        <f t="shared" si="413"/>
        <v>50.362135910744577</v>
      </c>
      <c r="BA140" s="381">
        <f t="shared" si="413"/>
        <v>52.924309575203701</v>
      </c>
      <c r="BB140" s="381">
        <f t="shared" si="413"/>
        <v>55.616833824842182</v>
      </c>
      <c r="BC140" s="381">
        <f t="shared" si="413"/>
        <v>58.446340245681014</v>
      </c>
      <c r="BD140" s="381">
        <f t="shared" si="413"/>
        <v>61.419797805680034</v>
      </c>
      <c r="BE140" s="381">
        <f t="shared" si="413"/>
        <v>64.544530019044004</v>
      </c>
      <c r="BF140" s="381">
        <f t="shared" si="413"/>
        <v>67.828232983762845</v>
      </c>
      <c r="BG140" s="381">
        <f t="shared" si="413"/>
        <v>71.278994336811792</v>
      </c>
      <c r="BH140" s="381">
        <f t="shared" si="413"/>
        <v>74.905313173697095</v>
      </c>
      <c r="BI140" s="381">
        <f t="shared" si="413"/>
        <v>78.71612098140892</v>
      </c>
      <c r="BJ140" s="381">
        <f t="shared" si="413"/>
        <v>82.72080363633809</v>
      </c>
      <c r="BK140" s="399">
        <f t="shared" si="413"/>
        <v>86.929224521336778</v>
      </c>
    </row>
    <row r="141" spans="1:63" s="54" customFormat="1" hidden="1" outlineLevel="1">
      <c r="A141" s="857"/>
      <c r="B141" s="371" t="s">
        <v>348</v>
      </c>
      <c r="C141" s="365">
        <f>C142/C140</f>
        <v>0.44444444444444442</v>
      </c>
      <c r="D141" s="352">
        <f>C141</f>
        <v>0.44444444444444442</v>
      </c>
      <c r="E141" s="169">
        <f t="shared" ref="E141:O141" si="414">D141*((0.5*($K137/12))+1)</f>
        <v>0.44537037037037042</v>
      </c>
      <c r="F141" s="169">
        <f t="shared" si="414"/>
        <v>0.44629822530864205</v>
      </c>
      <c r="G141" s="169">
        <f t="shared" si="414"/>
        <v>0.44722801327803507</v>
      </c>
      <c r="H141" s="169">
        <f t="shared" si="414"/>
        <v>0.44815973830569772</v>
      </c>
      <c r="I141" s="169">
        <f t="shared" si="414"/>
        <v>0.44909340442716794</v>
      </c>
      <c r="J141" s="169">
        <f t="shared" si="414"/>
        <v>0.45002901568639125</v>
      </c>
      <c r="K141" s="169">
        <f t="shared" si="414"/>
        <v>0.45096657613573793</v>
      </c>
      <c r="L141" s="169">
        <f t="shared" si="414"/>
        <v>0.45190608983602076</v>
      </c>
      <c r="M141" s="169">
        <f t="shared" si="414"/>
        <v>0.45284756085651251</v>
      </c>
      <c r="N141" s="169">
        <f t="shared" si="414"/>
        <v>0.45379099327496364</v>
      </c>
      <c r="O141" s="405">
        <f t="shared" si="414"/>
        <v>0.45473639117761988</v>
      </c>
      <c r="P141" s="169">
        <f t="shared" ref="P141:AA141" si="415">O141*((0.5*($W137/12))+1)</f>
        <v>0.45549428516291596</v>
      </c>
      <c r="Q141" s="169">
        <f t="shared" si="415"/>
        <v>0.45625344230485415</v>
      </c>
      <c r="R141" s="169">
        <f t="shared" si="415"/>
        <v>0.45701386470869559</v>
      </c>
      <c r="S141" s="169">
        <f t="shared" si="415"/>
        <v>0.45777555448321011</v>
      </c>
      <c r="T141" s="169">
        <f t="shared" si="415"/>
        <v>0.45853851374068216</v>
      </c>
      <c r="U141" s="169">
        <f t="shared" si="415"/>
        <v>0.45930274459691667</v>
      </c>
      <c r="V141" s="169">
        <f t="shared" si="415"/>
        <v>0.46006824917124489</v>
      </c>
      <c r="W141" s="169">
        <f t="shared" si="415"/>
        <v>0.46083502958653033</v>
      </c>
      <c r="X141" s="169">
        <f t="shared" si="415"/>
        <v>0.46160308796917454</v>
      </c>
      <c r="Y141" s="169">
        <f t="shared" si="415"/>
        <v>0.46237242644912319</v>
      </c>
      <c r="Z141" s="169">
        <f t="shared" si="415"/>
        <v>0.46314304715987176</v>
      </c>
      <c r="AA141" s="405">
        <f t="shared" si="415"/>
        <v>0.46391495223847157</v>
      </c>
      <c r="AB141" s="169">
        <f t="shared" ref="AB141:AM141" si="416">AA141*((0.5*($AI137/12))+1)</f>
        <v>0.46449484592876966</v>
      </c>
      <c r="AC141" s="169">
        <f t="shared" si="416"/>
        <v>0.46507546448618059</v>
      </c>
      <c r="AD141" s="169">
        <f t="shared" si="416"/>
        <v>0.46565680881678828</v>
      </c>
      <c r="AE141" s="169">
        <f t="shared" si="416"/>
        <v>0.46623887982780926</v>
      </c>
      <c r="AF141" s="169">
        <f t="shared" si="416"/>
        <v>0.46682167842759403</v>
      </c>
      <c r="AG141" s="169">
        <f t="shared" si="416"/>
        <v>0.46740520552562853</v>
      </c>
      <c r="AH141" s="169">
        <f t="shared" si="416"/>
        <v>0.46798946203253555</v>
      </c>
      <c r="AI141" s="169">
        <f t="shared" si="416"/>
        <v>0.46857444886007621</v>
      </c>
      <c r="AJ141" s="169">
        <f t="shared" si="416"/>
        <v>0.46916016692115131</v>
      </c>
      <c r="AK141" s="169">
        <f t="shared" si="416"/>
        <v>0.46974661712980276</v>
      </c>
      <c r="AL141" s="169">
        <f t="shared" si="416"/>
        <v>0.47033380040121497</v>
      </c>
      <c r="AM141" s="405">
        <f t="shared" si="416"/>
        <v>0.47092171765171648</v>
      </c>
      <c r="AN141" s="169">
        <f t="shared" ref="AN141:AY141" si="417">AM141*((0.5*($AU137/12))+1)</f>
        <v>0.4714711263223102</v>
      </c>
      <c r="AO141" s="169">
        <f t="shared" si="417"/>
        <v>0.47202117596968629</v>
      </c>
      <c r="AP141" s="169">
        <f t="shared" si="417"/>
        <v>0.47257186734165096</v>
      </c>
      <c r="AQ141" s="169">
        <f t="shared" si="417"/>
        <v>0.47312320118688295</v>
      </c>
      <c r="AR141" s="169">
        <f t="shared" si="417"/>
        <v>0.47367517825493438</v>
      </c>
      <c r="AS141" s="169">
        <f t="shared" si="417"/>
        <v>0.47422779929623182</v>
      </c>
      <c r="AT141" s="169">
        <f t="shared" si="417"/>
        <v>0.47478106506207746</v>
      </c>
      <c r="AU141" s="169">
        <f t="shared" si="417"/>
        <v>0.47533497630464994</v>
      </c>
      <c r="AV141" s="169">
        <f t="shared" si="417"/>
        <v>0.47588953377700538</v>
      </c>
      <c r="AW141" s="169">
        <f t="shared" si="417"/>
        <v>0.47644473823307859</v>
      </c>
      <c r="AX141" s="169">
        <f t="shared" si="417"/>
        <v>0.47700059042768389</v>
      </c>
      <c r="AY141" s="405">
        <f t="shared" si="417"/>
        <v>0.47755709111651623</v>
      </c>
      <c r="AZ141" s="169">
        <f t="shared" ref="AZ141:BK141" si="418">AY141*((0.5*($BG137/12))+1)</f>
        <v>0.47795505535911326</v>
      </c>
      <c r="BA141" s="169">
        <f t="shared" si="418"/>
        <v>0.47835335123857914</v>
      </c>
      <c r="BB141" s="169">
        <f t="shared" si="418"/>
        <v>0.47875197903127792</v>
      </c>
      <c r="BC141" s="169">
        <f t="shared" si="418"/>
        <v>0.47915093901380396</v>
      </c>
      <c r="BD141" s="169">
        <f t="shared" si="418"/>
        <v>0.47955023146298209</v>
      </c>
      <c r="BE141" s="169">
        <f t="shared" si="418"/>
        <v>0.47994985665586787</v>
      </c>
      <c r="BF141" s="169">
        <f t="shared" si="418"/>
        <v>0.4803498148697477</v>
      </c>
      <c r="BG141" s="169">
        <f t="shared" si="418"/>
        <v>0.48075010638213911</v>
      </c>
      <c r="BH141" s="169">
        <f t="shared" si="418"/>
        <v>0.48115073147079085</v>
      </c>
      <c r="BI141" s="169">
        <f t="shared" si="418"/>
        <v>0.48155169041368312</v>
      </c>
      <c r="BJ141" s="169">
        <f t="shared" si="418"/>
        <v>0.48195298348902782</v>
      </c>
      <c r="BK141" s="405">
        <f t="shared" si="418"/>
        <v>0.48235461097526861</v>
      </c>
    </row>
    <row r="142" spans="1:63" s="385" customFormat="1" hidden="1" outlineLevel="1">
      <c r="A142" s="859"/>
      <c r="B142" s="390" t="s">
        <v>285</v>
      </c>
      <c r="C142" s="391">
        <v>24</v>
      </c>
      <c r="D142" s="383">
        <f t="shared" ref="D142:AI142" si="419">D140*D141</f>
        <v>2</v>
      </c>
      <c r="E142" s="384">
        <f t="shared" si="419"/>
        <v>2.2342804904513889</v>
      </c>
      <c r="F142" s="384">
        <f t="shared" si="419"/>
        <v>2.4960046550058506</v>
      </c>
      <c r="G142" s="384">
        <f t="shared" si="419"/>
        <v>2.7883872523777109</v>
      </c>
      <c r="H142" s="384">
        <f t="shared" si="419"/>
        <v>3.1150196189054373</v>
      </c>
      <c r="I142" s="384">
        <f t="shared" si="419"/>
        <v>3.4799137809468705</v>
      </c>
      <c r="J142" s="384">
        <f t="shared" si="419"/>
        <v>3.8875517346112614</v>
      </c>
      <c r="K142" s="384">
        <f t="shared" si="419"/>
        <v>4.3429404981311999</v>
      </c>
      <c r="L142" s="384">
        <f t="shared" si="419"/>
        <v>4.8516736130828884</v>
      </c>
      <c r="M142" s="384">
        <f t="shared" si="419"/>
        <v>5.4199998498744515</v>
      </c>
      <c r="N142" s="384">
        <f t="shared" si="419"/>
        <v>6.0548999614119738</v>
      </c>
      <c r="O142" s="400">
        <f t="shared" si="419"/>
        <v>6.7641724277088224</v>
      </c>
      <c r="P142" s="384">
        <f t="shared" si="419"/>
        <v>7.0129630737857873</v>
      </c>
      <c r="Q142" s="384">
        <f t="shared" si="419"/>
        <v>7.2709044010786599</v>
      </c>
      <c r="R142" s="384">
        <f t="shared" si="419"/>
        <v>7.5383329775735577</v>
      </c>
      <c r="S142" s="384">
        <f t="shared" si="419"/>
        <v>7.8155977504452743</v>
      </c>
      <c r="T142" s="384">
        <f t="shared" si="419"/>
        <v>8.1030605013718606</v>
      </c>
      <c r="U142" s="384">
        <f t="shared" si="419"/>
        <v>8.4010963185959771</v>
      </c>
      <c r="V142" s="384">
        <f t="shared" si="419"/>
        <v>8.7100940863489615</v>
      </c>
      <c r="W142" s="384">
        <f t="shared" si="419"/>
        <v>9.0304569922762319</v>
      </c>
      <c r="X142" s="384">
        <f t="shared" si="419"/>
        <v>9.3626030535261293</v>
      </c>
      <c r="Y142" s="384">
        <f t="shared" si="419"/>
        <v>9.7069656621886509</v>
      </c>
      <c r="Z142" s="384">
        <f t="shared" si="419"/>
        <v>10.063994150795772</v>
      </c>
      <c r="AA142" s="400">
        <f t="shared" si="419"/>
        <v>10.434154378621214</v>
      </c>
      <c r="AB142" s="384">
        <f t="shared" si="419"/>
        <v>10.669461189292665</v>
      </c>
      <c r="AC142" s="384">
        <f t="shared" si="419"/>
        <v>10.910074543564983</v>
      </c>
      <c r="AD142" s="384">
        <f t="shared" si="419"/>
        <v>11.156114112453675</v>
      </c>
      <c r="AE142" s="384">
        <f t="shared" si="419"/>
        <v>11.407702265746373</v>
      </c>
      <c r="AF142" s="384">
        <f t="shared" si="419"/>
        <v>11.664964132864441</v>
      </c>
      <c r="AG142" s="384">
        <f t="shared" si="419"/>
        <v>11.928027665097121</v>
      </c>
      <c r="AH142" s="384">
        <f t="shared" si="419"/>
        <v>12.197023699239152</v>
      </c>
      <c r="AI142" s="384">
        <f t="shared" si="419"/>
        <v>12.472086022663513</v>
      </c>
      <c r="AJ142" s="384">
        <f t="shared" ref="AJ142:BK142" si="420">AJ140*AJ141</f>
        <v>12.753351439861676</v>
      </c>
      <c r="AK142" s="384">
        <f t="shared" si="420"/>
        <v>13.040959840484412</v>
      </c>
      <c r="AL142" s="384">
        <f t="shared" si="420"/>
        <v>13.33505426891708</v>
      </c>
      <c r="AM142" s="400">
        <f t="shared" si="420"/>
        <v>13.635780995423902</v>
      </c>
      <c r="AN142" s="384">
        <f t="shared" si="420"/>
        <v>14.237100393291232</v>
      </c>
      <c r="AO142" s="384">
        <f t="shared" si="420"/>
        <v>14.86493715883797</v>
      </c>
      <c r="AP142" s="384">
        <f t="shared" si="420"/>
        <v>15.520460671916386</v>
      </c>
      <c r="AQ142" s="384">
        <f t="shared" si="420"/>
        <v>16.204891880439927</v>
      </c>
      <c r="AR142" s="384">
        <f t="shared" si="420"/>
        <v>16.919505574464601</v>
      </c>
      <c r="AS142" s="384">
        <f t="shared" si="420"/>
        <v>17.665632760554228</v>
      </c>
      <c r="AT142" s="384">
        <f t="shared" si="420"/>
        <v>18.444663140851972</v>
      </c>
      <c r="AU142" s="384">
        <f t="shared" si="420"/>
        <v>19.258047701475594</v>
      </c>
      <c r="AV142" s="384">
        <f t="shared" si="420"/>
        <v>20.107301415057378</v>
      </c>
      <c r="AW142" s="384">
        <f t="shared" si="420"/>
        <v>20.994006062462386</v>
      </c>
      <c r="AX142" s="384">
        <f t="shared" si="420"/>
        <v>21.919813178940682</v>
      </c>
      <c r="AY142" s="400">
        <f t="shared" si="420"/>
        <v>22.886447130200853</v>
      </c>
      <c r="AZ142" s="384">
        <f t="shared" si="420"/>
        <v>24.07083745722311</v>
      </c>
      <c r="BA142" s="384">
        <f t="shared" si="420"/>
        <v>25.316520847286714</v>
      </c>
      <c r="BB142" s="384">
        <f t="shared" si="420"/>
        <v>26.626669261096914</v>
      </c>
      <c r="BC142" s="384">
        <f t="shared" si="420"/>
        <v>28.004618810638341</v>
      </c>
      <c r="BD142" s="384">
        <f t="shared" si="420"/>
        <v>29.453878254123421</v>
      </c>
      <c r="BE142" s="384">
        <f t="shared" si="420"/>
        <v>30.978137930560528</v>
      </c>
      <c r="BF142" s="384">
        <f t="shared" si="420"/>
        <v>32.581279156692595</v>
      </c>
      <c r="BG142" s="384">
        <f t="shared" si="420"/>
        <v>34.267384110234161</v>
      </c>
      <c r="BH142" s="384">
        <f t="shared" si="420"/>
        <v>36.04074622457302</v>
      </c>
      <c r="BI142" s="384">
        <f t="shared" si="420"/>
        <v>37.905881121405457</v>
      </c>
      <c r="BJ142" s="384">
        <f t="shared" si="420"/>
        <v>39.867538109143162</v>
      </c>
      <c r="BK142" s="400">
        <f t="shared" si="420"/>
        <v>41.930712276371182</v>
      </c>
    </row>
    <row r="143" spans="1:63" s="339" customFormat="1" ht="6.75" hidden="1" customHeight="1" outlineLevel="1">
      <c r="A143" s="854"/>
      <c r="B143" s="373"/>
      <c r="C143" s="357"/>
      <c r="D143" s="349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40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40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401"/>
      <c r="AN143" s="341"/>
      <c r="AO143" s="341"/>
      <c r="AP143" s="341"/>
      <c r="AQ143" s="341"/>
      <c r="AR143" s="341"/>
      <c r="AS143" s="341"/>
      <c r="AT143" s="341"/>
      <c r="AU143" s="341"/>
      <c r="AV143" s="341"/>
      <c r="AW143" s="341"/>
      <c r="AX143" s="341"/>
      <c r="AY143" s="401"/>
      <c r="AZ143" s="341"/>
      <c r="BA143" s="341"/>
      <c r="BB143" s="341"/>
      <c r="BC143" s="341"/>
      <c r="BD143" s="341"/>
      <c r="BE143" s="341"/>
      <c r="BF143" s="341"/>
      <c r="BG143" s="341"/>
      <c r="BH143" s="341"/>
      <c r="BI143" s="341"/>
      <c r="BJ143" s="341"/>
      <c r="BK143" s="401"/>
    </row>
    <row r="144" spans="1:63" s="248" customFormat="1" hidden="1" outlineLevel="1">
      <c r="A144" s="860"/>
      <c r="B144" s="374" t="s">
        <v>321</v>
      </c>
      <c r="C144" s="358">
        <v>8944</v>
      </c>
      <c r="D144" s="353">
        <f>C144</f>
        <v>8944</v>
      </c>
      <c r="E144" s="249">
        <f t="shared" ref="E144:O144" si="421">D144*((1+$G137/12))</f>
        <v>8966.3599999999988</v>
      </c>
      <c r="F144" s="249">
        <f t="shared" si="421"/>
        <v>8988.7758999999987</v>
      </c>
      <c r="G144" s="249">
        <f t="shared" si="421"/>
        <v>9011.2478397499981</v>
      </c>
      <c r="H144" s="249">
        <f t="shared" si="421"/>
        <v>9033.775959349372</v>
      </c>
      <c r="I144" s="249">
        <f t="shared" si="421"/>
        <v>9056.3603992477456</v>
      </c>
      <c r="J144" s="249">
        <f t="shared" si="421"/>
        <v>9079.0013002458636</v>
      </c>
      <c r="K144" s="249">
        <f t="shared" si="421"/>
        <v>9101.6988034964779</v>
      </c>
      <c r="L144" s="249">
        <f t="shared" si="421"/>
        <v>9124.4530505052189</v>
      </c>
      <c r="M144" s="249">
        <f t="shared" si="421"/>
        <v>9147.2641831314813</v>
      </c>
      <c r="N144" s="249">
        <f t="shared" si="421"/>
        <v>9170.13234358931</v>
      </c>
      <c r="O144" s="402">
        <f t="shared" si="421"/>
        <v>9193.0576744482823</v>
      </c>
      <c r="P144" s="249">
        <f t="shared" ref="P144:AA144" si="422">O144*((1+$S137/12))</f>
        <v>9212.209877936717</v>
      </c>
      <c r="Q144" s="249">
        <f t="shared" si="422"/>
        <v>9231.401981849087</v>
      </c>
      <c r="R144" s="249">
        <f t="shared" si="422"/>
        <v>9250.6340693112743</v>
      </c>
      <c r="S144" s="249">
        <f t="shared" si="422"/>
        <v>9269.9062236223399</v>
      </c>
      <c r="T144" s="249">
        <f t="shared" si="422"/>
        <v>9289.2185282548871</v>
      </c>
      <c r="U144" s="249">
        <f t="shared" si="422"/>
        <v>9308.5710668554184</v>
      </c>
      <c r="V144" s="249">
        <f t="shared" si="422"/>
        <v>9327.9639232447007</v>
      </c>
      <c r="W144" s="249">
        <f t="shared" si="422"/>
        <v>9347.3971814181277</v>
      </c>
      <c r="X144" s="249">
        <f t="shared" si="422"/>
        <v>9366.8709255460835</v>
      </c>
      <c r="Y144" s="249">
        <f t="shared" si="422"/>
        <v>9386.3852399743064</v>
      </c>
      <c r="Z144" s="249">
        <f t="shared" si="422"/>
        <v>9405.9402092242544</v>
      </c>
      <c r="AA144" s="402">
        <f t="shared" si="422"/>
        <v>9425.535917993473</v>
      </c>
      <c r="AB144" s="249">
        <f t="shared" ref="AB144:AM144" si="423">AA144*((1+$AE137/12))</f>
        <v>9445.1724511559605</v>
      </c>
      <c r="AC144" s="249">
        <f t="shared" si="423"/>
        <v>9464.8498937625372</v>
      </c>
      <c r="AD144" s="249">
        <f t="shared" si="423"/>
        <v>9484.5683310412096</v>
      </c>
      <c r="AE144" s="249">
        <f t="shared" si="423"/>
        <v>9504.3278483975464</v>
      </c>
      <c r="AF144" s="249">
        <f t="shared" si="423"/>
        <v>9524.1285314150427</v>
      </c>
      <c r="AG144" s="249">
        <f t="shared" si="423"/>
        <v>9543.9704658554911</v>
      </c>
      <c r="AH144" s="249">
        <f t="shared" si="423"/>
        <v>9563.8537376593576</v>
      </c>
      <c r="AI144" s="249">
        <f t="shared" si="423"/>
        <v>9583.7784329461483</v>
      </c>
      <c r="AJ144" s="249">
        <f t="shared" si="423"/>
        <v>9603.7446380147867</v>
      </c>
      <c r="AK144" s="249">
        <f t="shared" si="423"/>
        <v>9623.7524393439853</v>
      </c>
      <c r="AL144" s="249">
        <f t="shared" si="423"/>
        <v>9643.8019235926204</v>
      </c>
      <c r="AM144" s="402">
        <f t="shared" si="423"/>
        <v>9663.8931776001064</v>
      </c>
      <c r="AN144" s="249">
        <f t="shared" ref="AN144:AY144" si="424">AM144*((1+$AQ137/12))</f>
        <v>9681.6103150923736</v>
      </c>
      <c r="AO144" s="249">
        <f t="shared" si="424"/>
        <v>9699.3599340033761</v>
      </c>
      <c r="AP144" s="249">
        <f t="shared" si="424"/>
        <v>9717.1420938823831</v>
      </c>
      <c r="AQ144" s="249">
        <f t="shared" si="424"/>
        <v>9734.956854387834</v>
      </c>
      <c r="AR144" s="249">
        <f t="shared" si="424"/>
        <v>9752.8042752875444</v>
      </c>
      <c r="AS144" s="249">
        <f t="shared" si="424"/>
        <v>9770.6844164589056</v>
      </c>
      <c r="AT144" s="249">
        <f t="shared" si="424"/>
        <v>9788.5973378890812</v>
      </c>
      <c r="AU144" s="249">
        <f t="shared" si="424"/>
        <v>9806.5430996752111</v>
      </c>
      <c r="AV144" s="249">
        <f t="shared" si="424"/>
        <v>9824.5217620246167</v>
      </c>
      <c r="AW144" s="249">
        <f t="shared" si="424"/>
        <v>9842.5333852549957</v>
      </c>
      <c r="AX144" s="249">
        <f t="shared" si="424"/>
        <v>9860.5780297946294</v>
      </c>
      <c r="AY144" s="402">
        <f t="shared" si="424"/>
        <v>9878.6557561825866</v>
      </c>
      <c r="AZ144" s="249">
        <f t="shared" ref="AZ144:BK144" si="425">AY144*((1+$BC137/12))</f>
        <v>9895.1201824428917</v>
      </c>
      <c r="BA144" s="249">
        <f t="shared" si="425"/>
        <v>9911.6120494136303</v>
      </c>
      <c r="BB144" s="249">
        <f t="shared" si="425"/>
        <v>9928.13140282932</v>
      </c>
      <c r="BC144" s="249">
        <f t="shared" si="425"/>
        <v>9944.6782885007033</v>
      </c>
      <c r="BD144" s="249">
        <f t="shared" si="425"/>
        <v>9961.252752314871</v>
      </c>
      <c r="BE144" s="249">
        <f t="shared" si="425"/>
        <v>9977.8548402353954</v>
      </c>
      <c r="BF144" s="249">
        <f t="shared" si="425"/>
        <v>9994.4845983024552</v>
      </c>
      <c r="BG144" s="249">
        <f t="shared" si="425"/>
        <v>10011.14207263296</v>
      </c>
      <c r="BH144" s="249">
        <f t="shared" si="425"/>
        <v>10027.827309420682</v>
      </c>
      <c r="BI144" s="249">
        <f t="shared" si="425"/>
        <v>10044.540354936384</v>
      </c>
      <c r="BJ144" s="249">
        <f t="shared" si="425"/>
        <v>10061.281255527945</v>
      </c>
      <c r="BK144" s="402">
        <f t="shared" si="425"/>
        <v>10078.050057620492</v>
      </c>
    </row>
    <row r="145" spans="1:63" s="334" customFormat="1" hidden="1" outlineLevel="1">
      <c r="A145" s="861"/>
      <c r="B145" s="372" t="s">
        <v>261</v>
      </c>
      <c r="C145" s="359">
        <f t="shared" ref="C145:AH145" si="426">C144*C142</f>
        <v>214656</v>
      </c>
      <c r="D145" s="354">
        <f t="shared" si="426"/>
        <v>17888</v>
      </c>
      <c r="E145" s="335">
        <f t="shared" si="426"/>
        <v>20033.363218363713</v>
      </c>
      <c r="F145" s="335">
        <f t="shared" si="426"/>
        <v>22436.0264892044</v>
      </c>
      <c r="G145" s="335">
        <f t="shared" si="426"/>
        <v>25126.848604375082</v>
      </c>
      <c r="H145" s="335">
        <f t="shared" si="426"/>
        <v>28140.389346169581</v>
      </c>
      <c r="I145" s="335">
        <f t="shared" si="426"/>
        <v>31515.353358563731</v>
      </c>
      <c r="J145" s="335">
        <f t="shared" si="426"/>
        <v>35295.087253308702</v>
      </c>
      <c r="K145" s="335">
        <f t="shared" si="426"/>
        <v>39528.13633549714</v>
      </c>
      <c r="L145" s="335">
        <f t="shared" si="426"/>
        <v>44268.868098949839</v>
      </c>
      <c r="M145" s="335">
        <f t="shared" si="426"/>
        <v>49578.170499334577</v>
      </c>
      <c r="N145" s="335">
        <f t="shared" si="426"/>
        <v>55524.233973341608</v>
      </c>
      <c r="O145" s="403">
        <f t="shared" si="426"/>
        <v>62183.42724784006</v>
      </c>
      <c r="P145" s="335">
        <f t="shared" si="426"/>
        <v>64604.887701934873</v>
      </c>
      <c r="Q145" s="335">
        <f t="shared" si="426"/>
        <v>67120.641297952796</v>
      </c>
      <c r="R145" s="335">
        <f t="shared" si="426"/>
        <v>69734.359868154657</v>
      </c>
      <c r="S145" s="335">
        <f t="shared" si="426"/>
        <v>72449.858228181402</v>
      </c>
      <c r="T145" s="335">
        <f t="shared" si="426"/>
        <v>75271.099744913823</v>
      </c>
      <c r="U145" s="335">
        <f t="shared" si="426"/>
        <v>78202.202121148075</v>
      </c>
      <c r="V145" s="335">
        <f t="shared" si="426"/>
        <v>81247.443405530124</v>
      </c>
      <c r="W145" s="335">
        <f t="shared" si="426"/>
        <v>84411.268236520467</v>
      </c>
      <c r="X145" s="335">
        <f t="shared" si="426"/>
        <v>87698.294329502882</v>
      </c>
      <c r="Y145" s="335">
        <f t="shared" si="426"/>
        <v>91113.31921650497</v>
      </c>
      <c r="Z145" s="335">
        <f t="shared" si="426"/>
        <v>94661.327248367656</v>
      </c>
      <c r="AA145" s="403">
        <f t="shared" si="426"/>
        <v>98347.496869583119</v>
      </c>
      <c r="AB145" s="335">
        <f t="shared" si="426"/>
        <v>100774.9008937848</v>
      </c>
      <c r="AC145" s="335">
        <f t="shared" si="426"/>
        <v>103262.21788460239</v>
      </c>
      <c r="AD145" s="335">
        <f t="shared" si="426"/>
        <v>105810.92660846004</v>
      </c>
      <c r="AE145" s="335">
        <f t="shared" si="426"/>
        <v>108422.54233056105</v>
      </c>
      <c r="AF145" s="335">
        <f t="shared" si="426"/>
        <v>111098.61771574736</v>
      </c>
      <c r="AG145" s="335">
        <f t="shared" si="426"/>
        <v>113840.74375159416</v>
      </c>
      <c r="AH145" s="335">
        <f t="shared" si="426"/>
        <v>116650.55069428812</v>
      </c>
      <c r="AI145" s="335">
        <f t="shared" ref="AI145:BK145" si="427">AI144*AI142</f>
        <v>119529.70903785169</v>
      </c>
      <c r="AJ145" s="335">
        <f t="shared" si="427"/>
        <v>122479.93050728973</v>
      </c>
      <c r="AK145" s="335">
        <f t="shared" si="427"/>
        <v>125502.9690762488</v>
      </c>
      <c r="AL145" s="335">
        <f t="shared" si="427"/>
        <v>128600.62200979452</v>
      </c>
      <c r="AM145" s="403">
        <f t="shared" si="427"/>
        <v>131774.73093292624</v>
      </c>
      <c r="AN145" s="335">
        <f t="shared" si="427"/>
        <v>137838.0580246941</v>
      </c>
      <c r="AO145" s="335">
        <f t="shared" si="427"/>
        <v>144180.37589991099</v>
      </c>
      <c r="AP145" s="335">
        <f t="shared" si="427"/>
        <v>150814.52171152475</v>
      </c>
      <c r="AQ145" s="335">
        <f t="shared" si="427"/>
        <v>157753.92328610242</v>
      </c>
      <c r="AR145" s="335">
        <f t="shared" si="427"/>
        <v>165012.62630238981</v>
      </c>
      <c r="AS145" s="335">
        <f t="shared" si="427"/>
        <v>172605.32272043312</v>
      </c>
      <c r="AT145" s="335">
        <f t="shared" si="427"/>
        <v>180547.38051880448</v>
      </c>
      <c r="AU145" s="335">
        <f t="shared" si="427"/>
        <v>188854.87480012153</v>
      </c>
      <c r="AV145" s="335">
        <f t="shared" si="427"/>
        <v>197544.62032781958</v>
      </c>
      <c r="AW145" s="335">
        <f t="shared" si="427"/>
        <v>206634.20556003181</v>
      </c>
      <c r="AX145" s="335">
        <f t="shared" si="427"/>
        <v>216142.02824946528</v>
      </c>
      <c r="AY145" s="403">
        <f t="shared" si="427"/>
        <v>226087.3326813271</v>
      </c>
      <c r="AZ145" s="335">
        <f t="shared" si="427"/>
        <v>238183.82953127072</v>
      </c>
      <c r="BA145" s="335">
        <f t="shared" si="427"/>
        <v>250927.53307919836</v>
      </c>
      <c r="BB145" s="335">
        <f t="shared" si="427"/>
        <v>264353.07124384644</v>
      </c>
      <c r="BC145" s="335">
        <f t="shared" si="427"/>
        <v>278496.92466389347</v>
      </c>
      <c r="BD145" s="335">
        <f t="shared" si="427"/>
        <v>293397.52582523407</v>
      </c>
      <c r="BE145" s="335">
        <f t="shared" si="427"/>
        <v>309095.36349192308</v>
      </c>
      <c r="BF145" s="335">
        <f t="shared" si="427"/>
        <v>325633.09272455698</v>
      </c>
      <c r="BG145" s="335">
        <f t="shared" si="427"/>
        <v>343055.65078503935</v>
      </c>
      <c r="BH145" s="335">
        <f t="shared" si="427"/>
        <v>361410.37924267363</v>
      </c>
      <c r="BI145" s="335">
        <f t="shared" si="427"/>
        <v>380747.15261337836</v>
      </c>
      <c r="BJ145" s="335">
        <f t="shared" si="427"/>
        <v>401118.5138815681</v>
      </c>
      <c r="BK145" s="403">
        <f t="shared" si="427"/>
        <v>422579.8172729509</v>
      </c>
    </row>
    <row r="146" spans="1:63" s="339" customFormat="1" ht="4.5" hidden="1" customHeight="1" outlineLevel="1">
      <c r="A146" s="854"/>
      <c r="B146" s="373"/>
      <c r="C146" s="360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40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401"/>
      <c r="AB146" s="341"/>
      <c r="AC146" s="341"/>
      <c r="AD146" s="341"/>
      <c r="AE146" s="341"/>
      <c r="AF146" s="341"/>
      <c r="AG146" s="341"/>
      <c r="AH146" s="341"/>
      <c r="AI146" s="341"/>
      <c r="AJ146" s="341"/>
      <c r="AK146" s="341"/>
      <c r="AL146" s="341"/>
      <c r="AM146" s="401"/>
      <c r="AN146" s="341"/>
      <c r="AO146" s="341"/>
      <c r="AP146" s="341"/>
      <c r="AQ146" s="341"/>
      <c r="AR146" s="341"/>
      <c r="AS146" s="341"/>
      <c r="AT146" s="341"/>
      <c r="AU146" s="341"/>
      <c r="AV146" s="341"/>
      <c r="AW146" s="341"/>
      <c r="AX146" s="341"/>
      <c r="AY146" s="401"/>
      <c r="AZ146" s="341"/>
      <c r="BA146" s="341"/>
      <c r="BB146" s="341"/>
      <c r="BC146" s="341"/>
      <c r="BD146" s="341"/>
      <c r="BE146" s="341"/>
      <c r="BF146" s="341"/>
      <c r="BG146" s="341"/>
      <c r="BH146" s="341"/>
      <c r="BI146" s="341"/>
      <c r="BJ146" s="341"/>
      <c r="BK146" s="401"/>
    </row>
    <row r="147" spans="1:63" s="248" customFormat="1" hidden="1" outlineLevel="1">
      <c r="A147" s="860"/>
      <c r="B147" s="374" t="s">
        <v>346</v>
      </c>
      <c r="C147" s="358">
        <v>43000</v>
      </c>
      <c r="D147" s="353">
        <f>C147/12</f>
        <v>3583.3333333333335</v>
      </c>
      <c r="E147" s="249">
        <f t="shared" ref="E147:O147" si="428">D147*(1+($I137/12))</f>
        <v>3672.9166666666665</v>
      </c>
      <c r="F147" s="249">
        <f t="shared" si="428"/>
        <v>3764.739583333333</v>
      </c>
      <c r="G147" s="249">
        <f t="shared" si="428"/>
        <v>3858.8580729166661</v>
      </c>
      <c r="H147" s="249">
        <f t="shared" si="428"/>
        <v>3955.3295247395822</v>
      </c>
      <c r="I147" s="249">
        <f t="shared" si="428"/>
        <v>4054.2127628580715</v>
      </c>
      <c r="J147" s="249">
        <f t="shared" si="428"/>
        <v>4155.568081929523</v>
      </c>
      <c r="K147" s="249">
        <f t="shared" si="428"/>
        <v>4259.4572839777611</v>
      </c>
      <c r="L147" s="249">
        <f t="shared" si="428"/>
        <v>4365.943716077205</v>
      </c>
      <c r="M147" s="249">
        <f t="shared" si="428"/>
        <v>4475.0923089791349</v>
      </c>
      <c r="N147" s="249">
        <f t="shared" si="428"/>
        <v>4586.9696167036127</v>
      </c>
      <c r="O147" s="402">
        <f t="shared" si="428"/>
        <v>4701.6438571212029</v>
      </c>
      <c r="P147" s="249">
        <f t="shared" ref="P147:AA147" si="429">O147*(1+($U137/12))</f>
        <v>4789.7996794422261</v>
      </c>
      <c r="Q147" s="249">
        <f t="shared" si="429"/>
        <v>4879.6084234317677</v>
      </c>
      <c r="R147" s="249">
        <f t="shared" si="429"/>
        <v>4971.1010813711137</v>
      </c>
      <c r="S147" s="249">
        <f t="shared" si="429"/>
        <v>5064.309226646822</v>
      </c>
      <c r="T147" s="249">
        <f t="shared" si="429"/>
        <v>5159.26502464645</v>
      </c>
      <c r="U147" s="249">
        <f t="shared" si="429"/>
        <v>5256.0012438585709</v>
      </c>
      <c r="V147" s="249">
        <f t="shared" si="429"/>
        <v>5354.5512671809192</v>
      </c>
      <c r="W147" s="249">
        <f t="shared" si="429"/>
        <v>5454.9491034405619</v>
      </c>
      <c r="X147" s="249">
        <f t="shared" si="429"/>
        <v>5557.229399130073</v>
      </c>
      <c r="Y147" s="249">
        <f t="shared" si="429"/>
        <v>5661.4274503637625</v>
      </c>
      <c r="Z147" s="249">
        <f t="shared" si="429"/>
        <v>5767.5792150580837</v>
      </c>
      <c r="AA147" s="402">
        <f t="shared" si="429"/>
        <v>5875.7213253404234</v>
      </c>
      <c r="AB147" s="249">
        <f t="shared" ref="AB147:AM147" si="430">AA147*(1+($AG137/12))</f>
        <v>5934.4785385938276</v>
      </c>
      <c r="AC147" s="249">
        <f t="shared" si="430"/>
        <v>5993.8233239797655</v>
      </c>
      <c r="AD147" s="249">
        <f t="shared" si="430"/>
        <v>6053.7615572195637</v>
      </c>
      <c r="AE147" s="249">
        <f t="shared" si="430"/>
        <v>6114.2991727917597</v>
      </c>
      <c r="AF147" s="249">
        <f t="shared" si="430"/>
        <v>6175.4421645196771</v>
      </c>
      <c r="AG147" s="249">
        <f t="shared" si="430"/>
        <v>6237.1965861648741</v>
      </c>
      <c r="AH147" s="249">
        <f t="shared" si="430"/>
        <v>6299.5685520265233</v>
      </c>
      <c r="AI147" s="249">
        <f t="shared" si="430"/>
        <v>6362.5642375467887</v>
      </c>
      <c r="AJ147" s="249">
        <f t="shared" si="430"/>
        <v>6426.1898799222563</v>
      </c>
      <c r="AK147" s="249">
        <f t="shared" si="430"/>
        <v>6490.4517787214791</v>
      </c>
      <c r="AL147" s="249">
        <f t="shared" si="430"/>
        <v>6555.356296508694</v>
      </c>
      <c r="AM147" s="402">
        <f t="shared" si="430"/>
        <v>6620.9098594737807</v>
      </c>
      <c r="AN147" s="249">
        <f t="shared" ref="AN147:AY147" si="431">AM147*(1+($AS137/12))</f>
        <v>6654.0144087711487</v>
      </c>
      <c r="AO147" s="249">
        <f t="shared" si="431"/>
        <v>6687.2844808150039</v>
      </c>
      <c r="AP147" s="249">
        <f t="shared" si="431"/>
        <v>6720.7209032190785</v>
      </c>
      <c r="AQ147" s="249">
        <f t="shared" si="431"/>
        <v>6754.324507735173</v>
      </c>
      <c r="AR147" s="249">
        <f t="shared" si="431"/>
        <v>6788.0961302738478</v>
      </c>
      <c r="AS147" s="249">
        <f t="shared" si="431"/>
        <v>6822.0366109252163</v>
      </c>
      <c r="AT147" s="249">
        <f t="shared" si="431"/>
        <v>6856.1467939798413</v>
      </c>
      <c r="AU147" s="249">
        <f t="shared" si="431"/>
        <v>6890.4275279497397</v>
      </c>
      <c r="AV147" s="249">
        <f t="shared" si="431"/>
        <v>6924.8796655894876</v>
      </c>
      <c r="AW147" s="249">
        <f t="shared" si="431"/>
        <v>6959.504063917434</v>
      </c>
      <c r="AX147" s="249">
        <f t="shared" si="431"/>
        <v>6994.3015842370205</v>
      </c>
      <c r="AY147" s="402">
        <f t="shared" si="431"/>
        <v>7029.2730921582051</v>
      </c>
      <c r="AZ147" s="249">
        <f t="shared" ref="AZ147:BK147" si="432">AY147*(1+($BES137/12))</f>
        <v>7029.2730921582051</v>
      </c>
      <c r="BA147" s="249">
        <f t="shared" si="432"/>
        <v>7029.2730921582051</v>
      </c>
      <c r="BB147" s="249">
        <f t="shared" si="432"/>
        <v>7029.2730921582051</v>
      </c>
      <c r="BC147" s="249">
        <f t="shared" si="432"/>
        <v>7029.2730921582051</v>
      </c>
      <c r="BD147" s="249">
        <f t="shared" si="432"/>
        <v>7029.2730921582051</v>
      </c>
      <c r="BE147" s="249">
        <f t="shared" si="432"/>
        <v>7029.2730921582051</v>
      </c>
      <c r="BF147" s="249">
        <f t="shared" si="432"/>
        <v>7029.2730921582051</v>
      </c>
      <c r="BG147" s="249">
        <f t="shared" si="432"/>
        <v>7029.2730921582051</v>
      </c>
      <c r="BH147" s="249">
        <f t="shared" si="432"/>
        <v>7029.2730921582051</v>
      </c>
      <c r="BI147" s="249">
        <f t="shared" si="432"/>
        <v>7029.2730921582051</v>
      </c>
      <c r="BJ147" s="249">
        <f t="shared" si="432"/>
        <v>7029.2730921582051</v>
      </c>
      <c r="BK147" s="402">
        <f t="shared" si="432"/>
        <v>7029.2730921582051</v>
      </c>
    </row>
    <row r="148" spans="1:63" s="54" customFormat="1" hidden="1" outlineLevel="1">
      <c r="A148" s="857"/>
      <c r="B148" s="370" t="s">
        <v>345</v>
      </c>
      <c r="C148" s="361">
        <v>0.19</v>
      </c>
      <c r="D148" s="355">
        <f>M137</f>
        <v>0.19</v>
      </c>
      <c r="E148" s="169">
        <f t="shared" ref="E148:O148" si="433">D148</f>
        <v>0.19</v>
      </c>
      <c r="F148" s="169">
        <f t="shared" si="433"/>
        <v>0.19</v>
      </c>
      <c r="G148" s="169">
        <f t="shared" si="433"/>
        <v>0.19</v>
      </c>
      <c r="H148" s="169">
        <f t="shared" si="433"/>
        <v>0.19</v>
      </c>
      <c r="I148" s="169">
        <f t="shared" si="433"/>
        <v>0.19</v>
      </c>
      <c r="J148" s="169">
        <f t="shared" si="433"/>
        <v>0.19</v>
      </c>
      <c r="K148" s="169">
        <f t="shared" si="433"/>
        <v>0.19</v>
      </c>
      <c r="L148" s="169">
        <f t="shared" si="433"/>
        <v>0.19</v>
      </c>
      <c r="M148" s="169">
        <f t="shared" si="433"/>
        <v>0.19</v>
      </c>
      <c r="N148" s="169">
        <f t="shared" si="433"/>
        <v>0.19</v>
      </c>
      <c r="O148" s="405">
        <f t="shared" si="433"/>
        <v>0.19</v>
      </c>
      <c r="P148" s="169">
        <f t="shared" ref="P148:AA148" si="434">$Y137</f>
        <v>0.19</v>
      </c>
      <c r="Q148" s="169">
        <f t="shared" si="434"/>
        <v>0.19</v>
      </c>
      <c r="R148" s="169">
        <f t="shared" si="434"/>
        <v>0.19</v>
      </c>
      <c r="S148" s="169">
        <f t="shared" si="434"/>
        <v>0.19</v>
      </c>
      <c r="T148" s="169">
        <f t="shared" si="434"/>
        <v>0.19</v>
      </c>
      <c r="U148" s="169">
        <f t="shared" si="434"/>
        <v>0.19</v>
      </c>
      <c r="V148" s="169">
        <f t="shared" si="434"/>
        <v>0.19</v>
      </c>
      <c r="W148" s="169">
        <f t="shared" si="434"/>
        <v>0.19</v>
      </c>
      <c r="X148" s="169">
        <f t="shared" si="434"/>
        <v>0.19</v>
      </c>
      <c r="Y148" s="169">
        <f t="shared" si="434"/>
        <v>0.19</v>
      </c>
      <c r="Z148" s="169">
        <f t="shared" si="434"/>
        <v>0.19</v>
      </c>
      <c r="AA148" s="405">
        <f t="shared" si="434"/>
        <v>0.19</v>
      </c>
      <c r="AB148" s="169">
        <f t="shared" ref="AB148:AM148" si="435">$AK137</f>
        <v>0.19</v>
      </c>
      <c r="AC148" s="169">
        <f t="shared" si="435"/>
        <v>0.19</v>
      </c>
      <c r="AD148" s="169">
        <f t="shared" si="435"/>
        <v>0.19</v>
      </c>
      <c r="AE148" s="169">
        <f t="shared" si="435"/>
        <v>0.19</v>
      </c>
      <c r="AF148" s="169">
        <f t="shared" si="435"/>
        <v>0.19</v>
      </c>
      <c r="AG148" s="169">
        <f t="shared" si="435"/>
        <v>0.19</v>
      </c>
      <c r="AH148" s="169">
        <f t="shared" si="435"/>
        <v>0.19</v>
      </c>
      <c r="AI148" s="169">
        <f t="shared" si="435"/>
        <v>0.19</v>
      </c>
      <c r="AJ148" s="169">
        <f t="shared" si="435"/>
        <v>0.19</v>
      </c>
      <c r="AK148" s="169">
        <f t="shared" si="435"/>
        <v>0.19</v>
      </c>
      <c r="AL148" s="169">
        <f t="shared" si="435"/>
        <v>0.19</v>
      </c>
      <c r="AM148" s="405">
        <f t="shared" si="435"/>
        <v>0.19</v>
      </c>
      <c r="AN148" s="169">
        <f t="shared" ref="AN148:AY148" si="436">$AW137</f>
        <v>0.19</v>
      </c>
      <c r="AO148" s="169">
        <f t="shared" si="436"/>
        <v>0.19</v>
      </c>
      <c r="AP148" s="169">
        <f t="shared" si="436"/>
        <v>0.19</v>
      </c>
      <c r="AQ148" s="169">
        <f t="shared" si="436"/>
        <v>0.19</v>
      </c>
      <c r="AR148" s="169">
        <f t="shared" si="436"/>
        <v>0.19</v>
      </c>
      <c r="AS148" s="169">
        <f t="shared" si="436"/>
        <v>0.19</v>
      </c>
      <c r="AT148" s="169">
        <f t="shared" si="436"/>
        <v>0.19</v>
      </c>
      <c r="AU148" s="169">
        <f t="shared" si="436"/>
        <v>0.19</v>
      </c>
      <c r="AV148" s="169">
        <f t="shared" si="436"/>
        <v>0.19</v>
      </c>
      <c r="AW148" s="169">
        <f t="shared" si="436"/>
        <v>0.19</v>
      </c>
      <c r="AX148" s="169">
        <f t="shared" si="436"/>
        <v>0.19</v>
      </c>
      <c r="AY148" s="405">
        <f t="shared" si="436"/>
        <v>0.19</v>
      </c>
      <c r="AZ148" s="169">
        <f t="shared" ref="AZ148:BK148" si="437">$BI137</f>
        <v>0.19</v>
      </c>
      <c r="BA148" s="169">
        <f t="shared" si="437"/>
        <v>0.19</v>
      </c>
      <c r="BB148" s="169">
        <f t="shared" si="437"/>
        <v>0.19</v>
      </c>
      <c r="BC148" s="169">
        <f t="shared" si="437"/>
        <v>0.19</v>
      </c>
      <c r="BD148" s="169">
        <f t="shared" si="437"/>
        <v>0.19</v>
      </c>
      <c r="BE148" s="169">
        <f t="shared" si="437"/>
        <v>0.19</v>
      </c>
      <c r="BF148" s="169">
        <f t="shared" si="437"/>
        <v>0.19</v>
      </c>
      <c r="BG148" s="169">
        <f t="shared" si="437"/>
        <v>0.19</v>
      </c>
      <c r="BH148" s="169">
        <f t="shared" si="437"/>
        <v>0.19</v>
      </c>
      <c r="BI148" s="169">
        <f t="shared" si="437"/>
        <v>0.19</v>
      </c>
      <c r="BJ148" s="169">
        <f t="shared" si="437"/>
        <v>0.19</v>
      </c>
      <c r="BK148" s="405">
        <f t="shared" si="437"/>
        <v>0.19</v>
      </c>
    </row>
    <row r="149" spans="1:63" s="336" customFormat="1" ht="19.5" hidden="1" outlineLevel="1" thickBot="1">
      <c r="A149" s="862"/>
      <c r="B149" s="375" t="s">
        <v>300</v>
      </c>
      <c r="C149" s="362">
        <f>C148*'Prg. HR'!D$38*12</f>
        <v>14364</v>
      </c>
      <c r="D149" s="351">
        <f>D148*'Prg. HR'!D$38</f>
        <v>1197</v>
      </c>
      <c r="E149" s="337">
        <f>E148*'Prg. HR'!E$38</f>
        <v>1179.0450000000001</v>
      </c>
      <c r="F149" s="337">
        <f>F148*'Prg. HR'!F$38</f>
        <v>1161.3593250000001</v>
      </c>
      <c r="G149" s="337">
        <f>G148*'Prg. HR'!G$38</f>
        <v>1582.838935125</v>
      </c>
      <c r="H149" s="337">
        <f>H148*'Prg. HR'!H$38</f>
        <v>1565.679851098125</v>
      </c>
      <c r="I149" s="337">
        <f>I148*'Prg. HR'!I$38</f>
        <v>1548.7781533316531</v>
      </c>
      <c r="J149" s="337">
        <f>J148*'Prg. HR'!J$38</f>
        <v>1532.1299810316784</v>
      </c>
      <c r="K149" s="337">
        <f>K148*'Prg. HR'!K$38</f>
        <v>1848.2315313162032</v>
      </c>
      <c r="L149" s="337">
        <f>L148*'Prg. HR'!L$38</f>
        <v>1859.7873916797935</v>
      </c>
      <c r="M149" s="337">
        <f>M148*'Prg. HR'!M$38</f>
        <v>1846.1862335823744</v>
      </c>
      <c r="N149" s="337">
        <f>N148*'Prg. HR'!N$38</f>
        <v>1830.7071194767871</v>
      </c>
      <c r="O149" s="406">
        <f>O148*'Prg. HR'!O$38</f>
        <v>1815.2866943011475</v>
      </c>
      <c r="P149" s="337">
        <f>P148*'Prg. HR'!P$38</f>
        <v>1769.8559661040297</v>
      </c>
      <c r="Q149" s="337">
        <f>Q148*'Prg. HR'!Q$38</f>
        <v>1782.5874599458027</v>
      </c>
      <c r="R149" s="337">
        <f>R148*'Prg. HR'!R$38</f>
        <v>1770.1443008243932</v>
      </c>
      <c r="S149" s="337">
        <f>S148*'Prg. HR'!S$38</f>
        <v>1755.8058157101757</v>
      </c>
      <c r="T149" s="337">
        <f>T148*'Prg. HR'!T$38</f>
        <v>1741.5089100910352</v>
      </c>
      <c r="U149" s="337">
        <f>U148*'Prg. HR'!U$38</f>
        <v>2625.1619999077125</v>
      </c>
      <c r="V149" s="337">
        <f>V148*'Prg. HR'!V$38</f>
        <v>2611.2753385314336</v>
      </c>
      <c r="W149" s="337">
        <f>W148*'Prg. HR'!W$38</f>
        <v>2597.5968766719898</v>
      </c>
      <c r="X149" s="337">
        <f>X148*'Prg. HR'!X$38</f>
        <v>2584.123583373454</v>
      </c>
      <c r="Y149" s="337">
        <f>Y148*'Prg. HR'!Y$38</f>
        <v>2570.8523887771476</v>
      </c>
      <c r="Z149" s="337">
        <f>Z148*'Prg. HR'!Z$38</f>
        <v>2557.7802620416819</v>
      </c>
      <c r="AA149" s="406">
        <f>AA148*'Prg. HR'!AA$38</f>
        <v>2907.6314899296381</v>
      </c>
      <c r="AB149" s="337">
        <f>AB148*'Prg. HR'!AB$38</f>
        <v>3364.7096881604925</v>
      </c>
      <c r="AC149" s="337">
        <f>AC148*'Prg. HR'!AC$38</f>
        <v>3334.6229158736905</v>
      </c>
      <c r="AD149" s="337">
        <f>AD148*'Prg. HR'!AD$38</f>
        <v>3298.1478054335425</v>
      </c>
      <c r="AE149" s="337">
        <f>AE148*'Prg. HR'!AE$38</f>
        <v>3262.1810043874557</v>
      </c>
      <c r="AF149" s="337">
        <f>AF148*'Prg. HR'!AF$38</f>
        <v>3227.7933023723476</v>
      </c>
      <c r="AG149" s="337">
        <f>AG148*'Prg. HR'!AG$38</f>
        <v>3195.0884452877744</v>
      </c>
      <c r="AH149" s="337">
        <f>AH148*'Prg. HR'!AH$38</f>
        <v>3164.0127410290597</v>
      </c>
      <c r="AI149" s="337">
        <f>AI148*'Prg. HR'!AI$38</f>
        <v>3533.4897853827065</v>
      </c>
      <c r="AJ149" s="337">
        <f>AJ148*'Prg. HR'!AJ$38</f>
        <v>3605.1928414648464</v>
      </c>
      <c r="AK149" s="337">
        <f>AK148*'Prg. HR'!AK$38</f>
        <v>3603.4857107294229</v>
      </c>
      <c r="AL149" s="337">
        <f>AL148*'Prg. HR'!AL$38</f>
        <v>4023.3076780274064</v>
      </c>
      <c r="AM149" s="406">
        <f>AM148*'Prg. HR'!AM$38</f>
        <v>4000.8194823346503</v>
      </c>
      <c r="AN149" s="337">
        <f>AN148*'Prg. HR'!AN$38</f>
        <v>4432.8246412286608</v>
      </c>
      <c r="AO149" s="337">
        <f>AO148*'Prg. HR'!AO$38</f>
        <v>4337.3056813356852</v>
      </c>
      <c r="AP149" s="337">
        <f>AP148*'Prg. HR'!AP$38</f>
        <v>4304.3857759636439</v>
      </c>
      <c r="AQ149" s="337">
        <f>AQ148*'Prg. HR'!AQ$38</f>
        <v>4282.7490502812516</v>
      </c>
      <c r="AR149" s="337">
        <f>AR148*'Prg. HR'!AR$38</f>
        <v>4662.8345326993276</v>
      </c>
      <c r="AS149" s="337">
        <f>AS148*'Prg. HR'!AS$38</f>
        <v>5183.7310397973961</v>
      </c>
      <c r="AT149" s="337">
        <f>AT148*'Prg. HR'!AT$38</f>
        <v>5191.8565462407851</v>
      </c>
      <c r="AU149" s="337">
        <f>AU148*'Prg. HR'!AU$38</f>
        <v>5182.1329835370607</v>
      </c>
      <c r="AV149" s="337">
        <f>AV148*'Prg. HR'!AV$38</f>
        <v>5168.5349005122862</v>
      </c>
      <c r="AW149" s="337">
        <f>AW148*'Prg. HR'!AW$38</f>
        <v>5154.5265470246914</v>
      </c>
      <c r="AX149" s="337">
        <f>AX148*'Prg. HR'!AX$38</f>
        <v>6038.6960675579621</v>
      </c>
      <c r="AY149" s="406">
        <f>AY148*'Prg. HR'!AY$38</f>
        <v>6907.9571056784362</v>
      </c>
      <c r="AZ149" s="337">
        <f>AZ148*'Prg. HR'!AZ$38</f>
        <v>7043.397864227305</v>
      </c>
      <c r="BA149" s="337">
        <f>BA148*'Prg. HR'!BA$38</f>
        <v>7080.9325089602044</v>
      </c>
      <c r="BB149" s="337">
        <f>BB148*'Prg. HR'!BB$38</f>
        <v>7086.212396160282</v>
      </c>
      <c r="BC149" s="337">
        <f>BC148*'Prg. HR'!BC$38</f>
        <v>7081.102280568296</v>
      </c>
      <c r="BD149" s="337">
        <f>BD148*'Prg. HR'!BD$38</f>
        <v>7511.7723346118928</v>
      </c>
      <c r="BE149" s="337">
        <f>BE148*'Prg. HR'!BE$38</f>
        <v>8899.2527528209757</v>
      </c>
      <c r="BF149" s="337">
        <f>BF148*'Prg. HR'!BF$38</f>
        <v>9098.2128380714603</v>
      </c>
      <c r="BG149" s="337">
        <f>BG148*'Prg. HR'!BG$38</f>
        <v>9176.2733307060262</v>
      </c>
      <c r="BH149" s="337">
        <f>BH148*'Prg. HR'!BH$38</f>
        <v>9643.1009702282827</v>
      </c>
      <c r="BI149" s="337">
        <f>BI148*'Prg. HR'!BI$38</f>
        <v>10218.219974627729</v>
      </c>
      <c r="BJ149" s="337">
        <f>BJ148*'Prg. HR'!BJ$38</f>
        <v>10502.278502351774</v>
      </c>
      <c r="BK149" s="406">
        <f>BK148*'Prg. HR'!BK$38</f>
        <v>11538.7318404619</v>
      </c>
    </row>
    <row r="150" spans="1:63" s="54" customFormat="1" hidden="1" outlineLevel="1">
      <c r="A150" s="857"/>
      <c r="B150" s="192" t="s">
        <v>386</v>
      </c>
      <c r="C150" s="1207">
        <f t="shared" ref="C150:AH150" si="438">(C147+C149)/C138</f>
        <v>551.57692307692309</v>
      </c>
      <c r="D150" s="368">
        <f t="shared" si="438"/>
        <v>551.57692307692321</v>
      </c>
      <c r="E150" s="1208">
        <f t="shared" si="438"/>
        <v>503.22852203975799</v>
      </c>
      <c r="F150" s="1208">
        <f t="shared" si="438"/>
        <v>459.25193516747106</v>
      </c>
      <c r="G150" s="1208">
        <f t="shared" si="438"/>
        <v>456.01822995337369</v>
      </c>
      <c r="H150" s="1208">
        <f t="shared" si="438"/>
        <v>415.87835054005831</v>
      </c>
      <c r="I150" s="1208">
        <f t="shared" si="438"/>
        <v>379.37414256228664</v>
      </c>
      <c r="J150" s="1208">
        <f t="shared" si="438"/>
        <v>346.16593021821808</v>
      </c>
      <c r="K150" s="1208">
        <f t="shared" si="438"/>
        <v>334.13707841940504</v>
      </c>
      <c r="L150" s="1208">
        <f t="shared" si="438"/>
        <v>306.1527105791061</v>
      </c>
      <c r="M150" s="1208">
        <f t="shared" si="438"/>
        <v>279.41689192216245</v>
      </c>
      <c r="N150" s="1208">
        <f t="shared" si="438"/>
        <v>254.99140842870767</v>
      </c>
      <c r="O150" s="1209">
        <f t="shared" si="438"/>
        <v>232.75058620455326</v>
      </c>
      <c r="P150" s="1208">
        <f t="shared" si="438"/>
        <v>226.71919599421494</v>
      </c>
      <c r="Q150" s="1208">
        <f t="shared" si="438"/>
        <v>222.83541302338048</v>
      </c>
      <c r="R150" s="1208">
        <f t="shared" si="438"/>
        <v>218.20590997944302</v>
      </c>
      <c r="S150" s="1208">
        <f t="shared" si="438"/>
        <v>213.63757249046947</v>
      </c>
      <c r="T150" s="1208">
        <f t="shared" si="438"/>
        <v>209.19114421801882</v>
      </c>
      <c r="U150" s="1208">
        <f t="shared" si="438"/>
        <v>231.20401898316962</v>
      </c>
      <c r="V150" s="1208">
        <f t="shared" si="438"/>
        <v>226.14941337463827</v>
      </c>
      <c r="W150" s="1208">
        <f t="shared" si="438"/>
        <v>221.23681162854476</v>
      </c>
      <c r="X150" s="1208">
        <f t="shared" si="438"/>
        <v>216.4613303636113</v>
      </c>
      <c r="Y150" s="1208">
        <f t="shared" si="438"/>
        <v>211.81827375054155</v>
      </c>
      <c r="Z150" s="1208">
        <f t="shared" si="438"/>
        <v>207.30312794426669</v>
      </c>
      <c r="AA150" s="1209">
        <f t="shared" si="438"/>
        <v>211.65218159768494</v>
      </c>
      <c r="AB150" s="1208">
        <f t="shared" si="438"/>
        <v>219.68848194260653</v>
      </c>
      <c r="AC150" s="1208">
        <f t="shared" si="438"/>
        <v>216.05851693555155</v>
      </c>
      <c r="AD150" s="1208">
        <f t="shared" si="438"/>
        <v>212.35485518900293</v>
      </c>
      <c r="AE150" s="1208">
        <f t="shared" si="438"/>
        <v>208.73802689344225</v>
      </c>
      <c r="AF150" s="1208">
        <f t="shared" si="438"/>
        <v>205.22906843212556</v>
      </c>
      <c r="AG150" s="1208">
        <f t="shared" si="438"/>
        <v>201.82655475518877</v>
      </c>
      <c r="AH150" s="1208">
        <f t="shared" si="438"/>
        <v>198.5256999776561</v>
      </c>
      <c r="AI150" s="1208">
        <f t="shared" ref="AI150:BK150" si="439">(AI147+AI149)/AI138</f>
        <v>203.5275030523577</v>
      </c>
      <c r="AJ150" s="1208">
        <f t="shared" si="439"/>
        <v>202.26543621661889</v>
      </c>
      <c r="AK150" s="1208">
        <f t="shared" si="439"/>
        <v>199.53602414955319</v>
      </c>
      <c r="AL150" s="1208">
        <f t="shared" si="439"/>
        <v>205.01769857237403</v>
      </c>
      <c r="AM150" s="1209">
        <f t="shared" si="439"/>
        <v>201.81599841129946</v>
      </c>
      <c r="AN150" s="1208">
        <f t="shared" si="439"/>
        <v>202.22709158689003</v>
      </c>
      <c r="AO150" s="1208">
        <f t="shared" si="439"/>
        <v>193.04798803334697</v>
      </c>
      <c r="AP150" s="1208">
        <f t="shared" si="439"/>
        <v>185.3347512901897</v>
      </c>
      <c r="AQ150" s="1208">
        <f t="shared" si="439"/>
        <v>178.11448076420902</v>
      </c>
      <c r="AR150" s="1208">
        <f t="shared" si="439"/>
        <v>177.40150921692495</v>
      </c>
      <c r="AS150" s="1208">
        <f t="shared" si="439"/>
        <v>178.55733378383826</v>
      </c>
      <c r="AT150" s="1208">
        <f t="shared" si="439"/>
        <v>172.01806996242567</v>
      </c>
      <c r="AU150" s="1208">
        <f t="shared" si="439"/>
        <v>165.47394286383258</v>
      </c>
      <c r="AV150" s="1208">
        <f t="shared" si="439"/>
        <v>159.12939011357921</v>
      </c>
      <c r="AW150" s="1208">
        <f t="shared" si="439"/>
        <v>153.02463673132112</v>
      </c>
      <c r="AX150" s="1208">
        <f t="shared" si="439"/>
        <v>158.04772197036277</v>
      </c>
      <c r="AY150" s="1209">
        <f t="shared" si="439"/>
        <v>162.25258689581702</v>
      </c>
      <c r="AZ150" s="1208">
        <f t="shared" si="439"/>
        <v>156.02794575910184</v>
      </c>
      <c r="BA150" s="1208">
        <f t="shared" si="439"/>
        <v>148.99438445888745</v>
      </c>
      <c r="BB150" s="1208">
        <f t="shared" si="439"/>
        <v>141.95251100506877</v>
      </c>
      <c r="BC150" s="1208">
        <f t="shared" si="439"/>
        <v>135.143924838213</v>
      </c>
      <c r="BD150" s="1208">
        <f t="shared" si="439"/>
        <v>132.63687844112107</v>
      </c>
      <c r="BE150" s="1208">
        <f t="shared" si="439"/>
        <v>138.37414378796379</v>
      </c>
      <c r="BF150" s="1208">
        <f t="shared" si="439"/>
        <v>133.4309981121306</v>
      </c>
      <c r="BG150" s="1208">
        <f t="shared" si="439"/>
        <v>127.6922216908703</v>
      </c>
      <c r="BH150" s="1208">
        <f t="shared" si="439"/>
        <v>125.11486466455256</v>
      </c>
      <c r="BI150" s="1208">
        <f t="shared" si="439"/>
        <v>123.26737419346698</v>
      </c>
      <c r="BJ150" s="1208">
        <f t="shared" si="439"/>
        <v>119.33098374821206</v>
      </c>
      <c r="BK150" s="1209">
        <f t="shared" si="439"/>
        <v>120.36738083913596</v>
      </c>
    </row>
    <row r="151" spans="1:63" s="54" customFormat="1" hidden="1" outlineLevel="1">
      <c r="A151" s="857"/>
      <c r="B151" s="192" t="s">
        <v>390</v>
      </c>
      <c r="C151" s="1207">
        <f t="shared" ref="C151:AH151" si="440">(C147+C149)/C140</f>
        <v>1062.2962962962963</v>
      </c>
      <c r="D151" s="368">
        <f t="shared" si="440"/>
        <v>1062.2962962962965</v>
      </c>
      <c r="E151" s="1208">
        <f t="shared" si="440"/>
        <v>967.16592824457985</v>
      </c>
      <c r="F151" s="1208">
        <f t="shared" si="440"/>
        <v>880.81133826204848</v>
      </c>
      <c r="G151" s="1208">
        <f t="shared" si="440"/>
        <v>872.79101555648595</v>
      </c>
      <c r="H151" s="1208">
        <f t="shared" si="440"/>
        <v>794.31092569752525</v>
      </c>
      <c r="I151" s="1208">
        <f t="shared" si="440"/>
        <v>723.08293363563575</v>
      </c>
      <c r="J151" s="1208">
        <f t="shared" si="440"/>
        <v>658.41674543059833</v>
      </c>
      <c r="K151" s="1208">
        <f t="shared" si="440"/>
        <v>634.21626760046195</v>
      </c>
      <c r="L151" s="1208">
        <f t="shared" si="440"/>
        <v>579.89181170190079</v>
      </c>
      <c r="M151" s="1208">
        <f t="shared" si="440"/>
        <v>528.15048870525311</v>
      </c>
      <c r="N151" s="1208">
        <f t="shared" si="440"/>
        <v>480.97968904341724</v>
      </c>
      <c r="O151" s="1209">
        <f t="shared" si="440"/>
        <v>438.11501143426284</v>
      </c>
      <c r="P151" s="1208">
        <f t="shared" si="440"/>
        <v>426.05181686348681</v>
      </c>
      <c r="Q151" s="1208">
        <f t="shared" si="440"/>
        <v>418.05663194379287</v>
      </c>
      <c r="R151" s="1208">
        <f t="shared" si="440"/>
        <v>408.69017251324436</v>
      </c>
      <c r="S151" s="1208">
        <f t="shared" si="440"/>
        <v>399.46809506366725</v>
      </c>
      <c r="T151" s="1208">
        <f t="shared" si="440"/>
        <v>390.50314670108281</v>
      </c>
      <c r="U151" s="1208">
        <f t="shared" si="440"/>
        <v>430.87708689467252</v>
      </c>
      <c r="V151" s="1208">
        <f t="shared" si="440"/>
        <v>420.75594859940242</v>
      </c>
      <c r="W151" s="1208">
        <f t="shared" si="440"/>
        <v>410.93106009651558</v>
      </c>
      <c r="X151" s="1208">
        <f t="shared" si="440"/>
        <v>401.39196925104255</v>
      </c>
      <c r="Y151" s="1208">
        <f t="shared" si="440"/>
        <v>392.12863596074033</v>
      </c>
      <c r="Z151" s="1208">
        <f t="shared" si="440"/>
        <v>383.1314187141511</v>
      </c>
      <c r="AA151" s="1209">
        <f t="shared" si="440"/>
        <v>390.51834522771333</v>
      </c>
      <c r="AB151" s="1208">
        <f t="shared" si="440"/>
        <v>404.8400313769954</v>
      </c>
      <c r="AC151" s="1208">
        <f t="shared" si="440"/>
        <v>397.65369618790726</v>
      </c>
      <c r="AD151" s="1208">
        <f t="shared" si="440"/>
        <v>390.34920459406271</v>
      </c>
      <c r="AE151" s="1208">
        <f t="shared" si="440"/>
        <v>383.22174901622657</v>
      </c>
      <c r="AF151" s="1208">
        <f t="shared" si="440"/>
        <v>376.30927221946808</v>
      </c>
      <c r="AG151" s="1208">
        <f t="shared" si="440"/>
        <v>369.6083918888645</v>
      </c>
      <c r="AH151" s="1208">
        <f t="shared" si="440"/>
        <v>363.10959357359627</v>
      </c>
      <c r="AI151" s="1208">
        <f t="shared" ref="AI151:BK151" si="441">(AI147+AI149)/AI140</f>
        <v>371.79330316176345</v>
      </c>
      <c r="AJ151" s="1208">
        <f t="shared" si="441"/>
        <v>369.02654288236033</v>
      </c>
      <c r="AK151" s="1208">
        <f t="shared" si="441"/>
        <v>363.5923311771449</v>
      </c>
      <c r="AL151" s="1208">
        <f t="shared" si="441"/>
        <v>373.11458431095224</v>
      </c>
      <c r="AM151" s="1209">
        <f t="shared" si="441"/>
        <v>366.82922875885936</v>
      </c>
      <c r="AN151" s="1208">
        <f t="shared" si="441"/>
        <v>367.14810950695363</v>
      </c>
      <c r="AO151" s="1208">
        <f t="shared" si="441"/>
        <v>350.07480740194399</v>
      </c>
      <c r="AP151" s="1208">
        <f t="shared" si="441"/>
        <v>335.69591529263317</v>
      </c>
      <c r="AQ151" s="1208">
        <f t="shared" si="441"/>
        <v>322.24192620543846</v>
      </c>
      <c r="AR151" s="1208">
        <f t="shared" si="441"/>
        <v>320.57802156788796</v>
      </c>
      <c r="AS151" s="1208">
        <f t="shared" si="441"/>
        <v>322.29067868868424</v>
      </c>
      <c r="AT151" s="1208">
        <f t="shared" si="441"/>
        <v>310.12568861028262</v>
      </c>
      <c r="AU151" s="1208">
        <f t="shared" si="441"/>
        <v>297.97985515553239</v>
      </c>
      <c r="AV151" s="1208">
        <f t="shared" si="441"/>
        <v>286.22087573245818</v>
      </c>
      <c r="AW151" s="1208">
        <f t="shared" si="441"/>
        <v>274.9197140462702</v>
      </c>
      <c r="AX151" s="1208">
        <f t="shared" si="441"/>
        <v>283.61316422721728</v>
      </c>
      <c r="AY151" s="1209">
        <f t="shared" si="441"/>
        <v>290.81941262596149</v>
      </c>
      <c r="AZ151" s="1208">
        <f t="shared" si="441"/>
        <v>279.42958935113705</v>
      </c>
      <c r="BA151" s="1208">
        <f t="shared" si="441"/>
        <v>266.61104725548233</v>
      </c>
      <c r="BB151" s="1208">
        <f t="shared" si="441"/>
        <v>253.79879647182597</v>
      </c>
      <c r="BC151" s="1208">
        <f t="shared" si="441"/>
        <v>241.42444699553639</v>
      </c>
      <c r="BD151" s="1208">
        <f t="shared" si="441"/>
        <v>236.74850693541944</v>
      </c>
      <c r="BE151" s="1208">
        <f t="shared" si="441"/>
        <v>246.78351272027908</v>
      </c>
      <c r="BF151" s="1208">
        <f t="shared" si="441"/>
        <v>237.76951308889861</v>
      </c>
      <c r="BG151" s="1208">
        <f t="shared" si="441"/>
        <v>227.35374669132966</v>
      </c>
      <c r="BH151" s="1208">
        <f t="shared" si="441"/>
        <v>222.57932523057616</v>
      </c>
      <c r="BI151" s="1208">
        <f t="shared" si="441"/>
        <v>219.1100482563086</v>
      </c>
      <c r="BJ151" s="1208">
        <f t="shared" si="441"/>
        <v>211.93642740202557</v>
      </c>
      <c r="BK151" s="1209">
        <f t="shared" si="441"/>
        <v>213.59910933132261</v>
      </c>
    </row>
    <row r="152" spans="1:63" s="54" customFormat="1" hidden="1" outlineLevel="1">
      <c r="A152" s="857"/>
      <c r="B152" s="192" t="s">
        <v>391</v>
      </c>
      <c r="C152" s="1207">
        <f t="shared" ref="C152:AH152" si="442">(C149+C147)/C142</f>
        <v>2390.1666666666665</v>
      </c>
      <c r="D152" s="368">
        <f t="shared" si="442"/>
        <v>2390.166666666667</v>
      </c>
      <c r="E152" s="1208">
        <f t="shared" si="442"/>
        <v>2171.5991736052938</v>
      </c>
      <c r="F152" s="1208">
        <f t="shared" si="442"/>
        <v>1973.5936383186699</v>
      </c>
      <c r="G152" s="1208">
        <f t="shared" si="442"/>
        <v>1951.5571244279026</v>
      </c>
      <c r="H152" s="1208">
        <f t="shared" si="442"/>
        <v>1772.3835003574366</v>
      </c>
      <c r="I152" s="1208">
        <f t="shared" si="442"/>
        <v>1610.0947520214634</v>
      </c>
      <c r="J152" s="1208">
        <f t="shared" si="442"/>
        <v>1463.0539864776738</v>
      </c>
      <c r="K152" s="1208">
        <f t="shared" si="442"/>
        <v>1406.3487210847463</v>
      </c>
      <c r="L152" s="1208">
        <f t="shared" si="442"/>
        <v>1283.2130939247158</v>
      </c>
      <c r="M152" s="1208">
        <f t="shared" si="442"/>
        <v>1166.2875862824858</v>
      </c>
      <c r="N152" s="1208">
        <f t="shared" si="442"/>
        <v>1059.9145777932602</v>
      </c>
      <c r="O152" s="1209">
        <f t="shared" si="442"/>
        <v>963.44831848554486</v>
      </c>
      <c r="P152" s="1208">
        <f t="shared" si="442"/>
        <v>935.36149791890693</v>
      </c>
      <c r="Q152" s="1208">
        <f t="shared" si="442"/>
        <v>916.28159522895317</v>
      </c>
      <c r="R152" s="1208">
        <f t="shared" si="442"/>
        <v>894.26208715516066</v>
      </c>
      <c r="S152" s="1208">
        <f t="shared" si="442"/>
        <v>872.62871761388169</v>
      </c>
      <c r="T152" s="1208">
        <f t="shared" si="442"/>
        <v>851.62562140183627</v>
      </c>
      <c r="U152" s="1208">
        <f t="shared" si="442"/>
        <v>938.11128272880137</v>
      </c>
      <c r="V152" s="1208">
        <f t="shared" si="442"/>
        <v>914.55115487178557</v>
      </c>
      <c r="W152" s="1208">
        <f t="shared" si="442"/>
        <v>891.70968722844373</v>
      </c>
      <c r="X152" s="1208">
        <f t="shared" si="442"/>
        <v>869.56084071484202</v>
      </c>
      <c r="Y152" s="1208">
        <f t="shared" si="442"/>
        <v>848.0796291685615</v>
      </c>
      <c r="Z152" s="1208">
        <f t="shared" si="442"/>
        <v>827.24208225433745</v>
      </c>
      <c r="AA152" s="1209">
        <f t="shared" si="442"/>
        <v>841.7886583378986</v>
      </c>
      <c r="AB152" s="1208">
        <f t="shared" si="442"/>
        <v>871.57055654192902</v>
      </c>
      <c r="AC152" s="1208">
        <f t="shared" si="442"/>
        <v>855.0304768866672</v>
      </c>
      <c r="AD152" s="1208">
        <f t="shared" si="442"/>
        <v>838.27659598905336</v>
      </c>
      <c r="AE152" s="1208">
        <f t="shared" si="442"/>
        <v>821.94292581896548</v>
      </c>
      <c r="AF152" s="1208">
        <f t="shared" si="442"/>
        <v>806.10924815445389</v>
      </c>
      <c r="AG152" s="1208">
        <f t="shared" si="442"/>
        <v>790.76652874076376</v>
      </c>
      <c r="AH152" s="1208">
        <f t="shared" si="442"/>
        <v>775.8926707378555</v>
      </c>
      <c r="AI152" s="1208">
        <f t="shared" ref="AI152:BK152" si="443">(AI149+AI147)/AI142</f>
        <v>793.45620331250041</v>
      </c>
      <c r="AJ152" s="1208">
        <f t="shared" si="443"/>
        <v>786.56835959473131</v>
      </c>
      <c r="AK152" s="1208">
        <f t="shared" si="443"/>
        <v>774.01798739654419</v>
      </c>
      <c r="AL152" s="1208">
        <f t="shared" si="443"/>
        <v>793.29740705998483</v>
      </c>
      <c r="AM152" s="1209">
        <f t="shared" si="443"/>
        <v>778.96010102927198</v>
      </c>
      <c r="AN152" s="1208">
        <f t="shared" si="443"/>
        <v>778.72872591557473</v>
      </c>
      <c r="AO152" s="1208">
        <f t="shared" si="443"/>
        <v>741.65064031878558</v>
      </c>
      <c r="AP152" s="1208">
        <f t="shared" si="443"/>
        <v>710.35949977516998</v>
      </c>
      <c r="AQ152" s="1208">
        <f t="shared" si="443"/>
        <v>681.09516801767109</v>
      </c>
      <c r="AR152" s="1208">
        <f t="shared" si="443"/>
        <v>676.78872840440715</v>
      </c>
      <c r="AS152" s="1208">
        <f t="shared" si="443"/>
        <v>679.61152671136779</v>
      </c>
      <c r="AT152" s="1208">
        <f t="shared" si="443"/>
        <v>653.19725539124818</v>
      </c>
      <c r="AU152" s="1208">
        <f t="shared" si="443"/>
        <v>626.88392398995745</v>
      </c>
      <c r="AV152" s="1208">
        <f t="shared" si="443"/>
        <v>601.443939018371</v>
      </c>
      <c r="AW152" s="1208">
        <f t="shared" si="443"/>
        <v>577.02329774031091</v>
      </c>
      <c r="AX152" s="1208">
        <f t="shared" si="443"/>
        <v>594.57612824530599</v>
      </c>
      <c r="AY152" s="1209">
        <f t="shared" si="443"/>
        <v>608.97307994324444</v>
      </c>
      <c r="AZ152" s="1208">
        <f t="shared" si="443"/>
        <v>584.63570207702196</v>
      </c>
      <c r="BA152" s="1208">
        <f t="shared" si="443"/>
        <v>557.35168691754359</v>
      </c>
      <c r="BB152" s="1208">
        <f t="shared" si="443"/>
        <v>530.12584299989851</v>
      </c>
      <c r="BC152" s="1208">
        <f t="shared" si="443"/>
        <v>503.85886228761228</v>
      </c>
      <c r="BD152" s="1208">
        <f t="shared" si="443"/>
        <v>493.6886511620728</v>
      </c>
      <c r="BE152" s="1208">
        <f t="shared" si="443"/>
        <v>514.18603276555825</v>
      </c>
      <c r="BF152" s="1208">
        <f t="shared" si="443"/>
        <v>494.99241121467389</v>
      </c>
      <c r="BG152" s="1208">
        <f t="shared" si="443"/>
        <v>472.91460505806003</v>
      </c>
      <c r="BH152" s="1208">
        <f t="shared" si="443"/>
        <v>462.59791510695914</v>
      </c>
      <c r="BI152" s="1208">
        <f t="shared" si="443"/>
        <v>455.00836694826944</v>
      </c>
      <c r="BJ152" s="1208">
        <f t="shared" si="443"/>
        <v>439.74502630472983</v>
      </c>
      <c r="BK152" s="1209">
        <f t="shared" si="443"/>
        <v>442.82588881953137</v>
      </c>
    </row>
    <row r="153" spans="1:63" s="1216" customFormat="1" hidden="1" outlineLevel="1">
      <c r="A153" s="1210"/>
      <c r="B153" s="1211" t="s">
        <v>392</v>
      </c>
      <c r="C153" s="1212">
        <f t="shared" ref="C153:AH153" si="444">(C149+C147)/C145</f>
        <v>0.26723688133571855</v>
      </c>
      <c r="D153" s="1213">
        <f t="shared" si="444"/>
        <v>0.2672368813357186</v>
      </c>
      <c r="E153" s="1214">
        <f t="shared" si="444"/>
        <v>0.24219406466005089</v>
      </c>
      <c r="F153" s="1214">
        <f t="shared" si="444"/>
        <v>0.21956200268811579</v>
      </c>
      <c r="G153" s="1214">
        <f t="shared" si="444"/>
        <v>0.2165690211980725</v>
      </c>
      <c r="H153" s="1214">
        <f t="shared" si="444"/>
        <v>0.19619520213174368</v>
      </c>
      <c r="I153" s="1214">
        <f t="shared" si="444"/>
        <v>0.17778607310671998</v>
      </c>
      <c r="J153" s="1214">
        <f t="shared" si="444"/>
        <v>0.16114701805781806</v>
      </c>
      <c r="K153" s="1214">
        <f t="shared" si="444"/>
        <v>0.15451497038602158</v>
      </c>
      <c r="L153" s="1214">
        <f t="shared" si="444"/>
        <v>0.14063452207183691</v>
      </c>
      <c r="M153" s="1214">
        <f t="shared" si="444"/>
        <v>0.12750124659493742</v>
      </c>
      <c r="N153" s="1214">
        <f t="shared" si="444"/>
        <v>0.11558334581007755</v>
      </c>
      <c r="O153" s="1215">
        <f t="shared" si="444"/>
        <v>0.10480172675990154</v>
      </c>
      <c r="P153" s="1214">
        <f t="shared" si="444"/>
        <v>0.1015349748119723</v>
      </c>
      <c r="Q153" s="1214">
        <f t="shared" si="444"/>
        <v>9.9257035608519575E-2</v>
      </c>
      <c r="R153" s="1214">
        <f t="shared" si="444"/>
        <v>9.6670355832347829E-2</v>
      </c>
      <c r="S153" s="1214">
        <f t="shared" si="444"/>
        <v>9.413565753126793E-2</v>
      </c>
      <c r="T153" s="1214">
        <f t="shared" si="444"/>
        <v>9.1678930666929448E-2</v>
      </c>
      <c r="U153" s="1214">
        <f t="shared" si="444"/>
        <v>0.10077930071019055</v>
      </c>
      <c r="V153" s="1214">
        <f t="shared" si="444"/>
        <v>9.8044027871160774E-2</v>
      </c>
      <c r="W153" s="1214">
        <f t="shared" si="444"/>
        <v>9.5396576172144559E-2</v>
      </c>
      <c r="X153" s="1214">
        <f t="shared" si="444"/>
        <v>9.2833652521388518E-2</v>
      </c>
      <c r="Y153" s="1214">
        <f t="shared" si="444"/>
        <v>9.0352101206841465E-2</v>
      </c>
      <c r="Z153" s="1214">
        <f t="shared" si="444"/>
        <v>8.7948898659070185E-2</v>
      </c>
      <c r="AA153" s="1215">
        <f t="shared" si="444"/>
        <v>8.9309368258935054E-2</v>
      </c>
      <c r="AB153" s="1214">
        <f t="shared" si="444"/>
        <v>9.2276828300288008E-2</v>
      </c>
      <c r="AC153" s="1214">
        <f t="shared" si="444"/>
        <v>9.0337457697046389E-2</v>
      </c>
      <c r="AD153" s="1214">
        <f t="shared" si="444"/>
        <v>8.8383210150485364E-2</v>
      </c>
      <c r="AE153" s="1214">
        <f t="shared" si="444"/>
        <v>8.6480910478855907E-2</v>
      </c>
      <c r="AF153" s="1214">
        <f t="shared" si="444"/>
        <v>8.4638636017513563E-2</v>
      </c>
      <c r="AG153" s="1214">
        <f t="shared" si="444"/>
        <v>8.285508966837335E-2</v>
      </c>
      <c r="AH153" s="1214">
        <f t="shared" si="444"/>
        <v>8.1127617801456081E-2</v>
      </c>
      <c r="AI153" s="1214">
        <f t="shared" ref="AI153:BK153" si="445">(AI149+AI147)/AI145</f>
        <v>8.2791584641067714E-2</v>
      </c>
      <c r="AJ153" s="1214">
        <f t="shared" si="445"/>
        <v>8.1902256801085122E-2</v>
      </c>
      <c r="AK153" s="1214">
        <f t="shared" si="445"/>
        <v>8.0427878031462133E-2</v>
      </c>
      <c r="AL153" s="1214">
        <f t="shared" si="445"/>
        <v>8.2259819658806979E-2</v>
      </c>
      <c r="AM153" s="1215">
        <f t="shared" si="445"/>
        <v>8.0605206071070828E-2</v>
      </c>
      <c r="AN153" s="1214">
        <f t="shared" si="445"/>
        <v>8.0433801875049407E-2</v>
      </c>
      <c r="AO153" s="1214">
        <f t="shared" si="445"/>
        <v>7.646387445822643E-2</v>
      </c>
      <c r="AP153" s="1214">
        <f t="shared" si="445"/>
        <v>7.3103747265607116E-2</v>
      </c>
      <c r="AQ153" s="1214">
        <f t="shared" si="445"/>
        <v>6.9963860981128154E-2</v>
      </c>
      <c r="AR153" s="1214">
        <f t="shared" si="445"/>
        <v>6.9394269514800988E-2</v>
      </c>
      <c r="AS153" s="1214">
        <f t="shared" si="445"/>
        <v>6.9556184371951366E-2</v>
      </c>
      <c r="AT153" s="1214">
        <f t="shared" si="445"/>
        <v>6.6730424476946618E-2</v>
      </c>
      <c r="AU153" s="1214">
        <f t="shared" si="445"/>
        <v>6.3925066929111818E-2</v>
      </c>
      <c r="AV153" s="1214">
        <f t="shared" si="445"/>
        <v>6.1218647949172714E-2</v>
      </c>
      <c r="AW153" s="1214">
        <f t="shared" si="445"/>
        <v>5.8625485447145541E-2</v>
      </c>
      <c r="AX153" s="1214">
        <f t="shared" si="445"/>
        <v>6.0298303654079947E-2</v>
      </c>
      <c r="AY153" s="1215">
        <f t="shared" si="445"/>
        <v>6.1645338695208281E-2</v>
      </c>
      <c r="AZ153" s="1214">
        <f t="shared" si="445"/>
        <v>5.9083234088894925E-2</v>
      </c>
      <c r="BA153" s="1214">
        <f t="shared" si="445"/>
        <v>5.623219352602854E-2</v>
      </c>
      <c r="BB153" s="1214">
        <f t="shared" si="445"/>
        <v>5.3396336278226861E-2</v>
      </c>
      <c r="BC153" s="1214">
        <f t="shared" si="445"/>
        <v>5.0666180209191662E-2</v>
      </c>
      <c r="BD153" s="1214">
        <f t="shared" si="445"/>
        <v>4.9560899962843095E-2</v>
      </c>
      <c r="BE153" s="1214">
        <f t="shared" si="445"/>
        <v>5.153272331564885E-2</v>
      </c>
      <c r="BF153" s="1214">
        <f t="shared" si="445"/>
        <v>4.9526557007126451E-2</v>
      </c>
      <c r="BG153" s="1214">
        <f t="shared" si="445"/>
        <v>4.7238826662029595E-2</v>
      </c>
      <c r="BH153" s="1214">
        <f t="shared" si="445"/>
        <v>4.6131420180358484E-2</v>
      </c>
      <c r="BI153" s="1214">
        <f t="shared" si="445"/>
        <v>4.5299073015785715E-2</v>
      </c>
      <c r="BJ153" s="1214">
        <f t="shared" si="445"/>
        <v>4.3706662713868756E-2</v>
      </c>
      <c r="BK153" s="1215">
        <f t="shared" si="445"/>
        <v>4.3939639740595421E-2</v>
      </c>
    </row>
    <row r="154" spans="1:63" s="339" customFormat="1" hidden="1" outlineLevel="1">
      <c r="A154" s="854"/>
      <c r="B154" s="373"/>
      <c r="C154" s="356"/>
      <c r="M154" s="341"/>
      <c r="N154" s="342"/>
      <c r="O154" s="407"/>
      <c r="Y154" s="341"/>
      <c r="Z154" s="342"/>
      <c r="AA154" s="407"/>
      <c r="AK154" s="341"/>
      <c r="AL154" s="342"/>
      <c r="AM154" s="407"/>
      <c r="AW154" s="341"/>
      <c r="AX154" s="342"/>
      <c r="AY154" s="407"/>
      <c r="BI154" s="341"/>
      <c r="BJ154" s="342"/>
      <c r="BK154" s="407"/>
    </row>
    <row r="155" spans="1:63" s="339" customFormat="1" collapsed="1">
      <c r="A155" s="854" t="s">
        <v>282</v>
      </c>
      <c r="B155" s="373"/>
      <c r="C155" s="356"/>
      <c r="D155" s="396" t="s">
        <v>389</v>
      </c>
      <c r="E155" s="415">
        <v>0.4</v>
      </c>
      <c r="F155" s="396" t="s">
        <v>355</v>
      </c>
      <c r="G155" s="415">
        <v>0.03</v>
      </c>
      <c r="H155" s="396" t="s">
        <v>356</v>
      </c>
      <c r="I155" s="415">
        <v>0.3</v>
      </c>
      <c r="J155" s="414" t="s">
        <v>354</v>
      </c>
      <c r="K155" s="415">
        <v>0.05</v>
      </c>
      <c r="L155" s="396" t="s">
        <v>357</v>
      </c>
      <c r="M155" s="415">
        <v>0.04</v>
      </c>
      <c r="O155" s="404"/>
      <c r="P155" s="396" t="s">
        <v>389</v>
      </c>
      <c r="Q155" s="415">
        <v>0.1</v>
      </c>
      <c r="R155" s="396" t="s">
        <v>355</v>
      </c>
      <c r="S155" s="415">
        <v>2.5000000000000001E-2</v>
      </c>
      <c r="T155" s="396" t="s">
        <v>356</v>
      </c>
      <c r="U155" s="415">
        <f>I155*0.75</f>
        <v>0.22499999999999998</v>
      </c>
      <c r="V155" s="414" t="s">
        <v>354</v>
      </c>
      <c r="W155" s="415">
        <v>0.04</v>
      </c>
      <c r="X155" s="396" t="s">
        <v>357</v>
      </c>
      <c r="Y155" s="415">
        <f>O166</f>
        <v>0.04</v>
      </c>
      <c r="AA155" s="404"/>
      <c r="AB155" s="396" t="s">
        <v>389</v>
      </c>
      <c r="AC155" s="415">
        <f>Q155*0.6</f>
        <v>0.06</v>
      </c>
      <c r="AD155" s="396" t="s">
        <v>355</v>
      </c>
      <c r="AE155" s="415">
        <v>2.5000000000000001E-2</v>
      </c>
      <c r="AF155" s="396" t="s">
        <v>356</v>
      </c>
      <c r="AG155" s="415">
        <v>0.12</v>
      </c>
      <c r="AH155" s="414" t="s">
        <v>354</v>
      </c>
      <c r="AI155" s="415">
        <v>0.03</v>
      </c>
      <c r="AJ155" s="396" t="s">
        <v>357</v>
      </c>
      <c r="AK155" s="415">
        <f>AA166</f>
        <v>0.04</v>
      </c>
      <c r="AM155" s="404"/>
      <c r="AN155" s="396" t="s">
        <v>389</v>
      </c>
      <c r="AO155" s="415">
        <v>0.2</v>
      </c>
      <c r="AP155" s="396" t="s">
        <v>355</v>
      </c>
      <c r="AQ155" s="415">
        <v>2.1999999999999999E-2</v>
      </c>
      <c r="AR155" s="396" t="s">
        <v>356</v>
      </c>
      <c r="AS155" s="415">
        <v>0.06</v>
      </c>
      <c r="AT155" s="414" t="s">
        <v>354</v>
      </c>
      <c r="AU155" s="415">
        <v>2.8000000000000001E-2</v>
      </c>
      <c r="AV155" s="396" t="s">
        <v>357</v>
      </c>
      <c r="AW155" s="415">
        <f>AM166</f>
        <v>0.04</v>
      </c>
      <c r="AY155" s="404"/>
      <c r="AZ155" s="396" t="s">
        <v>389</v>
      </c>
      <c r="BA155" s="415">
        <v>0.3</v>
      </c>
      <c r="BB155" s="396" t="s">
        <v>355</v>
      </c>
      <c r="BC155" s="415">
        <v>0.02</v>
      </c>
      <c r="BD155" s="396" t="s">
        <v>356</v>
      </c>
      <c r="BE155" s="415">
        <v>0.03</v>
      </c>
      <c r="BF155" s="414" t="s">
        <v>354</v>
      </c>
      <c r="BG155" s="415">
        <v>0.02</v>
      </c>
      <c r="BH155" s="396" t="s">
        <v>357</v>
      </c>
      <c r="BI155" s="415">
        <f>AY166</f>
        <v>0.04</v>
      </c>
      <c r="BK155" s="404"/>
    </row>
    <row r="156" spans="1:63" s="378" customFormat="1" hidden="1" outlineLevel="1">
      <c r="A156" s="856"/>
      <c r="B156" s="386" t="s">
        <v>226</v>
      </c>
      <c r="C156" s="387">
        <v>34</v>
      </c>
      <c r="D156" s="376">
        <f>C156/12</f>
        <v>2.8333333333333335</v>
      </c>
      <c r="E156" s="377">
        <f t="shared" ref="E156:O156" si="446">D156*(1+($E155/12))</f>
        <v>2.927777777777778</v>
      </c>
      <c r="F156" s="377">
        <f t="shared" si="446"/>
        <v>3.0253703703703709</v>
      </c>
      <c r="G156" s="377">
        <f t="shared" si="446"/>
        <v>3.1262160493827169</v>
      </c>
      <c r="H156" s="377">
        <f t="shared" si="446"/>
        <v>3.230423251028808</v>
      </c>
      <c r="I156" s="377">
        <f t="shared" si="446"/>
        <v>3.3381040260631019</v>
      </c>
      <c r="J156" s="377">
        <f t="shared" si="446"/>
        <v>3.4493741602652057</v>
      </c>
      <c r="K156" s="377">
        <f t="shared" si="446"/>
        <v>3.5643532989407127</v>
      </c>
      <c r="L156" s="377">
        <f t="shared" si="446"/>
        <v>3.6831650755720702</v>
      </c>
      <c r="M156" s="377">
        <f t="shared" si="446"/>
        <v>3.8059372447578061</v>
      </c>
      <c r="N156" s="377">
        <f t="shared" si="446"/>
        <v>3.9328018195830667</v>
      </c>
      <c r="O156" s="398">
        <f t="shared" si="446"/>
        <v>4.0638952135691691</v>
      </c>
      <c r="P156" s="377">
        <f t="shared" ref="P156:AA156" si="447">O156*(1+($Q155/12))</f>
        <v>4.0977610070155785</v>
      </c>
      <c r="Q156" s="377">
        <f t="shared" si="447"/>
        <v>4.1319090154073752</v>
      </c>
      <c r="R156" s="377">
        <f t="shared" si="447"/>
        <v>4.1663415905357697</v>
      </c>
      <c r="S156" s="377">
        <f t="shared" si="447"/>
        <v>4.2010611037902343</v>
      </c>
      <c r="T156" s="377">
        <f t="shared" si="447"/>
        <v>4.2360699463218197</v>
      </c>
      <c r="U156" s="377">
        <f t="shared" si="447"/>
        <v>4.271370529207835</v>
      </c>
      <c r="V156" s="377">
        <f t="shared" si="447"/>
        <v>4.3069652836178998</v>
      </c>
      <c r="W156" s="377">
        <f t="shared" si="447"/>
        <v>4.3428566609813819</v>
      </c>
      <c r="X156" s="377">
        <f t="shared" si="447"/>
        <v>4.3790471331562264</v>
      </c>
      <c r="Y156" s="377">
        <f t="shared" si="447"/>
        <v>4.4155391925991951</v>
      </c>
      <c r="Z156" s="377">
        <f t="shared" si="447"/>
        <v>4.4523353525375216</v>
      </c>
      <c r="AA156" s="398">
        <f t="shared" si="447"/>
        <v>4.4894381471420006</v>
      </c>
      <c r="AB156" s="377">
        <f t="shared" ref="AB156:AM156" si="448">AA156*(1+($AC155/12))</f>
        <v>4.5118853378777102</v>
      </c>
      <c r="AC156" s="377">
        <f t="shared" si="448"/>
        <v>4.5344447645670982</v>
      </c>
      <c r="AD156" s="377">
        <f t="shared" si="448"/>
        <v>4.5571169883899332</v>
      </c>
      <c r="AE156" s="377">
        <f t="shared" si="448"/>
        <v>4.5799025733318821</v>
      </c>
      <c r="AF156" s="377">
        <f t="shared" si="448"/>
        <v>4.6028020861985413</v>
      </c>
      <c r="AG156" s="377">
        <f t="shared" si="448"/>
        <v>4.6258160966295332</v>
      </c>
      <c r="AH156" s="377">
        <f t="shared" si="448"/>
        <v>4.6489451771126804</v>
      </c>
      <c r="AI156" s="377">
        <f t="shared" si="448"/>
        <v>4.6721899029982437</v>
      </c>
      <c r="AJ156" s="377">
        <f t="shared" si="448"/>
        <v>4.6955508525132341</v>
      </c>
      <c r="AK156" s="377">
        <f t="shared" si="448"/>
        <v>4.7190286067758</v>
      </c>
      <c r="AL156" s="377">
        <f t="shared" si="448"/>
        <v>4.7426237498096784</v>
      </c>
      <c r="AM156" s="398">
        <f t="shared" si="448"/>
        <v>4.7663368685587262</v>
      </c>
      <c r="AN156" s="377">
        <f t="shared" ref="AN156:AY156" si="449">AM156*(1+($AO155/12))</f>
        <v>4.8457758163680378</v>
      </c>
      <c r="AO156" s="377">
        <f t="shared" si="449"/>
        <v>4.9265387466408379</v>
      </c>
      <c r="AP156" s="377">
        <f t="shared" si="449"/>
        <v>5.0086477257515183</v>
      </c>
      <c r="AQ156" s="377">
        <f t="shared" si="449"/>
        <v>5.092125187847377</v>
      </c>
      <c r="AR156" s="377">
        <f t="shared" si="449"/>
        <v>5.176993940978166</v>
      </c>
      <c r="AS156" s="377">
        <f t="shared" si="449"/>
        <v>5.2632771733278014</v>
      </c>
      <c r="AT156" s="377">
        <f t="shared" si="449"/>
        <v>5.3509984595499311</v>
      </c>
      <c r="AU156" s="377">
        <f t="shared" si="449"/>
        <v>5.4401817672090962</v>
      </c>
      <c r="AV156" s="377">
        <f t="shared" si="449"/>
        <v>5.5308514633292472</v>
      </c>
      <c r="AW156" s="377">
        <f t="shared" si="449"/>
        <v>5.6230323210514008</v>
      </c>
      <c r="AX156" s="377">
        <f t="shared" si="449"/>
        <v>5.716749526402257</v>
      </c>
      <c r="AY156" s="398">
        <f t="shared" si="449"/>
        <v>5.812028685175628</v>
      </c>
      <c r="AZ156" s="377">
        <f t="shared" ref="AZ156:BK156" si="450">AY156*(1+($BA155/12))</f>
        <v>5.9573294023050183</v>
      </c>
      <c r="BA156" s="377">
        <f t="shared" si="450"/>
        <v>6.1062626373626436</v>
      </c>
      <c r="BB156" s="377">
        <f t="shared" si="450"/>
        <v>6.2589192032967089</v>
      </c>
      <c r="BC156" s="377">
        <f t="shared" si="450"/>
        <v>6.4153921833791259</v>
      </c>
      <c r="BD156" s="377">
        <f t="shared" si="450"/>
        <v>6.5757769879636037</v>
      </c>
      <c r="BE156" s="377">
        <f t="shared" si="450"/>
        <v>6.7401714126626935</v>
      </c>
      <c r="BF156" s="377">
        <f t="shared" si="450"/>
        <v>6.9086756979792598</v>
      </c>
      <c r="BG156" s="377">
        <f t="shared" si="450"/>
        <v>7.0813925904287407</v>
      </c>
      <c r="BH156" s="377">
        <f t="shared" si="450"/>
        <v>7.2584274051894582</v>
      </c>
      <c r="BI156" s="377">
        <f t="shared" si="450"/>
        <v>7.4398880903191937</v>
      </c>
      <c r="BJ156" s="377">
        <f t="shared" si="450"/>
        <v>7.6258852925771725</v>
      </c>
      <c r="BK156" s="398">
        <f t="shared" si="450"/>
        <v>7.8165324248916015</v>
      </c>
    </row>
    <row r="157" spans="1:63" s="54" customFormat="1" hidden="1" outlineLevel="1">
      <c r="A157" s="857"/>
      <c r="B157" s="371" t="s">
        <v>347</v>
      </c>
      <c r="C157" s="364">
        <f>C158/C156</f>
        <v>0.52941176470588236</v>
      </c>
      <c r="D157" s="352">
        <f>C157</f>
        <v>0.52941176470588236</v>
      </c>
      <c r="E157" s="169">
        <f t="shared" ref="E157:O157" si="451">D157*((0.5*($K155/12))+1)</f>
        <v>0.53051470588235305</v>
      </c>
      <c r="F157" s="169">
        <f t="shared" si="451"/>
        <v>0.5316199448529414</v>
      </c>
      <c r="G157" s="169">
        <f t="shared" si="451"/>
        <v>0.53272748640471845</v>
      </c>
      <c r="H157" s="169">
        <f t="shared" si="451"/>
        <v>0.53383733533472832</v>
      </c>
      <c r="I157" s="169">
        <f t="shared" si="451"/>
        <v>0.53494949645000911</v>
      </c>
      <c r="J157" s="169">
        <f t="shared" si="451"/>
        <v>0.53606397456761334</v>
      </c>
      <c r="K157" s="169">
        <f t="shared" si="451"/>
        <v>0.53718077451462931</v>
      </c>
      <c r="L157" s="169">
        <f t="shared" si="451"/>
        <v>0.53829990112820147</v>
      </c>
      <c r="M157" s="169">
        <f t="shared" si="451"/>
        <v>0.5394213592555519</v>
      </c>
      <c r="N157" s="169">
        <f t="shared" si="451"/>
        <v>0.54054515375400103</v>
      </c>
      <c r="O157" s="405">
        <f t="shared" si="451"/>
        <v>0.54167128949098864</v>
      </c>
      <c r="P157" s="169">
        <f t="shared" ref="P157:AA157" si="452">O157*((0.5*($W155/12))+1)</f>
        <v>0.54257407497347365</v>
      </c>
      <c r="Q157" s="169">
        <f t="shared" si="452"/>
        <v>0.54347836509842951</v>
      </c>
      <c r="R157" s="169">
        <f t="shared" si="452"/>
        <v>0.54438416237359355</v>
      </c>
      <c r="S157" s="169">
        <f t="shared" si="452"/>
        <v>0.5452914693108829</v>
      </c>
      <c r="T157" s="169">
        <f t="shared" si="452"/>
        <v>0.54620028842640111</v>
      </c>
      <c r="U157" s="169">
        <f t="shared" si="452"/>
        <v>0.54711062224044515</v>
      </c>
      <c r="V157" s="169">
        <f t="shared" si="452"/>
        <v>0.54802247327751263</v>
      </c>
      <c r="W157" s="169">
        <f t="shared" si="452"/>
        <v>0.54893584406630846</v>
      </c>
      <c r="X157" s="169">
        <f t="shared" si="452"/>
        <v>0.5498507371397523</v>
      </c>
      <c r="Y157" s="169">
        <f t="shared" si="452"/>
        <v>0.55076715503498519</v>
      </c>
      <c r="Z157" s="169">
        <f t="shared" si="452"/>
        <v>0.55168510029337681</v>
      </c>
      <c r="AA157" s="405">
        <f t="shared" si="452"/>
        <v>0.55260457546053243</v>
      </c>
      <c r="AB157" s="169">
        <f t="shared" ref="AB157:AM157" si="453">AA157*((0.5*($AI155/12))+1)</f>
        <v>0.55329533117985807</v>
      </c>
      <c r="AC157" s="169">
        <f t="shared" si="453"/>
        <v>0.55398695034383283</v>
      </c>
      <c r="AD157" s="169">
        <f t="shared" si="453"/>
        <v>0.55467943403176256</v>
      </c>
      <c r="AE157" s="169">
        <f t="shared" si="453"/>
        <v>0.55537278332430229</v>
      </c>
      <c r="AF157" s="169">
        <f t="shared" si="453"/>
        <v>0.5560669993034576</v>
      </c>
      <c r="AG157" s="169">
        <f t="shared" si="453"/>
        <v>0.5567620830525869</v>
      </c>
      <c r="AH157" s="169">
        <f t="shared" si="453"/>
        <v>0.55745803565640262</v>
      </c>
      <c r="AI157" s="169">
        <f t="shared" si="453"/>
        <v>0.5581548582009731</v>
      </c>
      <c r="AJ157" s="169">
        <f t="shared" si="453"/>
        <v>0.55885255177372428</v>
      </c>
      <c r="AK157" s="169">
        <f t="shared" si="453"/>
        <v>0.55955111746344144</v>
      </c>
      <c r="AL157" s="169">
        <f t="shared" si="453"/>
        <v>0.56025055636027077</v>
      </c>
      <c r="AM157" s="405">
        <f t="shared" si="453"/>
        <v>0.56095086955572104</v>
      </c>
      <c r="AN157" s="169">
        <f t="shared" ref="AN157:AY157" si="454">AM157*((0.5*($AU155/12))+1)</f>
        <v>0.56160531223686949</v>
      </c>
      <c r="AO157" s="169">
        <f t="shared" si="454"/>
        <v>0.56226051843447922</v>
      </c>
      <c r="AP157" s="169">
        <f t="shared" si="454"/>
        <v>0.56291648903931946</v>
      </c>
      <c r="AQ157" s="169">
        <f t="shared" si="454"/>
        <v>0.56357322494319873</v>
      </c>
      <c r="AR157" s="169">
        <f t="shared" si="454"/>
        <v>0.56423072703896582</v>
      </c>
      <c r="AS157" s="169">
        <f t="shared" si="454"/>
        <v>0.56488899622051136</v>
      </c>
      <c r="AT157" s="169">
        <f t="shared" si="454"/>
        <v>0.56554803338276871</v>
      </c>
      <c r="AU157" s="169">
        <f t="shared" si="454"/>
        <v>0.56620783942171538</v>
      </c>
      <c r="AV157" s="169">
        <f t="shared" si="454"/>
        <v>0.56686841523437415</v>
      </c>
      <c r="AW157" s="169">
        <f t="shared" si="454"/>
        <v>0.56752976171881431</v>
      </c>
      <c r="AX157" s="169">
        <f t="shared" si="454"/>
        <v>0.56819187977415297</v>
      </c>
      <c r="AY157" s="405">
        <f t="shared" si="454"/>
        <v>0.5688547703005562</v>
      </c>
      <c r="AZ157" s="169">
        <f t="shared" ref="AZ157:BK157" si="455">AY157*((0.5*($BG155/12))+1)</f>
        <v>0.56932881594247331</v>
      </c>
      <c r="BA157" s="169">
        <f t="shared" si="455"/>
        <v>0.56980325662242537</v>
      </c>
      <c r="BB157" s="169">
        <f t="shared" si="455"/>
        <v>0.57027809266961071</v>
      </c>
      <c r="BC157" s="169">
        <f t="shared" si="455"/>
        <v>0.57075332441350202</v>
      </c>
      <c r="BD157" s="169">
        <f t="shared" si="455"/>
        <v>0.57122895218384651</v>
      </c>
      <c r="BE157" s="169">
        <f t="shared" si="455"/>
        <v>0.5717049763106663</v>
      </c>
      <c r="BF157" s="169">
        <f t="shared" si="455"/>
        <v>0.57218139712425842</v>
      </c>
      <c r="BG157" s="169">
        <f t="shared" si="455"/>
        <v>0.5726582149551952</v>
      </c>
      <c r="BH157" s="169">
        <f t="shared" si="455"/>
        <v>0.57313543013432444</v>
      </c>
      <c r="BI157" s="169">
        <f t="shared" si="455"/>
        <v>0.57361304299276961</v>
      </c>
      <c r="BJ157" s="169">
        <f t="shared" si="455"/>
        <v>0.57409105386193016</v>
      </c>
      <c r="BK157" s="405">
        <f t="shared" si="455"/>
        <v>0.57456946307348167</v>
      </c>
    </row>
    <row r="158" spans="1:63" s="338" customFormat="1" hidden="1" outlineLevel="1">
      <c r="A158" s="858"/>
      <c r="B158" s="388" t="s">
        <v>258</v>
      </c>
      <c r="C158" s="389">
        <v>18</v>
      </c>
      <c r="D158" s="380">
        <f t="shared" ref="D158:AI158" si="456">D156*D157</f>
        <v>1.5</v>
      </c>
      <c r="E158" s="381">
        <f t="shared" si="456"/>
        <v>1.5532291666666671</v>
      </c>
      <c r="F158" s="381">
        <f t="shared" si="456"/>
        <v>1.6083472294560195</v>
      </c>
      <c r="G158" s="381">
        <f t="shared" si="456"/>
        <v>1.6654212179457439</v>
      </c>
      <c r="H158" s="381">
        <f t="shared" si="456"/>
        <v>1.724520540332569</v>
      </c>
      <c r="I158" s="381">
        <f t="shared" si="456"/>
        <v>1.7857170678402043</v>
      </c>
      <c r="J158" s="381">
        <f t="shared" si="456"/>
        <v>1.84908522212259</v>
      </c>
      <c r="K158" s="381">
        <f t="shared" si="456"/>
        <v>1.9147020657687461</v>
      </c>
      <c r="L158" s="381">
        <f t="shared" si="456"/>
        <v>1.9826473960192901</v>
      </c>
      <c r="M158" s="381">
        <f t="shared" si="456"/>
        <v>2.0530038418085859</v>
      </c>
      <c r="N158" s="381">
        <f t="shared" si="456"/>
        <v>2.125856964250544</v>
      </c>
      <c r="O158" s="399">
        <f t="shared" si="456"/>
        <v>2.2012953606902683</v>
      </c>
      <c r="P158" s="381">
        <f t="shared" si="456"/>
        <v>2.2233388878438474</v>
      </c>
      <c r="Q158" s="381">
        <f t="shared" si="456"/>
        <v>2.2456031564290617</v>
      </c>
      <c r="R158" s="381">
        <f t="shared" si="456"/>
        <v>2.2680903769260805</v>
      </c>
      <c r="S158" s="381">
        <f t="shared" si="456"/>
        <v>2.2908027819505765</v>
      </c>
      <c r="T158" s="381">
        <f t="shared" si="456"/>
        <v>2.3137426264753875</v>
      </c>
      <c r="U158" s="381">
        <f t="shared" si="456"/>
        <v>2.3369121880543982</v>
      </c>
      <c r="V158" s="381">
        <f t="shared" si="456"/>
        <v>2.3603137670486651</v>
      </c>
      <c r="W158" s="381">
        <f t="shared" si="456"/>
        <v>2.3839496868548049</v>
      </c>
      <c r="X158" s="381">
        <f t="shared" si="456"/>
        <v>2.4078222941356699</v>
      </c>
      <c r="Y158" s="381">
        <f t="shared" si="456"/>
        <v>2.4319339590533344</v>
      </c>
      <c r="Z158" s="381">
        <f t="shared" si="456"/>
        <v>2.4562870755044099</v>
      </c>
      <c r="AA158" s="399">
        <f t="shared" si="456"/>
        <v>2.4808840613577248</v>
      </c>
      <c r="AB158" s="381">
        <f t="shared" si="456"/>
        <v>2.4964050922665937</v>
      </c>
      <c r="AC158" s="381">
        <f t="shared" si="456"/>
        <v>2.5120232266250859</v>
      </c>
      <c r="AD158" s="381">
        <f t="shared" si="456"/>
        <v>2.5277390719366584</v>
      </c>
      <c r="AE158" s="381">
        <f t="shared" si="456"/>
        <v>2.5435532395054619</v>
      </c>
      <c r="AF158" s="381">
        <f t="shared" si="456"/>
        <v>2.5594663444601173</v>
      </c>
      <c r="AG158" s="381">
        <f t="shared" si="456"/>
        <v>2.5754790057776455</v>
      </c>
      <c r="AH158" s="381">
        <f t="shared" si="456"/>
        <v>2.5915918463075416</v>
      </c>
      <c r="AI158" s="381">
        <f t="shared" si="456"/>
        <v>2.607805492796003</v>
      </c>
      <c r="AJ158" s="381">
        <f t="shared" ref="AJ158:BK158" si="457">AJ156*AJ157</f>
        <v>2.6241205759103075</v>
      </c>
      <c r="AK158" s="381">
        <f t="shared" si="457"/>
        <v>2.6405377302633459</v>
      </c>
      <c r="AL158" s="381">
        <f t="shared" si="457"/>
        <v>2.6570575944383057</v>
      </c>
      <c r="AM158" s="399">
        <f t="shared" si="457"/>
        <v>2.6736808110135097</v>
      </c>
      <c r="AN158" s="381">
        <f t="shared" si="457"/>
        <v>2.7214134403812431</v>
      </c>
      <c r="AO158" s="381">
        <f t="shared" si="457"/>
        <v>2.7699982297738268</v>
      </c>
      <c r="AP158" s="381">
        <f t="shared" si="457"/>
        <v>2.8194503926148169</v>
      </c>
      <c r="AQ158" s="381">
        <f t="shared" si="457"/>
        <v>2.8697854139296379</v>
      </c>
      <c r="AR158" s="381">
        <f t="shared" si="457"/>
        <v>2.9210190551944315</v>
      </c>
      <c r="AS158" s="381">
        <f t="shared" si="457"/>
        <v>2.9731673592714722</v>
      </c>
      <c r="AT158" s="381">
        <f t="shared" si="457"/>
        <v>3.0262466554326886</v>
      </c>
      <c r="AU158" s="381">
        <f t="shared" si="457"/>
        <v>3.0802735644728716</v>
      </c>
      <c r="AV158" s="381">
        <f t="shared" si="457"/>
        <v>3.1352650039141694</v>
      </c>
      <c r="AW158" s="381">
        <f t="shared" si="457"/>
        <v>3.191238193303493</v>
      </c>
      <c r="AX158" s="381">
        <f t="shared" si="457"/>
        <v>3.2482106596044971</v>
      </c>
      <c r="AY158" s="399">
        <f t="shared" si="457"/>
        <v>3.3062002426858257</v>
      </c>
      <c r="AZ158" s="381">
        <f t="shared" si="457"/>
        <v>3.3916792947935983</v>
      </c>
      <c r="BA158" s="381">
        <f t="shared" si="457"/>
        <v>3.4793683365610746</v>
      </c>
      <c r="BB158" s="381">
        <f t="shared" si="457"/>
        <v>3.5693245054292468</v>
      </c>
      <c r="BC158" s="381">
        <f t="shared" si="457"/>
        <v>3.6616064160800312</v>
      </c>
      <c r="BD158" s="381">
        <f t="shared" si="457"/>
        <v>3.7562741986290997</v>
      </c>
      <c r="BE158" s="381">
        <f t="shared" si="457"/>
        <v>3.8533895378061556</v>
      </c>
      <c r="BF158" s="381">
        <f t="shared" si="457"/>
        <v>3.9530157131481842</v>
      </c>
      <c r="BG158" s="381">
        <f t="shared" si="457"/>
        <v>4.0552176402318683</v>
      </c>
      <c r="BH158" s="381">
        <f t="shared" si="457"/>
        <v>4.1600619129720284</v>
      </c>
      <c r="BI158" s="381">
        <f t="shared" si="457"/>
        <v>4.2676168470136586</v>
      </c>
      <c r="BJ158" s="381">
        <f t="shared" si="457"/>
        <v>4.3779525242458224</v>
      </c>
      <c r="BK158" s="399">
        <f t="shared" si="457"/>
        <v>4.4911408384664275</v>
      </c>
    </row>
    <row r="159" spans="1:63" s="54" customFormat="1" hidden="1" outlineLevel="1">
      <c r="A159" s="857"/>
      <c r="B159" s="371" t="s">
        <v>348</v>
      </c>
      <c r="C159" s="365">
        <f>C160/C158</f>
        <v>0.33333333333333331</v>
      </c>
      <c r="D159" s="352">
        <f>C159</f>
        <v>0.33333333333333331</v>
      </c>
      <c r="E159" s="169">
        <f t="shared" ref="E159:O159" si="458">D159*((0.5*($K155/12))+1)</f>
        <v>0.33402777777777781</v>
      </c>
      <c r="F159" s="169">
        <f t="shared" si="458"/>
        <v>0.33472366898148154</v>
      </c>
      <c r="G159" s="169">
        <f t="shared" si="458"/>
        <v>0.33542100995852631</v>
      </c>
      <c r="H159" s="169">
        <f t="shared" si="458"/>
        <v>0.33611980372927325</v>
      </c>
      <c r="I159" s="169">
        <f t="shared" si="458"/>
        <v>0.33682005332037596</v>
      </c>
      <c r="J159" s="169">
        <f t="shared" si="458"/>
        <v>0.33752176176479343</v>
      </c>
      <c r="K159" s="169">
        <f t="shared" si="458"/>
        <v>0.33822493210180343</v>
      </c>
      <c r="L159" s="169">
        <f t="shared" si="458"/>
        <v>0.33892956737701557</v>
      </c>
      <c r="M159" s="169">
        <f t="shared" si="458"/>
        <v>0.33963567064238437</v>
      </c>
      <c r="N159" s="169">
        <f t="shared" si="458"/>
        <v>0.3403432449562227</v>
      </c>
      <c r="O159" s="405">
        <f t="shared" si="458"/>
        <v>0.34105229338321486</v>
      </c>
      <c r="P159" s="169">
        <f t="shared" ref="P159:AA159" si="459">O159*((0.5*($W155/12))+1)</f>
        <v>0.3416207138721869</v>
      </c>
      <c r="Q159" s="169">
        <f t="shared" si="459"/>
        <v>0.34219008172864057</v>
      </c>
      <c r="R159" s="169">
        <f t="shared" si="459"/>
        <v>0.34276039853152163</v>
      </c>
      <c r="S159" s="169">
        <f t="shared" si="459"/>
        <v>0.34333166586240749</v>
      </c>
      <c r="T159" s="169">
        <f t="shared" si="459"/>
        <v>0.34390388530551153</v>
      </c>
      <c r="U159" s="169">
        <f t="shared" si="459"/>
        <v>0.34447705844768739</v>
      </c>
      <c r="V159" s="169">
        <f t="shared" si="459"/>
        <v>0.34505118687843356</v>
      </c>
      <c r="W159" s="169">
        <f t="shared" si="459"/>
        <v>0.34562627218989761</v>
      </c>
      <c r="X159" s="169">
        <f t="shared" si="459"/>
        <v>0.34620231597688078</v>
      </c>
      <c r="Y159" s="169">
        <f t="shared" si="459"/>
        <v>0.34677931983684224</v>
      </c>
      <c r="Z159" s="169">
        <f t="shared" si="459"/>
        <v>0.34735728536990368</v>
      </c>
      <c r="AA159" s="405">
        <f t="shared" si="459"/>
        <v>0.34793621417885351</v>
      </c>
      <c r="AB159" s="169">
        <f t="shared" ref="AB159:AM159" si="460">AA159*((0.5*($AI155/12))+1)</f>
        <v>0.34837113444657708</v>
      </c>
      <c r="AC159" s="169">
        <f t="shared" si="460"/>
        <v>0.34880659836463529</v>
      </c>
      <c r="AD159" s="169">
        <f t="shared" si="460"/>
        <v>0.3492426066125911</v>
      </c>
      <c r="AE159" s="169">
        <f t="shared" si="460"/>
        <v>0.34967915987085685</v>
      </c>
      <c r="AF159" s="169">
        <f t="shared" si="460"/>
        <v>0.35011625882069541</v>
      </c>
      <c r="AG159" s="169">
        <f t="shared" si="460"/>
        <v>0.35055390414422127</v>
      </c>
      <c r="AH159" s="169">
        <f t="shared" si="460"/>
        <v>0.35099209652440155</v>
      </c>
      <c r="AI159" s="169">
        <f t="shared" si="460"/>
        <v>0.35143083664505703</v>
      </c>
      <c r="AJ159" s="169">
        <f t="shared" si="460"/>
        <v>0.35187012519086336</v>
      </c>
      <c r="AK159" s="169">
        <f t="shared" si="460"/>
        <v>0.35230996284735194</v>
      </c>
      <c r="AL159" s="169">
        <f t="shared" si="460"/>
        <v>0.35275035030091112</v>
      </c>
      <c r="AM159" s="405">
        <f t="shared" si="460"/>
        <v>0.35319128823878726</v>
      </c>
      <c r="AN159" s="169">
        <f t="shared" ref="AN159:AY159" si="461">AM159*((0.5*($AU155/12))+1)</f>
        <v>0.35360334474173255</v>
      </c>
      <c r="AO159" s="169">
        <f t="shared" si="461"/>
        <v>0.35401588197726458</v>
      </c>
      <c r="AP159" s="169">
        <f t="shared" si="461"/>
        <v>0.3544289005062381</v>
      </c>
      <c r="AQ159" s="169">
        <f t="shared" si="461"/>
        <v>0.35484240089016206</v>
      </c>
      <c r="AR159" s="169">
        <f t="shared" si="461"/>
        <v>0.35525638369120061</v>
      </c>
      <c r="AS159" s="169">
        <f t="shared" si="461"/>
        <v>0.3556708494721737</v>
      </c>
      <c r="AT159" s="169">
        <f t="shared" si="461"/>
        <v>0.35608579879655794</v>
      </c>
      <c r="AU159" s="169">
        <f t="shared" si="461"/>
        <v>0.35650123222848729</v>
      </c>
      <c r="AV159" s="169">
        <f t="shared" si="461"/>
        <v>0.3569171503327539</v>
      </c>
      <c r="AW159" s="169">
        <f t="shared" si="461"/>
        <v>0.35733355367480879</v>
      </c>
      <c r="AX159" s="169">
        <f t="shared" si="461"/>
        <v>0.35775044282076279</v>
      </c>
      <c r="AY159" s="405">
        <f t="shared" si="461"/>
        <v>0.35816781833738703</v>
      </c>
      <c r="AZ159" s="169">
        <f t="shared" ref="AZ159:BK159" si="462">AY159*((0.5*($BG155/12))+1)</f>
        <v>0.35846629151933485</v>
      </c>
      <c r="BA159" s="169">
        <f t="shared" si="462"/>
        <v>0.35876501342893424</v>
      </c>
      <c r="BB159" s="169">
        <f t="shared" si="462"/>
        <v>0.35906398427345831</v>
      </c>
      <c r="BC159" s="169">
        <f t="shared" si="462"/>
        <v>0.35936320426035284</v>
      </c>
      <c r="BD159" s="169">
        <f t="shared" si="462"/>
        <v>0.35966267359723642</v>
      </c>
      <c r="BE159" s="169">
        <f t="shared" si="462"/>
        <v>0.35996239249190076</v>
      </c>
      <c r="BF159" s="169">
        <f t="shared" si="462"/>
        <v>0.36026236115231064</v>
      </c>
      <c r="BG159" s="169">
        <f t="shared" si="462"/>
        <v>0.36056257978660422</v>
      </c>
      <c r="BH159" s="169">
        <f t="shared" si="462"/>
        <v>0.36086304860309304</v>
      </c>
      <c r="BI159" s="169">
        <f t="shared" si="462"/>
        <v>0.36116376781026227</v>
      </c>
      <c r="BJ159" s="169">
        <f t="shared" si="462"/>
        <v>0.36146473761677078</v>
      </c>
      <c r="BK159" s="405">
        <f t="shared" si="462"/>
        <v>0.36176595823145141</v>
      </c>
    </row>
    <row r="160" spans="1:63" s="385" customFormat="1" hidden="1" outlineLevel="1">
      <c r="A160" s="859"/>
      <c r="B160" s="390" t="s">
        <v>285</v>
      </c>
      <c r="C160" s="391">
        <v>6</v>
      </c>
      <c r="D160" s="383">
        <f t="shared" ref="D160:AI160" si="463">D158*D159</f>
        <v>0.5</v>
      </c>
      <c r="E160" s="384">
        <f t="shared" si="463"/>
        <v>0.51882168692129649</v>
      </c>
      <c r="F160" s="384">
        <f t="shared" si="463"/>
        <v>0.53835188563971959</v>
      </c>
      <c r="G160" s="384">
        <f t="shared" si="463"/>
        <v>0.55861726692972036</v>
      </c>
      <c r="H160" s="384">
        <f t="shared" si="463"/>
        <v>0.57964550554368333</v>
      </c>
      <c r="I160" s="384">
        <f t="shared" si="463"/>
        <v>0.60146531800504299</v>
      </c>
      <c r="J160" s="384">
        <f t="shared" si="463"/>
        <v>0.62410650182406091</v>
      </c>
      <c r="K160" s="384">
        <f t="shared" si="463"/>
        <v>0.64759997618981691</v>
      </c>
      <c r="L160" s="384">
        <f t="shared" si="463"/>
        <v>0.67197782419398444</v>
      </c>
      <c r="M160" s="384">
        <f t="shared" si="463"/>
        <v>0.69727333664405067</v>
      </c>
      <c r="N160" s="384">
        <f t="shared" si="463"/>
        <v>0.72352105752581486</v>
      </c>
      <c r="O160" s="400">
        <f t="shared" si="463"/>
        <v>0.75075683117724712</v>
      </c>
      <c r="P160" s="384">
        <f t="shared" si="463"/>
        <v>0.75953861804500922</v>
      </c>
      <c r="Q160" s="384">
        <f t="shared" si="463"/>
        <v>0.76842312762855391</v>
      </c>
      <c r="R160" s="384">
        <f t="shared" si="463"/>
        <v>0.77741156150069246</v>
      </c>
      <c r="S160" s="384">
        <f t="shared" si="463"/>
        <v>0.78650513528932886</v>
      </c>
      <c r="T160" s="384">
        <f t="shared" si="463"/>
        <v>0.7957050788418647</v>
      </c>
      <c r="U160" s="384">
        <f t="shared" si="463"/>
        <v>0.80501263639152798</v>
      </c>
      <c r="V160" s="384">
        <f t="shared" si="463"/>
        <v>0.81442906672564841</v>
      </c>
      <c r="W160" s="384">
        <f t="shared" si="463"/>
        <v>0.82395564335589999</v>
      </c>
      <c r="X160" s="384">
        <f t="shared" si="463"/>
        <v>0.83359365469053515</v>
      </c>
      <c r="Y160" s="384">
        <f t="shared" si="463"/>
        <v>0.84334440420863421</v>
      </c>
      <c r="Z160" s="384">
        <f t="shared" si="463"/>
        <v>0.85320921063639144</v>
      </c>
      <c r="AA160" s="400">
        <f t="shared" si="463"/>
        <v>0.8631894081254653</v>
      </c>
      <c r="AB160" s="384">
        <f t="shared" si="463"/>
        <v>0.86967547403112522</v>
      </c>
      <c r="AC160" s="384">
        <f t="shared" si="463"/>
        <v>0.87621027669205154</v>
      </c>
      <c r="AD160" s="384">
        <f t="shared" si="463"/>
        <v>0.88279418231965046</v>
      </c>
      <c r="AE160" s="384">
        <f t="shared" si="463"/>
        <v>0.88942755987706623</v>
      </c>
      <c r="AF160" s="384">
        <f t="shared" si="463"/>
        <v>0.89611078109985765</v>
      </c>
      <c r="AG160" s="384">
        <f t="shared" si="463"/>
        <v>0.90284422051683111</v>
      </c>
      <c r="AH160" s="384">
        <f t="shared" si="463"/>
        <v>0.90962825547102866</v>
      </c>
      <c r="AI160" s="384">
        <f t="shared" si="463"/>
        <v>0.91646326614087459</v>
      </c>
      <c r="AJ160" s="384">
        <f t="shared" ref="AJ160:BK160" si="464">AJ158*AJ159</f>
        <v>0.92334963556148031</v>
      </c>
      <c r="AK160" s="384">
        <f t="shared" si="464"/>
        <v>0.93028774964611038</v>
      </c>
      <c r="AL160" s="384">
        <f t="shared" si="464"/>
        <v>0.93727799720780858</v>
      </c>
      <c r="AM160" s="400">
        <f t="shared" si="464"/>
        <v>0.94432076998118697</v>
      </c>
      <c r="AN160" s="384">
        <f t="shared" si="464"/>
        <v>0.96230089494391313</v>
      </c>
      <c r="AO160" s="384">
        <f t="shared" si="464"/>
        <v>0.98062336638884284</v>
      </c>
      <c r="AP160" s="384">
        <f t="shared" si="464"/>
        <v>0.9992947026863509</v>
      </c>
      <c r="AQ160" s="384">
        <f t="shared" si="464"/>
        <v>1.0183215463183601</v>
      </c>
      <c r="AR160" s="384">
        <f t="shared" si="464"/>
        <v>1.0377106662414612</v>
      </c>
      <c r="AS160" s="384">
        <f t="shared" si="464"/>
        <v>1.057468960295024</v>
      </c>
      <c r="AT160" s="384">
        <f t="shared" si="464"/>
        <v>1.0776034576551607</v>
      </c>
      <c r="AU160" s="384">
        <f t="shared" si="464"/>
        <v>1.0981213213354135</v>
      </c>
      <c r="AV160" s="384">
        <f t="shared" si="464"/>
        <v>1.1190298507350558</v>
      </c>
      <c r="AW160" s="384">
        <f t="shared" si="464"/>
        <v>1.1403364842359136</v>
      </c>
      <c r="AX160" s="384">
        <f t="shared" si="464"/>
        <v>1.1620488018486308</v>
      </c>
      <c r="AY160" s="400">
        <f t="shared" si="464"/>
        <v>1.1841745279093217</v>
      </c>
      <c r="AZ160" s="384">
        <f t="shared" si="464"/>
        <v>1.2158026988275741</v>
      </c>
      <c r="BA160" s="384">
        <f t="shared" si="464"/>
        <v>1.2482756279905425</v>
      </c>
      <c r="BB160" s="384">
        <f t="shared" si="464"/>
        <v>1.2816158780843165</v>
      </c>
      <c r="BC160" s="384">
        <f t="shared" si="464"/>
        <v>1.3158466144227867</v>
      </c>
      <c r="BD160" s="384">
        <f t="shared" si="464"/>
        <v>1.3509916210432587</v>
      </c>
      <c r="BE160" s="384">
        <f t="shared" si="464"/>
        <v>1.3870753172319634</v>
      </c>
      <c r="BF160" s="384">
        <f t="shared" si="464"/>
        <v>1.4241227744909499</v>
      </c>
      <c r="BG160" s="384">
        <f t="shared" si="464"/>
        <v>1.4621597339581478</v>
      </c>
      <c r="BH160" s="384">
        <f t="shared" si="464"/>
        <v>1.5012126242927013</v>
      </c>
      <c r="BI160" s="384">
        <f t="shared" si="464"/>
        <v>1.5413085800380046</v>
      </c>
      <c r="BJ160" s="384">
        <f t="shared" si="464"/>
        <v>1.5824754604751956</v>
      </c>
      <c r="BK160" s="400">
        <f t="shared" si="464"/>
        <v>1.6247418689802113</v>
      </c>
    </row>
    <row r="161" spans="1:63" s="339" customFormat="1" ht="6.75" hidden="1" customHeight="1" outlineLevel="1">
      <c r="A161" s="854"/>
      <c r="B161" s="373"/>
      <c r="C161" s="357"/>
      <c r="D161" s="349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40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401"/>
      <c r="AB161" s="341"/>
      <c r="AC161" s="341"/>
      <c r="AD161" s="341"/>
      <c r="AE161" s="341"/>
      <c r="AF161" s="341"/>
      <c r="AG161" s="341"/>
      <c r="AH161" s="341"/>
      <c r="AI161" s="341"/>
      <c r="AJ161" s="341"/>
      <c r="AK161" s="341"/>
      <c r="AL161" s="341"/>
      <c r="AM161" s="401"/>
      <c r="AN161" s="341"/>
      <c r="AO161" s="341"/>
      <c r="AP161" s="341"/>
      <c r="AQ161" s="341"/>
      <c r="AR161" s="341"/>
      <c r="AS161" s="341"/>
      <c r="AT161" s="341"/>
      <c r="AU161" s="341"/>
      <c r="AV161" s="341"/>
      <c r="AW161" s="341"/>
      <c r="AX161" s="341"/>
      <c r="AY161" s="401"/>
      <c r="AZ161" s="341"/>
      <c r="BA161" s="341"/>
      <c r="BB161" s="341"/>
      <c r="BC161" s="341"/>
      <c r="BD161" s="341"/>
      <c r="BE161" s="341"/>
      <c r="BF161" s="341"/>
      <c r="BG161" s="341"/>
      <c r="BH161" s="341"/>
      <c r="BI161" s="341"/>
      <c r="BJ161" s="341"/>
      <c r="BK161" s="401"/>
    </row>
    <row r="162" spans="1:63" s="248" customFormat="1" hidden="1" outlineLevel="1">
      <c r="A162" s="860"/>
      <c r="B162" s="374" t="s">
        <v>321</v>
      </c>
      <c r="C162" s="358">
        <v>8944</v>
      </c>
      <c r="D162" s="353">
        <f>C162</f>
        <v>8944</v>
      </c>
      <c r="E162" s="249">
        <f t="shared" ref="E162:O162" si="465">D162*((1+$G155/12))</f>
        <v>8966.3599999999988</v>
      </c>
      <c r="F162" s="249">
        <f t="shared" si="465"/>
        <v>8988.7758999999987</v>
      </c>
      <c r="G162" s="249">
        <f t="shared" si="465"/>
        <v>9011.2478397499981</v>
      </c>
      <c r="H162" s="249">
        <f t="shared" si="465"/>
        <v>9033.775959349372</v>
      </c>
      <c r="I162" s="249">
        <f t="shared" si="465"/>
        <v>9056.3603992477456</v>
      </c>
      <c r="J162" s="249">
        <f t="shared" si="465"/>
        <v>9079.0013002458636</v>
      </c>
      <c r="K162" s="249">
        <f t="shared" si="465"/>
        <v>9101.6988034964779</v>
      </c>
      <c r="L162" s="249">
        <f t="shared" si="465"/>
        <v>9124.4530505052189</v>
      </c>
      <c r="M162" s="249">
        <f t="shared" si="465"/>
        <v>9147.2641831314813</v>
      </c>
      <c r="N162" s="249">
        <f t="shared" si="465"/>
        <v>9170.13234358931</v>
      </c>
      <c r="O162" s="402">
        <f t="shared" si="465"/>
        <v>9193.0576744482823</v>
      </c>
      <c r="P162" s="249">
        <f t="shared" ref="P162:AA162" si="466">O162*((1+$S155/12))</f>
        <v>9212.209877936717</v>
      </c>
      <c r="Q162" s="249">
        <f t="shared" si="466"/>
        <v>9231.401981849087</v>
      </c>
      <c r="R162" s="249">
        <f t="shared" si="466"/>
        <v>9250.6340693112743</v>
      </c>
      <c r="S162" s="249">
        <f t="shared" si="466"/>
        <v>9269.9062236223399</v>
      </c>
      <c r="T162" s="249">
        <f t="shared" si="466"/>
        <v>9289.2185282548871</v>
      </c>
      <c r="U162" s="249">
        <f t="shared" si="466"/>
        <v>9308.5710668554184</v>
      </c>
      <c r="V162" s="249">
        <f t="shared" si="466"/>
        <v>9327.9639232447007</v>
      </c>
      <c r="W162" s="249">
        <f t="shared" si="466"/>
        <v>9347.3971814181277</v>
      </c>
      <c r="X162" s="249">
        <f t="shared" si="466"/>
        <v>9366.8709255460835</v>
      </c>
      <c r="Y162" s="249">
        <f t="shared" si="466"/>
        <v>9386.3852399743064</v>
      </c>
      <c r="Z162" s="249">
        <f t="shared" si="466"/>
        <v>9405.9402092242544</v>
      </c>
      <c r="AA162" s="402">
        <f t="shared" si="466"/>
        <v>9425.535917993473</v>
      </c>
      <c r="AB162" s="249">
        <f t="shared" ref="AB162:AM162" si="467">AA162*((1+$AE155/12))</f>
        <v>9445.1724511559605</v>
      </c>
      <c r="AC162" s="249">
        <f t="shared" si="467"/>
        <v>9464.8498937625372</v>
      </c>
      <c r="AD162" s="249">
        <f t="shared" si="467"/>
        <v>9484.5683310412096</v>
      </c>
      <c r="AE162" s="249">
        <f t="shared" si="467"/>
        <v>9504.3278483975464</v>
      </c>
      <c r="AF162" s="249">
        <f t="shared" si="467"/>
        <v>9524.1285314150427</v>
      </c>
      <c r="AG162" s="249">
        <f t="shared" si="467"/>
        <v>9543.9704658554911</v>
      </c>
      <c r="AH162" s="249">
        <f t="shared" si="467"/>
        <v>9563.8537376593576</v>
      </c>
      <c r="AI162" s="249">
        <f t="shared" si="467"/>
        <v>9583.7784329461483</v>
      </c>
      <c r="AJ162" s="249">
        <f t="shared" si="467"/>
        <v>9603.7446380147867</v>
      </c>
      <c r="AK162" s="249">
        <f t="shared" si="467"/>
        <v>9623.7524393439853</v>
      </c>
      <c r="AL162" s="249">
        <f t="shared" si="467"/>
        <v>9643.8019235926204</v>
      </c>
      <c r="AM162" s="402">
        <f t="shared" si="467"/>
        <v>9663.8931776001064</v>
      </c>
      <c r="AN162" s="249">
        <f t="shared" ref="AN162:AY162" si="468">AM162*((1+$AQ155/12))</f>
        <v>9681.6103150923736</v>
      </c>
      <c r="AO162" s="249">
        <f t="shared" si="468"/>
        <v>9699.3599340033761</v>
      </c>
      <c r="AP162" s="249">
        <f t="shared" si="468"/>
        <v>9717.1420938823831</v>
      </c>
      <c r="AQ162" s="249">
        <f t="shared" si="468"/>
        <v>9734.956854387834</v>
      </c>
      <c r="AR162" s="249">
        <f t="shared" si="468"/>
        <v>9752.8042752875444</v>
      </c>
      <c r="AS162" s="249">
        <f t="shared" si="468"/>
        <v>9770.6844164589056</v>
      </c>
      <c r="AT162" s="249">
        <f t="shared" si="468"/>
        <v>9788.5973378890812</v>
      </c>
      <c r="AU162" s="249">
        <f t="shared" si="468"/>
        <v>9806.5430996752111</v>
      </c>
      <c r="AV162" s="249">
        <f t="shared" si="468"/>
        <v>9824.5217620246167</v>
      </c>
      <c r="AW162" s="249">
        <f t="shared" si="468"/>
        <v>9842.5333852549957</v>
      </c>
      <c r="AX162" s="249">
        <f t="shared" si="468"/>
        <v>9860.5780297946294</v>
      </c>
      <c r="AY162" s="402">
        <f t="shared" si="468"/>
        <v>9878.6557561825866</v>
      </c>
      <c r="AZ162" s="249">
        <f t="shared" ref="AZ162:BK162" si="469">AY162*((1+$BC155/12))</f>
        <v>9895.1201824428917</v>
      </c>
      <c r="BA162" s="249">
        <f t="shared" si="469"/>
        <v>9911.6120494136303</v>
      </c>
      <c r="BB162" s="249">
        <f t="shared" si="469"/>
        <v>9928.13140282932</v>
      </c>
      <c r="BC162" s="249">
        <f t="shared" si="469"/>
        <v>9944.6782885007033</v>
      </c>
      <c r="BD162" s="249">
        <f t="shared" si="469"/>
        <v>9961.252752314871</v>
      </c>
      <c r="BE162" s="249">
        <f t="shared" si="469"/>
        <v>9977.8548402353954</v>
      </c>
      <c r="BF162" s="249">
        <f t="shared" si="469"/>
        <v>9994.4845983024552</v>
      </c>
      <c r="BG162" s="249">
        <f t="shared" si="469"/>
        <v>10011.14207263296</v>
      </c>
      <c r="BH162" s="249">
        <f t="shared" si="469"/>
        <v>10027.827309420682</v>
      </c>
      <c r="BI162" s="249">
        <f t="shared" si="469"/>
        <v>10044.540354936384</v>
      </c>
      <c r="BJ162" s="249">
        <f t="shared" si="469"/>
        <v>10061.281255527945</v>
      </c>
      <c r="BK162" s="402">
        <f t="shared" si="469"/>
        <v>10078.050057620492</v>
      </c>
    </row>
    <row r="163" spans="1:63" s="334" customFormat="1" hidden="1" outlineLevel="1">
      <c r="A163" s="861"/>
      <c r="B163" s="372" t="s">
        <v>261</v>
      </c>
      <c r="C163" s="359">
        <f t="shared" ref="C163:AH163" si="470">C162*C160</f>
        <v>53664</v>
      </c>
      <c r="D163" s="354">
        <f t="shared" si="470"/>
        <v>4472</v>
      </c>
      <c r="E163" s="335">
        <f t="shared" si="470"/>
        <v>4651.9420207436351</v>
      </c>
      <c r="F163" s="335">
        <f t="shared" si="470"/>
        <v>4839.1244553578672</v>
      </c>
      <c r="G163" s="335">
        <f t="shared" si="470"/>
        <v>5033.8386398674902</v>
      </c>
      <c r="H163" s="335">
        <f t="shared" si="470"/>
        <v>5236.3876329254399</v>
      </c>
      <c r="I163" s="335">
        <f t="shared" si="470"/>
        <v>5447.0866875018237</v>
      </c>
      <c r="J163" s="335">
        <f t="shared" si="470"/>
        <v>5666.2637415525469</v>
      </c>
      <c r="K163" s="335">
        <f t="shared" si="470"/>
        <v>5894.2599284312046</v>
      </c>
      <c r="L163" s="335">
        <f t="shared" si="470"/>
        <v>6131.4301078386607</v>
      </c>
      <c r="M163" s="335">
        <f t="shared" si="470"/>
        <v>6378.1434181367049</v>
      </c>
      <c r="N163" s="335">
        <f t="shared" si="470"/>
        <v>6634.7838508854165</v>
      </c>
      <c r="O163" s="403">
        <f t="shared" si="470"/>
        <v>6901.7508484984655</v>
      </c>
      <c r="P163" s="335">
        <f t="shared" si="470"/>
        <v>6997.0291598286367</v>
      </c>
      <c r="Q163" s="335">
        <f t="shared" si="470"/>
        <v>7093.6227832889062</v>
      </c>
      <c r="R163" s="335">
        <f t="shared" si="470"/>
        <v>7191.5498766947831</v>
      </c>
      <c r="S163" s="335">
        <f t="shared" si="470"/>
        <v>7290.8288485294797</v>
      </c>
      <c r="T163" s="335">
        <f t="shared" si="470"/>
        <v>7391.4783614043654</v>
      </c>
      <c r="U163" s="335">
        <f t="shared" si="470"/>
        <v>7493.5173355671786</v>
      </c>
      <c r="V163" s="335">
        <f t="shared" si="470"/>
        <v>7596.9649524586994</v>
      </c>
      <c r="W163" s="335">
        <f t="shared" si="470"/>
        <v>7701.8406583184997</v>
      </c>
      <c r="X163" s="335">
        <f t="shared" si="470"/>
        <v>7808.1641678404749</v>
      </c>
      <c r="Y163" s="335">
        <f t="shared" si="470"/>
        <v>7915.955467878849</v>
      </c>
      <c r="Z163" s="335">
        <f t="shared" si="470"/>
        <v>8025.2348212053203</v>
      </c>
      <c r="AA163" s="403">
        <f t="shared" si="470"/>
        <v>8136.0227703180999</v>
      </c>
      <c r="AB163" s="335">
        <f t="shared" si="470"/>
        <v>8214.2348287647856</v>
      </c>
      <c r="AC163" s="335">
        <f t="shared" si="470"/>
        <v>8293.1987442624068</v>
      </c>
      <c r="AD163" s="335">
        <f t="shared" si="470"/>
        <v>8372.9217444563765</v>
      </c>
      <c r="AE163" s="335">
        <f t="shared" si="470"/>
        <v>8453.4111264718777</v>
      </c>
      <c r="AF163" s="335">
        <f t="shared" si="470"/>
        <v>8534.6742575817734</v>
      </c>
      <c r="AG163" s="335">
        <f t="shared" si="470"/>
        <v>8616.7185758809592</v>
      </c>
      <c r="AH163" s="335">
        <f t="shared" si="470"/>
        <v>8699.5515909671576</v>
      </c>
      <c r="AI163" s="335">
        <f t="shared" ref="AI163:BK163" si="471">AI162*AI160</f>
        <v>8783.1808846283002</v>
      </c>
      <c r="AJ163" s="335">
        <f t="shared" si="471"/>
        <v>8867.6141115364735</v>
      </c>
      <c r="AK163" s="335">
        <f t="shared" si="471"/>
        <v>8952.8589999485812</v>
      </c>
      <c r="AL163" s="335">
        <f t="shared" si="471"/>
        <v>9038.9233524137035</v>
      </c>
      <c r="AM163" s="403">
        <f t="shared" si="471"/>
        <v>9125.8150464872724</v>
      </c>
      <c r="AN163" s="335">
        <f t="shared" si="471"/>
        <v>9316.6222707116121</v>
      </c>
      <c r="AO163" s="335">
        <f t="shared" si="471"/>
        <v>9511.4189902994549</v>
      </c>
      <c r="AP163" s="335">
        <f t="shared" si="471"/>
        <v>9710.2886196672207</v>
      </c>
      <c r="AQ163" s="335">
        <f t="shared" si="471"/>
        <v>9913.3163173027388</v>
      </c>
      <c r="AR163" s="335">
        <f t="shared" si="471"/>
        <v>10120.58902223121</v>
      </c>
      <c r="AS163" s="335">
        <f t="shared" si="471"/>
        <v>10332.195491243592</v>
      </c>
      <c r="AT163" s="335">
        <f t="shared" si="471"/>
        <v>10548.226336903375</v>
      </c>
      <c r="AU163" s="335">
        <f t="shared" si="471"/>
        <v>10768.774066348025</v>
      </c>
      <c r="AV163" s="335">
        <f t="shared" si="471"/>
        <v>10993.933120901715</v>
      </c>
      <c r="AW163" s="335">
        <f t="shared" si="471"/>
        <v>11223.799916516287</v>
      </c>
      <c r="AX163" s="335">
        <f t="shared" si="471"/>
        <v>11458.472885057781</v>
      </c>
      <c r="AY163" s="403">
        <f t="shared" si="471"/>
        <v>11698.052516456217</v>
      </c>
      <c r="AZ163" s="335">
        <f t="shared" si="471"/>
        <v>12030.513823037265</v>
      </c>
      <c r="BA163" s="335">
        <f t="shared" si="471"/>
        <v>12372.423755380427</v>
      </c>
      <c r="BB163" s="335">
        <f t="shared" si="471"/>
        <v>12724.050845573576</v>
      </c>
      <c r="BC163" s="335">
        <f t="shared" si="471"/>
        <v>13085.671257447444</v>
      </c>
      <c r="BD163" s="335">
        <f t="shared" si="471"/>
        <v>13457.56900347149</v>
      </c>
      <c r="BE163" s="335">
        <f t="shared" si="471"/>
        <v>13840.036167813993</v>
      </c>
      <c r="BF163" s="335">
        <f t="shared" si="471"/>
        <v>14233.37313574156</v>
      </c>
      <c r="BG163" s="335">
        <f t="shared" si="471"/>
        <v>14637.888829538229</v>
      </c>
      <c r="BH163" s="335">
        <f t="shared" si="471"/>
        <v>15053.900951129439</v>
      </c>
      <c r="BI163" s="335">
        <f t="shared" si="471"/>
        <v>15481.736231601433</v>
      </c>
      <c r="BJ163" s="335">
        <f t="shared" si="471"/>
        <v>15921.73068781204</v>
      </c>
      <c r="BK163" s="403">
        <f t="shared" si="471"/>
        <v>16374.229886294444</v>
      </c>
    </row>
    <row r="164" spans="1:63" s="339" customFormat="1" ht="4.5" hidden="1" customHeight="1" outlineLevel="1">
      <c r="A164" s="854"/>
      <c r="B164" s="373"/>
      <c r="C164" s="360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40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  <c r="AA164" s="401"/>
      <c r="AB164" s="341"/>
      <c r="AC164" s="341"/>
      <c r="AD164" s="341"/>
      <c r="AE164" s="341"/>
      <c r="AF164" s="341"/>
      <c r="AG164" s="341"/>
      <c r="AH164" s="341"/>
      <c r="AI164" s="341"/>
      <c r="AJ164" s="341"/>
      <c r="AK164" s="341"/>
      <c r="AL164" s="341"/>
      <c r="AM164" s="401"/>
      <c r="AN164" s="341"/>
      <c r="AO164" s="341"/>
      <c r="AP164" s="341"/>
      <c r="AQ164" s="341"/>
      <c r="AR164" s="341"/>
      <c r="AS164" s="341"/>
      <c r="AT164" s="341"/>
      <c r="AU164" s="341"/>
      <c r="AV164" s="341"/>
      <c r="AW164" s="341"/>
      <c r="AX164" s="341"/>
      <c r="AY164" s="401"/>
      <c r="AZ164" s="341"/>
      <c r="BA164" s="341"/>
      <c r="BB164" s="341"/>
      <c r="BC164" s="341"/>
      <c r="BD164" s="341"/>
      <c r="BE164" s="341"/>
      <c r="BF164" s="341"/>
      <c r="BG164" s="341"/>
      <c r="BH164" s="341"/>
      <c r="BI164" s="341"/>
      <c r="BJ164" s="341"/>
      <c r="BK164" s="401"/>
    </row>
    <row r="165" spans="1:63" s="248" customFormat="1" hidden="1" outlineLevel="1">
      <c r="A165" s="860"/>
      <c r="B165" s="374" t="s">
        <v>346</v>
      </c>
      <c r="C165" s="358">
        <v>8000</v>
      </c>
      <c r="D165" s="353">
        <f>C165/12</f>
        <v>666.66666666666663</v>
      </c>
      <c r="E165" s="249">
        <f t="shared" ref="E165:O165" si="472">D165*(1+($I155/12))</f>
        <v>683.33333333333326</v>
      </c>
      <c r="F165" s="249">
        <f t="shared" si="472"/>
        <v>700.41666666666652</v>
      </c>
      <c r="G165" s="249">
        <f t="shared" si="472"/>
        <v>717.92708333333314</v>
      </c>
      <c r="H165" s="249">
        <f t="shared" si="472"/>
        <v>735.87526041666638</v>
      </c>
      <c r="I165" s="249">
        <f t="shared" si="472"/>
        <v>754.272141927083</v>
      </c>
      <c r="J165" s="249">
        <f t="shared" si="472"/>
        <v>773.12894547526002</v>
      </c>
      <c r="K165" s="249">
        <f t="shared" si="472"/>
        <v>792.4571691121414</v>
      </c>
      <c r="L165" s="249">
        <f t="shared" si="472"/>
        <v>812.2685983399449</v>
      </c>
      <c r="M165" s="249">
        <f t="shared" si="472"/>
        <v>832.57531329844346</v>
      </c>
      <c r="N165" s="249">
        <f t="shared" si="472"/>
        <v>853.38969613090444</v>
      </c>
      <c r="O165" s="402">
        <f t="shared" si="472"/>
        <v>874.72443853417701</v>
      </c>
      <c r="P165" s="249">
        <f t="shared" ref="P165:AA165" si="473">O165*(1+($U155/12))</f>
        <v>891.12552175669282</v>
      </c>
      <c r="Q165" s="249">
        <f t="shared" si="473"/>
        <v>907.83412528963083</v>
      </c>
      <c r="R165" s="249">
        <f t="shared" si="473"/>
        <v>924.85601513881147</v>
      </c>
      <c r="S165" s="249">
        <f t="shared" si="473"/>
        <v>942.1970654226642</v>
      </c>
      <c r="T165" s="249">
        <f t="shared" si="473"/>
        <v>959.8632603993392</v>
      </c>
      <c r="U165" s="249">
        <f t="shared" si="473"/>
        <v>977.86069653182687</v>
      </c>
      <c r="V165" s="249">
        <f t="shared" si="473"/>
        <v>996.19558459179871</v>
      </c>
      <c r="W165" s="249">
        <f t="shared" si="473"/>
        <v>1014.8742518028949</v>
      </c>
      <c r="X165" s="249">
        <f t="shared" si="473"/>
        <v>1033.9031440241993</v>
      </c>
      <c r="Y165" s="249">
        <f t="shared" si="473"/>
        <v>1053.288827974653</v>
      </c>
      <c r="Z165" s="249">
        <f t="shared" si="473"/>
        <v>1073.0379934991779</v>
      </c>
      <c r="AA165" s="402">
        <f t="shared" si="473"/>
        <v>1093.1574558772875</v>
      </c>
      <c r="AB165" s="249">
        <f t="shared" ref="AB165:AM165" si="474">AA165*(1+($AG155/12))</f>
        <v>1104.0890304360603</v>
      </c>
      <c r="AC165" s="249">
        <f t="shared" si="474"/>
        <v>1115.1299207404209</v>
      </c>
      <c r="AD165" s="249">
        <f t="shared" si="474"/>
        <v>1126.2812199478251</v>
      </c>
      <c r="AE165" s="249">
        <f t="shared" si="474"/>
        <v>1137.5440321473034</v>
      </c>
      <c r="AF165" s="249">
        <f t="shared" si="474"/>
        <v>1148.9194724687763</v>
      </c>
      <c r="AG165" s="249">
        <f t="shared" si="474"/>
        <v>1160.4086671934642</v>
      </c>
      <c r="AH165" s="249">
        <f t="shared" si="474"/>
        <v>1172.012753865399</v>
      </c>
      <c r="AI165" s="249">
        <f t="shared" si="474"/>
        <v>1183.7328814040529</v>
      </c>
      <c r="AJ165" s="249">
        <f t="shared" si="474"/>
        <v>1195.5702102180935</v>
      </c>
      <c r="AK165" s="249">
        <f t="shared" si="474"/>
        <v>1207.5259123202745</v>
      </c>
      <c r="AL165" s="249">
        <f t="shared" si="474"/>
        <v>1219.6011714434774</v>
      </c>
      <c r="AM165" s="402">
        <f t="shared" si="474"/>
        <v>1231.7971831579121</v>
      </c>
      <c r="AN165" s="249">
        <f t="shared" ref="AN165:AY165" si="475">AM165*(1+($AS155/12))</f>
        <v>1237.9561690737014</v>
      </c>
      <c r="AO165" s="249">
        <f t="shared" si="475"/>
        <v>1244.1459499190698</v>
      </c>
      <c r="AP165" s="249">
        <f t="shared" si="475"/>
        <v>1250.366679668665</v>
      </c>
      <c r="AQ165" s="249">
        <f t="shared" si="475"/>
        <v>1256.6185130670083</v>
      </c>
      <c r="AR165" s="249">
        <f t="shared" si="475"/>
        <v>1262.9016056323433</v>
      </c>
      <c r="AS165" s="249">
        <f t="shared" si="475"/>
        <v>1269.2161136605048</v>
      </c>
      <c r="AT165" s="249">
        <f t="shared" si="475"/>
        <v>1275.5621942288071</v>
      </c>
      <c r="AU165" s="249">
        <f t="shared" si="475"/>
        <v>1281.940005199951</v>
      </c>
      <c r="AV165" s="249">
        <f t="shared" si="475"/>
        <v>1288.3497052259506</v>
      </c>
      <c r="AW165" s="249">
        <f t="shared" si="475"/>
        <v>1294.7914537520803</v>
      </c>
      <c r="AX165" s="249">
        <f t="shared" si="475"/>
        <v>1301.2654110208405</v>
      </c>
      <c r="AY165" s="402">
        <f t="shared" si="475"/>
        <v>1307.7717380759445</v>
      </c>
      <c r="AZ165" s="249">
        <f t="shared" ref="AZ165:BK165" si="476">AY165*(1+($BES155/12))</f>
        <v>1307.7717380759445</v>
      </c>
      <c r="BA165" s="249">
        <f t="shared" si="476"/>
        <v>1307.7717380759445</v>
      </c>
      <c r="BB165" s="249">
        <f t="shared" si="476"/>
        <v>1307.7717380759445</v>
      </c>
      <c r="BC165" s="249">
        <f t="shared" si="476"/>
        <v>1307.7717380759445</v>
      </c>
      <c r="BD165" s="249">
        <f t="shared" si="476"/>
        <v>1307.7717380759445</v>
      </c>
      <c r="BE165" s="249">
        <f t="shared" si="476"/>
        <v>1307.7717380759445</v>
      </c>
      <c r="BF165" s="249">
        <f t="shared" si="476"/>
        <v>1307.7717380759445</v>
      </c>
      <c r="BG165" s="249">
        <f t="shared" si="476"/>
        <v>1307.7717380759445</v>
      </c>
      <c r="BH165" s="249">
        <f t="shared" si="476"/>
        <v>1307.7717380759445</v>
      </c>
      <c r="BI165" s="249">
        <f t="shared" si="476"/>
        <v>1307.7717380759445</v>
      </c>
      <c r="BJ165" s="249">
        <f t="shared" si="476"/>
        <v>1307.7717380759445</v>
      </c>
      <c r="BK165" s="402">
        <f t="shared" si="476"/>
        <v>1307.7717380759445</v>
      </c>
    </row>
    <row r="166" spans="1:63" s="54" customFormat="1" hidden="1" outlineLevel="1">
      <c r="A166" s="857"/>
      <c r="B166" s="370" t="s">
        <v>345</v>
      </c>
      <c r="C166" s="361">
        <v>0.02</v>
      </c>
      <c r="D166" s="355">
        <f>M155</f>
        <v>0.04</v>
      </c>
      <c r="E166" s="169">
        <f t="shared" ref="E166:O166" si="477">D166</f>
        <v>0.04</v>
      </c>
      <c r="F166" s="169">
        <f t="shared" si="477"/>
        <v>0.04</v>
      </c>
      <c r="G166" s="169">
        <f t="shared" si="477"/>
        <v>0.04</v>
      </c>
      <c r="H166" s="169">
        <f t="shared" si="477"/>
        <v>0.04</v>
      </c>
      <c r="I166" s="169">
        <f t="shared" si="477"/>
        <v>0.04</v>
      </c>
      <c r="J166" s="169">
        <f t="shared" si="477"/>
        <v>0.04</v>
      </c>
      <c r="K166" s="169">
        <f t="shared" si="477"/>
        <v>0.04</v>
      </c>
      <c r="L166" s="169">
        <f t="shared" si="477"/>
        <v>0.04</v>
      </c>
      <c r="M166" s="169">
        <f t="shared" si="477"/>
        <v>0.04</v>
      </c>
      <c r="N166" s="169">
        <f t="shared" si="477"/>
        <v>0.04</v>
      </c>
      <c r="O166" s="405">
        <f t="shared" si="477"/>
        <v>0.04</v>
      </c>
      <c r="P166" s="169">
        <f t="shared" ref="P166:AA166" si="478">$Y155</f>
        <v>0.04</v>
      </c>
      <c r="Q166" s="169">
        <f t="shared" si="478"/>
        <v>0.04</v>
      </c>
      <c r="R166" s="169">
        <f t="shared" si="478"/>
        <v>0.04</v>
      </c>
      <c r="S166" s="169">
        <f t="shared" si="478"/>
        <v>0.04</v>
      </c>
      <c r="T166" s="169">
        <f t="shared" si="478"/>
        <v>0.04</v>
      </c>
      <c r="U166" s="169">
        <f t="shared" si="478"/>
        <v>0.04</v>
      </c>
      <c r="V166" s="169">
        <f t="shared" si="478"/>
        <v>0.04</v>
      </c>
      <c r="W166" s="169">
        <f t="shared" si="478"/>
        <v>0.04</v>
      </c>
      <c r="X166" s="169">
        <f t="shared" si="478"/>
        <v>0.04</v>
      </c>
      <c r="Y166" s="169">
        <f t="shared" si="478"/>
        <v>0.04</v>
      </c>
      <c r="Z166" s="169">
        <f t="shared" si="478"/>
        <v>0.04</v>
      </c>
      <c r="AA166" s="405">
        <f t="shared" si="478"/>
        <v>0.04</v>
      </c>
      <c r="AB166" s="169">
        <f t="shared" ref="AB166:AM166" si="479">$AK155</f>
        <v>0.04</v>
      </c>
      <c r="AC166" s="169">
        <f t="shared" si="479"/>
        <v>0.04</v>
      </c>
      <c r="AD166" s="169">
        <f t="shared" si="479"/>
        <v>0.04</v>
      </c>
      <c r="AE166" s="169">
        <f t="shared" si="479"/>
        <v>0.04</v>
      </c>
      <c r="AF166" s="169">
        <f t="shared" si="479"/>
        <v>0.04</v>
      </c>
      <c r="AG166" s="169">
        <f t="shared" si="479"/>
        <v>0.04</v>
      </c>
      <c r="AH166" s="169">
        <f t="shared" si="479"/>
        <v>0.04</v>
      </c>
      <c r="AI166" s="169">
        <f t="shared" si="479"/>
        <v>0.04</v>
      </c>
      <c r="AJ166" s="169">
        <f t="shared" si="479"/>
        <v>0.04</v>
      </c>
      <c r="AK166" s="169">
        <f t="shared" si="479"/>
        <v>0.04</v>
      </c>
      <c r="AL166" s="169">
        <f t="shared" si="479"/>
        <v>0.04</v>
      </c>
      <c r="AM166" s="405">
        <f t="shared" si="479"/>
        <v>0.04</v>
      </c>
      <c r="AN166" s="169">
        <f t="shared" ref="AN166:AY166" si="480">$AW155</f>
        <v>0.04</v>
      </c>
      <c r="AO166" s="169">
        <f t="shared" si="480"/>
        <v>0.04</v>
      </c>
      <c r="AP166" s="169">
        <f t="shared" si="480"/>
        <v>0.04</v>
      </c>
      <c r="AQ166" s="169">
        <f t="shared" si="480"/>
        <v>0.04</v>
      </c>
      <c r="AR166" s="169">
        <f t="shared" si="480"/>
        <v>0.04</v>
      </c>
      <c r="AS166" s="169">
        <f t="shared" si="480"/>
        <v>0.04</v>
      </c>
      <c r="AT166" s="169">
        <f t="shared" si="480"/>
        <v>0.04</v>
      </c>
      <c r="AU166" s="169">
        <f t="shared" si="480"/>
        <v>0.04</v>
      </c>
      <c r="AV166" s="169">
        <f t="shared" si="480"/>
        <v>0.04</v>
      </c>
      <c r="AW166" s="169">
        <f t="shared" si="480"/>
        <v>0.04</v>
      </c>
      <c r="AX166" s="169">
        <f t="shared" si="480"/>
        <v>0.04</v>
      </c>
      <c r="AY166" s="405">
        <f t="shared" si="480"/>
        <v>0.04</v>
      </c>
      <c r="AZ166" s="169">
        <f t="shared" ref="AZ166:BK166" si="481">$BI155</f>
        <v>0.04</v>
      </c>
      <c r="BA166" s="169">
        <f t="shared" si="481"/>
        <v>0.04</v>
      </c>
      <c r="BB166" s="169">
        <f t="shared" si="481"/>
        <v>0.04</v>
      </c>
      <c r="BC166" s="169">
        <f t="shared" si="481"/>
        <v>0.04</v>
      </c>
      <c r="BD166" s="169">
        <f t="shared" si="481"/>
        <v>0.04</v>
      </c>
      <c r="BE166" s="169">
        <f t="shared" si="481"/>
        <v>0.04</v>
      </c>
      <c r="BF166" s="169">
        <f t="shared" si="481"/>
        <v>0.04</v>
      </c>
      <c r="BG166" s="169">
        <f t="shared" si="481"/>
        <v>0.04</v>
      </c>
      <c r="BH166" s="169">
        <f t="shared" si="481"/>
        <v>0.04</v>
      </c>
      <c r="BI166" s="169">
        <f t="shared" si="481"/>
        <v>0.04</v>
      </c>
      <c r="BJ166" s="169">
        <f t="shared" si="481"/>
        <v>0.04</v>
      </c>
      <c r="BK166" s="405">
        <f t="shared" si="481"/>
        <v>0.04</v>
      </c>
    </row>
    <row r="167" spans="1:63" s="336" customFormat="1" ht="19.5" hidden="1" outlineLevel="1" thickBot="1">
      <c r="A167" s="862"/>
      <c r="B167" s="375" t="s">
        <v>300</v>
      </c>
      <c r="C167" s="362">
        <f>C166*'Prg. HR'!D$38*12</f>
        <v>1512</v>
      </c>
      <c r="D167" s="351">
        <f>D166*'Prg. HR'!D$38</f>
        <v>252</v>
      </c>
      <c r="E167" s="337">
        <f>E166*'Prg. HR'!E$38</f>
        <v>248.22</v>
      </c>
      <c r="F167" s="337">
        <f>F166*'Prg. HR'!F$38</f>
        <v>244.49670000000003</v>
      </c>
      <c r="G167" s="337">
        <f>G166*'Prg. HR'!G$38</f>
        <v>333.22924950000004</v>
      </c>
      <c r="H167" s="337">
        <f>H166*'Prg. HR'!H$38</f>
        <v>329.61681075749999</v>
      </c>
      <c r="I167" s="337">
        <f>I166*'Prg. HR'!I$38</f>
        <v>326.05855859613752</v>
      </c>
      <c r="J167" s="337">
        <f>J166*'Prg. HR'!J$38</f>
        <v>322.55368021719545</v>
      </c>
      <c r="K167" s="337">
        <f>K166*'Prg. HR'!K$38</f>
        <v>389.10137501393751</v>
      </c>
      <c r="L167" s="337">
        <f>L166*'Prg. HR'!L$38</f>
        <v>391.53418772206174</v>
      </c>
      <c r="M167" s="337">
        <f>M166*'Prg. HR'!M$38</f>
        <v>388.67078601734198</v>
      </c>
      <c r="N167" s="337">
        <f>N166*'Prg. HR'!N$38</f>
        <v>385.41202515300779</v>
      </c>
      <c r="O167" s="406">
        <f>O166*'Prg. HR'!O$38</f>
        <v>382.16561985287314</v>
      </c>
      <c r="P167" s="337">
        <f>P166*'Prg. HR'!P$38</f>
        <v>372.60125602190101</v>
      </c>
      <c r="Q167" s="337">
        <f>Q166*'Prg. HR'!Q$38</f>
        <v>375.28157051490587</v>
      </c>
      <c r="R167" s="337">
        <f>R166*'Prg. HR'!R$38</f>
        <v>372.6619580682933</v>
      </c>
      <c r="S167" s="337">
        <f>S166*'Prg. HR'!S$38</f>
        <v>369.64332962319486</v>
      </c>
      <c r="T167" s="337">
        <f>T166*'Prg. HR'!T$38</f>
        <v>366.63345475600744</v>
      </c>
      <c r="U167" s="337">
        <f>U166*'Prg. HR'!U$38</f>
        <v>552.6656841910974</v>
      </c>
      <c r="V167" s="337">
        <f>V166*'Prg. HR'!V$38</f>
        <v>549.7421765329334</v>
      </c>
      <c r="W167" s="337">
        <f>W166*'Prg. HR'!W$38</f>
        <v>546.86250035199794</v>
      </c>
      <c r="X167" s="337">
        <f>X166*'Prg. HR'!X$38</f>
        <v>544.02601755230614</v>
      </c>
      <c r="Y167" s="337">
        <f>Y166*'Prg. HR'!Y$38</f>
        <v>541.2320818478205</v>
      </c>
      <c r="Z167" s="337">
        <f>Z166*'Prg. HR'!Z$38</f>
        <v>538.4800551666699</v>
      </c>
      <c r="AA167" s="406">
        <f>AA166*'Prg. HR'!AA$38</f>
        <v>612.13294524834487</v>
      </c>
      <c r="AB167" s="337">
        <f>AB166*'Prg. HR'!AB$38</f>
        <v>708.35993434957743</v>
      </c>
      <c r="AC167" s="337">
        <f>AC166*'Prg. HR'!AC$38</f>
        <v>702.02587702604012</v>
      </c>
      <c r="AD167" s="337">
        <f>AD166*'Prg. HR'!AD$38</f>
        <v>694.34690640706162</v>
      </c>
      <c r="AE167" s="337">
        <f>AE166*'Prg. HR'!AE$38</f>
        <v>686.77494829209593</v>
      </c>
      <c r="AF167" s="337">
        <f>AF166*'Prg. HR'!AF$38</f>
        <v>679.53543207838902</v>
      </c>
      <c r="AG167" s="337">
        <f>AG166*'Prg. HR'!AG$38</f>
        <v>672.65019900795244</v>
      </c>
      <c r="AH167" s="337">
        <f>AH166*'Prg. HR'!AH$38</f>
        <v>666.10794547980197</v>
      </c>
      <c r="AI167" s="337">
        <f>AI166*'Prg. HR'!AI$38</f>
        <v>743.89258639635932</v>
      </c>
      <c r="AJ167" s="337">
        <f>AJ166*'Prg. HR'!AJ$38</f>
        <v>758.98796662417828</v>
      </c>
      <c r="AK167" s="337">
        <f>AK166*'Prg. HR'!AK$38</f>
        <v>758.62857067987852</v>
      </c>
      <c r="AL167" s="337">
        <f>AL166*'Prg. HR'!AL$38</f>
        <v>847.0121427426119</v>
      </c>
      <c r="AM167" s="406">
        <f>AM166*'Prg. HR'!AM$38</f>
        <v>842.27778575466323</v>
      </c>
      <c r="AN167" s="337">
        <f>AN166*'Prg. HR'!AN$38</f>
        <v>933.22624025866537</v>
      </c>
      <c r="AO167" s="337">
        <f>AO166*'Prg. HR'!AO$38</f>
        <v>913.11698554435475</v>
      </c>
      <c r="AP167" s="337">
        <f>AP166*'Prg. HR'!AP$38</f>
        <v>906.18647915024076</v>
      </c>
      <c r="AQ167" s="337">
        <f>AQ166*'Prg. HR'!AQ$38</f>
        <v>901.63137900657921</v>
      </c>
      <c r="AR167" s="337">
        <f>AR166*'Prg. HR'!AR$38</f>
        <v>981.64937530512168</v>
      </c>
      <c r="AS167" s="337">
        <f>AS166*'Prg. HR'!AS$38</f>
        <v>1091.3117978520834</v>
      </c>
      <c r="AT167" s="337">
        <f>AT166*'Prg. HR'!AT$38</f>
        <v>1093.0224307875337</v>
      </c>
      <c r="AU167" s="337">
        <f>AU166*'Prg. HR'!AU$38</f>
        <v>1090.9753649551708</v>
      </c>
      <c r="AV167" s="337">
        <f>AV166*'Prg. HR'!AV$38</f>
        <v>1088.1126106341655</v>
      </c>
      <c r="AW167" s="337">
        <f>AW166*'Prg. HR'!AW$38</f>
        <v>1085.1634835841455</v>
      </c>
      <c r="AX167" s="337">
        <f>AX166*'Prg. HR'!AX$38</f>
        <v>1271.3044352753604</v>
      </c>
      <c r="AY167" s="406">
        <f>AY166*'Prg. HR'!AY$38</f>
        <v>1454.3067590901971</v>
      </c>
      <c r="AZ167" s="337">
        <f>AZ166*'Prg. HR'!AZ$38</f>
        <v>1482.8206029952221</v>
      </c>
      <c r="BA167" s="337">
        <f>BA166*'Prg. HR'!BA$38</f>
        <v>1490.7226334653062</v>
      </c>
      <c r="BB167" s="337">
        <f>BB166*'Prg. HR'!BB$38</f>
        <v>1491.8341886653225</v>
      </c>
      <c r="BC167" s="337">
        <f>BC166*'Prg. HR'!BC$38</f>
        <v>1490.7583748564834</v>
      </c>
      <c r="BD167" s="337">
        <f>BD166*'Prg. HR'!BD$38</f>
        <v>1581.4257546551355</v>
      </c>
      <c r="BE167" s="337">
        <f>BE166*'Prg. HR'!BE$38</f>
        <v>1873.5268953307316</v>
      </c>
      <c r="BF167" s="337">
        <f>BF166*'Prg. HR'!BF$38</f>
        <v>1915.4132290676757</v>
      </c>
      <c r="BG167" s="337">
        <f>BG166*'Prg. HR'!BG$38</f>
        <v>1931.8470169907425</v>
      </c>
      <c r="BH167" s="337">
        <f>BH166*'Prg. HR'!BH$38</f>
        <v>2030.1265200480595</v>
      </c>
      <c r="BI167" s="337">
        <f>BI166*'Prg. HR'!BI$38</f>
        <v>2151.2042051847848</v>
      </c>
      <c r="BJ167" s="337">
        <f>BJ166*'Prg. HR'!BJ$38</f>
        <v>2211.0060004951101</v>
      </c>
      <c r="BK167" s="406">
        <f>BK166*'Prg. HR'!BK$38</f>
        <v>2429.2067032551367</v>
      </c>
    </row>
    <row r="168" spans="1:63" s="54" customFormat="1" hidden="1" outlineLevel="1">
      <c r="A168" s="857"/>
      <c r="B168" s="192" t="s">
        <v>386</v>
      </c>
      <c r="C168" s="1207">
        <f t="shared" ref="C168:AH168" si="482">(C165+C167)/C156</f>
        <v>279.76470588235293</v>
      </c>
      <c r="D168" s="368">
        <f t="shared" si="482"/>
        <v>324.23529411764702</v>
      </c>
      <c r="E168" s="1208">
        <f t="shared" si="482"/>
        <v>318.17760910815934</v>
      </c>
      <c r="F168" s="1208">
        <f t="shared" si="482"/>
        <v>312.32981453143162</v>
      </c>
      <c r="G168" s="1208">
        <f t="shared" si="482"/>
        <v>336.23918380205612</v>
      </c>
      <c r="H168" s="1208">
        <f t="shared" si="482"/>
        <v>329.83048609337305</v>
      </c>
      <c r="I168" s="1208">
        <f t="shared" si="482"/>
        <v>323.63601975500524</v>
      </c>
      <c r="J168" s="1208">
        <f t="shared" si="482"/>
        <v>317.64678889118073</v>
      </c>
      <c r="K168" s="1208">
        <f t="shared" si="482"/>
        <v>331.49310548907295</v>
      </c>
      <c r="L168" s="1208">
        <f t="shared" si="482"/>
        <v>326.83921609867883</v>
      </c>
      <c r="M168" s="1208">
        <f t="shared" si="482"/>
        <v>320.87920025425967</v>
      </c>
      <c r="N168" s="1208">
        <f t="shared" si="482"/>
        <v>314.99215524041915</v>
      </c>
      <c r="O168" s="1209">
        <f t="shared" si="482"/>
        <v>309.28210308926003</v>
      </c>
      <c r="P168" s="1208">
        <f t="shared" si="482"/>
        <v>308.39445629333392</v>
      </c>
      <c r="Q168" s="1208">
        <f t="shared" si="482"/>
        <v>310.53822604030188</v>
      </c>
      <c r="R168" s="1208">
        <f t="shared" si="482"/>
        <v>311.42861069158056</v>
      </c>
      <c r="S168" s="1208">
        <f t="shared" si="482"/>
        <v>312.26405963538718</v>
      </c>
      <c r="T168" s="1208">
        <f t="shared" si="482"/>
        <v>313.14325116542142</v>
      </c>
      <c r="U168" s="1208">
        <f t="shared" si="482"/>
        <v>358.32208193063843</v>
      </c>
      <c r="V168" s="1208">
        <f t="shared" si="482"/>
        <v>358.93898820241401</v>
      </c>
      <c r="W168" s="1208">
        <f t="shared" si="482"/>
        <v>359.61047625319912</v>
      </c>
      <c r="X168" s="1208">
        <f t="shared" si="482"/>
        <v>360.33619040752433</v>
      </c>
      <c r="Y168" s="1208">
        <f t="shared" si="482"/>
        <v>361.11578683188253</v>
      </c>
      <c r="Z168" s="1208">
        <f t="shared" si="482"/>
        <v>361.94893714540046</v>
      </c>
      <c r="AA168" s="1209">
        <f t="shared" si="482"/>
        <v>379.84494835088196</v>
      </c>
      <c r="AB168" s="1208">
        <f t="shared" si="482"/>
        <v>401.70545770965293</v>
      </c>
      <c r="AC168" s="1208">
        <f t="shared" si="482"/>
        <v>400.74494058589426</v>
      </c>
      <c r="AD168" s="1208">
        <f t="shared" si="482"/>
        <v>399.51314196964023</v>
      </c>
      <c r="AE168" s="1208">
        <f t="shared" si="482"/>
        <v>398.33139487773121</v>
      </c>
      <c r="AF168" s="1208">
        <f t="shared" si="482"/>
        <v>397.24821321989276</v>
      </c>
      <c r="AG168" s="1208">
        <f t="shared" si="482"/>
        <v>396.26712949894869</v>
      </c>
      <c r="AH168" s="1208">
        <f t="shared" si="482"/>
        <v>395.38446450056921</v>
      </c>
      <c r="AI168" s="1208">
        <f t="shared" ref="AI168:BK168" si="483">(AI165+AI167)/AI156</f>
        <v>412.57429766786964</v>
      </c>
      <c r="AJ168" s="1208">
        <f t="shared" si="483"/>
        <v>416.25748250519302</v>
      </c>
      <c r="AK168" s="1208">
        <f t="shared" si="483"/>
        <v>416.64390001303599</v>
      </c>
      <c r="AL168" s="1208">
        <f t="shared" si="483"/>
        <v>435.75316601259425</v>
      </c>
      <c r="AM168" s="1209">
        <f t="shared" si="483"/>
        <v>435.15073023777825</v>
      </c>
      <c r="AN168" s="1208">
        <f t="shared" si="483"/>
        <v>448.05671818299089</v>
      </c>
      <c r="AO168" s="1208">
        <f t="shared" si="483"/>
        <v>437.88611972946626</v>
      </c>
      <c r="AP168" s="1208">
        <f t="shared" si="483"/>
        <v>430.56594851564006</v>
      </c>
      <c r="AQ168" s="1208">
        <f t="shared" si="483"/>
        <v>423.84069763727797</v>
      </c>
      <c r="AR168" s="1208">
        <f t="shared" si="483"/>
        <v>433.5626053511217</v>
      </c>
      <c r="AS168" s="1208">
        <f t="shared" si="483"/>
        <v>448.4901390857404</v>
      </c>
      <c r="AT168" s="1208">
        <f t="shared" si="483"/>
        <v>442.64348848561639</v>
      </c>
      <c r="AU168" s="1208">
        <f t="shared" si="483"/>
        <v>436.18310411206477</v>
      </c>
      <c r="AV168" s="1208">
        <f t="shared" si="483"/>
        <v>429.67386334935594</v>
      </c>
      <c r="AW168" s="1208">
        <f t="shared" si="483"/>
        <v>423.25115728504642</v>
      </c>
      <c r="AX168" s="1208">
        <f t="shared" si="483"/>
        <v>450.00569544197009</v>
      </c>
      <c r="AY168" s="1209">
        <f t="shared" si="483"/>
        <v>475.23483567987188</v>
      </c>
      <c r="AZ168" s="1208">
        <f t="shared" si="483"/>
        <v>468.43008882326143</v>
      </c>
      <c r="BA168" s="1208">
        <f t="shared" si="483"/>
        <v>458.29905094779036</v>
      </c>
      <c r="BB168" s="1208">
        <f t="shared" si="483"/>
        <v>447.29862070541725</v>
      </c>
      <c r="BC168" s="1208">
        <f t="shared" si="483"/>
        <v>436.2212056470695</v>
      </c>
      <c r="BD168" s="1208">
        <f t="shared" si="483"/>
        <v>439.36975022411934</v>
      </c>
      <c r="BE168" s="1208">
        <f t="shared" si="483"/>
        <v>471.99076086255047</v>
      </c>
      <c r="BF168" s="1208">
        <f t="shared" si="483"/>
        <v>466.54165111359617</v>
      </c>
      <c r="BG168" s="1208">
        <f t="shared" si="483"/>
        <v>457.4832864718415</v>
      </c>
      <c r="BH168" s="1208">
        <f t="shared" si="483"/>
        <v>459.86521208954338</v>
      </c>
      <c r="BI168" s="1208">
        <f t="shared" si="483"/>
        <v>464.9231146045812</v>
      </c>
      <c r="BJ168" s="1208">
        <f t="shared" si="483"/>
        <v>461.42547436376157</v>
      </c>
      <c r="BK168" s="1209">
        <f t="shared" si="483"/>
        <v>478.08647597120472</v>
      </c>
    </row>
    <row r="169" spans="1:63" s="54" customFormat="1" hidden="1" outlineLevel="1">
      <c r="A169" s="857"/>
      <c r="B169" s="192" t="s">
        <v>390</v>
      </c>
      <c r="C169" s="1207">
        <f t="shared" ref="C169:AH169" si="484">(C165+C167)/C158</f>
        <v>528.44444444444446</v>
      </c>
      <c r="D169" s="368">
        <f t="shared" si="484"/>
        <v>612.44444444444446</v>
      </c>
      <c r="E169" s="1208">
        <f t="shared" si="484"/>
        <v>599.75266581718176</v>
      </c>
      <c r="F169" s="1208">
        <f t="shared" si="484"/>
        <v>587.50582545925624</v>
      </c>
      <c r="G169" s="1208">
        <f t="shared" si="484"/>
        <v>631.16545022160142</v>
      </c>
      <c r="H169" s="1208">
        <f t="shared" si="484"/>
        <v>617.84829247014306</v>
      </c>
      <c r="I169" s="1208">
        <f t="shared" si="484"/>
        <v>604.98424973328099</v>
      </c>
      <c r="J169" s="1208">
        <f t="shared" si="484"/>
        <v>592.55388155376988</v>
      </c>
      <c r="K169" s="1208">
        <f t="shared" si="484"/>
        <v>617.097858330083</v>
      </c>
      <c r="L169" s="1208">
        <f t="shared" si="484"/>
        <v>607.16937791307305</v>
      </c>
      <c r="M169" s="1208">
        <f t="shared" si="484"/>
        <v>594.85816560378828</v>
      </c>
      <c r="N169" s="1208">
        <f t="shared" si="484"/>
        <v>582.73051391331171</v>
      </c>
      <c r="O169" s="1209">
        <f t="shared" si="484"/>
        <v>570.97747118901964</v>
      </c>
      <c r="P169" s="1208">
        <f t="shared" si="484"/>
        <v>568.39143357229375</v>
      </c>
      <c r="Q169" s="1208">
        <f t="shared" si="484"/>
        <v>571.39022633230354</v>
      </c>
      <c r="R169" s="1208">
        <f t="shared" si="484"/>
        <v>572.07507531759711</v>
      </c>
      <c r="S169" s="1208">
        <f t="shared" si="484"/>
        <v>572.65531776980436</v>
      </c>
      <c r="T169" s="1208">
        <f t="shared" si="484"/>
        <v>573.31213073428557</v>
      </c>
      <c r="U169" s="1208">
        <f t="shared" si="484"/>
        <v>654.93534097965733</v>
      </c>
      <c r="V169" s="1208">
        <f t="shared" si="484"/>
        <v>654.97129352330637</v>
      </c>
      <c r="W169" s="1208">
        <f t="shared" si="484"/>
        <v>655.10474519087904</v>
      </c>
      <c r="X169" s="1208">
        <f t="shared" si="484"/>
        <v>655.33455912406976</v>
      </c>
      <c r="Y169" s="1208">
        <f t="shared" si="484"/>
        <v>655.6596259066032</v>
      </c>
      <c r="Z169" s="1208">
        <f t="shared" si="484"/>
        <v>656.07886990771021</v>
      </c>
      <c r="AA169" s="1209">
        <f t="shared" si="484"/>
        <v>687.37206534043764</v>
      </c>
      <c r="AB169" s="1208">
        <f t="shared" si="484"/>
        <v>726.02358102868516</v>
      </c>
      <c r="AC169" s="1208">
        <f t="shared" si="484"/>
        <v>723.38335828519303</v>
      </c>
      <c r="AD169" s="1208">
        <f t="shared" si="484"/>
        <v>720.25951830541987</v>
      </c>
      <c r="AE169" s="1208">
        <f t="shared" si="484"/>
        <v>717.23247310290151</v>
      </c>
      <c r="AF169" s="1208">
        <f t="shared" si="484"/>
        <v>714.38911806939643</v>
      </c>
      <c r="AG169" s="1208">
        <f t="shared" si="484"/>
        <v>711.73512270504375</v>
      </c>
      <c r="AH169" s="1208">
        <f t="shared" si="484"/>
        <v>709.2631897125799</v>
      </c>
      <c r="AI169" s="1208">
        <f t="shared" ref="AI169:BK169" si="485">(AI165+AI167)/AI158</f>
        <v>739.17532313104982</v>
      </c>
      <c r="AJ169" s="1208">
        <f t="shared" si="485"/>
        <v>744.84312755492783</v>
      </c>
      <c r="AK169" s="1208">
        <f t="shared" si="485"/>
        <v>744.60382083010973</v>
      </c>
      <c r="AL169" s="1208">
        <f t="shared" si="485"/>
        <v>777.78265646626494</v>
      </c>
      <c r="AM169" s="1209">
        <f t="shared" si="485"/>
        <v>775.73768729946391</v>
      </c>
      <c r="AN169" s="1208">
        <f t="shared" si="485"/>
        <v>797.81424502269135</v>
      </c>
      <c r="AO169" s="1208">
        <f t="shared" si="485"/>
        <v>778.7957812664622</v>
      </c>
      <c r="AP169" s="1208">
        <f t="shared" si="485"/>
        <v>764.88423576017374</v>
      </c>
      <c r="AQ169" s="1208">
        <f t="shared" si="485"/>
        <v>752.05967721407615</v>
      </c>
      <c r="AR169" s="1208">
        <f t="shared" si="485"/>
        <v>768.41367294266456</v>
      </c>
      <c r="AS169" s="1208">
        <f t="shared" si="485"/>
        <v>793.94384044731282</v>
      </c>
      <c r="AT169" s="1208">
        <f t="shared" si="485"/>
        <v>782.68062544217298</v>
      </c>
      <c r="AU169" s="1208">
        <f t="shared" si="485"/>
        <v>770.35864525922386</v>
      </c>
      <c r="AV169" s="1208">
        <f t="shared" si="485"/>
        <v>757.97813355274957</v>
      </c>
      <c r="AW169" s="1208">
        <f t="shared" si="485"/>
        <v>745.77790599596517</v>
      </c>
      <c r="AX169" s="1208">
        <f t="shared" si="485"/>
        <v>791.99599899393149</v>
      </c>
      <c r="AY169" s="1209">
        <f t="shared" si="485"/>
        <v>835.42383837052125</v>
      </c>
      <c r="AZ169" s="1208">
        <f t="shared" si="485"/>
        <v>822.77600519449732</v>
      </c>
      <c r="BA169" s="1208">
        <f t="shared" si="485"/>
        <v>804.3110417873196</v>
      </c>
      <c r="BB169" s="1208">
        <f t="shared" si="485"/>
        <v>784.35175128594437</v>
      </c>
      <c r="BC169" s="1208">
        <f t="shared" si="485"/>
        <v>764.29025813441251</v>
      </c>
      <c r="BD169" s="1208">
        <f t="shared" si="485"/>
        <v>769.16575839578741</v>
      </c>
      <c r="BE169" s="1208">
        <f t="shared" si="485"/>
        <v>825.58448923850051</v>
      </c>
      <c r="BF169" s="1208">
        <f t="shared" si="485"/>
        <v>815.37367949814541</v>
      </c>
      <c r="BG169" s="1208">
        <f t="shared" si="485"/>
        <v>798.87666766054338</v>
      </c>
      <c r="BH169" s="1208">
        <f t="shared" si="485"/>
        <v>802.36744739679739</v>
      </c>
      <c r="BI169" s="1208">
        <f t="shared" si="485"/>
        <v>810.51698576951901</v>
      </c>
      <c r="BJ169" s="1208">
        <f t="shared" si="485"/>
        <v>803.74963389472225</v>
      </c>
      <c r="BK169" s="1209">
        <f t="shared" si="485"/>
        <v>832.07776726216696</v>
      </c>
    </row>
    <row r="170" spans="1:63" s="54" customFormat="1" hidden="1" outlineLevel="1">
      <c r="A170" s="857"/>
      <c r="B170" s="192" t="s">
        <v>391</v>
      </c>
      <c r="C170" s="1207">
        <f t="shared" ref="C170:AH170" si="486">(C167+C165)/C160</f>
        <v>1585.3333333333333</v>
      </c>
      <c r="D170" s="368">
        <f t="shared" si="486"/>
        <v>1837.3333333333333</v>
      </c>
      <c r="E170" s="1208">
        <f t="shared" si="486"/>
        <v>1795.5173363341821</v>
      </c>
      <c r="F170" s="1208">
        <f t="shared" si="486"/>
        <v>1755.1965394229705</v>
      </c>
      <c r="G170" s="1208">
        <f t="shared" si="486"/>
        <v>1881.7111375928507</v>
      </c>
      <c r="H170" s="1208">
        <f t="shared" si="486"/>
        <v>1838.1787851089764</v>
      </c>
      <c r="I170" s="1208">
        <f t="shared" si="486"/>
        <v>1796.1645803726333</v>
      </c>
      <c r="J170" s="1208">
        <f t="shared" si="486"/>
        <v>1755.6020046099993</v>
      </c>
      <c r="K170" s="1208">
        <f t="shared" si="486"/>
        <v>1824.5191284252833</v>
      </c>
      <c r="L170" s="1208">
        <f t="shared" si="486"/>
        <v>1791.4323102937644</v>
      </c>
      <c r="M170" s="1208">
        <f t="shared" si="486"/>
        <v>1751.4596287212059</v>
      </c>
      <c r="N170" s="1208">
        <f t="shared" si="486"/>
        <v>1712.1847503929939</v>
      </c>
      <c r="O170" s="1209">
        <f t="shared" si="486"/>
        <v>1674.163998502878</v>
      </c>
      <c r="P170" s="1208">
        <f t="shared" si="486"/>
        <v>1663.8084591818701</v>
      </c>
      <c r="Q170" s="1208">
        <f t="shared" si="486"/>
        <v>1669.8035882449112</v>
      </c>
      <c r="R170" s="1208">
        <f t="shared" si="486"/>
        <v>1669.023252886044</v>
      </c>
      <c r="S170" s="1208">
        <f t="shared" si="486"/>
        <v>1667.9362106940052</v>
      </c>
      <c r="T170" s="1208">
        <f t="shared" si="486"/>
        <v>1667.0708160943755</v>
      </c>
      <c r="U170" s="1208">
        <f t="shared" si="486"/>
        <v>1901.2451625399501</v>
      </c>
      <c r="V170" s="1208">
        <f t="shared" si="486"/>
        <v>1898.1858878638259</v>
      </c>
      <c r="W170" s="1208">
        <f t="shared" si="486"/>
        <v>1895.4136242019949</v>
      </c>
      <c r="X170" s="1208">
        <f t="shared" si="486"/>
        <v>1892.9236717406384</v>
      </c>
      <c r="Y170" s="1208">
        <f t="shared" si="486"/>
        <v>1890.7114363540693</v>
      </c>
      <c r="Z170" s="1208">
        <f t="shared" si="486"/>
        <v>1888.7724471045608</v>
      </c>
      <c r="AA170" s="1209">
        <f t="shared" si="486"/>
        <v>1975.5691915044524</v>
      </c>
      <c r="AB170" s="1208">
        <f t="shared" si="486"/>
        <v>2084.0520618393007</v>
      </c>
      <c r="AC170" s="1208">
        <f t="shared" si="486"/>
        <v>2073.8809462801009</v>
      </c>
      <c r="AD170" s="1208">
        <f t="shared" si="486"/>
        <v>2062.3472184320044</v>
      </c>
      <c r="AE170" s="1208">
        <f t="shared" si="486"/>
        <v>2051.1158668071298</v>
      </c>
      <c r="AF170" s="1208">
        <f t="shared" si="486"/>
        <v>2040.4339989113605</v>
      </c>
      <c r="AG170" s="1208">
        <f t="shared" si="486"/>
        <v>2030.3157782325795</v>
      </c>
      <c r="AH170" s="1208">
        <f t="shared" si="486"/>
        <v>2020.7383491988992</v>
      </c>
      <c r="AI170" s="1208">
        <f t="shared" ref="AI170:BK170" si="487">(AI167+AI165)/AI160</f>
        <v>2103.3308578939882</v>
      </c>
      <c r="AJ170" s="1208">
        <f t="shared" si="487"/>
        <v>2116.8126369094443</v>
      </c>
      <c r="AK170" s="1208">
        <f t="shared" si="487"/>
        <v>2113.4906739856515</v>
      </c>
      <c r="AL170" s="1208">
        <f t="shared" si="487"/>
        <v>2204.9096643073017</v>
      </c>
      <c r="AM170" s="1209">
        <f t="shared" si="487"/>
        <v>2196.3669918579631</v>
      </c>
      <c r="AN170" s="1208">
        <f t="shared" si="487"/>
        <v>2256.2406631232657</v>
      </c>
      <c r="AO170" s="1208">
        <f t="shared" si="487"/>
        <v>2199.8893860826211</v>
      </c>
      <c r="AP170" s="1208">
        <f t="shared" si="487"/>
        <v>2158.0752434907927</v>
      </c>
      <c r="AQ170" s="1208">
        <f t="shared" si="487"/>
        <v>2119.4188612393841</v>
      </c>
      <c r="AR170" s="1208">
        <f t="shared" si="487"/>
        <v>2162.9834345512913</v>
      </c>
      <c r="AS170" s="1208">
        <f t="shared" si="487"/>
        <v>2232.2432148306489</v>
      </c>
      <c r="AT170" s="1208">
        <f t="shared" si="487"/>
        <v>2198.0113447021822</v>
      </c>
      <c r="AU170" s="1208">
        <f t="shared" si="487"/>
        <v>2160.8863465736599</v>
      </c>
      <c r="AV170" s="1208">
        <f t="shared" si="487"/>
        <v>2123.6808958215834</v>
      </c>
      <c r="AW170" s="1208">
        <f t="shared" si="487"/>
        <v>2087.0637484960616</v>
      </c>
      <c r="AX170" s="1208">
        <f t="shared" si="487"/>
        <v>2213.8225539268751</v>
      </c>
      <c r="AY170" s="1209">
        <f t="shared" si="487"/>
        <v>2332.4927466921904</v>
      </c>
      <c r="AZ170" s="1208">
        <f t="shared" si="487"/>
        <v>2295.2674342327073</v>
      </c>
      <c r="BA170" s="1208">
        <f t="shared" si="487"/>
        <v>2241.8881766090635</v>
      </c>
      <c r="BB170" s="1208">
        <f t="shared" si="487"/>
        <v>2184.4344897832821</v>
      </c>
      <c r="BC170" s="1208">
        <f t="shared" si="487"/>
        <v>2126.7905257787511</v>
      </c>
      <c r="BD170" s="1208">
        <f t="shared" si="487"/>
        <v>2138.5754343169006</v>
      </c>
      <c r="BE170" s="1208">
        <f t="shared" si="487"/>
        <v>2293.5298421683769</v>
      </c>
      <c r="BF170" s="1208">
        <f t="shared" si="487"/>
        <v>2263.277453937033</v>
      </c>
      <c r="BG170" s="1208">
        <f t="shared" si="487"/>
        <v>2215.6394269570392</v>
      </c>
      <c r="BH170" s="1208">
        <f t="shared" si="487"/>
        <v>2223.468017861001</v>
      </c>
      <c r="BI170" s="1208">
        <f t="shared" si="487"/>
        <v>2244.1813327059012</v>
      </c>
      <c r="BJ170" s="1208">
        <f t="shared" si="487"/>
        <v>2223.5907137001759</v>
      </c>
      <c r="BK170" s="1209">
        <f t="shared" si="487"/>
        <v>2300.0444025466277</v>
      </c>
    </row>
    <row r="171" spans="1:63" s="1216" customFormat="1" hidden="1" outlineLevel="1">
      <c r="A171" s="1210"/>
      <c r="B171" s="1211" t="s">
        <v>392</v>
      </c>
      <c r="C171" s="1212">
        <f t="shared" ref="C171:AH171" si="488">(C167+C165)/C163</f>
        <v>0.17725104353011331</v>
      </c>
      <c r="D171" s="1213">
        <f t="shared" si="488"/>
        <v>0.20542635658914729</v>
      </c>
      <c r="E171" s="1214">
        <f t="shared" si="488"/>
        <v>0.20025041782107594</v>
      </c>
      <c r="F171" s="1214">
        <f t="shared" si="488"/>
        <v>0.19526535748020712</v>
      </c>
      <c r="G171" s="1214">
        <f t="shared" si="488"/>
        <v>0.20881804285665453</v>
      </c>
      <c r="H171" s="1214">
        <f t="shared" si="488"/>
        <v>0.20347845611630214</v>
      </c>
      <c r="I171" s="1214">
        <f t="shared" si="488"/>
        <v>0.19833183543819979</v>
      </c>
      <c r="J171" s="1214">
        <f t="shared" si="488"/>
        <v>0.19336950690407509</v>
      </c>
      <c r="K171" s="1214">
        <f t="shared" si="488"/>
        <v>0.20045918545715685</v>
      </c>
      <c r="L171" s="1214">
        <f t="shared" si="488"/>
        <v>0.19633311721567501</v>
      </c>
      <c r="M171" s="1214">
        <f t="shared" si="488"/>
        <v>0.19147360277962475</v>
      </c>
      <c r="N171" s="1214">
        <f t="shared" si="488"/>
        <v>0.18671319957448099</v>
      </c>
      <c r="O171" s="1215">
        <f t="shared" si="488"/>
        <v>0.18211176931437584</v>
      </c>
      <c r="P171" s="1214">
        <f t="shared" si="488"/>
        <v>0.18060904834210287</v>
      </c>
      <c r="Q171" s="1214">
        <f t="shared" si="488"/>
        <v>0.18088298955327725</v>
      </c>
      <c r="R171" s="1214">
        <f t="shared" si="488"/>
        <v>0.18042257864495831</v>
      </c>
      <c r="S171" s="1214">
        <f t="shared" si="488"/>
        <v>0.17993021401269763</v>
      </c>
      <c r="T171" s="1214">
        <f t="shared" si="488"/>
        <v>0.17946297753935589</v>
      </c>
      <c r="U171" s="1214">
        <f t="shared" si="488"/>
        <v>0.20424672582772907</v>
      </c>
      <c r="V171" s="1214">
        <f t="shared" si="488"/>
        <v>0.20349412835245492</v>
      </c>
      <c r="W171" s="1214">
        <f t="shared" si="488"/>
        <v>0.20277448228795975</v>
      </c>
      <c r="X171" s="1214">
        <f t="shared" si="488"/>
        <v>0.20208708829093661</v>
      </c>
      <c r="Y171" s="1214">
        <f t="shared" si="488"/>
        <v>0.20143126326224012</v>
      </c>
      <c r="Z171" s="1214">
        <f t="shared" si="488"/>
        <v>0.20080634206586517</v>
      </c>
      <c r="AA171" s="1215">
        <f t="shared" si="488"/>
        <v>0.20959754529533592</v>
      </c>
      <c r="AB171" s="1214">
        <f t="shared" si="488"/>
        <v>0.22064732778746043</v>
      </c>
      <c r="AC171" s="1214">
        <f t="shared" si="488"/>
        <v>0.21911398168573351</v>
      </c>
      <c r="AD171" s="1214">
        <f t="shared" si="488"/>
        <v>0.2174423913086618</v>
      </c>
      <c r="AE171" s="1214">
        <f t="shared" si="488"/>
        <v>0.21580861892858136</v>
      </c>
      <c r="AF171" s="1214">
        <f t="shared" si="488"/>
        <v>0.21423839379960616</v>
      </c>
      <c r="AG171" s="1214">
        <f t="shared" si="488"/>
        <v>0.21273282283261846</v>
      </c>
      <c r="AH171" s="1214">
        <f t="shared" si="488"/>
        <v>0.21128913141382397</v>
      </c>
      <c r="AI171" s="1214">
        <f t="shared" ref="AI171:BK171" si="489">(AI167+AI165)/AI163</f>
        <v>0.21946780934160259</v>
      </c>
      <c r="AJ171" s="1214">
        <f t="shared" si="489"/>
        <v>0.22041533971346994</v>
      </c>
      <c r="AK171" s="1214">
        <f t="shared" si="489"/>
        <v>0.21961191201731706</v>
      </c>
      <c r="AL171" s="1214">
        <f t="shared" si="489"/>
        <v>0.22863489749962668</v>
      </c>
      <c r="AM171" s="1215">
        <f t="shared" si="489"/>
        <v>0.22727558671166936</v>
      </c>
      <c r="AN171" s="1214">
        <f t="shared" si="489"/>
        <v>0.23304394513855609</v>
      </c>
      <c r="AO171" s="1214">
        <f t="shared" si="489"/>
        <v>0.22680768638870633</v>
      </c>
      <c r="AP171" s="1214">
        <f t="shared" si="489"/>
        <v>0.22208950148515902</v>
      </c>
      <c r="AQ171" s="1214">
        <f t="shared" si="489"/>
        <v>0.2177121987226989</v>
      </c>
      <c r="AR171" s="1214">
        <f t="shared" si="489"/>
        <v>0.22178066671880581</v>
      </c>
      <c r="AS171" s="1214">
        <f t="shared" si="489"/>
        <v>0.22846334194054946</v>
      </c>
      <c r="AT171" s="1214">
        <f t="shared" si="489"/>
        <v>0.22454814196864134</v>
      </c>
      <c r="AU171" s="1214">
        <f t="shared" si="489"/>
        <v>0.2203514862077369</v>
      </c>
      <c r="AV171" s="1214">
        <f t="shared" si="489"/>
        <v>0.21616124909309986</v>
      </c>
      <c r="AW171" s="1214">
        <f t="shared" si="489"/>
        <v>0.21204538169234677</v>
      </c>
      <c r="AX171" s="1214">
        <f t="shared" si="489"/>
        <v>0.22451245223531621</v>
      </c>
      <c r="AY171" s="1215">
        <f t="shared" si="489"/>
        <v>0.23611438684179198</v>
      </c>
      <c r="AZ171" s="1214">
        <f t="shared" si="489"/>
        <v>0.23195953074983824</v>
      </c>
      <c r="BA171" s="1214">
        <f t="shared" si="489"/>
        <v>0.22618804745709287</v>
      </c>
      <c r="BB171" s="1214">
        <f t="shared" si="489"/>
        <v>0.22002473588945062</v>
      </c>
      <c r="BC171" s="1214">
        <f t="shared" si="489"/>
        <v>0.21386217473098304</v>
      </c>
      <c r="BD171" s="1214">
        <f t="shared" si="489"/>
        <v>0.21468940578984125</v>
      </c>
      <c r="BE171" s="1214">
        <f t="shared" si="489"/>
        <v>0.22986201732658884</v>
      </c>
      <c r="BF171" s="1214">
        <f t="shared" si="489"/>
        <v>0.22645264312293265</v>
      </c>
      <c r="BG171" s="1214">
        <f t="shared" si="489"/>
        <v>0.22131734929762306</v>
      </c>
      <c r="BH171" s="1214">
        <f t="shared" si="489"/>
        <v>0.22172978744579649</v>
      </c>
      <c r="BI171" s="1214">
        <f t="shared" si="489"/>
        <v>0.22342299930160561</v>
      </c>
      <c r="BJ171" s="1214">
        <f t="shared" si="489"/>
        <v>0.22100472665730062</v>
      </c>
      <c r="BK171" s="1215">
        <f t="shared" si="489"/>
        <v>0.22822315719770164</v>
      </c>
    </row>
    <row r="172" spans="1:63" s="339" customFormat="1" hidden="1" outlineLevel="1">
      <c r="A172" s="854"/>
      <c r="B172" s="373"/>
      <c r="C172" s="356"/>
      <c r="M172" s="341"/>
      <c r="N172" s="342"/>
      <c r="O172" s="407"/>
      <c r="Y172" s="341"/>
      <c r="Z172" s="342"/>
      <c r="AA172" s="407"/>
      <c r="AK172" s="341"/>
      <c r="AL172" s="342"/>
      <c r="AM172" s="407"/>
      <c r="AW172" s="341"/>
      <c r="AX172" s="342"/>
      <c r="AY172" s="407"/>
      <c r="BI172" s="341"/>
      <c r="BJ172" s="342"/>
      <c r="BK172" s="407"/>
    </row>
    <row r="173" spans="1:63" s="339" customFormat="1" collapsed="1">
      <c r="A173" s="854" t="s">
        <v>352</v>
      </c>
      <c r="B173" s="373"/>
      <c r="C173" s="356"/>
      <c r="D173" s="396" t="s">
        <v>389</v>
      </c>
      <c r="E173" s="415">
        <v>2.4</v>
      </c>
      <c r="F173" s="396" t="s">
        <v>355</v>
      </c>
      <c r="G173" s="415">
        <v>0.03</v>
      </c>
      <c r="H173" s="396" t="s">
        <v>356</v>
      </c>
      <c r="I173" s="415">
        <v>0.3</v>
      </c>
      <c r="J173" s="414" t="s">
        <v>354</v>
      </c>
      <c r="K173" s="415">
        <v>0.05</v>
      </c>
      <c r="L173" s="396" t="s">
        <v>357</v>
      </c>
      <c r="M173" s="415">
        <f>C184</f>
        <v>7.0000000000000007E-2</v>
      </c>
      <c r="O173" s="404"/>
      <c r="P173" s="396" t="s">
        <v>389</v>
      </c>
      <c r="Q173" s="415">
        <v>1.6</v>
      </c>
      <c r="R173" s="396" t="s">
        <v>355</v>
      </c>
      <c r="S173" s="415">
        <v>2.5000000000000001E-2</v>
      </c>
      <c r="T173" s="396" t="s">
        <v>356</v>
      </c>
      <c r="U173" s="415">
        <f>I173*0.75</f>
        <v>0.22499999999999998</v>
      </c>
      <c r="V173" s="414" t="s">
        <v>354</v>
      </c>
      <c r="W173" s="415">
        <v>0.04</v>
      </c>
      <c r="X173" s="396" t="s">
        <v>357</v>
      </c>
      <c r="Y173" s="415">
        <f>O184</f>
        <v>7.0000000000000007E-2</v>
      </c>
      <c r="AA173" s="404"/>
      <c r="AB173" s="396" t="s">
        <v>389</v>
      </c>
      <c r="AC173" s="415">
        <v>1.2</v>
      </c>
      <c r="AD173" s="396" t="s">
        <v>355</v>
      </c>
      <c r="AE173" s="415">
        <v>2.5000000000000001E-2</v>
      </c>
      <c r="AF173" s="396" t="s">
        <v>356</v>
      </c>
      <c r="AG173" s="415">
        <v>0.12</v>
      </c>
      <c r="AH173" s="414" t="s">
        <v>354</v>
      </c>
      <c r="AI173" s="415">
        <v>0.03</v>
      </c>
      <c r="AJ173" s="396" t="s">
        <v>357</v>
      </c>
      <c r="AK173" s="415">
        <f>AA184</f>
        <v>7.0000000000000007E-2</v>
      </c>
      <c r="AM173" s="404"/>
      <c r="AN173" s="396" t="s">
        <v>389</v>
      </c>
      <c r="AO173" s="415">
        <v>0.8</v>
      </c>
      <c r="AP173" s="396" t="s">
        <v>355</v>
      </c>
      <c r="AQ173" s="415">
        <v>2.1999999999999999E-2</v>
      </c>
      <c r="AR173" s="396" t="s">
        <v>356</v>
      </c>
      <c r="AS173" s="415">
        <v>0.06</v>
      </c>
      <c r="AT173" s="414" t="s">
        <v>354</v>
      </c>
      <c r="AU173" s="415">
        <v>2.8000000000000001E-2</v>
      </c>
      <c r="AV173" s="396" t="s">
        <v>357</v>
      </c>
      <c r="AW173" s="415">
        <f>AM184</f>
        <v>7.0000000000000007E-2</v>
      </c>
      <c r="AY173" s="404"/>
      <c r="AZ173" s="396" t="s">
        <v>389</v>
      </c>
      <c r="BA173" s="415">
        <v>0.75</v>
      </c>
      <c r="BB173" s="396" t="s">
        <v>355</v>
      </c>
      <c r="BC173" s="415">
        <v>0.02</v>
      </c>
      <c r="BD173" s="396" t="s">
        <v>356</v>
      </c>
      <c r="BE173" s="415">
        <v>0.03</v>
      </c>
      <c r="BF173" s="414" t="s">
        <v>354</v>
      </c>
      <c r="BG173" s="415">
        <v>0.02</v>
      </c>
      <c r="BH173" s="396" t="s">
        <v>357</v>
      </c>
      <c r="BI173" s="415">
        <f>AY184</f>
        <v>7.0000000000000007E-2</v>
      </c>
      <c r="BK173" s="404"/>
    </row>
    <row r="174" spans="1:63" s="378" customFormat="1" hidden="1" outlineLevel="1">
      <c r="A174" s="856"/>
      <c r="B174" s="386" t="s">
        <v>226</v>
      </c>
      <c r="C174" s="387">
        <v>46</v>
      </c>
      <c r="D174" s="376">
        <f>C174/12</f>
        <v>3.8333333333333335</v>
      </c>
      <c r="E174" s="377">
        <f t="shared" ref="E174:O174" si="490">D174*(1+($E173/12))</f>
        <v>4.5999999999999996</v>
      </c>
      <c r="F174" s="377">
        <f t="shared" si="490"/>
        <v>5.52</v>
      </c>
      <c r="G174" s="377">
        <f t="shared" si="490"/>
        <v>6.6239999999999997</v>
      </c>
      <c r="H174" s="377">
        <f t="shared" si="490"/>
        <v>7.9487999999999994</v>
      </c>
      <c r="I174" s="377">
        <f t="shared" si="490"/>
        <v>9.5385599999999986</v>
      </c>
      <c r="J174" s="377">
        <f t="shared" si="490"/>
        <v>11.446271999999999</v>
      </c>
      <c r="K174" s="377">
        <f t="shared" si="490"/>
        <v>13.735526399999998</v>
      </c>
      <c r="L174" s="377">
        <f t="shared" si="490"/>
        <v>16.482631679999997</v>
      </c>
      <c r="M174" s="377">
        <f t="shared" si="490"/>
        <v>19.779158015999997</v>
      </c>
      <c r="N174" s="377">
        <f t="shared" si="490"/>
        <v>23.734989619199997</v>
      </c>
      <c r="O174" s="398">
        <f t="shared" si="490"/>
        <v>28.481987543039995</v>
      </c>
      <c r="P174" s="377">
        <f t="shared" ref="P174:AA174" si="491">O174*(1+($Q173/12))</f>
        <v>32.279585882111995</v>
      </c>
      <c r="Q174" s="377">
        <f t="shared" si="491"/>
        <v>36.583530666393592</v>
      </c>
      <c r="R174" s="377">
        <f t="shared" si="491"/>
        <v>41.461334755246071</v>
      </c>
      <c r="S174" s="377">
        <f t="shared" si="491"/>
        <v>46.989512722612211</v>
      </c>
      <c r="T174" s="377">
        <f t="shared" si="491"/>
        <v>53.254781085627172</v>
      </c>
      <c r="U174" s="377">
        <f t="shared" si="491"/>
        <v>60.355418563710792</v>
      </c>
      <c r="V174" s="377">
        <f t="shared" si="491"/>
        <v>68.402807705538891</v>
      </c>
      <c r="W174" s="377">
        <f t="shared" si="491"/>
        <v>77.523182066277414</v>
      </c>
      <c r="X174" s="377">
        <f t="shared" si="491"/>
        <v>87.859606341781074</v>
      </c>
      <c r="Y174" s="377">
        <f t="shared" si="491"/>
        <v>99.574220520685216</v>
      </c>
      <c r="Z174" s="377">
        <f t="shared" si="491"/>
        <v>112.85078325677658</v>
      </c>
      <c r="AA174" s="398">
        <f t="shared" si="491"/>
        <v>127.89755435768012</v>
      </c>
      <c r="AB174" s="377">
        <f t="shared" ref="AB174:AM174" si="492">AA174*(1+($AC173/12))</f>
        <v>140.68730979344815</v>
      </c>
      <c r="AC174" s="377">
        <f t="shared" si="492"/>
        <v>154.75604077279297</v>
      </c>
      <c r="AD174" s="377">
        <f t="shared" si="492"/>
        <v>170.23164485007229</v>
      </c>
      <c r="AE174" s="377">
        <f t="shared" si="492"/>
        <v>187.25480933507953</v>
      </c>
      <c r="AF174" s="377">
        <f t="shared" si="492"/>
        <v>205.98029026858751</v>
      </c>
      <c r="AG174" s="377">
        <f t="shared" si="492"/>
        <v>226.57831929544628</v>
      </c>
      <c r="AH174" s="377">
        <f t="shared" si="492"/>
        <v>249.23615122499092</v>
      </c>
      <c r="AI174" s="377">
        <f t="shared" si="492"/>
        <v>274.15976634749001</v>
      </c>
      <c r="AJ174" s="377">
        <f t="shared" si="492"/>
        <v>301.57574298223903</v>
      </c>
      <c r="AK174" s="377">
        <f t="shared" si="492"/>
        <v>331.73331728046298</v>
      </c>
      <c r="AL174" s="377">
        <f t="shared" si="492"/>
        <v>364.90664900850931</v>
      </c>
      <c r="AM174" s="398">
        <f t="shared" si="492"/>
        <v>401.39731390936026</v>
      </c>
      <c r="AN174" s="377">
        <f t="shared" ref="AN174:AY174" si="493">AM174*(1+($AO173/12))</f>
        <v>428.15713483665093</v>
      </c>
      <c r="AO174" s="377">
        <f t="shared" si="493"/>
        <v>456.70094382576099</v>
      </c>
      <c r="AP174" s="377">
        <f t="shared" si="493"/>
        <v>487.14767341414506</v>
      </c>
      <c r="AQ174" s="377">
        <f t="shared" si="493"/>
        <v>519.62418497508804</v>
      </c>
      <c r="AR174" s="377">
        <f t="shared" si="493"/>
        <v>554.26579730676053</v>
      </c>
      <c r="AS174" s="377">
        <f t="shared" si="493"/>
        <v>591.21685046054461</v>
      </c>
      <c r="AT174" s="377">
        <f t="shared" si="493"/>
        <v>630.63130715791419</v>
      </c>
      <c r="AU174" s="377">
        <f t="shared" si="493"/>
        <v>672.67339430177515</v>
      </c>
      <c r="AV174" s="377">
        <f t="shared" si="493"/>
        <v>717.51828725522682</v>
      </c>
      <c r="AW174" s="377">
        <f t="shared" si="493"/>
        <v>765.35283973890864</v>
      </c>
      <c r="AX174" s="377">
        <f t="shared" si="493"/>
        <v>816.37636238816924</v>
      </c>
      <c r="AY174" s="398">
        <f t="shared" si="493"/>
        <v>870.80145321404723</v>
      </c>
      <c r="AZ174" s="377">
        <f t="shared" ref="AZ174:BK174" si="494">AY174*(1+($BA173/12))</f>
        <v>925.22654403992522</v>
      </c>
      <c r="BA174" s="377">
        <f t="shared" si="494"/>
        <v>983.05320304242059</v>
      </c>
      <c r="BB174" s="377">
        <f t="shared" si="494"/>
        <v>1044.494028232572</v>
      </c>
      <c r="BC174" s="377">
        <f t="shared" si="494"/>
        <v>1109.7749049971078</v>
      </c>
      <c r="BD174" s="377">
        <f t="shared" si="494"/>
        <v>1179.1358365594269</v>
      </c>
      <c r="BE174" s="377">
        <f t="shared" si="494"/>
        <v>1252.8318263443912</v>
      </c>
      <c r="BF174" s="377">
        <f t="shared" si="494"/>
        <v>1331.1338154909156</v>
      </c>
      <c r="BG174" s="377">
        <f t="shared" si="494"/>
        <v>1414.3296789590979</v>
      </c>
      <c r="BH174" s="377">
        <f t="shared" si="494"/>
        <v>1502.7252838940415</v>
      </c>
      <c r="BI174" s="377">
        <f t="shared" si="494"/>
        <v>1596.645614137419</v>
      </c>
      <c r="BJ174" s="377">
        <f t="shared" si="494"/>
        <v>1696.4359650210076</v>
      </c>
      <c r="BK174" s="398">
        <f t="shared" si="494"/>
        <v>1802.4632128348205</v>
      </c>
    </row>
    <row r="175" spans="1:63" s="54" customFormat="1" hidden="1" outlineLevel="1">
      <c r="A175" s="857"/>
      <c r="B175" s="371" t="s">
        <v>347</v>
      </c>
      <c r="C175" s="364">
        <f>C176/C174</f>
        <v>0.73913043478260865</v>
      </c>
      <c r="D175" s="352">
        <f>C175</f>
        <v>0.73913043478260865</v>
      </c>
      <c r="E175" s="169">
        <f t="shared" ref="E175:O175" si="495">D175*((0.5*($K173/12))+1)</f>
        <v>0.74067028985507244</v>
      </c>
      <c r="F175" s="169">
        <f t="shared" si="495"/>
        <v>0.7422133529589372</v>
      </c>
      <c r="G175" s="169">
        <f t="shared" si="495"/>
        <v>0.74375963077760177</v>
      </c>
      <c r="H175" s="169">
        <f t="shared" si="495"/>
        <v>0.7453091300083885</v>
      </c>
      <c r="I175" s="169">
        <f t="shared" si="495"/>
        <v>0.74686185736257271</v>
      </c>
      <c r="J175" s="169">
        <f t="shared" si="495"/>
        <v>0.74841781956541154</v>
      </c>
      <c r="K175" s="169">
        <f t="shared" si="495"/>
        <v>0.74997702335617289</v>
      </c>
      <c r="L175" s="169">
        <f t="shared" si="495"/>
        <v>0.75153947548816502</v>
      </c>
      <c r="M175" s="169">
        <f t="shared" si="495"/>
        <v>0.75310518272876548</v>
      </c>
      <c r="N175" s="169">
        <f t="shared" si="495"/>
        <v>0.75467415185945053</v>
      </c>
      <c r="O175" s="405">
        <f t="shared" si="495"/>
        <v>0.75624638967582447</v>
      </c>
      <c r="P175" s="169">
        <f t="shared" ref="P175:AA175" si="496">O175*((0.5*($W173/12))+1)</f>
        <v>0.75750680032528417</v>
      </c>
      <c r="Q175" s="169">
        <f t="shared" si="496"/>
        <v>0.75876931165915962</v>
      </c>
      <c r="R175" s="169">
        <f t="shared" si="496"/>
        <v>0.76003392717859153</v>
      </c>
      <c r="S175" s="169">
        <f t="shared" si="496"/>
        <v>0.76130065039055583</v>
      </c>
      <c r="T175" s="169">
        <f t="shared" si="496"/>
        <v>0.76256948480787345</v>
      </c>
      <c r="U175" s="169">
        <f t="shared" si="496"/>
        <v>0.76384043394921997</v>
      </c>
      <c r="V175" s="169">
        <f t="shared" si="496"/>
        <v>0.76511350133913536</v>
      </c>
      <c r="W175" s="169">
        <f t="shared" si="496"/>
        <v>0.76638869050803393</v>
      </c>
      <c r="X175" s="169">
        <f t="shared" si="496"/>
        <v>0.76766600499221405</v>
      </c>
      <c r="Y175" s="169">
        <f t="shared" si="496"/>
        <v>0.7689454483338678</v>
      </c>
      <c r="Z175" s="169">
        <f t="shared" si="496"/>
        <v>0.77022702408109089</v>
      </c>
      <c r="AA175" s="405">
        <f t="shared" si="496"/>
        <v>0.77151073578789275</v>
      </c>
      <c r="AB175" s="169">
        <f t="shared" ref="AB175:AM175" si="497">AA175*((0.5*($AI173/12))+1)</f>
        <v>0.77247512420762765</v>
      </c>
      <c r="AC175" s="169">
        <f t="shared" si="497"/>
        <v>0.77344071811288717</v>
      </c>
      <c r="AD175" s="169">
        <f t="shared" si="497"/>
        <v>0.77440751901052829</v>
      </c>
      <c r="AE175" s="169">
        <f t="shared" si="497"/>
        <v>0.77537552840929147</v>
      </c>
      <c r="AF175" s="169">
        <f t="shared" si="497"/>
        <v>0.77634474781980312</v>
      </c>
      <c r="AG175" s="169">
        <f t="shared" si="497"/>
        <v>0.7773151787545779</v>
      </c>
      <c r="AH175" s="169">
        <f t="shared" si="497"/>
        <v>0.77828682272802108</v>
      </c>
      <c r="AI175" s="169">
        <f t="shared" si="497"/>
        <v>0.77925968125643108</v>
      </c>
      <c r="AJ175" s="169">
        <f t="shared" si="497"/>
        <v>0.78023375585800159</v>
      </c>
      <c r="AK175" s="169">
        <f t="shared" si="497"/>
        <v>0.7812090480528241</v>
      </c>
      <c r="AL175" s="169">
        <f t="shared" si="497"/>
        <v>0.78218555936289014</v>
      </c>
      <c r="AM175" s="405">
        <f t="shared" si="497"/>
        <v>0.78316329131209372</v>
      </c>
      <c r="AN175" s="169">
        <f t="shared" ref="AN175:AY175" si="498">AM175*((0.5*($AU173/12))+1)</f>
        <v>0.78407698181862462</v>
      </c>
      <c r="AO175" s="169">
        <f t="shared" si="498"/>
        <v>0.78499173829741309</v>
      </c>
      <c r="AP175" s="169">
        <f t="shared" si="498"/>
        <v>0.78590756199209344</v>
      </c>
      <c r="AQ175" s="169">
        <f t="shared" si="498"/>
        <v>0.78682445414775093</v>
      </c>
      <c r="AR175" s="169">
        <f t="shared" si="498"/>
        <v>0.78774241601092343</v>
      </c>
      <c r="AS175" s="169">
        <f t="shared" si="498"/>
        <v>0.78866144882960287</v>
      </c>
      <c r="AT175" s="169">
        <f t="shared" si="498"/>
        <v>0.78958155385323747</v>
      </c>
      <c r="AU175" s="169">
        <f t="shared" si="498"/>
        <v>0.79050273233273294</v>
      </c>
      <c r="AV175" s="169">
        <f t="shared" si="498"/>
        <v>0.79142498552045448</v>
      </c>
      <c r="AW175" s="169">
        <f t="shared" si="498"/>
        <v>0.79234831467022837</v>
      </c>
      <c r="AX175" s="169">
        <f t="shared" si="498"/>
        <v>0.7932727210373437</v>
      </c>
      <c r="AY175" s="405">
        <f t="shared" si="498"/>
        <v>0.79419820587855405</v>
      </c>
      <c r="AZ175" s="169">
        <f t="shared" ref="AZ175:BK175" si="499">AY175*((0.5*($BG173/12))+1)</f>
        <v>0.79486003771678615</v>
      </c>
      <c r="BA175" s="169">
        <f t="shared" si="499"/>
        <v>0.79552242108155002</v>
      </c>
      <c r="BB175" s="169">
        <f t="shared" si="499"/>
        <v>0.79618535643245125</v>
      </c>
      <c r="BC175" s="169">
        <f t="shared" si="499"/>
        <v>0.79684884422947821</v>
      </c>
      <c r="BD175" s="169">
        <f t="shared" si="499"/>
        <v>0.79751288493300265</v>
      </c>
      <c r="BE175" s="169">
        <f t="shared" si="499"/>
        <v>0.79817747900378011</v>
      </c>
      <c r="BF175" s="169">
        <f t="shared" si="499"/>
        <v>0.79884262690294983</v>
      </c>
      <c r="BG175" s="169">
        <f t="shared" si="499"/>
        <v>0.79950832909203551</v>
      </c>
      <c r="BH175" s="169">
        <f t="shared" si="499"/>
        <v>0.80017458603294545</v>
      </c>
      <c r="BI175" s="169">
        <f t="shared" si="499"/>
        <v>0.80084139818797284</v>
      </c>
      <c r="BJ175" s="169">
        <f t="shared" si="499"/>
        <v>0.80150876601979604</v>
      </c>
      <c r="BK175" s="405">
        <f t="shared" si="499"/>
        <v>0.80217668999147917</v>
      </c>
    </row>
    <row r="176" spans="1:63" s="338" customFormat="1" hidden="1" outlineLevel="1">
      <c r="A176" s="858"/>
      <c r="B176" s="388" t="s">
        <v>258</v>
      </c>
      <c r="C176" s="389">
        <v>34</v>
      </c>
      <c r="D176" s="380">
        <f t="shared" ref="D176:AI176" si="500">D174*D175</f>
        <v>2.833333333333333</v>
      </c>
      <c r="E176" s="381">
        <f t="shared" si="500"/>
        <v>3.407083333333333</v>
      </c>
      <c r="F176" s="381">
        <f t="shared" si="500"/>
        <v>4.0970177083333335</v>
      </c>
      <c r="G176" s="381">
        <f t="shared" si="500"/>
        <v>4.9266637942708336</v>
      </c>
      <c r="H176" s="381">
        <f t="shared" si="500"/>
        <v>5.9243132126106781</v>
      </c>
      <c r="I176" s="381">
        <f t="shared" si="500"/>
        <v>7.1239866381643404</v>
      </c>
      <c r="J176" s="381">
        <f t="shared" si="500"/>
        <v>8.566593932392621</v>
      </c>
      <c r="K176" s="381">
        <f t="shared" si="500"/>
        <v>10.301329203702128</v>
      </c>
      <c r="L176" s="381">
        <f t="shared" si="500"/>
        <v>12.387348367451811</v>
      </c>
      <c r="M176" s="381">
        <f t="shared" si="500"/>
        <v>14.895786411860804</v>
      </c>
      <c r="N176" s="381">
        <f t="shared" si="500"/>
        <v>17.912183160262622</v>
      </c>
      <c r="O176" s="399">
        <f t="shared" si="500"/>
        <v>21.539400250215802</v>
      </c>
      <c r="P176" s="381">
        <f t="shared" si="500"/>
        <v>24.452005817383874</v>
      </c>
      <c r="Q176" s="381">
        <f t="shared" si="500"/>
        <v>27.758460381801225</v>
      </c>
      <c r="R176" s="381">
        <f t="shared" si="500"/>
        <v>31.512021080095899</v>
      </c>
      <c r="S176" s="381">
        <f t="shared" si="500"/>
        <v>35.773146597259974</v>
      </c>
      <c r="T176" s="381">
        <f t="shared" si="500"/>
        <v>40.610470976022796</v>
      </c>
      <c r="U176" s="381">
        <f t="shared" si="500"/>
        <v>46.101909106891661</v>
      </c>
      <c r="V176" s="381">
        <f t="shared" si="500"/>
        <v>52.33591170501245</v>
      </c>
      <c r="W176" s="381">
        <f t="shared" si="500"/>
        <v>59.412889987790244</v>
      </c>
      <c r="X176" s="381">
        <f t="shared" si="500"/>
        <v>67.446833000583666</v>
      </c>
      <c r="Y176" s="381">
        <f t="shared" si="500"/>
        <v>76.567143640773708</v>
      </c>
      <c r="Z176" s="381">
        <f t="shared" si="500"/>
        <v>86.920722953087221</v>
      </c>
      <c r="AA176" s="399">
        <f t="shared" si="500"/>
        <v>98.674336267965799</v>
      </c>
      <c r="AB176" s="381">
        <f t="shared" si="500"/>
        <v>108.67744710713085</v>
      </c>
      <c r="AC176" s="381">
        <f t="shared" si="500"/>
        <v>119.69462330761624</v>
      </c>
      <c r="AD176" s="381">
        <f t="shared" si="500"/>
        <v>131.82866574542587</v>
      </c>
      <c r="AE176" s="381">
        <f t="shared" si="500"/>
        <v>145.1927967353684</v>
      </c>
      <c r="AF176" s="381">
        <f t="shared" si="500"/>
        <v>159.9117165044164</v>
      </c>
      <c r="AG176" s="381">
        <f t="shared" si="500"/>
        <v>176.12276676505164</v>
      </c>
      <c r="AH176" s="381">
        <f t="shared" si="500"/>
        <v>193.97721224585877</v>
      </c>
      <c r="AI176" s="381">
        <f t="shared" si="500"/>
        <v>213.64165213728268</v>
      </c>
      <c r="AJ176" s="381">
        <f t="shared" ref="AJ176:BK176" si="501">AJ174*AJ175</f>
        <v>235.29957462269974</v>
      </c>
      <c r="AK176" s="381">
        <f t="shared" si="501"/>
        <v>259.15306900007596</v>
      </c>
      <c r="AL176" s="381">
        <f t="shared" si="501"/>
        <v>285.42471136995869</v>
      </c>
      <c r="AM176" s="399">
        <f t="shared" si="501"/>
        <v>314.35964148508822</v>
      </c>
      <c r="AN176" s="381">
        <f t="shared" si="501"/>
        <v>335.70815402683115</v>
      </c>
      <c r="AO176" s="381">
        <f t="shared" si="501"/>
        <v>358.50646777585331</v>
      </c>
      <c r="AP176" s="381">
        <f t="shared" si="501"/>
        <v>382.8530403430313</v>
      </c>
      <c r="AQ176" s="381">
        <f t="shared" si="501"/>
        <v>408.8530157049936</v>
      </c>
      <c r="AR176" s="381">
        <f t="shared" si="501"/>
        <v>436.61867828264832</v>
      </c>
      <c r="AS176" s="381">
        <f t="shared" si="501"/>
        <v>466.26993785668776</v>
      </c>
      <c r="AT176" s="381">
        <f t="shared" si="501"/>
        <v>497.93484741424419</v>
      </c>
      <c r="AU176" s="381">
        <f t="shared" si="501"/>
        <v>531.75015616308713</v>
      </c>
      <c r="AV176" s="381">
        <f t="shared" si="501"/>
        <v>567.8619001016292</v>
      </c>
      <c r="AW176" s="381">
        <f t="shared" si="501"/>
        <v>606.4260326951977</v>
      </c>
      <c r="AX176" s="381">
        <f t="shared" si="501"/>
        <v>647.60909838223154</v>
      </c>
      <c r="AY176" s="399">
        <f t="shared" si="501"/>
        <v>691.58895181903392</v>
      </c>
      <c r="AZ176" s="381">
        <f t="shared" si="501"/>
        <v>735.42560569214663</v>
      </c>
      <c r="BA176" s="381">
        <f t="shared" si="501"/>
        <v>782.04086413627897</v>
      </c>
      <c r="BB176" s="381">
        <f t="shared" si="501"/>
        <v>831.61085015991716</v>
      </c>
      <c r="BC176" s="381">
        <f t="shared" si="501"/>
        <v>884.32285040182433</v>
      </c>
      <c r="BD176" s="381">
        <f t="shared" si="501"/>
        <v>940.37602274239805</v>
      </c>
      <c r="BE176" s="381">
        <f t="shared" si="501"/>
        <v>999.98214876726774</v>
      </c>
      <c r="BF176" s="381">
        <f t="shared" si="501"/>
        <v>1063.3664339261095</v>
      </c>
      <c r="BG176" s="381">
        <f t="shared" si="501"/>
        <v>1130.7683584098634</v>
      </c>
      <c r="BH176" s="381">
        <f t="shared" si="501"/>
        <v>1202.4425819611552</v>
      </c>
      <c r="BI176" s="381">
        <f t="shared" si="501"/>
        <v>1278.6599060365052</v>
      </c>
      <c r="BJ176" s="381">
        <f t="shared" si="501"/>
        <v>1359.7082969555897</v>
      </c>
      <c r="BK176" s="399">
        <f t="shared" si="501"/>
        <v>1445.8939739032435</v>
      </c>
    </row>
    <row r="177" spans="1:63" s="54" customFormat="1" hidden="1" outlineLevel="1">
      <c r="A177" s="857"/>
      <c r="B177" s="371" t="s">
        <v>348</v>
      </c>
      <c r="C177" s="365">
        <f>C178/C176</f>
        <v>0.6470588235294118</v>
      </c>
      <c r="D177" s="352">
        <f>C177</f>
        <v>0.6470588235294118</v>
      </c>
      <c r="E177" s="169">
        <f t="shared" ref="E177:O177" si="502">D177*((0.5*($K173/12))+1)</f>
        <v>0.64840686274509818</v>
      </c>
      <c r="F177" s="169">
        <f t="shared" si="502"/>
        <v>0.6497577103758172</v>
      </c>
      <c r="G177" s="169">
        <f t="shared" si="502"/>
        <v>0.65111137227243354</v>
      </c>
      <c r="H177" s="169">
        <f t="shared" si="502"/>
        <v>0.65246785429800114</v>
      </c>
      <c r="I177" s="169">
        <f t="shared" si="502"/>
        <v>0.6538271623277887</v>
      </c>
      <c r="J177" s="169">
        <f t="shared" si="502"/>
        <v>0.65518930224930505</v>
      </c>
      <c r="K177" s="169">
        <f t="shared" si="502"/>
        <v>0.65655427996232452</v>
      </c>
      <c r="L177" s="169">
        <f t="shared" si="502"/>
        <v>0.65792210137891272</v>
      </c>
      <c r="M177" s="169">
        <f t="shared" si="502"/>
        <v>0.65929277242345219</v>
      </c>
      <c r="N177" s="169">
        <f t="shared" si="502"/>
        <v>0.66066629903266783</v>
      </c>
      <c r="O177" s="405">
        <f t="shared" si="502"/>
        <v>0.66204268715565262</v>
      </c>
      <c r="P177" s="169">
        <f t="shared" ref="P177:AA177" si="503">O177*((0.5*($W173/12))+1)</f>
        <v>0.66314609163424543</v>
      </c>
      <c r="Q177" s="169">
        <f t="shared" si="503"/>
        <v>0.66425133512030254</v>
      </c>
      <c r="R177" s="169">
        <f t="shared" si="503"/>
        <v>0.66535842067883644</v>
      </c>
      <c r="S177" s="169">
        <f t="shared" si="503"/>
        <v>0.66646735137996782</v>
      </c>
      <c r="T177" s="169">
        <f t="shared" si="503"/>
        <v>0.66757813029893442</v>
      </c>
      <c r="U177" s="169">
        <f t="shared" si="503"/>
        <v>0.66869076051609933</v>
      </c>
      <c r="V177" s="169">
        <f t="shared" si="503"/>
        <v>0.66980524511695949</v>
      </c>
      <c r="W177" s="169">
        <f t="shared" si="503"/>
        <v>0.67092158719215444</v>
      </c>
      <c r="X177" s="169">
        <f t="shared" si="503"/>
        <v>0.6720397898374747</v>
      </c>
      <c r="Y177" s="169">
        <f t="shared" si="503"/>
        <v>0.67315985615387053</v>
      </c>
      <c r="Z177" s="169">
        <f t="shared" si="503"/>
        <v>0.67428178924746029</v>
      </c>
      <c r="AA177" s="405">
        <f t="shared" si="503"/>
        <v>0.67540559222953944</v>
      </c>
      <c r="AB177" s="169">
        <f t="shared" ref="AB177:AM177" si="504">AA177*((0.5*($AI173/12))+1)</f>
        <v>0.67624984921982634</v>
      </c>
      <c r="AC177" s="169">
        <f t="shared" si="504"/>
        <v>0.67709516153135108</v>
      </c>
      <c r="AD177" s="169">
        <f t="shared" si="504"/>
        <v>0.67794153048326522</v>
      </c>
      <c r="AE177" s="169">
        <f t="shared" si="504"/>
        <v>0.67878895739636924</v>
      </c>
      <c r="AF177" s="169">
        <f t="shared" si="504"/>
        <v>0.67963744359311473</v>
      </c>
      <c r="AG177" s="169">
        <f t="shared" si="504"/>
        <v>0.68048699039760607</v>
      </c>
      <c r="AH177" s="169">
        <f t="shared" si="504"/>
        <v>0.6813375991356031</v>
      </c>
      <c r="AI177" s="169">
        <f t="shared" si="504"/>
        <v>0.68218927113452255</v>
      </c>
      <c r="AJ177" s="169">
        <f t="shared" si="504"/>
        <v>0.6830420077234407</v>
      </c>
      <c r="AK177" s="169">
        <f t="shared" si="504"/>
        <v>0.68389581023309498</v>
      </c>
      <c r="AL177" s="169">
        <f t="shared" si="504"/>
        <v>0.68475067999588635</v>
      </c>
      <c r="AM177" s="405">
        <f t="shared" si="504"/>
        <v>0.68560661834588121</v>
      </c>
      <c r="AN177" s="169">
        <f t="shared" ref="AN177:AY177" si="505">AM177*((0.5*($AU173/12))+1)</f>
        <v>0.68640649273395149</v>
      </c>
      <c r="AO177" s="169">
        <f t="shared" si="505"/>
        <v>0.68720730030880783</v>
      </c>
      <c r="AP177" s="169">
        <f t="shared" si="505"/>
        <v>0.68800904215916814</v>
      </c>
      <c r="AQ177" s="169">
        <f t="shared" si="505"/>
        <v>0.68881171937502061</v>
      </c>
      <c r="AR177" s="169">
        <f t="shared" si="505"/>
        <v>0.6896153330476249</v>
      </c>
      <c r="AS177" s="169">
        <f t="shared" si="505"/>
        <v>0.69041988426951384</v>
      </c>
      <c r="AT177" s="169">
        <f t="shared" si="505"/>
        <v>0.69122537413449503</v>
      </c>
      <c r="AU177" s="169">
        <f t="shared" si="505"/>
        <v>0.69203180373765205</v>
      </c>
      <c r="AV177" s="169">
        <f t="shared" si="505"/>
        <v>0.69283917417534602</v>
      </c>
      <c r="AW177" s="169">
        <f t="shared" si="505"/>
        <v>0.69364748654521735</v>
      </c>
      <c r="AX177" s="169">
        <f t="shared" si="505"/>
        <v>0.69445674194618678</v>
      </c>
      <c r="AY177" s="405">
        <f t="shared" si="505"/>
        <v>0.69526694147845736</v>
      </c>
      <c r="AZ177" s="169">
        <f t="shared" ref="AZ177:BK177" si="506">AY177*((0.5*($BG173/12))+1)</f>
        <v>0.69584633059635603</v>
      </c>
      <c r="BA177" s="169">
        <f t="shared" si="506"/>
        <v>0.69642620253851961</v>
      </c>
      <c r="BB177" s="169">
        <f t="shared" si="506"/>
        <v>0.69700655770730169</v>
      </c>
      <c r="BC177" s="169">
        <f t="shared" si="506"/>
        <v>0.69758739650539103</v>
      </c>
      <c r="BD177" s="169">
        <f t="shared" si="506"/>
        <v>0.69816871933581215</v>
      </c>
      <c r="BE177" s="169">
        <f t="shared" si="506"/>
        <v>0.69875052660192527</v>
      </c>
      <c r="BF177" s="169">
        <f t="shared" si="506"/>
        <v>0.69933281870742681</v>
      </c>
      <c r="BG177" s="169">
        <f t="shared" si="506"/>
        <v>0.69991559605634956</v>
      </c>
      <c r="BH177" s="169">
        <f t="shared" si="506"/>
        <v>0.70049885905306308</v>
      </c>
      <c r="BI177" s="169">
        <f t="shared" si="506"/>
        <v>0.70108260810227385</v>
      </c>
      <c r="BJ177" s="169">
        <f t="shared" si="506"/>
        <v>0.70166684360902565</v>
      </c>
      <c r="BK177" s="405">
        <f t="shared" si="506"/>
        <v>0.70225156597869975</v>
      </c>
    </row>
    <row r="178" spans="1:63" s="385" customFormat="1" hidden="1" outlineLevel="1">
      <c r="A178" s="859"/>
      <c r="B178" s="390" t="s">
        <v>285</v>
      </c>
      <c r="C178" s="391">
        <v>22</v>
      </c>
      <c r="D178" s="383">
        <f t="shared" ref="D178:AI178" si="507">D176*D177</f>
        <v>1.8333333333333333</v>
      </c>
      <c r="E178" s="384">
        <f t="shared" si="507"/>
        <v>2.2091762152777781</v>
      </c>
      <c r="F178" s="384">
        <f t="shared" si="507"/>
        <v>2.6620688455358446</v>
      </c>
      <c r="G178" s="384">
        <f t="shared" si="507"/>
        <v>3.2078068238125965</v>
      </c>
      <c r="H178" s="384">
        <f t="shared" si="507"/>
        <v>3.8654239300213868</v>
      </c>
      <c r="I178" s="384">
        <f t="shared" si="507"/>
        <v>4.6578559680920737</v>
      </c>
      <c r="J178" s="384">
        <f t="shared" si="507"/>
        <v>5.6127407012174517</v>
      </c>
      <c r="K178" s="384">
        <f t="shared" si="507"/>
        <v>6.7633817779915164</v>
      </c>
      <c r="L178" s="384">
        <f t="shared" si="507"/>
        <v>8.1499102684265399</v>
      </c>
      <c r="M178" s="384">
        <f t="shared" si="507"/>
        <v>9.8206843209032968</v>
      </c>
      <c r="N178" s="384">
        <f t="shared" si="507"/>
        <v>11.833975756085982</v>
      </c>
      <c r="O178" s="400">
        <f t="shared" si="507"/>
        <v>14.260002421374006</v>
      </c>
      <c r="P178" s="384">
        <f t="shared" si="507"/>
        <v>16.215252090415948</v>
      </c>
      <c r="Q178" s="384">
        <f t="shared" si="507"/>
        <v>18.438594369495487</v>
      </c>
      <c r="R178" s="384">
        <f t="shared" si="507"/>
        <v>20.96678857825081</v>
      </c>
      <c r="S178" s="384">
        <f t="shared" si="507"/>
        <v>23.841634263203161</v>
      </c>
      <c r="T178" s="384">
        <f t="shared" si="507"/>
        <v>27.110662284732442</v>
      </c>
      <c r="U178" s="384">
        <f t="shared" si="507"/>
        <v>30.827920661931469</v>
      </c>
      <c r="V178" s="384">
        <f t="shared" si="507"/>
        <v>35.054868167995416</v>
      </c>
      <c r="W178" s="384">
        <f t="shared" si="507"/>
        <v>39.861390450281093</v>
      </c>
      <c r="X178" s="384">
        <f t="shared" si="507"/>
        <v>45.326955474915501</v>
      </c>
      <c r="Y178" s="384">
        <f t="shared" si="507"/>
        <v>51.541927399335968</v>
      </c>
      <c r="Z178" s="384">
        <f t="shared" si="507"/>
        <v>58.60906059549044</v>
      </c>
      <c r="AA178" s="400">
        <f t="shared" si="507"/>
        <v>66.645198524922165</v>
      </c>
      <c r="AB178" s="384">
        <f t="shared" si="507"/>
        <v>73.49310721979289</v>
      </c>
      <c r="AC178" s="384">
        <f t="shared" si="507"/>
        <v>81.044650302904643</v>
      </c>
      <c r="AD178" s="384">
        <f t="shared" si="507"/>
        <v>89.372127417020806</v>
      </c>
      <c r="AE178" s="384">
        <f t="shared" si="507"/>
        <v>98.555267117463686</v>
      </c>
      <c r="AF178" s="384">
        <f t="shared" si="507"/>
        <v>108.68199020564846</v>
      </c>
      <c r="AG178" s="384">
        <f t="shared" si="507"/>
        <v>119.84925149644951</v>
      </c>
      <c r="AH178" s="384">
        <f t="shared" si="507"/>
        <v>132.16396807861071</v>
      </c>
      <c r="AI178" s="384">
        <f t="shared" si="507"/>
        <v>145.74404295550809</v>
      </c>
      <c r="AJ178" s="384">
        <f t="shared" ref="AJ178:BK178" si="508">AJ176*AJ177</f>
        <v>160.71949386676039</v>
      </c>
      <c r="AK178" s="384">
        <f t="shared" si="508"/>
        <v>177.23369809820011</v>
      </c>
      <c r="AL178" s="384">
        <f t="shared" si="508"/>
        <v>195.44476519820881</v>
      </c>
      <c r="AM178" s="400">
        <f t="shared" si="508"/>
        <v>215.52705074301491</v>
      </c>
      <c r="AN178" s="384">
        <f t="shared" si="508"/>
        <v>230.43225658774634</v>
      </c>
      <c r="AO178" s="384">
        <f t="shared" si="508"/>
        <v>246.36826186349077</v>
      </c>
      <c r="AP178" s="384">
        <f t="shared" si="508"/>
        <v>263.4063535741343</v>
      </c>
      <c r="AQ178" s="384">
        <f t="shared" si="508"/>
        <v>281.62274871941895</v>
      </c>
      <c r="AR178" s="384">
        <f t="shared" si="508"/>
        <v>301.09893523870232</v>
      </c>
      <c r="AS178" s="384">
        <f t="shared" si="508"/>
        <v>321.92203653336776</v>
      </c>
      <c r="AT178" s="384">
        <f t="shared" si="508"/>
        <v>344.18520119851365</v>
      </c>
      <c r="AU178" s="384">
        <f t="shared" si="508"/>
        <v>367.98801970731932</v>
      </c>
      <c r="AV178" s="384">
        <f t="shared" si="508"/>
        <v>393.43696991205559</v>
      </c>
      <c r="AW178" s="384">
        <f t="shared" si="508"/>
        <v>420.6458933546117</v>
      </c>
      <c r="AX178" s="384">
        <f t="shared" si="508"/>
        <v>449.73650451723205</v>
      </c>
      <c r="AY178" s="400">
        <f t="shared" si="508"/>
        <v>480.83893529151192</v>
      </c>
      <c r="AZ178" s="384">
        <f t="shared" si="508"/>
        <v>511.74320914748284</v>
      </c>
      <c r="BA178" s="384">
        <f t="shared" si="508"/>
        <v>544.63374924037112</v>
      </c>
      <c r="BB178" s="384">
        <f t="shared" si="508"/>
        <v>579.63821602200653</v>
      </c>
      <c r="BC178" s="384">
        <f t="shared" si="508"/>
        <v>616.892474882035</v>
      </c>
      <c r="BD178" s="384">
        <f t="shared" si="508"/>
        <v>656.54112349216462</v>
      </c>
      <c r="BE178" s="384">
        <f t="shared" si="508"/>
        <v>698.73805304365317</v>
      </c>
      <c r="BF178" s="384">
        <f t="shared" si="508"/>
        <v>743.64704555641083</v>
      </c>
      <c r="BG178" s="384">
        <f t="shared" si="508"/>
        <v>791.44240957809939</v>
      </c>
      <c r="BH178" s="384">
        <f t="shared" si="508"/>
        <v>842.30965674060849</v>
      </c>
      <c r="BI178" s="384">
        <f t="shared" si="508"/>
        <v>896.44622179988141</v>
      </c>
      <c r="BJ178" s="384">
        <f t="shared" si="508"/>
        <v>954.06222895383235</v>
      </c>
      <c r="BK178" s="400">
        <f t="shared" si="508"/>
        <v>1015.381307412718</v>
      </c>
    </row>
    <row r="179" spans="1:63" s="339" customFormat="1" ht="6.75" hidden="1" customHeight="1" outlineLevel="1">
      <c r="A179" s="854"/>
      <c r="B179" s="373"/>
      <c r="C179" s="357"/>
      <c r="D179" s="349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40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401"/>
      <c r="AB179" s="341"/>
      <c r="AC179" s="341"/>
      <c r="AD179" s="341"/>
      <c r="AE179" s="341"/>
      <c r="AF179" s="341"/>
      <c r="AG179" s="341"/>
      <c r="AH179" s="341"/>
      <c r="AI179" s="341"/>
      <c r="AJ179" s="341"/>
      <c r="AK179" s="341"/>
      <c r="AL179" s="341"/>
      <c r="AM179" s="401"/>
      <c r="AN179" s="341"/>
      <c r="AO179" s="341"/>
      <c r="AP179" s="341"/>
      <c r="AQ179" s="341"/>
      <c r="AR179" s="341"/>
      <c r="AS179" s="341"/>
      <c r="AT179" s="341"/>
      <c r="AU179" s="341"/>
      <c r="AV179" s="341"/>
      <c r="AW179" s="341"/>
      <c r="AX179" s="341"/>
      <c r="AY179" s="401"/>
      <c r="AZ179" s="341"/>
      <c r="BA179" s="341"/>
      <c r="BB179" s="341"/>
      <c r="BC179" s="341"/>
      <c r="BD179" s="341"/>
      <c r="BE179" s="341"/>
      <c r="BF179" s="341"/>
      <c r="BG179" s="341"/>
      <c r="BH179" s="341"/>
      <c r="BI179" s="341"/>
      <c r="BJ179" s="341"/>
      <c r="BK179" s="401"/>
    </row>
    <row r="180" spans="1:63" s="248" customFormat="1" hidden="1" outlineLevel="1">
      <c r="A180" s="860"/>
      <c r="B180" s="374" t="s">
        <v>321</v>
      </c>
      <c r="C180" s="358">
        <v>9525</v>
      </c>
      <c r="D180" s="353">
        <f>C180</f>
        <v>9525</v>
      </c>
      <c r="E180" s="249">
        <f t="shared" ref="E180:O180" si="509">D180*((1+$G173/12))</f>
        <v>9548.8125</v>
      </c>
      <c r="F180" s="249">
        <f t="shared" si="509"/>
        <v>9572.6845312499991</v>
      </c>
      <c r="G180" s="249">
        <f t="shared" si="509"/>
        <v>9596.616242578124</v>
      </c>
      <c r="H180" s="249">
        <f t="shared" si="509"/>
        <v>9620.6077831845687</v>
      </c>
      <c r="I180" s="249">
        <f t="shared" si="509"/>
        <v>9644.6593026425289</v>
      </c>
      <c r="J180" s="249">
        <f t="shared" si="509"/>
        <v>9668.7709508991356</v>
      </c>
      <c r="K180" s="249">
        <f t="shared" si="509"/>
        <v>9692.9428782763825</v>
      </c>
      <c r="L180" s="249">
        <f t="shared" si="509"/>
        <v>9717.1752354720738</v>
      </c>
      <c r="M180" s="249">
        <f t="shared" si="509"/>
        <v>9741.4681735607537</v>
      </c>
      <c r="N180" s="249">
        <f t="shared" si="509"/>
        <v>9765.8218439946559</v>
      </c>
      <c r="O180" s="402">
        <f t="shared" si="509"/>
        <v>9790.2363986046421</v>
      </c>
      <c r="P180" s="249">
        <f t="shared" ref="P180:AA180" si="510">O180*((1+$S173/12))</f>
        <v>9810.6327244350687</v>
      </c>
      <c r="Q180" s="249">
        <f t="shared" si="510"/>
        <v>9831.0715426109764</v>
      </c>
      <c r="R180" s="249">
        <f t="shared" si="510"/>
        <v>9851.552941658083</v>
      </c>
      <c r="S180" s="249">
        <f t="shared" si="510"/>
        <v>9872.077010286539</v>
      </c>
      <c r="T180" s="249">
        <f t="shared" si="510"/>
        <v>9892.6438373913043</v>
      </c>
      <c r="U180" s="249">
        <f t="shared" si="510"/>
        <v>9913.2535120525372</v>
      </c>
      <c r="V180" s="249">
        <f t="shared" si="510"/>
        <v>9933.9061235359804</v>
      </c>
      <c r="W180" s="249">
        <f t="shared" si="510"/>
        <v>9954.6017612933483</v>
      </c>
      <c r="X180" s="249">
        <f t="shared" si="510"/>
        <v>9975.3405149627106</v>
      </c>
      <c r="Y180" s="249">
        <f t="shared" si="510"/>
        <v>9996.1224743688836</v>
      </c>
      <c r="Z180" s="249">
        <f t="shared" si="510"/>
        <v>10016.947729523819</v>
      </c>
      <c r="AA180" s="402">
        <f t="shared" si="510"/>
        <v>10037.816370626995</v>
      </c>
      <c r="AB180" s="249">
        <f t="shared" ref="AB180:AM180" si="511">AA180*((1+$AE173/12))</f>
        <v>10058.728488065803</v>
      </c>
      <c r="AC180" s="249">
        <f t="shared" si="511"/>
        <v>10079.68417241594</v>
      </c>
      <c r="AD180" s="249">
        <f t="shared" si="511"/>
        <v>10100.683514441807</v>
      </c>
      <c r="AE180" s="249">
        <f t="shared" si="511"/>
        <v>10121.726605096896</v>
      </c>
      <c r="AF180" s="249">
        <f t="shared" si="511"/>
        <v>10142.813535524181</v>
      </c>
      <c r="AG180" s="249">
        <f t="shared" si="511"/>
        <v>10163.944397056524</v>
      </c>
      <c r="AH180" s="249">
        <f t="shared" si="511"/>
        <v>10185.119281217059</v>
      </c>
      <c r="AI180" s="249">
        <f t="shared" si="511"/>
        <v>10206.338279719595</v>
      </c>
      <c r="AJ180" s="249">
        <f t="shared" si="511"/>
        <v>10227.601484469013</v>
      </c>
      <c r="AK180" s="249">
        <f t="shared" si="511"/>
        <v>10248.908987561657</v>
      </c>
      <c r="AL180" s="249">
        <f t="shared" si="511"/>
        <v>10270.260881285745</v>
      </c>
      <c r="AM180" s="402">
        <f t="shared" si="511"/>
        <v>10291.657258121759</v>
      </c>
      <c r="AN180" s="249">
        <f t="shared" ref="AN180:AY180" si="512">AM180*((1+$AQ173/12))</f>
        <v>10310.525296428315</v>
      </c>
      <c r="AO180" s="249">
        <f t="shared" si="512"/>
        <v>10329.427926138434</v>
      </c>
      <c r="AP180" s="249">
        <f t="shared" si="512"/>
        <v>10348.365210669688</v>
      </c>
      <c r="AQ180" s="249">
        <f t="shared" si="512"/>
        <v>10367.337213555917</v>
      </c>
      <c r="AR180" s="249">
        <f t="shared" si="512"/>
        <v>10386.343998447435</v>
      </c>
      <c r="AS180" s="249">
        <f t="shared" si="512"/>
        <v>10405.385629111255</v>
      </c>
      <c r="AT180" s="249">
        <f t="shared" si="512"/>
        <v>10424.462169431292</v>
      </c>
      <c r="AU180" s="249">
        <f t="shared" si="512"/>
        <v>10443.573683408582</v>
      </c>
      <c r="AV180" s="249">
        <f t="shared" si="512"/>
        <v>10462.720235161498</v>
      </c>
      <c r="AW180" s="249">
        <f t="shared" si="512"/>
        <v>10481.901888925961</v>
      </c>
      <c r="AX180" s="249">
        <f t="shared" si="512"/>
        <v>10501.118709055658</v>
      </c>
      <c r="AY180" s="402">
        <f t="shared" si="512"/>
        <v>10520.370760022261</v>
      </c>
      <c r="AZ180" s="249">
        <f t="shared" ref="AZ180:BK180" si="513">AY180*((1+$BC173/12))</f>
        <v>10537.904711288964</v>
      </c>
      <c r="BA180" s="249">
        <f t="shared" si="513"/>
        <v>10555.467885807779</v>
      </c>
      <c r="BB180" s="249">
        <f t="shared" si="513"/>
        <v>10573.060332284125</v>
      </c>
      <c r="BC180" s="249">
        <f t="shared" si="513"/>
        <v>10590.6820995046</v>
      </c>
      <c r="BD180" s="249">
        <f t="shared" si="513"/>
        <v>10608.333236337108</v>
      </c>
      <c r="BE180" s="249">
        <f t="shared" si="513"/>
        <v>10626.013791731004</v>
      </c>
      <c r="BF180" s="249">
        <f t="shared" si="513"/>
        <v>10643.723814717223</v>
      </c>
      <c r="BG180" s="249">
        <f t="shared" si="513"/>
        <v>10661.463354408419</v>
      </c>
      <c r="BH180" s="249">
        <f t="shared" si="513"/>
        <v>10679.232459999101</v>
      </c>
      <c r="BI180" s="249">
        <f t="shared" si="513"/>
        <v>10697.031180765765</v>
      </c>
      <c r="BJ180" s="249">
        <f t="shared" si="513"/>
        <v>10714.859566067042</v>
      </c>
      <c r="BK180" s="402">
        <f t="shared" si="513"/>
        <v>10732.71766534382</v>
      </c>
    </row>
    <row r="181" spans="1:63" s="334" customFormat="1" hidden="1" outlineLevel="1">
      <c r="A181" s="861"/>
      <c r="B181" s="372" t="s">
        <v>261</v>
      </c>
      <c r="C181" s="359">
        <f t="shared" ref="C181:AH181" si="514">C180*C178</f>
        <v>209550</v>
      </c>
      <c r="D181" s="354">
        <f t="shared" si="514"/>
        <v>17462.5</v>
      </c>
      <c r="E181" s="335">
        <f t="shared" si="514"/>
        <v>21095.009459147139</v>
      </c>
      <c r="F181" s="335">
        <f t="shared" si="514"/>
        <v>25483.145258783523</v>
      </c>
      <c r="G181" s="335">
        <f t="shared" si="514"/>
        <v>30784.091068452904</v>
      </c>
      <c r="H181" s="335">
        <f t="shared" si="514"/>
        <v>37187.727546471637</v>
      </c>
      <c r="I181" s="335">
        <f t="shared" si="514"/>
        <v>44923.433893028239</v>
      </c>
      <c r="J181" s="335">
        <f t="shared" si="514"/>
        <v>54268.304246860542</v>
      </c>
      <c r="K181" s="335">
        <f t="shared" si="514"/>
        <v>65557.073238047131</v>
      </c>
      <c r="L181" s="335">
        <f t="shared" si="514"/>
        <v>79194.106231673941</v>
      </c>
      <c r="M181" s="335">
        <f t="shared" si="514"/>
        <v>95667.883754666575</v>
      </c>
      <c r="N181" s="335">
        <f t="shared" si="514"/>
        <v>115568.49894008765</v>
      </c>
      <c r="O181" s="403">
        <f t="shared" si="514"/>
        <v>139608.79474992614</v>
      </c>
      <c r="P181" s="335">
        <f t="shared" si="514"/>
        <v>159081.88279319886</v>
      </c>
      <c r="Q181" s="335">
        <f t="shared" si="514"/>
        <v>181271.14039169406</v>
      </c>
      <c r="R181" s="335">
        <f t="shared" si="514"/>
        <v>206555.42769518986</v>
      </c>
      <c r="S181" s="335">
        <f t="shared" si="514"/>
        <v>235366.44949742779</v>
      </c>
      <c r="T181" s="335">
        <f t="shared" si="514"/>
        <v>268196.12617865525</v>
      </c>
      <c r="U181" s="335">
        <f t="shared" si="514"/>
        <v>305604.99277116911</v>
      </c>
      <c r="V181" s="335">
        <f t="shared" si="514"/>
        <v>348231.76955379616</v>
      </c>
      <c r="W181" s="335">
        <f t="shared" si="514"/>
        <v>396804.26758397004</v>
      </c>
      <c r="X181" s="335">
        <f t="shared" si="514"/>
        <v>452151.81536883547</v>
      </c>
      <c r="Y181" s="335">
        <f t="shared" si="514"/>
        <v>515219.41884879163</v>
      </c>
      <c r="Z181" s="335">
        <f t="shared" si="514"/>
        <v>587083.89646152197</v>
      </c>
      <c r="AA181" s="403">
        <f t="shared" si="514"/>
        <v>668972.26477714977</v>
      </c>
      <c r="AB181" s="335">
        <f t="shared" si="514"/>
        <v>739247.21126820531</v>
      </c>
      <c r="AC181" s="335">
        <f t="shared" si="514"/>
        <v>816904.47891717264</v>
      </c>
      <c r="AD181" s="335">
        <f t="shared" si="514"/>
        <v>902719.57405169471</v>
      </c>
      <c r="AE181" s="335">
        <f t="shared" si="514"/>
        <v>997549.46925526345</v>
      </c>
      <c r="AF181" s="335">
        <f t="shared" si="514"/>
        <v>1102341.1613255576</v>
      </c>
      <c r="AG181" s="335">
        <f t="shared" si="514"/>
        <v>1218141.1282387562</v>
      </c>
      <c r="AH181" s="335">
        <f t="shared" si="514"/>
        <v>1346105.7795596139</v>
      </c>
      <c r="AI181" s="335">
        <f t="shared" ref="AI181:BK181" si="515">AI180*AI178</f>
        <v>1487513.0046578993</v>
      </c>
      <c r="AJ181" s="335">
        <f t="shared" si="515"/>
        <v>1643774.9340547868</v>
      </c>
      <c r="AK181" s="335">
        <f t="shared" si="515"/>
        <v>1816452.0413374326</v>
      </c>
      <c r="AL181" s="335">
        <f t="shared" si="515"/>
        <v>2007268.7264672415</v>
      </c>
      <c r="AM181" s="403">
        <f t="shared" si="515"/>
        <v>2218130.5361009259</v>
      </c>
      <c r="AN181" s="335">
        <f t="shared" si="515"/>
        <v>2375877.6106610191</v>
      </c>
      <c r="AO181" s="335">
        <f t="shared" si="515"/>
        <v>2544843.2042069281</v>
      </c>
      <c r="AP181" s="335">
        <f t="shared" si="515"/>
        <v>2725825.1455959305</v>
      </c>
      <c r="AQ181" s="335">
        <f t="shared" si="515"/>
        <v>2919678.0029827389</v>
      </c>
      <c r="AR181" s="335">
        <f t="shared" si="515"/>
        <v>3127317.1189554087</v>
      </c>
      <c r="AS181" s="335">
        <f t="shared" si="515"/>
        <v>3349722.9326385334</v>
      </c>
      <c r="AT181" s="335">
        <f t="shared" si="515"/>
        <v>3587945.6091720033</v>
      </c>
      <c r="AU181" s="335">
        <f t="shared" si="515"/>
        <v>3843109.9984249985</v>
      </c>
      <c r="AV181" s="335">
        <f t="shared" si="515"/>
        <v>4116420.9463594896</v>
      </c>
      <c r="AW181" s="335">
        <f t="shared" si="515"/>
        <v>4409168.9841226526</v>
      </c>
      <c r="AX181" s="335">
        <f t="shared" si="515"/>
        <v>4722736.4217312001</v>
      </c>
      <c r="AY181" s="403">
        <f t="shared" si="515"/>
        <v>5058603.875121058</v>
      </c>
      <c r="AZ181" s="335">
        <f t="shared" si="515"/>
        <v>5392701.1746453932</v>
      </c>
      <c r="BA181" s="335">
        <f t="shared" si="515"/>
        <v>5748864.0496338243</v>
      </c>
      <c r="BB181" s="335">
        <f t="shared" si="515"/>
        <v>6128549.8288982138</v>
      </c>
      <c r="BC181" s="335">
        <f t="shared" si="515"/>
        <v>6533312.0910522593</v>
      </c>
      <c r="BD181" s="335">
        <f t="shared" si="515"/>
        <v>6964807.021364036</v>
      </c>
      <c r="BE181" s="335">
        <f t="shared" si="515"/>
        <v>7424800.1884491285</v>
      </c>
      <c r="BF181" s="335">
        <f t="shared" si="515"/>
        <v>7915173.7685328731</v>
      </c>
      <c r="BG181" s="335">
        <f t="shared" si="515"/>
        <v>8437934.2468416058</v>
      </c>
      <c r="BH181" s="335">
        <f t="shared" si="515"/>
        <v>8995220.6276350059</v>
      </c>
      <c r="BI181" s="335">
        <f t="shared" si="515"/>
        <v>9589313.1864729952</v>
      </c>
      <c r="BJ181" s="335">
        <f t="shared" si="515"/>
        <v>10222642.800529215</v>
      </c>
      <c r="BK181" s="403">
        <f t="shared" si="515"/>
        <v>10897800.895128382</v>
      </c>
    </row>
    <row r="182" spans="1:63" s="339" customFormat="1" ht="4.5" hidden="1" customHeight="1" outlineLevel="1">
      <c r="A182" s="854"/>
      <c r="B182" s="373"/>
      <c r="C182" s="360"/>
      <c r="D182" s="341"/>
      <c r="E182" s="341"/>
      <c r="F182" s="341"/>
      <c r="G182" s="341"/>
      <c r="H182" s="341"/>
      <c r="I182" s="341"/>
      <c r="J182" s="341"/>
      <c r="K182" s="341"/>
      <c r="L182" s="341"/>
      <c r="M182" s="341"/>
      <c r="N182" s="341"/>
      <c r="O182" s="40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  <c r="AA182" s="401"/>
      <c r="AB182" s="341"/>
      <c r="AC182" s="341"/>
      <c r="AD182" s="341"/>
      <c r="AE182" s="341"/>
      <c r="AF182" s="341"/>
      <c r="AG182" s="341"/>
      <c r="AH182" s="341"/>
      <c r="AI182" s="341"/>
      <c r="AJ182" s="341"/>
      <c r="AK182" s="341"/>
      <c r="AL182" s="341"/>
      <c r="AM182" s="401"/>
      <c r="AN182" s="341"/>
      <c r="AO182" s="341"/>
      <c r="AP182" s="341"/>
      <c r="AQ182" s="341"/>
      <c r="AR182" s="341"/>
      <c r="AS182" s="341"/>
      <c r="AT182" s="341"/>
      <c r="AU182" s="341"/>
      <c r="AV182" s="341"/>
      <c r="AW182" s="341"/>
      <c r="AX182" s="341"/>
      <c r="AY182" s="401"/>
      <c r="AZ182" s="341"/>
      <c r="BA182" s="341"/>
      <c r="BB182" s="341"/>
      <c r="BC182" s="341"/>
      <c r="BD182" s="341"/>
      <c r="BE182" s="341"/>
      <c r="BF182" s="341"/>
      <c r="BG182" s="341"/>
      <c r="BH182" s="341"/>
      <c r="BI182" s="341"/>
      <c r="BJ182" s="341"/>
      <c r="BK182" s="401"/>
    </row>
    <row r="183" spans="1:63" s="248" customFormat="1" hidden="1" outlineLevel="1">
      <c r="A183" s="860"/>
      <c r="B183" s="374" t="s">
        <v>346</v>
      </c>
      <c r="C183" s="358">
        <v>10000</v>
      </c>
      <c r="D183" s="353">
        <f>C183/12</f>
        <v>833.33333333333337</v>
      </c>
      <c r="E183" s="249">
        <f t="shared" ref="E183:O183" si="516">D183*(1+($I173/12))</f>
        <v>854.16666666666663</v>
      </c>
      <c r="F183" s="249">
        <f t="shared" si="516"/>
        <v>875.52083333333326</v>
      </c>
      <c r="G183" s="249">
        <f t="shared" si="516"/>
        <v>897.40885416666652</v>
      </c>
      <c r="H183" s="249">
        <f t="shared" si="516"/>
        <v>919.84407552083314</v>
      </c>
      <c r="I183" s="249">
        <f t="shared" si="516"/>
        <v>942.84017740885395</v>
      </c>
      <c r="J183" s="249">
        <f t="shared" si="516"/>
        <v>966.41118184407526</v>
      </c>
      <c r="K183" s="249">
        <f t="shared" si="516"/>
        <v>990.57146139017709</v>
      </c>
      <c r="L183" s="249">
        <f t="shared" si="516"/>
        <v>1015.3357479249314</v>
      </c>
      <c r="M183" s="249">
        <f t="shared" si="516"/>
        <v>1040.7191416230546</v>
      </c>
      <c r="N183" s="249">
        <f t="shared" si="516"/>
        <v>1066.7371201636308</v>
      </c>
      <c r="O183" s="402">
        <f t="shared" si="516"/>
        <v>1093.4055481677215</v>
      </c>
      <c r="P183" s="249">
        <f t="shared" ref="P183:AA183" si="517">O183*(1+($U173/12))</f>
        <v>1113.9069021958662</v>
      </c>
      <c r="Q183" s="249">
        <f t="shared" si="517"/>
        <v>1134.7926566120389</v>
      </c>
      <c r="R183" s="249">
        <f t="shared" si="517"/>
        <v>1156.0700189235147</v>
      </c>
      <c r="S183" s="249">
        <f t="shared" si="517"/>
        <v>1177.7463317783306</v>
      </c>
      <c r="T183" s="249">
        <f t="shared" si="517"/>
        <v>1199.8290754991745</v>
      </c>
      <c r="U183" s="249">
        <f t="shared" si="517"/>
        <v>1222.3258706647841</v>
      </c>
      <c r="V183" s="249">
        <f t="shared" si="517"/>
        <v>1245.244480739749</v>
      </c>
      <c r="W183" s="249">
        <f t="shared" si="517"/>
        <v>1268.5928147536192</v>
      </c>
      <c r="X183" s="249">
        <f t="shared" si="517"/>
        <v>1292.3789300302496</v>
      </c>
      <c r="Y183" s="249">
        <f t="shared" si="517"/>
        <v>1316.611034968317</v>
      </c>
      <c r="Z183" s="249">
        <f t="shared" si="517"/>
        <v>1341.2974918739731</v>
      </c>
      <c r="AA183" s="402">
        <f t="shared" si="517"/>
        <v>1366.4468198466102</v>
      </c>
      <c r="AB183" s="249">
        <f t="shared" ref="AB183:AM183" si="518">AA183*(1+($AG173/12))</f>
        <v>1380.1112880450762</v>
      </c>
      <c r="AC183" s="249">
        <f t="shared" si="518"/>
        <v>1393.912400925527</v>
      </c>
      <c r="AD183" s="249">
        <f t="shared" si="518"/>
        <v>1407.8515249347822</v>
      </c>
      <c r="AE183" s="249">
        <f t="shared" si="518"/>
        <v>1421.9300401841301</v>
      </c>
      <c r="AF183" s="249">
        <f t="shared" si="518"/>
        <v>1436.1493405859715</v>
      </c>
      <c r="AG183" s="249">
        <f t="shared" si="518"/>
        <v>1450.5108339918311</v>
      </c>
      <c r="AH183" s="249">
        <f t="shared" si="518"/>
        <v>1465.0159423317493</v>
      </c>
      <c r="AI183" s="249">
        <f t="shared" si="518"/>
        <v>1479.6661017550668</v>
      </c>
      <c r="AJ183" s="249">
        <f t="shared" si="518"/>
        <v>1494.4627627726175</v>
      </c>
      <c r="AK183" s="249">
        <f t="shared" si="518"/>
        <v>1509.4073904003437</v>
      </c>
      <c r="AL183" s="249">
        <f t="shared" si="518"/>
        <v>1524.5014643043471</v>
      </c>
      <c r="AM183" s="402">
        <f t="shared" si="518"/>
        <v>1539.7464789473906</v>
      </c>
      <c r="AN183" s="249">
        <f t="shared" ref="AN183:AY183" si="519">AM183*(1+($AS173/12))</f>
        <v>1547.4452113421273</v>
      </c>
      <c r="AO183" s="249">
        <f t="shared" si="519"/>
        <v>1555.1824373988377</v>
      </c>
      <c r="AP183" s="249">
        <f t="shared" si="519"/>
        <v>1562.9583495858317</v>
      </c>
      <c r="AQ183" s="249">
        <f t="shared" si="519"/>
        <v>1570.7731413337606</v>
      </c>
      <c r="AR183" s="249">
        <f t="shared" si="519"/>
        <v>1578.6270070404291</v>
      </c>
      <c r="AS183" s="249">
        <f t="shared" si="519"/>
        <v>1586.5201420756312</v>
      </c>
      <c r="AT183" s="249">
        <f t="shared" si="519"/>
        <v>1594.4527427860091</v>
      </c>
      <c r="AU183" s="249">
        <f t="shared" si="519"/>
        <v>1602.4250064999389</v>
      </c>
      <c r="AV183" s="249">
        <f t="shared" si="519"/>
        <v>1610.4371315324386</v>
      </c>
      <c r="AW183" s="249">
        <f t="shared" si="519"/>
        <v>1618.4893171901006</v>
      </c>
      <c r="AX183" s="249">
        <f t="shared" si="519"/>
        <v>1626.5817637760508</v>
      </c>
      <c r="AY183" s="402">
        <f t="shared" si="519"/>
        <v>1634.7146725949308</v>
      </c>
      <c r="AZ183" s="249">
        <f t="shared" ref="AZ183:BK183" si="520">AY183*(1+($BES173/12))</f>
        <v>1634.7146725949308</v>
      </c>
      <c r="BA183" s="249">
        <f t="shared" si="520"/>
        <v>1634.7146725949308</v>
      </c>
      <c r="BB183" s="249">
        <f t="shared" si="520"/>
        <v>1634.7146725949308</v>
      </c>
      <c r="BC183" s="249">
        <f t="shared" si="520"/>
        <v>1634.7146725949308</v>
      </c>
      <c r="BD183" s="249">
        <f t="shared" si="520"/>
        <v>1634.7146725949308</v>
      </c>
      <c r="BE183" s="249">
        <f t="shared" si="520"/>
        <v>1634.7146725949308</v>
      </c>
      <c r="BF183" s="249">
        <f t="shared" si="520"/>
        <v>1634.7146725949308</v>
      </c>
      <c r="BG183" s="249">
        <f t="shared" si="520"/>
        <v>1634.7146725949308</v>
      </c>
      <c r="BH183" s="249">
        <f t="shared" si="520"/>
        <v>1634.7146725949308</v>
      </c>
      <c r="BI183" s="249">
        <f t="shared" si="520"/>
        <v>1634.7146725949308</v>
      </c>
      <c r="BJ183" s="249">
        <f t="shared" si="520"/>
        <v>1634.7146725949308</v>
      </c>
      <c r="BK183" s="402">
        <f t="shared" si="520"/>
        <v>1634.7146725949308</v>
      </c>
    </row>
    <row r="184" spans="1:63" s="54" customFormat="1" hidden="1" outlineLevel="1">
      <c r="A184" s="857"/>
      <c r="B184" s="370" t="s">
        <v>345</v>
      </c>
      <c r="C184" s="361">
        <v>7.0000000000000007E-2</v>
      </c>
      <c r="D184" s="355">
        <f>M173</f>
        <v>7.0000000000000007E-2</v>
      </c>
      <c r="E184" s="169">
        <f t="shared" ref="E184:O184" si="521">D184</f>
        <v>7.0000000000000007E-2</v>
      </c>
      <c r="F184" s="169">
        <f t="shared" si="521"/>
        <v>7.0000000000000007E-2</v>
      </c>
      <c r="G184" s="169">
        <f t="shared" si="521"/>
        <v>7.0000000000000007E-2</v>
      </c>
      <c r="H184" s="169">
        <f t="shared" si="521"/>
        <v>7.0000000000000007E-2</v>
      </c>
      <c r="I184" s="169">
        <f t="shared" si="521"/>
        <v>7.0000000000000007E-2</v>
      </c>
      <c r="J184" s="169">
        <f t="shared" si="521"/>
        <v>7.0000000000000007E-2</v>
      </c>
      <c r="K184" s="169">
        <f t="shared" si="521"/>
        <v>7.0000000000000007E-2</v>
      </c>
      <c r="L184" s="169">
        <f t="shared" si="521"/>
        <v>7.0000000000000007E-2</v>
      </c>
      <c r="M184" s="169">
        <f t="shared" si="521"/>
        <v>7.0000000000000007E-2</v>
      </c>
      <c r="N184" s="169">
        <f t="shared" si="521"/>
        <v>7.0000000000000007E-2</v>
      </c>
      <c r="O184" s="405">
        <f t="shared" si="521"/>
        <v>7.0000000000000007E-2</v>
      </c>
      <c r="P184" s="169">
        <f t="shared" ref="P184:AA184" si="522">$Y173</f>
        <v>7.0000000000000007E-2</v>
      </c>
      <c r="Q184" s="169">
        <f t="shared" si="522"/>
        <v>7.0000000000000007E-2</v>
      </c>
      <c r="R184" s="169">
        <f t="shared" si="522"/>
        <v>7.0000000000000007E-2</v>
      </c>
      <c r="S184" s="169">
        <f t="shared" si="522"/>
        <v>7.0000000000000007E-2</v>
      </c>
      <c r="T184" s="169">
        <f t="shared" si="522"/>
        <v>7.0000000000000007E-2</v>
      </c>
      <c r="U184" s="169">
        <f t="shared" si="522"/>
        <v>7.0000000000000007E-2</v>
      </c>
      <c r="V184" s="169">
        <f t="shared" si="522"/>
        <v>7.0000000000000007E-2</v>
      </c>
      <c r="W184" s="169">
        <f t="shared" si="522"/>
        <v>7.0000000000000007E-2</v>
      </c>
      <c r="X184" s="169">
        <f t="shared" si="522"/>
        <v>7.0000000000000007E-2</v>
      </c>
      <c r="Y184" s="169">
        <f t="shared" si="522"/>
        <v>7.0000000000000007E-2</v>
      </c>
      <c r="Z184" s="169">
        <f t="shared" si="522"/>
        <v>7.0000000000000007E-2</v>
      </c>
      <c r="AA184" s="405">
        <f t="shared" si="522"/>
        <v>7.0000000000000007E-2</v>
      </c>
      <c r="AB184" s="169">
        <f t="shared" ref="AB184:AM184" si="523">$AK173</f>
        <v>7.0000000000000007E-2</v>
      </c>
      <c r="AC184" s="169">
        <f t="shared" si="523"/>
        <v>7.0000000000000007E-2</v>
      </c>
      <c r="AD184" s="169">
        <f t="shared" si="523"/>
        <v>7.0000000000000007E-2</v>
      </c>
      <c r="AE184" s="169">
        <f t="shared" si="523"/>
        <v>7.0000000000000007E-2</v>
      </c>
      <c r="AF184" s="169">
        <f t="shared" si="523"/>
        <v>7.0000000000000007E-2</v>
      </c>
      <c r="AG184" s="169">
        <f t="shared" si="523"/>
        <v>7.0000000000000007E-2</v>
      </c>
      <c r="AH184" s="169">
        <f t="shared" si="523"/>
        <v>7.0000000000000007E-2</v>
      </c>
      <c r="AI184" s="169">
        <f t="shared" si="523"/>
        <v>7.0000000000000007E-2</v>
      </c>
      <c r="AJ184" s="169">
        <f t="shared" si="523"/>
        <v>7.0000000000000007E-2</v>
      </c>
      <c r="AK184" s="169">
        <f t="shared" si="523"/>
        <v>7.0000000000000007E-2</v>
      </c>
      <c r="AL184" s="169">
        <f t="shared" si="523"/>
        <v>7.0000000000000007E-2</v>
      </c>
      <c r="AM184" s="405">
        <f t="shared" si="523"/>
        <v>7.0000000000000007E-2</v>
      </c>
      <c r="AN184" s="169">
        <f t="shared" ref="AN184:AY184" si="524">$AW173</f>
        <v>7.0000000000000007E-2</v>
      </c>
      <c r="AO184" s="169">
        <f t="shared" si="524"/>
        <v>7.0000000000000007E-2</v>
      </c>
      <c r="AP184" s="169">
        <f t="shared" si="524"/>
        <v>7.0000000000000007E-2</v>
      </c>
      <c r="AQ184" s="169">
        <f t="shared" si="524"/>
        <v>7.0000000000000007E-2</v>
      </c>
      <c r="AR184" s="169">
        <f t="shared" si="524"/>
        <v>7.0000000000000007E-2</v>
      </c>
      <c r="AS184" s="169">
        <f t="shared" si="524"/>
        <v>7.0000000000000007E-2</v>
      </c>
      <c r="AT184" s="169">
        <f t="shared" si="524"/>
        <v>7.0000000000000007E-2</v>
      </c>
      <c r="AU184" s="169">
        <f t="shared" si="524"/>
        <v>7.0000000000000007E-2</v>
      </c>
      <c r="AV184" s="169">
        <f t="shared" si="524"/>
        <v>7.0000000000000007E-2</v>
      </c>
      <c r="AW184" s="169">
        <f t="shared" si="524"/>
        <v>7.0000000000000007E-2</v>
      </c>
      <c r="AX184" s="169">
        <f t="shared" si="524"/>
        <v>7.0000000000000007E-2</v>
      </c>
      <c r="AY184" s="405">
        <f t="shared" si="524"/>
        <v>7.0000000000000007E-2</v>
      </c>
      <c r="AZ184" s="169">
        <f t="shared" ref="AZ184:BK184" si="525">$BI173</f>
        <v>7.0000000000000007E-2</v>
      </c>
      <c r="BA184" s="169">
        <f t="shared" si="525"/>
        <v>7.0000000000000007E-2</v>
      </c>
      <c r="BB184" s="169">
        <f t="shared" si="525"/>
        <v>7.0000000000000007E-2</v>
      </c>
      <c r="BC184" s="169">
        <f t="shared" si="525"/>
        <v>7.0000000000000007E-2</v>
      </c>
      <c r="BD184" s="169">
        <f t="shared" si="525"/>
        <v>7.0000000000000007E-2</v>
      </c>
      <c r="BE184" s="169">
        <f t="shared" si="525"/>
        <v>7.0000000000000007E-2</v>
      </c>
      <c r="BF184" s="169">
        <f t="shared" si="525"/>
        <v>7.0000000000000007E-2</v>
      </c>
      <c r="BG184" s="169">
        <f t="shared" si="525"/>
        <v>7.0000000000000007E-2</v>
      </c>
      <c r="BH184" s="169">
        <f t="shared" si="525"/>
        <v>7.0000000000000007E-2</v>
      </c>
      <c r="BI184" s="169">
        <f t="shared" si="525"/>
        <v>7.0000000000000007E-2</v>
      </c>
      <c r="BJ184" s="169">
        <f t="shared" si="525"/>
        <v>7.0000000000000007E-2</v>
      </c>
      <c r="BK184" s="405">
        <f t="shared" si="525"/>
        <v>7.0000000000000007E-2</v>
      </c>
    </row>
    <row r="185" spans="1:63" s="336" customFormat="1" ht="19.5" hidden="1" outlineLevel="1" thickBot="1">
      <c r="A185" s="862"/>
      <c r="B185" s="375" t="s">
        <v>300</v>
      </c>
      <c r="C185" s="362">
        <f>C184*'Prg. HR'!D$38*12</f>
        <v>5292.0000000000009</v>
      </c>
      <c r="D185" s="351">
        <f>D184*'Prg. HR'!D$38</f>
        <v>441.00000000000006</v>
      </c>
      <c r="E185" s="337">
        <f>E184*'Prg. HR'!E$38</f>
        <v>434.38500000000005</v>
      </c>
      <c r="F185" s="337">
        <f>F184*'Prg. HR'!F$38</f>
        <v>427.86922500000009</v>
      </c>
      <c r="G185" s="337">
        <f>G184*'Prg. HR'!G$38</f>
        <v>583.15118662500004</v>
      </c>
      <c r="H185" s="337">
        <f>H184*'Prg. HR'!H$38</f>
        <v>576.829418825625</v>
      </c>
      <c r="I185" s="337">
        <f>I184*'Prg. HR'!I$38</f>
        <v>570.60247754324075</v>
      </c>
      <c r="J185" s="337">
        <f>J184*'Prg. HR'!J$38</f>
        <v>564.46894038009202</v>
      </c>
      <c r="K185" s="337">
        <f>K184*'Prg. HR'!K$38</f>
        <v>680.92740627439071</v>
      </c>
      <c r="L185" s="337">
        <f>L184*'Prg. HR'!L$38</f>
        <v>685.18482851360818</v>
      </c>
      <c r="M185" s="337">
        <f>M184*'Prg. HR'!M$38</f>
        <v>680.17387553034848</v>
      </c>
      <c r="N185" s="337">
        <f>N184*'Prg. HR'!N$38</f>
        <v>674.47104401776369</v>
      </c>
      <c r="O185" s="406">
        <f>O184*'Prg. HR'!O$38</f>
        <v>668.789834742528</v>
      </c>
      <c r="P185" s="337">
        <f>P184*'Prg. HR'!P$38</f>
        <v>652.05219803832676</v>
      </c>
      <c r="Q185" s="337">
        <f>Q184*'Prg. HR'!Q$38</f>
        <v>656.74274840108524</v>
      </c>
      <c r="R185" s="337">
        <f>R184*'Prg. HR'!R$38</f>
        <v>652.15842661951342</v>
      </c>
      <c r="S185" s="337">
        <f>S184*'Prg. HR'!S$38</f>
        <v>646.87582684059112</v>
      </c>
      <c r="T185" s="337">
        <f>T184*'Prg. HR'!T$38</f>
        <v>641.60854582301306</v>
      </c>
      <c r="U185" s="337">
        <f>U184*'Prg. HR'!U$38</f>
        <v>967.1649473344205</v>
      </c>
      <c r="V185" s="337">
        <f>V184*'Prg. HR'!V$38</f>
        <v>962.04880893263351</v>
      </c>
      <c r="W185" s="337">
        <f>W184*'Prg. HR'!W$38</f>
        <v>957.00937561599642</v>
      </c>
      <c r="X185" s="337">
        <f>X184*'Prg. HR'!X$38</f>
        <v>952.04553071653584</v>
      </c>
      <c r="Y185" s="337">
        <f>Y184*'Prg. HR'!Y$38</f>
        <v>947.15614323368595</v>
      </c>
      <c r="Z185" s="337">
        <f>Z184*'Prg. HR'!Z$38</f>
        <v>942.34009654167232</v>
      </c>
      <c r="AA185" s="406">
        <f>AA184*'Prg. HR'!AA$38</f>
        <v>1071.2326541846035</v>
      </c>
      <c r="AB185" s="337">
        <f>AB184*'Prg. HR'!AB$38</f>
        <v>1239.6298851117606</v>
      </c>
      <c r="AC185" s="337">
        <f>AC184*'Prg. HR'!AC$38</f>
        <v>1228.5452847955703</v>
      </c>
      <c r="AD185" s="337">
        <f>AD184*'Prg. HR'!AD$38</f>
        <v>1215.1070862123579</v>
      </c>
      <c r="AE185" s="337">
        <f>AE184*'Prg. HR'!AE$38</f>
        <v>1201.856159511168</v>
      </c>
      <c r="AF185" s="337">
        <f>AF184*'Prg. HR'!AF$38</f>
        <v>1189.1870061371808</v>
      </c>
      <c r="AG185" s="337">
        <f>AG184*'Prg. HR'!AG$38</f>
        <v>1177.137848263917</v>
      </c>
      <c r="AH185" s="337">
        <f>AH184*'Prg. HR'!AH$38</f>
        <v>1165.6889045896537</v>
      </c>
      <c r="AI185" s="337">
        <f>AI184*'Prg. HR'!AI$38</f>
        <v>1301.8120261936288</v>
      </c>
      <c r="AJ185" s="337">
        <f>AJ184*'Prg. HR'!AJ$38</f>
        <v>1328.2289415923119</v>
      </c>
      <c r="AK185" s="337">
        <f>AK184*'Prg. HR'!AK$38</f>
        <v>1327.5999986897875</v>
      </c>
      <c r="AL185" s="337">
        <f>AL184*'Prg. HR'!AL$38</f>
        <v>1482.271249799571</v>
      </c>
      <c r="AM185" s="406">
        <f>AM184*'Prg. HR'!AM$38</f>
        <v>1473.9861250706608</v>
      </c>
      <c r="AN185" s="337">
        <f>AN184*'Prg. HR'!AN$38</f>
        <v>1633.1459204526645</v>
      </c>
      <c r="AO185" s="337">
        <f>AO184*'Prg. HR'!AO$38</f>
        <v>1597.9547247026208</v>
      </c>
      <c r="AP185" s="337">
        <f>AP184*'Prg. HR'!AP$38</f>
        <v>1585.8263385129214</v>
      </c>
      <c r="AQ185" s="337">
        <f>AQ184*'Prg. HR'!AQ$38</f>
        <v>1577.8549132615137</v>
      </c>
      <c r="AR185" s="337">
        <f>AR184*'Prg. HR'!AR$38</f>
        <v>1717.8864067839631</v>
      </c>
      <c r="AS185" s="337">
        <f>AS184*'Prg. HR'!AS$38</f>
        <v>1909.7956462411462</v>
      </c>
      <c r="AT185" s="337">
        <f>AT184*'Prg. HR'!AT$38</f>
        <v>1912.7892538781841</v>
      </c>
      <c r="AU185" s="337">
        <f>AU184*'Prg. HR'!AU$38</f>
        <v>1909.2068886715488</v>
      </c>
      <c r="AV185" s="337">
        <f>AV184*'Prg. HR'!AV$38</f>
        <v>1904.1970686097898</v>
      </c>
      <c r="AW185" s="337">
        <f>AW184*'Prg. HR'!AW$38</f>
        <v>1899.036096272255</v>
      </c>
      <c r="AX185" s="337">
        <f>AX184*'Prg. HR'!AX$38</f>
        <v>2224.7827617318808</v>
      </c>
      <c r="AY185" s="406">
        <f>AY184*'Prg. HR'!AY$38</f>
        <v>2545.0368284078454</v>
      </c>
      <c r="AZ185" s="337">
        <f>AZ184*'Prg. HR'!AZ$38</f>
        <v>2594.9360552416392</v>
      </c>
      <c r="BA185" s="337">
        <f>BA184*'Prg. HR'!BA$38</f>
        <v>2608.7646085642859</v>
      </c>
      <c r="BB185" s="337">
        <f>BB184*'Prg. HR'!BB$38</f>
        <v>2610.7098301643146</v>
      </c>
      <c r="BC185" s="337">
        <f>BC184*'Prg. HR'!BC$38</f>
        <v>2608.8271559988461</v>
      </c>
      <c r="BD185" s="337">
        <f>BD184*'Prg. HR'!BD$38</f>
        <v>2767.495070646487</v>
      </c>
      <c r="BE185" s="337">
        <f>BE184*'Prg. HR'!BE$38</f>
        <v>3278.6720668287808</v>
      </c>
      <c r="BF185" s="337">
        <f>BF184*'Prg. HR'!BF$38</f>
        <v>3351.9731508684326</v>
      </c>
      <c r="BG185" s="337">
        <f>BG184*'Prg. HR'!BG$38</f>
        <v>3380.7322797337997</v>
      </c>
      <c r="BH185" s="337">
        <f>BH184*'Prg. HR'!BH$38</f>
        <v>3552.7214100841043</v>
      </c>
      <c r="BI185" s="337">
        <f>BI184*'Prg. HR'!BI$38</f>
        <v>3764.607359073374</v>
      </c>
      <c r="BJ185" s="337">
        <f>BJ184*'Prg. HR'!BJ$38</f>
        <v>3869.2605008664432</v>
      </c>
      <c r="BK185" s="406">
        <f>BK184*'Prg. HR'!BK$38</f>
        <v>4251.1117306964898</v>
      </c>
    </row>
    <row r="186" spans="1:63" s="54" customFormat="1" hidden="1" outlineLevel="1">
      <c r="A186" s="857"/>
      <c r="B186" s="192" t="s">
        <v>386</v>
      </c>
      <c r="C186" s="1207">
        <f t="shared" ref="C186:AH186" si="526">(C183+C185)/C174</f>
        <v>332.43478260869563</v>
      </c>
      <c r="D186" s="368">
        <f t="shared" si="526"/>
        <v>332.43478260869568</v>
      </c>
      <c r="E186" s="1208">
        <f t="shared" si="526"/>
        <v>280.1199275362319</v>
      </c>
      <c r="F186" s="1208">
        <f t="shared" si="526"/>
        <v>236.12138737922709</v>
      </c>
      <c r="G186" s="1208">
        <f t="shared" si="526"/>
        <v>223.51449891178541</v>
      </c>
      <c r="H186" s="1208">
        <f t="shared" si="526"/>
        <v>188.28923791596947</v>
      </c>
      <c r="I186" s="1208">
        <f t="shared" si="526"/>
        <v>158.66573727607678</v>
      </c>
      <c r="J186" s="1208">
        <f t="shared" si="526"/>
        <v>133.74486664515464</v>
      </c>
      <c r="K186" s="1208">
        <f t="shared" si="526"/>
        <v>121.69164974009064</v>
      </c>
      <c r="L186" s="1208">
        <f t="shared" si="526"/>
        <v>103.17045296243251</v>
      </c>
      <c r="M186" s="1208">
        <f t="shared" si="526"/>
        <v>87.00537281522891</v>
      </c>
      <c r="N186" s="1208">
        <f t="shared" si="526"/>
        <v>73.360392910088962</v>
      </c>
      <c r="O186" s="1209">
        <f t="shared" si="526"/>
        <v>61.870520104937995</v>
      </c>
      <c r="P186" s="1208">
        <f t="shared" si="526"/>
        <v>54.708232834325621</v>
      </c>
      <c r="Q186" s="1208">
        <f t="shared" si="526"/>
        <v>48.971090881035892</v>
      </c>
      <c r="R186" s="1208">
        <f t="shared" si="526"/>
        <v>43.612403127331405</v>
      </c>
      <c r="S186" s="1208">
        <f t="shared" si="526"/>
        <v>38.830412423938164</v>
      </c>
      <c r="T186" s="1208">
        <f t="shared" si="526"/>
        <v>34.577883596242394</v>
      </c>
      <c r="U186" s="1208">
        <f t="shared" si="526"/>
        <v>36.276623874093289</v>
      </c>
      <c r="V186" s="1208">
        <f t="shared" si="526"/>
        <v>32.269045141748585</v>
      </c>
      <c r="W186" s="1208">
        <f t="shared" si="526"/>
        <v>28.708860124792949</v>
      </c>
      <c r="X186" s="1208">
        <f t="shared" si="526"/>
        <v>25.545578385769112</v>
      </c>
      <c r="Y186" s="1208">
        <f t="shared" si="526"/>
        <v>22.734470492106293</v>
      </c>
      <c r="Z186" s="1208">
        <f t="shared" si="526"/>
        <v>20.235903752830314</v>
      </c>
      <c r="AA186" s="1209">
        <f t="shared" si="526"/>
        <v>19.059625387471947</v>
      </c>
      <c r="AB186" s="1208">
        <f t="shared" si="526"/>
        <v>18.621019742313951</v>
      </c>
      <c r="AC186" s="1208">
        <f t="shared" si="526"/>
        <v>16.945753281264746</v>
      </c>
      <c r="AD186" s="1208">
        <f t="shared" si="526"/>
        <v>15.40817286619801</v>
      </c>
      <c r="AE186" s="1208">
        <f t="shared" si="526"/>
        <v>14.011849463370599</v>
      </c>
      <c r="AF186" s="1208">
        <f t="shared" si="526"/>
        <v>12.745570672319429</v>
      </c>
      <c r="AG186" s="1208">
        <f t="shared" si="526"/>
        <v>11.59708788743124</v>
      </c>
      <c r="AH186" s="1208">
        <f t="shared" si="526"/>
        <v>10.555069294689151</v>
      </c>
      <c r="AI186" s="1208">
        <f t="shared" ref="AI186:BK186" si="527">(AI183+AI185)/AI174</f>
        <v>10.145464321789829</v>
      </c>
      <c r="AJ186" s="1208">
        <f t="shared" si="527"/>
        <v>9.3598101639466691</v>
      </c>
      <c r="AK186" s="1208">
        <f t="shared" si="527"/>
        <v>8.5520725272571632</v>
      </c>
      <c r="AL186" s="1208">
        <f t="shared" si="527"/>
        <v>8.2398408531980536</v>
      </c>
      <c r="AM186" s="1209">
        <f t="shared" si="527"/>
        <v>7.5081035661802762</v>
      </c>
      <c r="AN186" s="1208">
        <f t="shared" si="527"/>
        <v>7.4285603882514781</v>
      </c>
      <c r="AO186" s="1208">
        <f t="shared" si="527"/>
        <v>6.9041616942758779</v>
      </c>
      <c r="AP186" s="1208">
        <f t="shared" si="527"/>
        <v>6.4637169793518376</v>
      </c>
      <c r="AQ186" s="1208">
        <f t="shared" si="527"/>
        <v>6.059433232012144</v>
      </c>
      <c r="AR186" s="1208">
        <f t="shared" si="527"/>
        <v>5.9475317254691147</v>
      </c>
      <c r="AS186" s="1208">
        <f t="shared" si="527"/>
        <v>5.9137620749361695</v>
      </c>
      <c r="AT186" s="1208">
        <f t="shared" si="527"/>
        <v>5.5614777713310657</v>
      </c>
      <c r="AU186" s="1208">
        <f t="shared" si="527"/>
        <v>5.2204114580992291</v>
      </c>
      <c r="AV186" s="1208">
        <f t="shared" si="527"/>
        <v>4.8983200324928378</v>
      </c>
      <c r="AW186" s="1208">
        <f t="shared" si="527"/>
        <v>4.5959526519328247</v>
      </c>
      <c r="AX186" s="1208">
        <f t="shared" si="527"/>
        <v>4.717633560875556</v>
      </c>
      <c r="AY186" s="1209">
        <f t="shared" si="527"/>
        <v>4.7998903602832792</v>
      </c>
      <c r="AZ186" s="1208">
        <f t="shared" si="527"/>
        <v>4.5714757699969883</v>
      </c>
      <c r="BA186" s="1208">
        <f t="shared" si="527"/>
        <v>4.316632373534012</v>
      </c>
      <c r="BB186" s="1208">
        <f t="shared" si="527"/>
        <v>4.0645751799491752</v>
      </c>
      <c r="BC186" s="1208">
        <f t="shared" si="527"/>
        <v>3.8237860754337709</v>
      </c>
      <c r="BD186" s="1208">
        <f t="shared" si="527"/>
        <v>3.733420363243749</v>
      </c>
      <c r="BE186" s="1208">
        <f t="shared" si="527"/>
        <v>3.9218246504483911</v>
      </c>
      <c r="BF186" s="1208">
        <f t="shared" si="527"/>
        <v>3.7461957358691977</v>
      </c>
      <c r="BG186" s="1208">
        <f t="shared" si="527"/>
        <v>3.5461653862909399</v>
      </c>
      <c r="BH186" s="1208">
        <f t="shared" si="527"/>
        <v>3.4520189007778792</v>
      </c>
      <c r="BI186" s="1208">
        <f t="shared" si="527"/>
        <v>3.3816659024772164</v>
      </c>
      <c r="BJ186" s="1208">
        <f t="shared" si="527"/>
        <v>3.2444343829937701</v>
      </c>
      <c r="BK186" s="1209">
        <f t="shared" si="527"/>
        <v>3.2654349677597572</v>
      </c>
    </row>
    <row r="187" spans="1:63" s="54" customFormat="1" hidden="1" outlineLevel="1">
      <c r="A187" s="857"/>
      <c r="B187" s="192" t="s">
        <v>390</v>
      </c>
      <c r="C187" s="1207">
        <f t="shared" ref="C187:AH187" si="528">(C183+C185)/C176</f>
        <v>449.76470588235293</v>
      </c>
      <c r="D187" s="368">
        <f t="shared" si="528"/>
        <v>449.76470588235304</v>
      </c>
      <c r="E187" s="1208">
        <f t="shared" si="528"/>
        <v>378.19787208022507</v>
      </c>
      <c r="F187" s="1208">
        <f t="shared" si="528"/>
        <v>318.13141927169079</v>
      </c>
      <c r="G187" s="1208">
        <f t="shared" si="528"/>
        <v>300.51980460152254</v>
      </c>
      <c r="H187" s="1208">
        <f t="shared" si="528"/>
        <v>252.63240491076536</v>
      </c>
      <c r="I187" s="1208">
        <f t="shared" si="528"/>
        <v>212.44321920037572</v>
      </c>
      <c r="J187" s="1208">
        <f t="shared" si="528"/>
        <v>178.70347705352219</v>
      </c>
      <c r="K187" s="1208">
        <f t="shared" si="528"/>
        <v>162.26050392252861</v>
      </c>
      <c r="L187" s="1208">
        <f t="shared" si="528"/>
        <v>137.27882077706934</v>
      </c>
      <c r="M187" s="1208">
        <f t="shared" si="528"/>
        <v>115.52884618318224</v>
      </c>
      <c r="N187" s="1208">
        <f t="shared" si="528"/>
        <v>97.208037043981719</v>
      </c>
      <c r="O187" s="1209">
        <f t="shared" si="528"/>
        <v>81.812648562143423</v>
      </c>
      <c r="P187" s="1208">
        <f t="shared" si="528"/>
        <v>72.221441194763031</v>
      </c>
      <c r="Q187" s="1208">
        <f t="shared" si="528"/>
        <v>64.540157500510219</v>
      </c>
      <c r="R187" s="1208">
        <f t="shared" si="528"/>
        <v>57.382179357742586</v>
      </c>
      <c r="S187" s="1208">
        <f t="shared" si="528"/>
        <v>51.005358269453374</v>
      </c>
      <c r="T187" s="1208">
        <f t="shared" si="528"/>
        <v>45.34391197800705</v>
      </c>
      <c r="U187" s="1208">
        <f t="shared" si="528"/>
        <v>47.49241106095328</v>
      </c>
      <c r="V187" s="1208">
        <f t="shared" si="528"/>
        <v>42.175500870485067</v>
      </c>
      <c r="W187" s="1208">
        <f t="shared" si="528"/>
        <v>37.459921421546603</v>
      </c>
      <c r="X187" s="1208">
        <f t="shared" si="528"/>
        <v>33.276943644297766</v>
      </c>
      <c r="Y187" s="1208">
        <f t="shared" si="528"/>
        <v>29.565778094358695</v>
      </c>
      <c r="Z187" s="1208">
        <f t="shared" si="528"/>
        <v>26.272648349325955</v>
      </c>
      <c r="AA187" s="1209">
        <f t="shared" si="528"/>
        <v>24.704290560529422</v>
      </c>
      <c r="AB187" s="1208">
        <f t="shared" si="528"/>
        <v>24.105656167782239</v>
      </c>
      <c r="AC187" s="1208">
        <f t="shared" si="528"/>
        <v>21.909569646928567</v>
      </c>
      <c r="AD187" s="1208">
        <f t="shared" si="528"/>
        <v>19.896724254285719</v>
      </c>
      <c r="AE187" s="1208">
        <f t="shared" si="528"/>
        <v>18.071049381860647</v>
      </c>
      <c r="AF187" s="1208">
        <f t="shared" si="528"/>
        <v>16.417410832124023</v>
      </c>
      <c r="AG187" s="1208">
        <f t="shared" si="528"/>
        <v>14.919415192704985</v>
      </c>
      <c r="AH187" s="1208">
        <f t="shared" si="528"/>
        <v>13.56192728240204</v>
      </c>
      <c r="AI187" s="1208">
        <f t="shared" ref="AI187:BK187" si="529">(AI183+AI185)/AI176</f>
        <v>13.019362564006773</v>
      </c>
      <c r="AJ187" s="1208">
        <f t="shared" si="529"/>
        <v>11.996161526815694</v>
      </c>
      <c r="AK187" s="1208">
        <f t="shared" si="529"/>
        <v>10.947226672007114</v>
      </c>
      <c r="AL187" s="1208">
        <f t="shared" si="529"/>
        <v>10.534381202217045</v>
      </c>
      <c r="AM187" s="1209">
        <f t="shared" si="529"/>
        <v>9.5868941374938199</v>
      </c>
      <c r="AN187" s="1208">
        <f t="shared" si="529"/>
        <v>9.4742742874830093</v>
      </c>
      <c r="AO187" s="1208">
        <f t="shared" si="529"/>
        <v>8.7952030033468578</v>
      </c>
      <c r="AP187" s="1208">
        <f t="shared" si="529"/>
        <v>8.2245257482544307</v>
      </c>
      <c r="AQ187" s="1208">
        <f t="shared" si="529"/>
        <v>7.701124691879869</v>
      </c>
      <c r="AR187" s="1208">
        <f t="shared" si="529"/>
        <v>7.5500970933963796</v>
      </c>
      <c r="AS187" s="1208">
        <f t="shared" si="529"/>
        <v>7.4984799671803017</v>
      </c>
      <c r="AT187" s="1208">
        <f t="shared" si="529"/>
        <v>7.0435761121704195</v>
      </c>
      <c r="AU187" s="1208">
        <f t="shared" si="529"/>
        <v>6.6039132372054707</v>
      </c>
      <c r="AV187" s="1208">
        <f t="shared" si="529"/>
        <v>6.1892410804690723</v>
      </c>
      <c r="AW187" s="1208">
        <f t="shared" si="529"/>
        <v>5.8004195463527157</v>
      </c>
      <c r="AX187" s="1208">
        <f t="shared" si="529"/>
        <v>5.9470512924059955</v>
      </c>
      <c r="AY187" s="1209">
        <f t="shared" si="529"/>
        <v>6.0436932805376564</v>
      </c>
      <c r="AZ187" s="1208">
        <f t="shared" si="529"/>
        <v>5.7512965214963234</v>
      </c>
      <c r="BA187" s="1208">
        <f t="shared" si="529"/>
        <v>5.426160544495211</v>
      </c>
      <c r="BB187" s="1208">
        <f t="shared" si="529"/>
        <v>5.105061462272718</v>
      </c>
      <c r="BC187" s="1208">
        <f t="shared" si="529"/>
        <v>4.7986341489033881</v>
      </c>
      <c r="BD187" s="1208">
        <f t="shared" si="529"/>
        <v>4.6813292095680508</v>
      </c>
      <c r="BE187" s="1208">
        <f t="shared" si="529"/>
        <v>4.9134744509996597</v>
      </c>
      <c r="BF187" s="1208">
        <f t="shared" si="529"/>
        <v>4.6895290883423488</v>
      </c>
      <c r="BG187" s="1208">
        <f t="shared" si="529"/>
        <v>4.435432699391832</v>
      </c>
      <c r="BH187" s="1208">
        <f t="shared" si="529"/>
        <v>4.3140821528612623</v>
      </c>
      <c r="BI187" s="1208">
        <f t="shared" si="529"/>
        <v>4.2226412247528131</v>
      </c>
      <c r="BJ187" s="1208">
        <f t="shared" si="529"/>
        <v>4.0479087946913825</v>
      </c>
      <c r="BK187" s="1209">
        <f t="shared" si="529"/>
        <v>4.0707178462072271</v>
      </c>
    </row>
    <row r="188" spans="1:63" s="54" customFormat="1" hidden="1" outlineLevel="1">
      <c r="A188" s="857"/>
      <c r="B188" s="192" t="s">
        <v>391</v>
      </c>
      <c r="C188" s="1207">
        <f t="shared" ref="C188:AH188" si="530">(C185+C183)/C178</f>
        <v>695.09090909090912</v>
      </c>
      <c r="D188" s="368">
        <f t="shared" si="530"/>
        <v>695.09090909090924</v>
      </c>
      <c r="E188" s="1208">
        <f t="shared" si="530"/>
        <v>583.27246950947574</v>
      </c>
      <c r="F188" s="1208">
        <f t="shared" si="530"/>
        <v>489.61545848787978</v>
      </c>
      <c r="G188" s="1208">
        <f t="shared" si="530"/>
        <v>461.54900282678693</v>
      </c>
      <c r="H188" s="1208">
        <f t="shared" si="530"/>
        <v>387.19517482217719</v>
      </c>
      <c r="I188" s="1208">
        <f t="shared" si="530"/>
        <v>324.92259643056826</v>
      </c>
      <c r="J188" s="1208">
        <f t="shared" si="530"/>
        <v>272.75090792847533</v>
      </c>
      <c r="K188" s="1208">
        <f t="shared" si="530"/>
        <v>247.13951134678419</v>
      </c>
      <c r="L188" s="1208">
        <f t="shared" si="530"/>
        <v>208.65512875969983</v>
      </c>
      <c r="M188" s="1208">
        <f t="shared" si="530"/>
        <v>175.2314768422489</v>
      </c>
      <c r="N188" s="1208">
        <f t="shared" si="530"/>
        <v>147.13636398028999</v>
      </c>
      <c r="O188" s="1209">
        <f t="shared" si="530"/>
        <v>123.57609282512696</v>
      </c>
      <c r="P188" s="1208">
        <f t="shared" si="530"/>
        <v>108.90728620111717</v>
      </c>
      <c r="Q188" s="1208">
        <f t="shared" si="530"/>
        <v>97.162254839610299</v>
      </c>
      <c r="R188" s="1208">
        <f t="shared" si="530"/>
        <v>86.242508660517174</v>
      </c>
      <c r="S188" s="1208">
        <f t="shared" si="530"/>
        <v>76.530918076996826</v>
      </c>
      <c r="T188" s="1208">
        <f t="shared" si="530"/>
        <v>67.923003945174955</v>
      </c>
      <c r="U188" s="1208">
        <f t="shared" si="530"/>
        <v>71.022980823450254</v>
      </c>
      <c r="V188" s="1208">
        <f t="shared" si="530"/>
        <v>62.966811887417364</v>
      </c>
      <c r="W188" s="1208">
        <f t="shared" si="530"/>
        <v>55.833531274971399</v>
      </c>
      <c r="X188" s="1208">
        <f t="shared" si="530"/>
        <v>49.516329460708597</v>
      </c>
      <c r="Y188" s="1208">
        <f t="shared" si="530"/>
        <v>43.920887177206488</v>
      </c>
      <c r="Z188" s="1208">
        <f t="shared" si="530"/>
        <v>38.963900209507123</v>
      </c>
      <c r="AA188" s="1209">
        <f t="shared" si="530"/>
        <v>36.576970704343182</v>
      </c>
      <c r="AB188" s="1208">
        <f t="shared" si="530"/>
        <v>35.646079914978721</v>
      </c>
      <c r="AC188" s="1208">
        <f t="shared" si="530"/>
        <v>32.358183740933583</v>
      </c>
      <c r="AD188" s="1208">
        <f t="shared" si="530"/>
        <v>29.348731947580347</v>
      </c>
      <c r="AE188" s="1208">
        <f t="shared" si="530"/>
        <v>26.622485803504773</v>
      </c>
      <c r="AF188" s="1208">
        <f t="shared" si="530"/>
        <v>24.156130576514848</v>
      </c>
      <c r="AG188" s="1208">
        <f t="shared" si="530"/>
        <v>21.924614876160419</v>
      </c>
      <c r="AH188" s="1208">
        <f t="shared" si="530"/>
        <v>19.904856710693405</v>
      </c>
      <c r="AI188" s="1208">
        <f t="shared" ref="AI188:BK188" si="531">(AI185+AI183)/AI178</f>
        <v>19.084677984388076</v>
      </c>
      <c r="AJ188" s="1208">
        <f t="shared" si="531"/>
        <v>17.562845902843595</v>
      </c>
      <c r="AK188" s="1208">
        <f t="shared" si="531"/>
        <v>16.007155634241897</v>
      </c>
      <c r="AL188" s="1208">
        <f t="shared" si="531"/>
        <v>15.384258110237042</v>
      </c>
      <c r="AM188" s="1209">
        <f t="shared" si="531"/>
        <v>13.983082836369785</v>
      </c>
      <c r="AN188" s="1208">
        <f t="shared" si="531"/>
        <v>13.802716593992361</v>
      </c>
      <c r="AO188" s="1208">
        <f t="shared" si="531"/>
        <v>12.798471435612791</v>
      </c>
      <c r="AP188" s="1208">
        <f t="shared" si="531"/>
        <v>11.954095432297706</v>
      </c>
      <c r="AQ188" s="1208">
        <f t="shared" si="531"/>
        <v>11.18030439271174</v>
      </c>
      <c r="AR188" s="1208">
        <f t="shared" si="531"/>
        <v>10.948273235210925</v>
      </c>
      <c r="AS188" s="1208">
        <f t="shared" si="531"/>
        <v>10.860753199647389</v>
      </c>
      <c r="AT188" s="1208">
        <f t="shared" si="531"/>
        <v>10.189984881544463</v>
      </c>
      <c r="AU188" s="1208">
        <f t="shared" si="531"/>
        <v>9.5427886428598327</v>
      </c>
      <c r="AV188" s="1208">
        <f t="shared" si="531"/>
        <v>8.9331569448795047</v>
      </c>
      <c r="AW188" s="1208">
        <f t="shared" si="531"/>
        <v>8.3622007703686805</v>
      </c>
      <c r="AX188" s="1208">
        <f t="shared" si="531"/>
        <v>8.5636022133497143</v>
      </c>
      <c r="AY188" s="1209">
        <f t="shared" si="531"/>
        <v>8.6926228186342129</v>
      </c>
      <c r="AZ188" s="1208">
        <f t="shared" si="531"/>
        <v>8.2651819354530947</v>
      </c>
      <c r="BA188" s="1208">
        <f t="shared" si="531"/>
        <v>7.791436515048539</v>
      </c>
      <c r="BB188" s="1208">
        <f t="shared" si="531"/>
        <v>7.3242660428691666</v>
      </c>
      <c r="BC188" s="1208">
        <f t="shared" si="531"/>
        <v>6.8789002968552113</v>
      </c>
      <c r="BD188" s="1208">
        <f t="shared" si="531"/>
        <v>6.7051546136606248</v>
      </c>
      <c r="BE188" s="1208">
        <f t="shared" si="531"/>
        <v>7.0318007127583062</v>
      </c>
      <c r="BF188" s="1208">
        <f t="shared" si="531"/>
        <v>6.705718597634216</v>
      </c>
      <c r="BG188" s="1208">
        <f t="shared" si="531"/>
        <v>6.3370965361868281</v>
      </c>
      <c r="BH188" s="1208">
        <f t="shared" si="531"/>
        <v>6.1585855524348094</v>
      </c>
      <c r="BI188" s="1208">
        <f t="shared" si="531"/>
        <v>6.0230294917497291</v>
      </c>
      <c r="BJ188" s="1208">
        <f t="shared" si="531"/>
        <v>5.7689897015383416</v>
      </c>
      <c r="BK188" s="1209">
        <f t="shared" si="531"/>
        <v>5.7966661000378572</v>
      </c>
    </row>
    <row r="189" spans="1:63" s="1216" customFormat="1" hidden="1" outlineLevel="1">
      <c r="A189" s="1210"/>
      <c r="B189" s="1211" t="s">
        <v>392</v>
      </c>
      <c r="C189" s="1212">
        <f t="shared" ref="C189:AH189" si="532">(C185+C183)/C181</f>
        <v>7.2975423526604632E-2</v>
      </c>
      <c r="D189" s="1213">
        <f t="shared" si="532"/>
        <v>7.2975423526604632E-2</v>
      </c>
      <c r="E189" s="1214">
        <f t="shared" si="532"/>
        <v>6.1083246687425867E-2</v>
      </c>
      <c r="F189" s="1214">
        <f t="shared" si="532"/>
        <v>5.1147142360069599E-2</v>
      </c>
      <c r="G189" s="1214">
        <f t="shared" si="532"/>
        <v>4.8094973390620042E-2</v>
      </c>
      <c r="H189" s="1214">
        <f t="shared" si="532"/>
        <v>4.0246435937128462E-2</v>
      </c>
      <c r="I189" s="1214">
        <f t="shared" si="532"/>
        <v>3.3689380436854113E-2</v>
      </c>
      <c r="J189" s="1214">
        <f t="shared" si="532"/>
        <v>2.820947039841824E-2</v>
      </c>
      <c r="K189" s="1214">
        <f t="shared" si="532"/>
        <v>2.549685007436369E-2</v>
      </c>
      <c r="L189" s="1214">
        <f t="shared" si="532"/>
        <v>2.1472817326378398E-2</v>
      </c>
      <c r="M189" s="1214">
        <f t="shared" si="532"/>
        <v>1.798819990171947E-2</v>
      </c>
      <c r="N189" s="1214">
        <f t="shared" si="532"/>
        <v>1.5066459979583724E-2</v>
      </c>
      <c r="O189" s="1215">
        <f t="shared" si="532"/>
        <v>1.2622380889877154E-2</v>
      </c>
      <c r="P189" s="1214">
        <f t="shared" si="532"/>
        <v>1.11009441755846E-2</v>
      </c>
      <c r="Q189" s="1214">
        <f t="shared" si="532"/>
        <v>9.8831805280307772E-3</v>
      </c>
      <c r="R189" s="1214">
        <f t="shared" si="532"/>
        <v>8.7542044560136104E-3</v>
      </c>
      <c r="S189" s="1214">
        <f t="shared" si="532"/>
        <v>7.7522610487390734E-3</v>
      </c>
      <c r="T189" s="1214">
        <f t="shared" si="532"/>
        <v>6.8660112566112852E-3</v>
      </c>
      <c r="U189" s="1214">
        <f t="shared" si="532"/>
        <v>7.1644471451376163E-3</v>
      </c>
      <c r="V189" s="1214">
        <f t="shared" si="532"/>
        <v>6.3385752899589804E-3</v>
      </c>
      <c r="W189" s="1214">
        <f t="shared" si="532"/>
        <v>5.6088161650092207E-3</v>
      </c>
      <c r="X189" s="1214">
        <f t="shared" si="532"/>
        <v>4.9638736027542716E-3</v>
      </c>
      <c r="Y189" s="1214">
        <f t="shared" si="532"/>
        <v>4.3937924219940574E-3</v>
      </c>
      <c r="Z189" s="1214">
        <f t="shared" si="532"/>
        <v>3.8897976970235586E-3</v>
      </c>
      <c r="AA189" s="1215">
        <f t="shared" si="532"/>
        <v>3.6439170984812969E-3</v>
      </c>
      <c r="AB189" s="1214">
        <f t="shared" si="532"/>
        <v>3.5437958144780499E-3</v>
      </c>
      <c r="AC189" s="1214">
        <f t="shared" si="532"/>
        <v>3.2102378593850175E-3</v>
      </c>
      <c r="AD189" s="1214">
        <f t="shared" si="532"/>
        <v>2.9056184074689566E-3</v>
      </c>
      <c r="AE189" s="1214">
        <f t="shared" si="532"/>
        <v>2.630231663251876E-3</v>
      </c>
      <c r="AF189" s="1214">
        <f t="shared" si="532"/>
        <v>2.3816005777795718E-3</v>
      </c>
      <c r="AG189" s="1214">
        <f t="shared" si="532"/>
        <v>2.1570970894439151E-3</v>
      </c>
      <c r="AH189" s="1214">
        <f t="shared" si="532"/>
        <v>1.954307667991778E-3</v>
      </c>
      <c r="AI189" s="1214">
        <f t="shared" ref="AI189:BK189" si="533">(AI185+AI183)/AI181</f>
        <v>1.8698849147798775E-3</v>
      </c>
      <c r="AJ189" s="1214">
        <f t="shared" si="533"/>
        <v>1.7172008441581755E-3</v>
      </c>
      <c r="AK189" s="1214">
        <f t="shared" si="533"/>
        <v>1.5618399630310501E-3</v>
      </c>
      <c r="AL189" s="1214">
        <f t="shared" si="533"/>
        <v>1.4979422906646817E-3</v>
      </c>
      <c r="AM189" s="1215">
        <f t="shared" si="533"/>
        <v>1.3586813557490854E-3</v>
      </c>
      <c r="AN189" s="1214">
        <f t="shared" si="533"/>
        <v>1.3387015886352348E-3</v>
      </c>
      <c r="AO189" s="1214">
        <f t="shared" si="533"/>
        <v>1.2390300341054209E-3</v>
      </c>
      <c r="AP189" s="1214">
        <f t="shared" si="533"/>
        <v>1.1551675253954536E-3</v>
      </c>
      <c r="AQ189" s="1214">
        <f t="shared" si="533"/>
        <v>1.0784161991077921E-3</v>
      </c>
      <c r="AR189" s="1214">
        <f t="shared" si="533"/>
        <v>1.0541026983939188E-3</v>
      </c>
      <c r="AS189" s="1214">
        <f t="shared" si="533"/>
        <v>1.0437626808623168E-3</v>
      </c>
      <c r="AT189" s="1214">
        <f t="shared" si="533"/>
        <v>9.7750701340022978E-4</v>
      </c>
      <c r="AU189" s="1214">
        <f t="shared" si="533"/>
        <v>9.1374743283711393E-4</v>
      </c>
      <c r="AV189" s="1214">
        <f t="shared" si="533"/>
        <v>8.5380825866473303E-4</v>
      </c>
      <c r="AW189" s="1214">
        <f t="shared" si="533"/>
        <v>7.9777514223857348E-4</v>
      </c>
      <c r="AX189" s="1214">
        <f t="shared" si="533"/>
        <v>8.1549427738254938E-4</v>
      </c>
      <c r="AY189" s="1215">
        <f t="shared" si="533"/>
        <v>8.2626582436300176E-4</v>
      </c>
      <c r="AZ189" s="1214">
        <f t="shared" si="533"/>
        <v>7.8432877900279688E-4</v>
      </c>
      <c r="BA189" s="1214">
        <f t="shared" si="533"/>
        <v>7.3814222158019322E-4</v>
      </c>
      <c r="BB189" s="1214">
        <f t="shared" si="533"/>
        <v>6.9272905031148035E-4</v>
      </c>
      <c r="BC189" s="1214">
        <f t="shared" si="533"/>
        <v>6.495238203002039E-4</v>
      </c>
      <c r="BD189" s="1214">
        <f t="shared" si="533"/>
        <v>6.3206485545657775E-4</v>
      </c>
      <c r="BE189" s="1214">
        <f t="shared" si="533"/>
        <v>6.6175339601293778E-4</v>
      </c>
      <c r="BF189" s="1214">
        <f t="shared" si="533"/>
        <v>6.3001621559948104E-4</v>
      </c>
      <c r="BG189" s="1214">
        <f t="shared" si="533"/>
        <v>5.9439275130711733E-4</v>
      </c>
      <c r="BH189" s="1214">
        <f t="shared" si="533"/>
        <v>5.7668803216924535E-4</v>
      </c>
      <c r="BI189" s="1214">
        <f t="shared" si="533"/>
        <v>5.6305617792156044E-4</v>
      </c>
      <c r="BJ189" s="1214">
        <f t="shared" si="533"/>
        <v>5.3841020182926068E-4</v>
      </c>
      <c r="BK189" s="1215">
        <f t="shared" si="533"/>
        <v>5.4009303894720143E-4</v>
      </c>
    </row>
    <row r="190" spans="1:63" s="339" customFormat="1" hidden="1" outlineLevel="1">
      <c r="A190" s="854"/>
      <c r="B190" s="373"/>
      <c r="C190" s="356"/>
      <c r="M190" s="341"/>
      <c r="N190" s="342"/>
      <c r="O190" s="407"/>
      <c r="Y190" s="341"/>
      <c r="Z190" s="342"/>
      <c r="AA190" s="407"/>
      <c r="AK190" s="341"/>
      <c r="AL190" s="342"/>
      <c r="AM190" s="407"/>
      <c r="AW190" s="341"/>
      <c r="AX190" s="342"/>
      <c r="AY190" s="407"/>
      <c r="BI190" s="341"/>
      <c r="BJ190" s="342"/>
      <c r="BK190" s="407"/>
    </row>
    <row r="191" spans="1:63" s="339" customFormat="1" collapsed="1">
      <c r="A191" s="854" t="s">
        <v>324</v>
      </c>
      <c r="B191" s="373"/>
      <c r="C191" s="356"/>
      <c r="D191" s="396" t="s">
        <v>389</v>
      </c>
      <c r="E191" s="415">
        <v>2.2000000000000002</v>
      </c>
      <c r="F191" s="396" t="s">
        <v>355</v>
      </c>
      <c r="G191" s="415">
        <v>0.03</v>
      </c>
      <c r="H191" s="396" t="s">
        <v>356</v>
      </c>
      <c r="I191" s="415">
        <v>0.3</v>
      </c>
      <c r="J191" s="414" t="s">
        <v>354</v>
      </c>
      <c r="K191" s="415">
        <v>0.05</v>
      </c>
      <c r="L191" s="396" t="s">
        <v>357</v>
      </c>
      <c r="M191" s="415">
        <f>C202</f>
        <v>0.05</v>
      </c>
      <c r="O191" s="404"/>
      <c r="P191" s="396" t="s">
        <v>389</v>
      </c>
      <c r="Q191" s="415">
        <v>1.25</v>
      </c>
      <c r="R191" s="396" t="s">
        <v>355</v>
      </c>
      <c r="S191" s="415">
        <v>2.5000000000000001E-2</v>
      </c>
      <c r="T191" s="396" t="s">
        <v>356</v>
      </c>
      <c r="U191" s="415">
        <f>I191*0.75</f>
        <v>0.22499999999999998</v>
      </c>
      <c r="V191" s="414" t="s">
        <v>354</v>
      </c>
      <c r="W191" s="415">
        <v>0.04</v>
      </c>
      <c r="X191" s="396" t="s">
        <v>357</v>
      </c>
      <c r="Y191" s="415">
        <f>O202</f>
        <v>0.05</v>
      </c>
      <c r="AA191" s="404"/>
      <c r="AB191" s="396" t="s">
        <v>389</v>
      </c>
      <c r="AC191" s="415">
        <v>1</v>
      </c>
      <c r="AD191" s="396" t="s">
        <v>355</v>
      </c>
      <c r="AE191" s="415">
        <v>2.5000000000000001E-2</v>
      </c>
      <c r="AF191" s="396" t="s">
        <v>356</v>
      </c>
      <c r="AG191" s="415">
        <v>0.12</v>
      </c>
      <c r="AH191" s="414" t="s">
        <v>354</v>
      </c>
      <c r="AI191" s="415">
        <v>0.03</v>
      </c>
      <c r="AJ191" s="396" t="s">
        <v>357</v>
      </c>
      <c r="AK191" s="415">
        <f>AA202</f>
        <v>0.05</v>
      </c>
      <c r="AM191" s="404"/>
      <c r="AN191" s="396" t="s">
        <v>389</v>
      </c>
      <c r="AO191" s="415">
        <v>0.9</v>
      </c>
      <c r="AP191" s="396" t="s">
        <v>355</v>
      </c>
      <c r="AQ191" s="415">
        <v>2.1999999999999999E-2</v>
      </c>
      <c r="AR191" s="396" t="s">
        <v>356</v>
      </c>
      <c r="AS191" s="415">
        <v>0.06</v>
      </c>
      <c r="AT191" s="414" t="s">
        <v>354</v>
      </c>
      <c r="AU191" s="415">
        <v>2.8000000000000001E-2</v>
      </c>
      <c r="AV191" s="396" t="s">
        <v>357</v>
      </c>
      <c r="AW191" s="415">
        <f>AM202</f>
        <v>0.05</v>
      </c>
      <c r="AY191" s="404"/>
      <c r="AZ191" s="396" t="s">
        <v>389</v>
      </c>
      <c r="BA191" s="415">
        <v>0.5</v>
      </c>
      <c r="BB191" s="396" t="s">
        <v>355</v>
      </c>
      <c r="BC191" s="415">
        <v>0.02</v>
      </c>
      <c r="BD191" s="396" t="s">
        <v>356</v>
      </c>
      <c r="BE191" s="415">
        <v>0.03</v>
      </c>
      <c r="BF191" s="414" t="s">
        <v>354</v>
      </c>
      <c r="BG191" s="415">
        <v>0.02</v>
      </c>
      <c r="BH191" s="396" t="s">
        <v>357</v>
      </c>
      <c r="BI191" s="415">
        <f>AY202</f>
        <v>0.05</v>
      </c>
      <c r="BK191" s="404"/>
    </row>
    <row r="192" spans="1:63" s="378" customFormat="1" hidden="1" outlineLevel="1">
      <c r="A192" s="856"/>
      <c r="B192" s="386" t="s">
        <v>226</v>
      </c>
      <c r="C192" s="387">
        <v>23</v>
      </c>
      <c r="D192" s="376">
        <f>C192/12</f>
        <v>1.9166666666666667</v>
      </c>
      <c r="E192" s="377">
        <f t="shared" ref="E192:O192" si="534">D192*(1+($E191/12))</f>
        <v>2.2680555555555557</v>
      </c>
      <c r="F192" s="377">
        <f t="shared" si="534"/>
        <v>2.6838657407407411</v>
      </c>
      <c r="G192" s="377">
        <f t="shared" si="534"/>
        <v>3.1759077932098769</v>
      </c>
      <c r="H192" s="377">
        <f t="shared" si="534"/>
        <v>3.7581575552983546</v>
      </c>
      <c r="I192" s="377">
        <f t="shared" si="534"/>
        <v>4.4471531071030528</v>
      </c>
      <c r="J192" s="377">
        <f t="shared" si="534"/>
        <v>5.262464510071946</v>
      </c>
      <c r="K192" s="377">
        <f t="shared" si="534"/>
        <v>6.227249670251803</v>
      </c>
      <c r="L192" s="377">
        <f t="shared" si="534"/>
        <v>7.3689121097979671</v>
      </c>
      <c r="M192" s="377">
        <f t="shared" si="534"/>
        <v>8.7198793299275952</v>
      </c>
      <c r="N192" s="377">
        <f t="shared" si="534"/>
        <v>10.318523873747655</v>
      </c>
      <c r="O192" s="398">
        <f t="shared" si="534"/>
        <v>12.210253250601392</v>
      </c>
      <c r="P192" s="377">
        <f t="shared" ref="P192:AA192" si="535">O192*(1+($Q191/12))</f>
        <v>13.482154630872371</v>
      </c>
      <c r="Q192" s="377">
        <f t="shared" si="535"/>
        <v>14.88654573825491</v>
      </c>
      <c r="R192" s="377">
        <f t="shared" si="535"/>
        <v>16.437227585989795</v>
      </c>
      <c r="S192" s="377">
        <f t="shared" si="535"/>
        <v>18.149438792863734</v>
      </c>
      <c r="T192" s="377">
        <f t="shared" si="535"/>
        <v>20.04000533378704</v>
      </c>
      <c r="U192" s="377">
        <f t="shared" si="535"/>
        <v>22.127505889389859</v>
      </c>
      <c r="V192" s="377">
        <f t="shared" si="535"/>
        <v>24.432454419534636</v>
      </c>
      <c r="W192" s="377">
        <f t="shared" si="535"/>
        <v>26.977501754902828</v>
      </c>
      <c r="X192" s="377">
        <f t="shared" si="535"/>
        <v>29.787658187705208</v>
      </c>
      <c r="Y192" s="377">
        <f t="shared" si="535"/>
        <v>32.890539248924505</v>
      </c>
      <c r="Z192" s="377">
        <f t="shared" si="535"/>
        <v>36.316637087354145</v>
      </c>
      <c r="AA192" s="398">
        <f t="shared" si="535"/>
        <v>40.099620117286868</v>
      </c>
      <c r="AB192" s="377">
        <f t="shared" ref="AB192:AM192" si="536">AA192*(1+($AC191/12))</f>
        <v>43.441255127060771</v>
      </c>
      <c r="AC192" s="377">
        <f t="shared" si="536"/>
        <v>47.061359720982502</v>
      </c>
      <c r="AD192" s="377">
        <f t="shared" si="536"/>
        <v>50.98313969773104</v>
      </c>
      <c r="AE192" s="377">
        <f t="shared" si="536"/>
        <v>55.231734672541954</v>
      </c>
      <c r="AF192" s="377">
        <f t="shared" si="536"/>
        <v>59.83437922858711</v>
      </c>
      <c r="AG192" s="377">
        <f t="shared" si="536"/>
        <v>64.820577497636037</v>
      </c>
      <c r="AH192" s="377">
        <f t="shared" si="536"/>
        <v>70.222292289105695</v>
      </c>
      <c r="AI192" s="377">
        <f t="shared" si="536"/>
        <v>76.074149979864501</v>
      </c>
      <c r="AJ192" s="377">
        <f t="shared" si="536"/>
        <v>82.413662478186538</v>
      </c>
      <c r="AK192" s="377">
        <f t="shared" si="536"/>
        <v>89.281467684702079</v>
      </c>
      <c r="AL192" s="377">
        <f t="shared" si="536"/>
        <v>96.721589991760581</v>
      </c>
      <c r="AM192" s="398">
        <f t="shared" si="536"/>
        <v>104.78172249107395</v>
      </c>
      <c r="AN192" s="377">
        <f t="shared" ref="AN192:AY192" si="537">AM192*(1+($AO191/12))</f>
        <v>112.64035167790449</v>
      </c>
      <c r="AO192" s="377">
        <f t="shared" si="537"/>
        <v>121.08837805374732</v>
      </c>
      <c r="AP192" s="377">
        <f t="shared" si="537"/>
        <v>130.17000640777837</v>
      </c>
      <c r="AQ192" s="377">
        <f t="shared" si="537"/>
        <v>139.93275688836175</v>
      </c>
      <c r="AR192" s="377">
        <f t="shared" si="537"/>
        <v>150.42771365498888</v>
      </c>
      <c r="AS192" s="377">
        <f t="shared" si="537"/>
        <v>161.70979217911304</v>
      </c>
      <c r="AT192" s="377">
        <f t="shared" si="537"/>
        <v>173.8380265925465</v>
      </c>
      <c r="AU192" s="377">
        <f t="shared" si="537"/>
        <v>186.87587858698748</v>
      </c>
      <c r="AV192" s="377">
        <f t="shared" si="537"/>
        <v>200.89156948101154</v>
      </c>
      <c r="AW192" s="377">
        <f t="shared" si="537"/>
        <v>215.95843719208739</v>
      </c>
      <c r="AX192" s="377">
        <f t="shared" si="537"/>
        <v>232.15531998149393</v>
      </c>
      <c r="AY192" s="398">
        <f t="shared" si="537"/>
        <v>249.56696898010597</v>
      </c>
      <c r="AZ192" s="377">
        <f t="shared" ref="AZ192:BK192" si="538">AY192*(1+($BA191/12))</f>
        <v>259.96559268761041</v>
      </c>
      <c r="BA192" s="377">
        <f t="shared" si="538"/>
        <v>270.79749238292754</v>
      </c>
      <c r="BB192" s="377">
        <f t="shared" si="538"/>
        <v>282.08072123221621</v>
      </c>
      <c r="BC192" s="377">
        <f t="shared" si="538"/>
        <v>293.83408461689191</v>
      </c>
      <c r="BD192" s="377">
        <f t="shared" si="538"/>
        <v>306.07717147592911</v>
      </c>
      <c r="BE192" s="377">
        <f t="shared" si="538"/>
        <v>318.83038695409283</v>
      </c>
      <c r="BF192" s="377">
        <f t="shared" si="538"/>
        <v>332.11498641051338</v>
      </c>
      <c r="BG192" s="377">
        <f t="shared" si="538"/>
        <v>345.95311084428482</v>
      </c>
      <c r="BH192" s="377">
        <f t="shared" si="538"/>
        <v>360.36782379613004</v>
      </c>
      <c r="BI192" s="377">
        <f t="shared" si="538"/>
        <v>375.38314978763549</v>
      </c>
      <c r="BJ192" s="377">
        <f t="shared" si="538"/>
        <v>391.02411436212032</v>
      </c>
      <c r="BK192" s="398">
        <f t="shared" si="538"/>
        <v>407.31678579387534</v>
      </c>
    </row>
    <row r="193" spans="1:63" s="54" customFormat="1" hidden="1" outlineLevel="1">
      <c r="A193" s="857"/>
      <c r="B193" s="371" t="s">
        <v>347</v>
      </c>
      <c r="C193" s="364">
        <f>C194/C192</f>
        <v>0.47826086956521741</v>
      </c>
      <c r="D193" s="352">
        <f>C193</f>
        <v>0.47826086956521741</v>
      </c>
      <c r="E193" s="169">
        <f t="shared" ref="E193:O193" si="539">D193*((0.5*($K191/12))+1)</f>
        <v>0.47925724637681166</v>
      </c>
      <c r="F193" s="169">
        <f t="shared" si="539"/>
        <v>0.48025569897343007</v>
      </c>
      <c r="G193" s="169">
        <f t="shared" si="539"/>
        <v>0.48125623167962478</v>
      </c>
      <c r="H193" s="169">
        <f t="shared" si="539"/>
        <v>0.48225884882895736</v>
      </c>
      <c r="I193" s="169">
        <f t="shared" si="539"/>
        <v>0.48326355476401772</v>
      </c>
      <c r="J193" s="169">
        <f t="shared" si="539"/>
        <v>0.48427035383644279</v>
      </c>
      <c r="K193" s="169">
        <f t="shared" si="539"/>
        <v>0.48527925040693543</v>
      </c>
      <c r="L193" s="169">
        <f t="shared" si="539"/>
        <v>0.48629024884528327</v>
      </c>
      <c r="M193" s="169">
        <f t="shared" si="539"/>
        <v>0.48730335353037768</v>
      </c>
      <c r="N193" s="169">
        <f t="shared" si="539"/>
        <v>0.48831856885023267</v>
      </c>
      <c r="O193" s="405">
        <f t="shared" si="539"/>
        <v>0.48933589920200404</v>
      </c>
      <c r="P193" s="169">
        <f t="shared" ref="P193:AA193" si="540">O193*((0.5*($W191/12))+1)</f>
        <v>0.49015145903400742</v>
      </c>
      <c r="Q193" s="169">
        <f t="shared" si="540"/>
        <v>0.49096837813239746</v>
      </c>
      <c r="R193" s="169">
        <f t="shared" si="540"/>
        <v>0.49178665876261812</v>
      </c>
      <c r="S193" s="169">
        <f t="shared" si="540"/>
        <v>0.49260630319388915</v>
      </c>
      <c r="T193" s="169">
        <f t="shared" si="540"/>
        <v>0.49342731369921233</v>
      </c>
      <c r="U193" s="169">
        <f t="shared" si="540"/>
        <v>0.49424969255537771</v>
      </c>
      <c r="V193" s="169">
        <f t="shared" si="540"/>
        <v>0.49507344204297005</v>
      </c>
      <c r="W193" s="169">
        <f t="shared" si="540"/>
        <v>0.49589856444637503</v>
      </c>
      <c r="X193" s="169">
        <f t="shared" si="540"/>
        <v>0.49672506205378569</v>
      </c>
      <c r="Y193" s="169">
        <f t="shared" si="540"/>
        <v>0.49755293715720866</v>
      </c>
      <c r="Z193" s="169">
        <f t="shared" si="540"/>
        <v>0.4983821920524707</v>
      </c>
      <c r="AA193" s="405">
        <f t="shared" si="540"/>
        <v>0.49921282903922481</v>
      </c>
      <c r="AB193" s="169">
        <f t="shared" ref="AB193:AM193" si="541">AA193*((0.5*($AI191/12))+1)</f>
        <v>0.49983684507552384</v>
      </c>
      <c r="AC193" s="169">
        <f t="shared" si="541"/>
        <v>0.5004616411318682</v>
      </c>
      <c r="AD193" s="169">
        <f t="shared" si="541"/>
        <v>0.50108721818328306</v>
      </c>
      <c r="AE193" s="169">
        <f t="shared" si="541"/>
        <v>0.50171357720601217</v>
      </c>
      <c r="AF193" s="169">
        <f t="shared" si="541"/>
        <v>0.50234071917751966</v>
      </c>
      <c r="AG193" s="169">
        <f t="shared" si="541"/>
        <v>0.50296864507649153</v>
      </c>
      <c r="AH193" s="169">
        <f t="shared" si="541"/>
        <v>0.50359735588283716</v>
      </c>
      <c r="AI193" s="169">
        <f t="shared" si="541"/>
        <v>0.50422685257769073</v>
      </c>
      <c r="AJ193" s="169">
        <f t="shared" si="541"/>
        <v>0.50485713614341288</v>
      </c>
      <c r="AK193" s="169">
        <f t="shared" si="541"/>
        <v>0.50548820756359214</v>
      </c>
      <c r="AL193" s="169">
        <f t="shared" si="541"/>
        <v>0.50612006782304664</v>
      </c>
      <c r="AM193" s="405">
        <f t="shared" si="541"/>
        <v>0.50675271790782539</v>
      </c>
      <c r="AN193" s="169">
        <f t="shared" ref="AN193:AY193" si="542">AM193*((0.5*($AU191/12))+1)</f>
        <v>0.5073439294120512</v>
      </c>
      <c r="AO193" s="169">
        <f t="shared" si="542"/>
        <v>0.50793583066303194</v>
      </c>
      <c r="AP193" s="169">
        <f t="shared" si="542"/>
        <v>0.50852842246547214</v>
      </c>
      <c r="AQ193" s="169">
        <f t="shared" si="542"/>
        <v>0.50912170562501524</v>
      </c>
      <c r="AR193" s="169">
        <f t="shared" si="542"/>
        <v>0.50971568094824449</v>
      </c>
      <c r="AS193" s="169">
        <f t="shared" si="542"/>
        <v>0.51031034924268415</v>
      </c>
      <c r="AT193" s="169">
        <f t="shared" si="542"/>
        <v>0.51090571131680063</v>
      </c>
      <c r="AU193" s="169">
        <f t="shared" si="542"/>
        <v>0.51150176798000357</v>
      </c>
      <c r="AV193" s="169">
        <f t="shared" si="542"/>
        <v>0.512098520042647</v>
      </c>
      <c r="AW193" s="169">
        <f t="shared" si="542"/>
        <v>0.51269596831603015</v>
      </c>
      <c r="AX193" s="169">
        <f t="shared" si="542"/>
        <v>0.51329411361239885</v>
      </c>
      <c r="AY193" s="405">
        <f t="shared" si="542"/>
        <v>0.51389295674494673</v>
      </c>
      <c r="AZ193" s="169">
        <f t="shared" ref="AZ193:BK193" si="543">AY193*((0.5*($BG191/12))+1)</f>
        <v>0.51432120087556743</v>
      </c>
      <c r="BA193" s="169">
        <f t="shared" si="543"/>
        <v>0.51474980187629704</v>
      </c>
      <c r="BB193" s="169">
        <f t="shared" si="543"/>
        <v>0.51517876004452723</v>
      </c>
      <c r="BC193" s="169">
        <f t="shared" si="543"/>
        <v>0.51560807567789757</v>
      </c>
      <c r="BD193" s="169">
        <f t="shared" si="543"/>
        <v>0.51603774907429578</v>
      </c>
      <c r="BE193" s="169">
        <f t="shared" si="543"/>
        <v>0.5164677805318576</v>
      </c>
      <c r="BF193" s="169">
        <f t="shared" si="543"/>
        <v>0.51689817034896746</v>
      </c>
      <c r="BG193" s="169">
        <f t="shared" si="543"/>
        <v>0.51732891882425824</v>
      </c>
      <c r="BH193" s="169">
        <f t="shared" si="543"/>
        <v>0.51776002625661177</v>
      </c>
      <c r="BI193" s="169">
        <f t="shared" si="543"/>
        <v>0.51819149294515887</v>
      </c>
      <c r="BJ193" s="169">
        <f t="shared" si="543"/>
        <v>0.51862331918927984</v>
      </c>
      <c r="BK193" s="405">
        <f t="shared" si="543"/>
        <v>0.51905550528860422</v>
      </c>
    </row>
    <row r="194" spans="1:63" s="338" customFormat="1" hidden="1" outlineLevel="1">
      <c r="A194" s="858"/>
      <c r="B194" s="388" t="s">
        <v>258</v>
      </c>
      <c r="C194" s="389">
        <v>11</v>
      </c>
      <c r="D194" s="380">
        <f t="shared" ref="D194:AI194" si="544">D192*D193</f>
        <v>0.91666666666666674</v>
      </c>
      <c r="E194" s="381">
        <f t="shared" si="544"/>
        <v>1.0869820601851854</v>
      </c>
      <c r="F194" s="381">
        <f t="shared" si="544"/>
        <v>1.2889418172702873</v>
      </c>
      <c r="G194" s="381">
        <f t="shared" si="544"/>
        <v>1.5284254167221385</v>
      </c>
      <c r="H194" s="381">
        <f t="shared" si="544"/>
        <v>1.8124047363360332</v>
      </c>
      <c r="I194" s="381">
        <f t="shared" si="544"/>
        <v>2.1491470191184678</v>
      </c>
      <c r="J194" s="381">
        <f t="shared" si="544"/>
        <v>2.5484555503442641</v>
      </c>
      <c r="K194" s="381">
        <f t="shared" si="544"/>
        <v>3.0219550520766307</v>
      </c>
      <c r="L194" s="381">
        <f t="shared" si="544"/>
        <v>3.5834301035926748</v>
      </c>
      <c r="M194" s="381">
        <f t="shared" si="544"/>
        <v>4.2492264398539401</v>
      </c>
      <c r="N194" s="381">
        <f t="shared" si="544"/>
        <v>5.0387268106754135</v>
      </c>
      <c r="O194" s="399">
        <f t="shared" si="544"/>
        <v>5.9749152538672252</v>
      </c>
      <c r="P194" s="381">
        <f t="shared" si="544"/>
        <v>6.6082977632441926</v>
      </c>
      <c r="Q194" s="381">
        <f t="shared" si="544"/>
        <v>7.3088232171047665</v>
      </c>
      <c r="R194" s="381">
        <f t="shared" si="544"/>
        <v>8.0836092338346575</v>
      </c>
      <c r="S194" s="381">
        <f t="shared" si="544"/>
        <v>8.9405279487963654</v>
      </c>
      <c r="T194" s="381">
        <f t="shared" si="544"/>
        <v>9.8882859983684259</v>
      </c>
      <c r="U194" s="381">
        <f t="shared" si="544"/>
        <v>10.936512982848248</v>
      </c>
      <c r="V194" s="381">
        <f t="shared" si="544"/>
        <v>12.095859307036989</v>
      </c>
      <c r="W194" s="381">
        <f t="shared" si="544"/>
        <v>13.378104392605875</v>
      </c>
      <c r="X194" s="381">
        <f t="shared" si="544"/>
        <v>14.796276361724827</v>
      </c>
      <c r="Y194" s="381">
        <f t="shared" si="544"/>
        <v>16.364784407986839</v>
      </c>
      <c r="Z194" s="381">
        <f t="shared" si="544"/>
        <v>18.099565199569614</v>
      </c>
      <c r="AA194" s="399">
        <f t="shared" si="544"/>
        <v>20.018244802148988</v>
      </c>
      <c r="AB194" s="381">
        <f t="shared" si="544"/>
        <v>21.713539908830981</v>
      </c>
      <c r="AC194" s="381">
        <f t="shared" si="544"/>
        <v>23.552405319860103</v>
      </c>
      <c r="AD194" s="381">
        <f t="shared" si="544"/>
        <v>25.546999645385753</v>
      </c>
      <c r="AE194" s="381">
        <f t="shared" si="544"/>
        <v>27.710511177854357</v>
      </c>
      <c r="AF194" s="381">
        <f t="shared" si="544"/>
        <v>30.057245093228893</v>
      </c>
      <c r="AG194" s="381">
        <f t="shared" si="544"/>
        <v>32.602718037061713</v>
      </c>
      <c r="AH194" s="381">
        <f t="shared" si="544"/>
        <v>35.363760720825375</v>
      </c>
      <c r="AI194" s="381">
        <f t="shared" si="544"/>
        <v>38.358629206870269</v>
      </c>
      <c r="AJ194" s="381">
        <f t="shared" ref="AJ194:BK194" si="545">AJ192*AJ193</f>
        <v>41.607125617827101</v>
      </c>
      <c r="AK194" s="381">
        <f t="shared" si="545"/>
        <v>45.130729068586831</v>
      </c>
      <c r="AL194" s="381">
        <f t="shared" si="545"/>
        <v>48.952737686582772</v>
      </c>
      <c r="AM194" s="399">
        <f t="shared" si="545"/>
        <v>53.098422659415242</v>
      </c>
      <c r="AN194" s="381">
        <f t="shared" si="545"/>
        <v>57.1473986306234</v>
      </c>
      <c r="AO194" s="381">
        <f t="shared" si="545"/>
        <v>61.505125890369392</v>
      </c>
      <c r="AP194" s="381">
        <f t="shared" si="545"/>
        <v>66.195148010867939</v>
      </c>
      <c r="AQ194" s="381">
        <f t="shared" si="545"/>
        <v>71.242803859813336</v>
      </c>
      <c r="AR194" s="381">
        <f t="shared" si="545"/>
        <v>76.675364499140187</v>
      </c>
      <c r="AS194" s="381">
        <f t="shared" si="545"/>
        <v>82.522180522885051</v>
      </c>
      <c r="AT194" s="381">
        <f t="shared" si="545"/>
        <v>88.814840630173876</v>
      </c>
      <c r="AU194" s="381">
        <f t="shared" si="545"/>
        <v>95.58734229006059</v>
      </c>
      <c r="AV194" s="381">
        <f t="shared" si="545"/>
        <v>102.8762754202706</v>
      </c>
      <c r="AW194" s="381">
        <f t="shared" si="545"/>
        <v>110.72102007221382</v>
      </c>
      <c r="AX194" s="381">
        <f t="shared" si="545"/>
        <v>119.16395919030376</v>
      </c>
      <c r="AY194" s="399">
        <f t="shared" si="545"/>
        <v>128.25070759506104</v>
      </c>
      <c r="AZ194" s="381">
        <f t="shared" si="545"/>
        <v>133.70581581742042</v>
      </c>
      <c r="BA194" s="381">
        <f t="shared" si="545"/>
        <v>139.39295555271002</v>
      </c>
      <c r="BB194" s="381">
        <f t="shared" si="545"/>
        <v>145.3219961968791</v>
      </c>
      <c r="BC194" s="381">
        <f t="shared" si="545"/>
        <v>151.50322693789215</v>
      </c>
      <c r="BD194" s="381">
        <f t="shared" si="545"/>
        <v>157.9473746114657</v>
      </c>
      <c r="BE194" s="381">
        <f t="shared" si="545"/>
        <v>164.66562231629365</v>
      </c>
      <c r="BF194" s="381">
        <f t="shared" si="545"/>
        <v>171.66962882106657</v>
      </c>
      <c r="BG194" s="381">
        <f t="shared" si="545"/>
        <v>178.97154879696265</v>
      </c>
      <c r="BH194" s="381">
        <f t="shared" si="545"/>
        <v>186.58405391072233</v>
      </c>
      <c r="BI194" s="381">
        <f t="shared" si="545"/>
        <v>194.52035481491103</v>
      </c>
      <c r="BJ194" s="381">
        <f t="shared" si="545"/>
        <v>202.79422407353138</v>
      </c>
      <c r="BK194" s="399">
        <f t="shared" si="545"/>
        <v>211.42002006277013</v>
      </c>
    </row>
    <row r="195" spans="1:63" s="54" customFormat="1" hidden="1" outlineLevel="1">
      <c r="A195" s="857"/>
      <c r="B195" s="371" t="s">
        <v>348</v>
      </c>
      <c r="C195" s="365">
        <f>C196/C194</f>
        <v>0.36363636363636365</v>
      </c>
      <c r="D195" s="352">
        <f>C195</f>
        <v>0.36363636363636365</v>
      </c>
      <c r="E195" s="169">
        <f t="shared" ref="E195:O195" si="546">D195*((0.5*($K191/12))+1)</f>
        <v>0.36439393939393944</v>
      </c>
      <c r="F195" s="169">
        <f t="shared" si="546"/>
        <v>0.36515309343434349</v>
      </c>
      <c r="G195" s="169">
        <f t="shared" si="546"/>
        <v>0.36591382904566505</v>
      </c>
      <c r="H195" s="169">
        <f t="shared" si="546"/>
        <v>0.36667614952284355</v>
      </c>
      <c r="I195" s="169">
        <f t="shared" si="546"/>
        <v>0.36744005816768283</v>
      </c>
      <c r="J195" s="169">
        <f t="shared" si="546"/>
        <v>0.36820555828886553</v>
      </c>
      <c r="K195" s="169">
        <f t="shared" si="546"/>
        <v>0.36897265320196737</v>
      </c>
      <c r="L195" s="169">
        <f t="shared" si="546"/>
        <v>0.36974134622947152</v>
      </c>
      <c r="M195" s="169">
        <f t="shared" si="546"/>
        <v>0.37051164070078296</v>
      </c>
      <c r="N195" s="169">
        <f t="shared" si="546"/>
        <v>0.37128353995224295</v>
      </c>
      <c r="O195" s="405">
        <f t="shared" si="546"/>
        <v>0.37205704732714351</v>
      </c>
      <c r="P195" s="169">
        <f t="shared" ref="P195:AA195" si="547">O195*((0.5*($W191/12))+1)</f>
        <v>0.37267714240602212</v>
      </c>
      <c r="Q195" s="169">
        <f t="shared" si="547"/>
        <v>0.37329827097669882</v>
      </c>
      <c r="R195" s="169">
        <f t="shared" si="547"/>
        <v>0.37392043476165998</v>
      </c>
      <c r="S195" s="169">
        <f t="shared" si="547"/>
        <v>0.37454363548626274</v>
      </c>
      <c r="T195" s="169">
        <f t="shared" si="547"/>
        <v>0.37516787487873987</v>
      </c>
      <c r="U195" s="169">
        <f t="shared" si="547"/>
        <v>0.37579315467020447</v>
      </c>
      <c r="V195" s="169">
        <f t="shared" si="547"/>
        <v>0.3764194765946548</v>
      </c>
      <c r="W195" s="169">
        <f t="shared" si="547"/>
        <v>0.37704684238897923</v>
      </c>
      <c r="X195" s="169">
        <f t="shared" si="547"/>
        <v>0.37767525379296085</v>
      </c>
      <c r="Y195" s="169">
        <f t="shared" si="547"/>
        <v>0.3783047125492825</v>
      </c>
      <c r="Z195" s="169">
        <f t="shared" si="547"/>
        <v>0.37893522040353134</v>
      </c>
      <c r="AA195" s="405">
        <f t="shared" si="547"/>
        <v>0.37956677910420389</v>
      </c>
      <c r="AB195" s="169">
        <f t="shared" ref="AB195:AM195" si="548">AA195*((0.5*($AI191/12))+1)</f>
        <v>0.38004123757808411</v>
      </c>
      <c r="AC195" s="169">
        <f t="shared" si="548"/>
        <v>0.38051628912505669</v>
      </c>
      <c r="AD195" s="169">
        <f t="shared" si="548"/>
        <v>0.38099193448646301</v>
      </c>
      <c r="AE195" s="169">
        <f t="shared" si="548"/>
        <v>0.38146817440457109</v>
      </c>
      <c r="AF195" s="169">
        <f t="shared" si="548"/>
        <v>0.38194500962257677</v>
      </c>
      <c r="AG195" s="169">
        <f t="shared" si="548"/>
        <v>0.38242244088460497</v>
      </c>
      <c r="AH195" s="169">
        <f t="shared" si="548"/>
        <v>0.38290046893571072</v>
      </c>
      <c r="AI195" s="169">
        <f t="shared" si="548"/>
        <v>0.38337909452188035</v>
      </c>
      <c r="AJ195" s="169">
        <f t="shared" si="548"/>
        <v>0.3838583183900327</v>
      </c>
      <c r="AK195" s="169">
        <f t="shared" si="548"/>
        <v>0.38433814128802024</v>
      </c>
      <c r="AL195" s="169">
        <f t="shared" si="548"/>
        <v>0.38481856396463027</v>
      </c>
      <c r="AM195" s="405">
        <f t="shared" si="548"/>
        <v>0.38529958716958607</v>
      </c>
      <c r="AN195" s="169">
        <f t="shared" ref="AN195:AY195" si="549">AM195*((0.5*($AU191/12))+1)</f>
        <v>0.38574910335461726</v>
      </c>
      <c r="AO195" s="169">
        <f t="shared" si="549"/>
        <v>0.38619914397519767</v>
      </c>
      <c r="AP195" s="169">
        <f t="shared" si="549"/>
        <v>0.38664970964316875</v>
      </c>
      <c r="AQ195" s="169">
        <f t="shared" si="549"/>
        <v>0.38710080097108579</v>
      </c>
      <c r="AR195" s="169">
        <f t="shared" si="549"/>
        <v>0.38755241857221878</v>
      </c>
      <c r="AS195" s="169">
        <f t="shared" si="549"/>
        <v>0.38800456306055309</v>
      </c>
      <c r="AT195" s="169">
        <f t="shared" si="549"/>
        <v>0.38845723505079044</v>
      </c>
      <c r="AU195" s="169">
        <f t="shared" si="549"/>
        <v>0.38891043515834972</v>
      </c>
      <c r="AV195" s="169">
        <f t="shared" si="549"/>
        <v>0.38936416399936785</v>
      </c>
      <c r="AW195" s="169">
        <f t="shared" si="549"/>
        <v>0.38981842219070051</v>
      </c>
      <c r="AX195" s="169">
        <f t="shared" si="549"/>
        <v>0.39027321034992302</v>
      </c>
      <c r="AY195" s="405">
        <f t="shared" si="549"/>
        <v>0.39072852909533129</v>
      </c>
      <c r="AZ195" s="169">
        <f t="shared" ref="AZ195:BK195" si="550">AY195*((0.5*($BG191/12))+1)</f>
        <v>0.39105413620291068</v>
      </c>
      <c r="BA195" s="169">
        <f t="shared" si="550"/>
        <v>0.39138001464974642</v>
      </c>
      <c r="BB195" s="169">
        <f t="shared" si="550"/>
        <v>0.39170616466195451</v>
      </c>
      <c r="BC195" s="169">
        <f t="shared" si="550"/>
        <v>0.39203258646583944</v>
      </c>
      <c r="BD195" s="169">
        <f t="shared" si="550"/>
        <v>0.3923592802878943</v>
      </c>
      <c r="BE195" s="169">
        <f t="shared" si="550"/>
        <v>0.39268624635480082</v>
      </c>
      <c r="BF195" s="169">
        <f t="shared" si="550"/>
        <v>0.3930134848934298</v>
      </c>
      <c r="BG195" s="169">
        <f t="shared" si="550"/>
        <v>0.39334099613084095</v>
      </c>
      <c r="BH195" s="169">
        <f t="shared" si="550"/>
        <v>0.39366878029428326</v>
      </c>
      <c r="BI195" s="169">
        <f t="shared" si="550"/>
        <v>0.39399683761119514</v>
      </c>
      <c r="BJ195" s="169">
        <f t="shared" si="550"/>
        <v>0.39432516830920444</v>
      </c>
      <c r="BK195" s="405">
        <f t="shared" si="550"/>
        <v>0.39465377261612872</v>
      </c>
    </row>
    <row r="196" spans="1:63" s="385" customFormat="1" hidden="1" outlineLevel="1">
      <c r="A196" s="859"/>
      <c r="B196" s="390" t="s">
        <v>285</v>
      </c>
      <c r="C196" s="391">
        <v>4</v>
      </c>
      <c r="D196" s="383">
        <f t="shared" ref="D196:AI196" si="551">D194*D195</f>
        <v>0.33333333333333337</v>
      </c>
      <c r="E196" s="384">
        <f t="shared" si="551"/>
        <v>0.39608967496141989</v>
      </c>
      <c r="F196" s="384">
        <f t="shared" si="551"/>
        <v>0.47066109183312971</v>
      </c>
      <c r="G196" s="384">
        <f t="shared" si="551"/>
        <v>0.5592719966435139</v>
      </c>
      <c r="H196" s="384">
        <f t="shared" si="551"/>
        <v>0.66456559009666116</v>
      </c>
      <c r="I196" s="384">
        <f t="shared" si="551"/>
        <v>0.78968270571579202</v>
      </c>
      <c r="J196" s="384">
        <f t="shared" si="551"/>
        <v>0.93835549868886781</v>
      </c>
      <c r="K196" s="384">
        <f t="shared" si="551"/>
        <v>1.115018773421804</v>
      </c>
      <c r="L196" s="384">
        <f t="shared" si="551"/>
        <v>1.3249422706215701</v>
      </c>
      <c r="M196" s="384">
        <f t="shared" si="551"/>
        <v>1.5743878599394303</v>
      </c>
      <c r="N196" s="384">
        <f t="shared" si="551"/>
        <v>1.8707963271198427</v>
      </c>
      <c r="O196" s="400">
        <f t="shared" si="551"/>
        <v>2.2230093273837497</v>
      </c>
      <c r="P196" s="384">
        <f t="shared" si="551"/>
        <v>2.4627615265739533</v>
      </c>
      <c r="Q196" s="384">
        <f t="shared" si="551"/>
        <v>2.7283710698195627</v>
      </c>
      <c r="R196" s="384">
        <f t="shared" si="551"/>
        <v>3.0226266791588241</v>
      </c>
      <c r="S196" s="384">
        <f t="shared" si="551"/>
        <v>3.3486178411087302</v>
      </c>
      <c r="T196" s="384">
        <f t="shared" si="551"/>
        <v>3.7097672442010809</v>
      </c>
      <c r="U196" s="384">
        <f t="shared" si="551"/>
        <v>4.1098667149161905</v>
      </c>
      <c r="V196" s="384">
        <f t="shared" si="551"/>
        <v>4.5531170293174474</v>
      </c>
      <c r="W196" s="384">
        <f t="shared" si="551"/>
        <v>5.0441720183821781</v>
      </c>
      <c r="X196" s="384">
        <f t="shared" si="551"/>
        <v>5.5881874301052115</v>
      </c>
      <c r="Y196" s="384">
        <f t="shared" si="551"/>
        <v>6.1908750613944417</v>
      </c>
      <c r="Z196" s="384">
        <f t="shared" si="551"/>
        <v>6.8585627281069979</v>
      </c>
      <c r="AA196" s="400">
        <f t="shared" si="551"/>
        <v>7.5982607028711628</v>
      </c>
      <c r="AB196" s="384">
        <f t="shared" si="551"/>
        <v>8.2520405791532454</v>
      </c>
      <c r="AC196" s="384">
        <f t="shared" si="551"/>
        <v>8.96207387228241</v>
      </c>
      <c r="AD196" s="384">
        <f t="shared" si="551"/>
        <v>9.7332008152205027</v>
      </c>
      <c r="AE196" s="384">
        <f t="shared" si="551"/>
        <v>10.570678110833562</v>
      </c>
      <c r="AF196" s="384">
        <f t="shared" si="551"/>
        <v>11.480214766361458</v>
      </c>
      <c r="AG196" s="384">
        <f t="shared" si="551"/>
        <v>12.468011011205677</v>
      </c>
      <c r="AH196" s="384">
        <f t="shared" si="551"/>
        <v>13.540800563334304</v>
      </c>
      <c r="AI196" s="384">
        <f t="shared" si="551"/>
        <v>14.705896532430478</v>
      </c>
      <c r="AJ196" s="384">
        <f t="shared" ref="AJ196:BK196" si="552">AJ194*AJ195</f>
        <v>15.971241272701961</v>
      </c>
      <c r="AK196" s="384">
        <f t="shared" si="552"/>
        <v>17.345460525193886</v>
      </c>
      <c r="AL196" s="384">
        <f t="shared" si="552"/>
        <v>18.837922218688018</v>
      </c>
      <c r="AM196" s="400">
        <f t="shared" si="552"/>
        <v>20.458800330028886</v>
      </c>
      <c r="AN196" s="384">
        <f t="shared" si="552"/>
        <v>22.044557780811857</v>
      </c>
      <c r="AO196" s="384">
        <f t="shared" si="552"/>
        <v>23.753226968947427</v>
      </c>
      <c r="AP196" s="384">
        <f t="shared" si="552"/>
        <v>25.594334758188669</v>
      </c>
      <c r="AQ196" s="384">
        <f t="shared" si="552"/>
        <v>27.578146437559706</v>
      </c>
      <c r="AR196" s="384">
        <f t="shared" si="552"/>
        <v>29.715722956548223</v>
      </c>
      <c r="AS196" s="384">
        <f t="shared" si="552"/>
        <v>32.018982596586099</v>
      </c>
      <c r="AT196" s="384">
        <f t="shared" si="552"/>
        <v>34.500767422673945</v>
      </c>
      <c r="AU196" s="384">
        <f t="shared" si="552"/>
        <v>37.174914885657593</v>
      </c>
      <c r="AV196" s="384">
        <f t="shared" si="552"/>
        <v>40.056334974382381</v>
      </c>
      <c r="AW196" s="384">
        <f t="shared" si="552"/>
        <v>43.161093347895275</v>
      </c>
      <c r="AX196" s="384">
        <f t="shared" si="552"/>
        <v>46.506500911207063</v>
      </c>
      <c r="AY196" s="400">
        <f t="shared" si="552"/>
        <v>50.111210334053638</v>
      </c>
      <c r="AZ196" s="384">
        <f t="shared" si="552"/>
        <v>52.286212309786812</v>
      </c>
      <c r="BA196" s="384">
        <f t="shared" si="552"/>
        <v>54.555616986291099</v>
      </c>
      <c r="BB196" s="384">
        <f t="shared" si="552"/>
        <v>56.923521771298653</v>
      </c>
      <c r="BC196" s="384">
        <f t="shared" si="552"/>
        <v>59.394201914382897</v>
      </c>
      <c r="BD196" s="384">
        <f t="shared" si="552"/>
        <v>61.972118225917114</v>
      </c>
      <c r="BE196" s="384">
        <f t="shared" si="552"/>
        <v>64.661925131062674</v>
      </c>
      <c r="BF196" s="384">
        <f t="shared" si="552"/>
        <v>67.46847907332895</v>
      </c>
      <c r="BG196" s="384">
        <f t="shared" si="552"/>
        <v>70.396847282876692</v>
      </c>
      <c r="BH196" s="384">
        <f t="shared" si="552"/>
        <v>73.452316925396858</v>
      </c>
      <c r="BI196" s="384">
        <f t="shared" si="552"/>
        <v>76.640404648082566</v>
      </c>
      <c r="BJ196" s="384">
        <f t="shared" si="552"/>
        <v>79.966866539929782</v>
      </c>
      <c r="BK196" s="400">
        <f t="shared" si="552"/>
        <v>83.437708524349858</v>
      </c>
    </row>
    <row r="197" spans="1:63" s="339" customFormat="1" ht="6.75" hidden="1" customHeight="1" outlineLevel="1">
      <c r="A197" s="854"/>
      <c r="B197" s="373"/>
      <c r="C197" s="357"/>
      <c r="D197" s="349"/>
      <c r="E197" s="341"/>
      <c r="F197" s="341"/>
      <c r="G197" s="341"/>
      <c r="H197" s="341"/>
      <c r="I197" s="341"/>
      <c r="J197" s="341"/>
      <c r="K197" s="341"/>
      <c r="L197" s="341"/>
      <c r="M197" s="341"/>
      <c r="N197" s="341"/>
      <c r="O197" s="401"/>
      <c r="P197" s="341"/>
      <c r="Q197" s="341"/>
      <c r="R197" s="341"/>
      <c r="S197" s="341"/>
      <c r="T197" s="341"/>
      <c r="U197" s="341"/>
      <c r="V197" s="341"/>
      <c r="W197" s="341"/>
      <c r="X197" s="341"/>
      <c r="Y197" s="341"/>
      <c r="Z197" s="341"/>
      <c r="AA197" s="401"/>
      <c r="AB197" s="341"/>
      <c r="AC197" s="341"/>
      <c r="AD197" s="341"/>
      <c r="AE197" s="341"/>
      <c r="AF197" s="341"/>
      <c r="AG197" s="341"/>
      <c r="AH197" s="341"/>
      <c r="AI197" s="341"/>
      <c r="AJ197" s="341"/>
      <c r="AK197" s="341"/>
      <c r="AL197" s="341"/>
      <c r="AM197" s="401"/>
      <c r="AN197" s="341"/>
      <c r="AO197" s="341"/>
      <c r="AP197" s="341"/>
      <c r="AQ197" s="341"/>
      <c r="AR197" s="341"/>
      <c r="AS197" s="341"/>
      <c r="AT197" s="341"/>
      <c r="AU197" s="341"/>
      <c r="AV197" s="341"/>
      <c r="AW197" s="341"/>
      <c r="AX197" s="341"/>
      <c r="AY197" s="401"/>
      <c r="AZ197" s="341"/>
      <c r="BA197" s="341"/>
      <c r="BB197" s="341"/>
      <c r="BC197" s="341"/>
      <c r="BD197" s="341"/>
      <c r="BE197" s="341"/>
      <c r="BF197" s="341"/>
      <c r="BG197" s="341"/>
      <c r="BH197" s="341"/>
      <c r="BI197" s="341"/>
      <c r="BJ197" s="341"/>
      <c r="BK197" s="401"/>
    </row>
    <row r="198" spans="1:63" s="248" customFormat="1" hidden="1" outlineLevel="1">
      <c r="A198" s="860"/>
      <c r="B198" s="374" t="s">
        <v>321</v>
      </c>
      <c r="C198" s="358">
        <v>8400</v>
      </c>
      <c r="D198" s="353">
        <f>C198</f>
        <v>8400</v>
      </c>
      <c r="E198" s="249">
        <f t="shared" ref="E198:O198" si="553">D198*((1+$G191/12))</f>
        <v>8421</v>
      </c>
      <c r="F198" s="249">
        <f t="shared" si="553"/>
        <v>8442.0524999999998</v>
      </c>
      <c r="G198" s="249">
        <f t="shared" si="553"/>
        <v>8463.1576312500001</v>
      </c>
      <c r="H198" s="249">
        <f t="shared" si="553"/>
        <v>8484.3155253281238</v>
      </c>
      <c r="I198" s="249">
        <f t="shared" si="553"/>
        <v>8505.5263141414434</v>
      </c>
      <c r="J198" s="249">
        <f t="shared" si="553"/>
        <v>8526.790129926796</v>
      </c>
      <c r="K198" s="249">
        <f t="shared" si="553"/>
        <v>8548.1071052516127</v>
      </c>
      <c r="L198" s="249">
        <f t="shared" si="553"/>
        <v>8569.4773730147408</v>
      </c>
      <c r="M198" s="249">
        <f t="shared" si="553"/>
        <v>8590.9010664472771</v>
      </c>
      <c r="N198" s="249">
        <f t="shared" si="553"/>
        <v>8612.3783191133953</v>
      </c>
      <c r="O198" s="402">
        <f t="shared" si="553"/>
        <v>8633.909264911179</v>
      </c>
      <c r="P198" s="249">
        <f t="shared" ref="P198:AA198" si="554">O198*((1+$S191/12))</f>
        <v>8651.896575879744</v>
      </c>
      <c r="Q198" s="249">
        <f t="shared" si="554"/>
        <v>8669.9213604128272</v>
      </c>
      <c r="R198" s="249">
        <f t="shared" si="554"/>
        <v>8687.9836965803552</v>
      </c>
      <c r="S198" s="249">
        <f t="shared" si="554"/>
        <v>8706.0836626148994</v>
      </c>
      <c r="T198" s="249">
        <f t="shared" si="554"/>
        <v>8724.2213369120145</v>
      </c>
      <c r="U198" s="249">
        <f t="shared" si="554"/>
        <v>8742.3967980305824</v>
      </c>
      <c r="V198" s="249">
        <f t="shared" si="554"/>
        <v>8760.6101246931466</v>
      </c>
      <c r="W198" s="249">
        <f t="shared" si="554"/>
        <v>8778.8613957862581</v>
      </c>
      <c r="X198" s="249">
        <f t="shared" si="554"/>
        <v>8797.1506903608133</v>
      </c>
      <c r="Y198" s="249">
        <f t="shared" si="554"/>
        <v>8815.4780876323985</v>
      </c>
      <c r="Z198" s="249">
        <f t="shared" si="554"/>
        <v>8833.8436669816329</v>
      </c>
      <c r="AA198" s="402">
        <f t="shared" si="554"/>
        <v>8852.2475079545129</v>
      </c>
      <c r="AB198" s="249">
        <f t="shared" ref="AB198:AM198" si="555">AA198*((1+$AE191/12))</f>
        <v>8870.6896902627523</v>
      </c>
      <c r="AC198" s="249">
        <f t="shared" si="555"/>
        <v>8889.1702937841346</v>
      </c>
      <c r="AD198" s="249">
        <f t="shared" si="555"/>
        <v>8907.6893985628521</v>
      </c>
      <c r="AE198" s="249">
        <f t="shared" si="555"/>
        <v>8926.2470848098583</v>
      </c>
      <c r="AF198" s="249">
        <f t="shared" si="555"/>
        <v>8944.8434329032134</v>
      </c>
      <c r="AG198" s="249">
        <f t="shared" si="555"/>
        <v>8963.4785233884286</v>
      </c>
      <c r="AH198" s="249">
        <f t="shared" si="555"/>
        <v>8982.1524369788222</v>
      </c>
      <c r="AI198" s="249">
        <f t="shared" si="555"/>
        <v>9000.8652545558616</v>
      </c>
      <c r="AJ198" s="249">
        <f t="shared" si="555"/>
        <v>9019.6170571695202</v>
      </c>
      <c r="AK198" s="249">
        <f t="shared" si="555"/>
        <v>9038.4079260386243</v>
      </c>
      <c r="AL198" s="249">
        <f t="shared" si="555"/>
        <v>9057.2379425512063</v>
      </c>
      <c r="AM198" s="402">
        <f t="shared" si="555"/>
        <v>9076.1071882648557</v>
      </c>
      <c r="AN198" s="249">
        <f t="shared" ref="AN198:AY198" si="556">AM198*((1+$AQ191/12))</f>
        <v>9092.7467181100074</v>
      </c>
      <c r="AO198" s="249">
        <f t="shared" si="556"/>
        <v>9109.4167537598751</v>
      </c>
      <c r="AP198" s="249">
        <f t="shared" si="556"/>
        <v>9126.1173511417692</v>
      </c>
      <c r="AQ198" s="249">
        <f t="shared" si="556"/>
        <v>9142.8485662855292</v>
      </c>
      <c r="AR198" s="249">
        <f t="shared" si="556"/>
        <v>9159.6104553237201</v>
      </c>
      <c r="AS198" s="249">
        <f t="shared" si="556"/>
        <v>9176.4030744918146</v>
      </c>
      <c r="AT198" s="249">
        <f t="shared" si="556"/>
        <v>9193.2264801283836</v>
      </c>
      <c r="AU198" s="249">
        <f t="shared" si="556"/>
        <v>9210.0807286752861</v>
      </c>
      <c r="AV198" s="249">
        <f t="shared" si="556"/>
        <v>9226.9658766778575</v>
      </c>
      <c r="AW198" s="249">
        <f t="shared" si="556"/>
        <v>9243.8819807850996</v>
      </c>
      <c r="AX198" s="249">
        <f t="shared" si="556"/>
        <v>9260.8290977498727</v>
      </c>
      <c r="AY198" s="402">
        <f t="shared" si="556"/>
        <v>9277.8072844290818</v>
      </c>
      <c r="AZ198" s="249">
        <f t="shared" ref="AZ198:BK198" si="557">AY198*((1+$BC191/12))</f>
        <v>9293.2702965697972</v>
      </c>
      <c r="BA198" s="249">
        <f t="shared" si="557"/>
        <v>9308.7590803974144</v>
      </c>
      <c r="BB198" s="249">
        <f t="shared" si="557"/>
        <v>9324.2736788647435</v>
      </c>
      <c r="BC198" s="249">
        <f t="shared" si="557"/>
        <v>9339.8141349961843</v>
      </c>
      <c r="BD198" s="249">
        <f t="shared" si="557"/>
        <v>9355.380491887845</v>
      </c>
      <c r="BE198" s="249">
        <f t="shared" si="557"/>
        <v>9370.9727927076583</v>
      </c>
      <c r="BF198" s="249">
        <f t="shared" si="557"/>
        <v>9386.5910806955053</v>
      </c>
      <c r="BG198" s="249">
        <f t="shared" si="557"/>
        <v>9402.2353991633317</v>
      </c>
      <c r="BH198" s="249">
        <f t="shared" si="557"/>
        <v>9417.9057914952718</v>
      </c>
      <c r="BI198" s="249">
        <f t="shared" si="557"/>
        <v>9433.6023011477646</v>
      </c>
      <c r="BJ198" s="249">
        <f t="shared" si="557"/>
        <v>9449.3249716496775</v>
      </c>
      <c r="BK198" s="402">
        <f t="shared" si="557"/>
        <v>9465.0738466024268</v>
      </c>
    </row>
    <row r="199" spans="1:63" s="334" customFormat="1" hidden="1" outlineLevel="1">
      <c r="A199" s="861"/>
      <c r="B199" s="372" t="s">
        <v>261</v>
      </c>
      <c r="C199" s="359">
        <f t="shared" ref="C199:AH199" si="558">C198*C196</f>
        <v>33600</v>
      </c>
      <c r="D199" s="354">
        <f t="shared" si="558"/>
        <v>2800.0000000000005</v>
      </c>
      <c r="E199" s="335">
        <f t="shared" si="558"/>
        <v>3335.4711528501171</v>
      </c>
      <c r="F199" s="335">
        <f t="shared" si="558"/>
        <v>3973.3456469626021</v>
      </c>
      <c r="G199" s="335">
        <f t="shared" si="558"/>
        <v>4733.2070663379791</v>
      </c>
      <c r="H199" s="335">
        <f t="shared" si="558"/>
        <v>5638.3841536559485</v>
      </c>
      <c r="I199" s="335">
        <f t="shared" si="558"/>
        <v>6716.6670332880831</v>
      </c>
      <c r="J199" s="335">
        <f t="shared" si="558"/>
        <v>8001.1604045827744</v>
      </c>
      <c r="K199" s="335">
        <f t="shared" si="558"/>
        <v>9531.2998995758608</v>
      </c>
      <c r="L199" s="335">
        <f t="shared" si="558"/>
        <v>11354.062808642318</v>
      </c>
      <c r="M199" s="335">
        <f t="shared" si="558"/>
        <v>13525.410344955299</v>
      </c>
      <c r="N199" s="335">
        <f t="shared" si="558"/>
        <v>16112.005727163903</v>
      </c>
      <c r="O199" s="403">
        <f t="shared" si="558"/>
        <v>19193.260827682523</v>
      </c>
      <c r="P199" s="335">
        <f t="shared" si="558"/>
        <v>21307.558018973559</v>
      </c>
      <c r="Q199" s="335">
        <f t="shared" si="558"/>
        <v>23654.762617361022</v>
      </c>
      <c r="R199" s="335">
        <f t="shared" si="558"/>
        <v>26260.531309380684</v>
      </c>
      <c r="S199" s="335">
        <f t="shared" si="558"/>
        <v>29153.347078817489</v>
      </c>
      <c r="T199" s="335">
        <f t="shared" si="558"/>
        <v>32364.830546836354</v>
      </c>
      <c r="U199" s="335">
        <f t="shared" si="558"/>
        <v>35930.085608815774</v>
      </c>
      <c r="V199" s="335">
        <f t="shared" si="558"/>
        <v>39888.083145951212</v>
      </c>
      <c r="W199" s="335">
        <f t="shared" si="558"/>
        <v>44282.087005880552</v>
      </c>
      <c r="X199" s="335">
        <f t="shared" si="558"/>
        <v>49160.126908615683</v>
      </c>
      <c r="Y199" s="335">
        <f t="shared" si="558"/>
        <v>54575.523446992578</v>
      </c>
      <c r="Z199" s="335">
        <f t="shared" si="558"/>
        <v>60587.470920284271</v>
      </c>
      <c r="AA199" s="403">
        <f t="shared" si="558"/>
        <v>67261.684371779964</v>
      </c>
      <c r="AB199" s="335">
        <f t="shared" si="558"/>
        <v>73201.291289124565</v>
      </c>
      <c r="AC199" s="335">
        <f t="shared" si="558"/>
        <v>79665.400836191751</v>
      </c>
      <c r="AD199" s="335">
        <f t="shared" si="558"/>
        <v>86700.329715822983</v>
      </c>
      <c r="AE199" s="335">
        <f t="shared" si="558"/>
        <v>94356.484671291459</v>
      </c>
      <c r="AF199" s="335">
        <f t="shared" si="558"/>
        <v>102688.72366120678</v>
      </c>
      <c r="AG199" s="335">
        <f t="shared" si="558"/>
        <v>111756.74892831253</v>
      </c>
      <c r="AH199" s="335">
        <f t="shared" si="558"/>
        <v>121625.53477859743</v>
      </c>
      <c r="AI199" s="335">
        <f t="shared" ref="AI199:BK199" si="559">AI198*AI196</f>
        <v>132365.79313584702</v>
      </c>
      <c r="AJ199" s="335">
        <f t="shared" si="559"/>
        <v>144054.48020743244</v>
      </c>
      <c r="AK199" s="335">
        <f t="shared" si="559"/>
        <v>156775.34789170249</v>
      </c>
      <c r="AL199" s="335">
        <f t="shared" si="559"/>
        <v>170619.54387792951</v>
      </c>
      <c r="AM199" s="403">
        <f t="shared" si="559"/>
        <v>185686.26473865059</v>
      </c>
      <c r="AN199" s="335">
        <f t="shared" si="559"/>
        <v>200445.58041366344</v>
      </c>
      <c r="AO199" s="335">
        <f t="shared" si="559"/>
        <v>216378.04370679057</v>
      </c>
      <c r="AP199" s="335">
        <f t="shared" si="559"/>
        <v>233576.9025276365</v>
      </c>
      <c r="AQ199" s="335">
        <f t="shared" si="559"/>
        <v>252142.81661745513</v>
      </c>
      <c r="AR199" s="335">
        <f t="shared" si="559"/>
        <v>272184.44668030221</v>
      </c>
      <c r="AS199" s="335">
        <f t="shared" si="559"/>
        <v>293819.09034141258</v>
      </c>
      <c r="AT199" s="335">
        <f t="shared" si="559"/>
        <v>317173.36865487677</v>
      </c>
      <c r="AU199" s="335">
        <f t="shared" si="559"/>
        <v>342383.96717853902</v>
      </c>
      <c r="AV199" s="335">
        <f t="shared" si="559"/>
        <v>369598.43595340406</v>
      </c>
      <c r="AW199" s="335">
        <f t="shared" si="559"/>
        <v>398976.05306959274</v>
      </c>
      <c r="AX199" s="335">
        <f t="shared" si="559"/>
        <v>430688.75687303732</v>
      </c>
      <c r="AY199" s="403">
        <f t="shared" si="559"/>
        <v>464922.1522688407</v>
      </c>
      <c r="AZ199" s="335">
        <f t="shared" si="559"/>
        <v>485909.90377868386</v>
      </c>
      <c r="BA199" s="335">
        <f t="shared" si="559"/>
        <v>507845.0950078207</v>
      </c>
      <c r="BB199" s="335">
        <f t="shared" si="559"/>
        <v>530770.49576040416</v>
      </c>
      <c r="BC199" s="335">
        <f t="shared" si="559"/>
        <v>554730.80657677085</v>
      </c>
      <c r="BD199" s="335">
        <f t="shared" si="559"/>
        <v>579772.74589171214</v>
      </c>
      <c r="BE199" s="335">
        <f t="shared" si="559"/>
        <v>605945.14112728788</v>
      </c>
      <c r="BF199" s="335">
        <f t="shared" si="559"/>
        <v>633299.02389780083</v>
      </c>
      <c r="BG199" s="335">
        <f t="shared" si="559"/>
        <v>661887.7295125582</v>
      </c>
      <c r="BH199" s="335">
        <f t="shared" si="559"/>
        <v>691767.00097044127</v>
      </c>
      <c r="BI199" s="335">
        <f t="shared" si="559"/>
        <v>722995.0976490475</v>
      </c>
      <c r="BJ199" s="335">
        <f t="shared" si="559"/>
        <v>755632.90890033555</v>
      </c>
      <c r="BK199" s="403">
        <f t="shared" si="559"/>
        <v>789744.07277426019</v>
      </c>
    </row>
    <row r="200" spans="1:63" s="339" customFormat="1" ht="4.5" hidden="1" customHeight="1" outlineLevel="1">
      <c r="A200" s="854"/>
      <c r="B200" s="373"/>
      <c r="C200" s="360"/>
      <c r="D200" s="341"/>
      <c r="E200" s="341"/>
      <c r="F200" s="341"/>
      <c r="G200" s="341"/>
      <c r="H200" s="341"/>
      <c r="I200" s="341"/>
      <c r="J200" s="341"/>
      <c r="K200" s="341"/>
      <c r="L200" s="341"/>
      <c r="M200" s="341"/>
      <c r="N200" s="341"/>
      <c r="O200" s="40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401"/>
      <c r="AB200" s="341"/>
      <c r="AC200" s="341"/>
      <c r="AD200" s="341"/>
      <c r="AE200" s="341"/>
      <c r="AF200" s="341"/>
      <c r="AG200" s="341"/>
      <c r="AH200" s="341"/>
      <c r="AI200" s="341"/>
      <c r="AJ200" s="341"/>
      <c r="AK200" s="341"/>
      <c r="AL200" s="341"/>
      <c r="AM200" s="401"/>
      <c r="AN200" s="341"/>
      <c r="AO200" s="341"/>
      <c r="AP200" s="341"/>
      <c r="AQ200" s="341"/>
      <c r="AR200" s="341"/>
      <c r="AS200" s="341"/>
      <c r="AT200" s="341"/>
      <c r="AU200" s="341"/>
      <c r="AV200" s="341"/>
      <c r="AW200" s="341"/>
      <c r="AX200" s="341"/>
      <c r="AY200" s="401"/>
      <c r="AZ200" s="341"/>
      <c r="BA200" s="341"/>
      <c r="BB200" s="341"/>
      <c r="BC200" s="341"/>
      <c r="BD200" s="341"/>
      <c r="BE200" s="341"/>
      <c r="BF200" s="341"/>
      <c r="BG200" s="341"/>
      <c r="BH200" s="341"/>
      <c r="BI200" s="341"/>
      <c r="BJ200" s="341"/>
      <c r="BK200" s="401"/>
    </row>
    <row r="201" spans="1:63" s="248" customFormat="1" hidden="1" outlineLevel="1">
      <c r="A201" s="860"/>
      <c r="B201" s="374" t="s">
        <v>346</v>
      </c>
      <c r="C201" s="358">
        <v>25000</v>
      </c>
      <c r="D201" s="353">
        <f>C201/12</f>
        <v>2083.3333333333335</v>
      </c>
      <c r="E201" s="249">
        <f t="shared" ref="E201:O201" si="560">D201*(1+($I191/12))</f>
        <v>2135.4166666666665</v>
      </c>
      <c r="F201" s="249">
        <f t="shared" si="560"/>
        <v>2188.802083333333</v>
      </c>
      <c r="G201" s="249">
        <f t="shared" si="560"/>
        <v>2243.5221354166661</v>
      </c>
      <c r="H201" s="249">
        <f t="shared" si="560"/>
        <v>2299.6101888020826</v>
      </c>
      <c r="I201" s="249">
        <f t="shared" si="560"/>
        <v>2357.1004435221344</v>
      </c>
      <c r="J201" s="249">
        <f t="shared" si="560"/>
        <v>2416.0279546101874</v>
      </c>
      <c r="K201" s="249">
        <f t="shared" si="560"/>
        <v>2476.4286534754419</v>
      </c>
      <c r="L201" s="249">
        <f t="shared" si="560"/>
        <v>2538.3393698123277</v>
      </c>
      <c r="M201" s="249">
        <f t="shared" si="560"/>
        <v>2601.7978540576355</v>
      </c>
      <c r="N201" s="249">
        <f t="shared" si="560"/>
        <v>2666.8428004090761</v>
      </c>
      <c r="O201" s="402">
        <f t="shared" si="560"/>
        <v>2733.5138704193027</v>
      </c>
      <c r="P201" s="249">
        <f t="shared" ref="P201:AA201" si="561">O201*(1+($U191/12))</f>
        <v>2784.7672554896649</v>
      </c>
      <c r="Q201" s="249">
        <f t="shared" si="561"/>
        <v>2836.9816415300961</v>
      </c>
      <c r="R201" s="249">
        <f t="shared" si="561"/>
        <v>2890.1750473087855</v>
      </c>
      <c r="S201" s="249">
        <f t="shared" si="561"/>
        <v>2944.3658294458255</v>
      </c>
      <c r="T201" s="249">
        <f t="shared" si="561"/>
        <v>2999.572688747935</v>
      </c>
      <c r="U201" s="249">
        <f t="shared" si="561"/>
        <v>3055.8146766619589</v>
      </c>
      <c r="V201" s="249">
        <f t="shared" si="561"/>
        <v>3113.1112018493709</v>
      </c>
      <c r="W201" s="249">
        <f t="shared" si="561"/>
        <v>3171.4820368840469</v>
      </c>
      <c r="X201" s="249">
        <f t="shared" si="561"/>
        <v>3230.9473250756228</v>
      </c>
      <c r="Y201" s="249">
        <f t="shared" si="561"/>
        <v>3291.527587420791</v>
      </c>
      <c r="Z201" s="249">
        <f t="shared" si="561"/>
        <v>3353.2437296849307</v>
      </c>
      <c r="AA201" s="402">
        <f t="shared" si="561"/>
        <v>3416.1170496165232</v>
      </c>
      <c r="AB201" s="249">
        <f t="shared" ref="AB201:AM201" si="562">AA201*(1+($AG191/12))</f>
        <v>3450.2782201126884</v>
      </c>
      <c r="AC201" s="249">
        <f t="shared" si="562"/>
        <v>3484.7810023138154</v>
      </c>
      <c r="AD201" s="249">
        <f t="shared" si="562"/>
        <v>3519.6288123369536</v>
      </c>
      <c r="AE201" s="249">
        <f t="shared" si="562"/>
        <v>3554.825100460323</v>
      </c>
      <c r="AF201" s="249">
        <f t="shared" si="562"/>
        <v>3590.3733514649261</v>
      </c>
      <c r="AG201" s="249">
        <f t="shared" si="562"/>
        <v>3626.2770849795756</v>
      </c>
      <c r="AH201" s="249">
        <f t="shared" si="562"/>
        <v>3662.5398558293714</v>
      </c>
      <c r="AI201" s="249">
        <f t="shared" si="562"/>
        <v>3699.1652543876653</v>
      </c>
      <c r="AJ201" s="249">
        <f t="shared" si="562"/>
        <v>3736.1569069315419</v>
      </c>
      <c r="AK201" s="249">
        <f t="shared" si="562"/>
        <v>3773.5184760008574</v>
      </c>
      <c r="AL201" s="249">
        <f t="shared" si="562"/>
        <v>3811.2536607608658</v>
      </c>
      <c r="AM201" s="402">
        <f t="shared" si="562"/>
        <v>3849.3661973684743</v>
      </c>
      <c r="AN201" s="249">
        <f t="shared" ref="AN201:AY201" si="563">AM201*(1+($AS191/12))</f>
        <v>3868.6130283553161</v>
      </c>
      <c r="AO201" s="249">
        <f t="shared" si="563"/>
        <v>3887.9560934970923</v>
      </c>
      <c r="AP201" s="249">
        <f t="shared" si="563"/>
        <v>3907.3958739645773</v>
      </c>
      <c r="AQ201" s="249">
        <f t="shared" si="563"/>
        <v>3926.9328533343996</v>
      </c>
      <c r="AR201" s="249">
        <f t="shared" si="563"/>
        <v>3946.5675176010714</v>
      </c>
      <c r="AS201" s="249">
        <f t="shared" si="563"/>
        <v>3966.3003551890761</v>
      </c>
      <c r="AT201" s="249">
        <f t="shared" si="563"/>
        <v>3986.1318569650211</v>
      </c>
      <c r="AU201" s="249">
        <f t="shared" si="563"/>
        <v>4006.0625162498459</v>
      </c>
      <c r="AV201" s="249">
        <f t="shared" si="563"/>
        <v>4026.0928288310947</v>
      </c>
      <c r="AW201" s="249">
        <f t="shared" si="563"/>
        <v>4046.2232929752499</v>
      </c>
      <c r="AX201" s="249">
        <f t="shared" si="563"/>
        <v>4066.4544094401258</v>
      </c>
      <c r="AY201" s="402">
        <f t="shared" si="563"/>
        <v>4086.786681487326</v>
      </c>
      <c r="AZ201" s="249">
        <f t="shared" ref="AZ201:BK201" si="564">AY201*(1+($BES191/12))</f>
        <v>4086.786681487326</v>
      </c>
      <c r="BA201" s="249">
        <f t="shared" si="564"/>
        <v>4086.786681487326</v>
      </c>
      <c r="BB201" s="249">
        <f t="shared" si="564"/>
        <v>4086.786681487326</v>
      </c>
      <c r="BC201" s="249">
        <f t="shared" si="564"/>
        <v>4086.786681487326</v>
      </c>
      <c r="BD201" s="249">
        <f t="shared" si="564"/>
        <v>4086.786681487326</v>
      </c>
      <c r="BE201" s="249">
        <f t="shared" si="564"/>
        <v>4086.786681487326</v>
      </c>
      <c r="BF201" s="249">
        <f t="shared" si="564"/>
        <v>4086.786681487326</v>
      </c>
      <c r="BG201" s="249">
        <f t="shared" si="564"/>
        <v>4086.786681487326</v>
      </c>
      <c r="BH201" s="249">
        <f t="shared" si="564"/>
        <v>4086.786681487326</v>
      </c>
      <c r="BI201" s="249">
        <f t="shared" si="564"/>
        <v>4086.786681487326</v>
      </c>
      <c r="BJ201" s="249">
        <f t="shared" si="564"/>
        <v>4086.786681487326</v>
      </c>
      <c r="BK201" s="402">
        <f t="shared" si="564"/>
        <v>4086.786681487326</v>
      </c>
    </row>
    <row r="202" spans="1:63" s="54" customFormat="1" hidden="1" outlineLevel="1">
      <c r="A202" s="857"/>
      <c r="B202" s="370" t="s">
        <v>345</v>
      </c>
      <c r="C202" s="361">
        <v>0.05</v>
      </c>
      <c r="D202" s="355">
        <f>M191</f>
        <v>0.05</v>
      </c>
      <c r="E202" s="169">
        <f t="shared" ref="E202:O202" si="565">D202</f>
        <v>0.05</v>
      </c>
      <c r="F202" s="169">
        <f t="shared" si="565"/>
        <v>0.05</v>
      </c>
      <c r="G202" s="169">
        <f t="shared" si="565"/>
        <v>0.05</v>
      </c>
      <c r="H202" s="169">
        <f t="shared" si="565"/>
        <v>0.05</v>
      </c>
      <c r="I202" s="169">
        <f t="shared" si="565"/>
        <v>0.05</v>
      </c>
      <c r="J202" s="169">
        <f t="shared" si="565"/>
        <v>0.05</v>
      </c>
      <c r="K202" s="169">
        <f t="shared" si="565"/>
        <v>0.05</v>
      </c>
      <c r="L202" s="169">
        <f t="shared" si="565"/>
        <v>0.05</v>
      </c>
      <c r="M202" s="169">
        <f t="shared" si="565"/>
        <v>0.05</v>
      </c>
      <c r="N202" s="169">
        <f t="shared" si="565"/>
        <v>0.05</v>
      </c>
      <c r="O202" s="405">
        <f t="shared" si="565"/>
        <v>0.05</v>
      </c>
      <c r="P202" s="169">
        <f t="shared" ref="P202:AA202" si="566">$Y191</f>
        <v>0.05</v>
      </c>
      <c r="Q202" s="169">
        <f t="shared" si="566"/>
        <v>0.05</v>
      </c>
      <c r="R202" s="169">
        <f t="shared" si="566"/>
        <v>0.05</v>
      </c>
      <c r="S202" s="169">
        <f t="shared" si="566"/>
        <v>0.05</v>
      </c>
      <c r="T202" s="169">
        <f t="shared" si="566"/>
        <v>0.05</v>
      </c>
      <c r="U202" s="169">
        <f t="shared" si="566"/>
        <v>0.05</v>
      </c>
      <c r="V202" s="169">
        <f t="shared" si="566"/>
        <v>0.05</v>
      </c>
      <c r="W202" s="169">
        <f t="shared" si="566"/>
        <v>0.05</v>
      </c>
      <c r="X202" s="169">
        <f t="shared" si="566"/>
        <v>0.05</v>
      </c>
      <c r="Y202" s="169">
        <f t="shared" si="566"/>
        <v>0.05</v>
      </c>
      <c r="Z202" s="169">
        <f t="shared" si="566"/>
        <v>0.05</v>
      </c>
      <c r="AA202" s="405">
        <f t="shared" si="566"/>
        <v>0.05</v>
      </c>
      <c r="AB202" s="169">
        <f t="shared" ref="AB202:AM202" si="567">$AK191</f>
        <v>0.05</v>
      </c>
      <c r="AC202" s="169">
        <f t="shared" si="567"/>
        <v>0.05</v>
      </c>
      <c r="AD202" s="169">
        <f t="shared" si="567"/>
        <v>0.05</v>
      </c>
      <c r="AE202" s="169">
        <f t="shared" si="567"/>
        <v>0.05</v>
      </c>
      <c r="AF202" s="169">
        <f t="shared" si="567"/>
        <v>0.05</v>
      </c>
      <c r="AG202" s="169">
        <f t="shared" si="567"/>
        <v>0.05</v>
      </c>
      <c r="AH202" s="169">
        <f t="shared" si="567"/>
        <v>0.05</v>
      </c>
      <c r="AI202" s="169">
        <f t="shared" si="567"/>
        <v>0.05</v>
      </c>
      <c r="AJ202" s="169">
        <f t="shared" si="567"/>
        <v>0.05</v>
      </c>
      <c r="AK202" s="169">
        <f t="shared" si="567"/>
        <v>0.05</v>
      </c>
      <c r="AL202" s="169">
        <f t="shared" si="567"/>
        <v>0.05</v>
      </c>
      <c r="AM202" s="405">
        <f t="shared" si="567"/>
        <v>0.05</v>
      </c>
      <c r="AN202" s="169">
        <f t="shared" ref="AN202:AY202" si="568">$AW191</f>
        <v>0.05</v>
      </c>
      <c r="AO202" s="169">
        <f t="shared" si="568"/>
        <v>0.05</v>
      </c>
      <c r="AP202" s="169">
        <f t="shared" si="568"/>
        <v>0.05</v>
      </c>
      <c r="AQ202" s="169">
        <f t="shared" si="568"/>
        <v>0.05</v>
      </c>
      <c r="AR202" s="169">
        <f t="shared" si="568"/>
        <v>0.05</v>
      </c>
      <c r="AS202" s="169">
        <f t="shared" si="568"/>
        <v>0.05</v>
      </c>
      <c r="AT202" s="169">
        <f t="shared" si="568"/>
        <v>0.05</v>
      </c>
      <c r="AU202" s="169">
        <f t="shared" si="568"/>
        <v>0.05</v>
      </c>
      <c r="AV202" s="169">
        <f t="shared" si="568"/>
        <v>0.05</v>
      </c>
      <c r="AW202" s="169">
        <f t="shared" si="568"/>
        <v>0.05</v>
      </c>
      <c r="AX202" s="169">
        <f t="shared" si="568"/>
        <v>0.05</v>
      </c>
      <c r="AY202" s="405">
        <f t="shared" si="568"/>
        <v>0.05</v>
      </c>
      <c r="AZ202" s="169">
        <f t="shared" ref="AZ202:BK202" si="569">$BI191</f>
        <v>0.05</v>
      </c>
      <c r="BA202" s="169">
        <f t="shared" si="569"/>
        <v>0.05</v>
      </c>
      <c r="BB202" s="169">
        <f t="shared" si="569"/>
        <v>0.05</v>
      </c>
      <c r="BC202" s="169">
        <f t="shared" si="569"/>
        <v>0.05</v>
      </c>
      <c r="BD202" s="169">
        <f t="shared" si="569"/>
        <v>0.05</v>
      </c>
      <c r="BE202" s="169">
        <f t="shared" si="569"/>
        <v>0.05</v>
      </c>
      <c r="BF202" s="169">
        <f t="shared" si="569"/>
        <v>0.05</v>
      </c>
      <c r="BG202" s="169">
        <f t="shared" si="569"/>
        <v>0.05</v>
      </c>
      <c r="BH202" s="169">
        <f t="shared" si="569"/>
        <v>0.05</v>
      </c>
      <c r="BI202" s="169">
        <f t="shared" si="569"/>
        <v>0.05</v>
      </c>
      <c r="BJ202" s="169">
        <f t="shared" si="569"/>
        <v>0.05</v>
      </c>
      <c r="BK202" s="405">
        <f t="shared" si="569"/>
        <v>0.05</v>
      </c>
    </row>
    <row r="203" spans="1:63" s="336" customFormat="1" ht="19.5" hidden="1" outlineLevel="1" thickBot="1">
      <c r="A203" s="862"/>
      <c r="B203" s="375" t="s">
        <v>300</v>
      </c>
      <c r="C203" s="362">
        <f>C202*'Prg. HR'!D$38*12</f>
        <v>3780</v>
      </c>
      <c r="D203" s="351">
        <f>D202*'Prg. HR'!D$38</f>
        <v>315</v>
      </c>
      <c r="E203" s="337">
        <f>E202*'Prg. HR'!E$38</f>
        <v>310.27500000000003</v>
      </c>
      <c r="F203" s="337">
        <f>F202*'Prg. HR'!F$38</f>
        <v>305.62087500000001</v>
      </c>
      <c r="G203" s="337">
        <f>G202*'Prg. HR'!G$38</f>
        <v>416.53656187500002</v>
      </c>
      <c r="H203" s="337">
        <f>H202*'Prg. HR'!H$38</f>
        <v>412.02101344687503</v>
      </c>
      <c r="I203" s="337">
        <f>I202*'Prg. HR'!I$38</f>
        <v>407.57319824517191</v>
      </c>
      <c r="J203" s="337">
        <f>J202*'Prg. HR'!J$38</f>
        <v>403.19210027149433</v>
      </c>
      <c r="K203" s="337">
        <f>K202*'Prg. HR'!K$38</f>
        <v>486.37671876742189</v>
      </c>
      <c r="L203" s="337">
        <f>L202*'Prg. HR'!L$38</f>
        <v>489.41773465257722</v>
      </c>
      <c r="M203" s="337">
        <f>M202*'Prg. HR'!M$38</f>
        <v>485.83848252167746</v>
      </c>
      <c r="N203" s="337">
        <f>N202*'Prg. HR'!N$38</f>
        <v>481.76503144125974</v>
      </c>
      <c r="O203" s="406">
        <f>O202*'Prg. HR'!O$38</f>
        <v>477.70702481609146</v>
      </c>
      <c r="P203" s="337">
        <f>P202*'Prg. HR'!P$38</f>
        <v>465.75157002737626</v>
      </c>
      <c r="Q203" s="337">
        <f>Q202*'Prg. HR'!Q$38</f>
        <v>469.1019631436323</v>
      </c>
      <c r="R203" s="337">
        <f>R202*'Prg. HR'!R$38</f>
        <v>465.82744758536666</v>
      </c>
      <c r="S203" s="337">
        <f>S202*'Prg. HR'!S$38</f>
        <v>462.05416202899363</v>
      </c>
      <c r="T203" s="337">
        <f>T202*'Prg. HR'!T$38</f>
        <v>458.29181844500931</v>
      </c>
      <c r="U203" s="337">
        <f>U202*'Prg. HR'!U$38</f>
        <v>690.8321052388718</v>
      </c>
      <c r="V203" s="337">
        <f>V202*'Prg. HR'!V$38</f>
        <v>687.17772066616681</v>
      </c>
      <c r="W203" s="337">
        <f>W202*'Prg. HR'!W$38</f>
        <v>683.57812543999739</v>
      </c>
      <c r="X203" s="337">
        <f>X202*'Prg. HR'!X$38</f>
        <v>680.03252194038271</v>
      </c>
      <c r="Y203" s="337">
        <f>Y202*'Prg. HR'!Y$38</f>
        <v>676.54010230977565</v>
      </c>
      <c r="Z203" s="337">
        <f>Z202*'Prg. HR'!Z$38</f>
        <v>673.10006895833737</v>
      </c>
      <c r="AA203" s="406">
        <f>AA202*'Prg. HR'!AA$38</f>
        <v>765.16618156043114</v>
      </c>
      <c r="AB203" s="337">
        <f>AB202*'Prg. HR'!AB$38</f>
        <v>885.44991793697181</v>
      </c>
      <c r="AC203" s="337">
        <f>AC202*'Prg. HR'!AC$38</f>
        <v>877.53234628255018</v>
      </c>
      <c r="AD203" s="337">
        <f>AD202*'Prg. HR'!AD$38</f>
        <v>867.93363300882709</v>
      </c>
      <c r="AE203" s="337">
        <f>AE202*'Prg. HR'!AE$38</f>
        <v>858.46868536512</v>
      </c>
      <c r="AF203" s="337">
        <f>AF202*'Prg. HR'!AF$38</f>
        <v>849.41929009798628</v>
      </c>
      <c r="AG203" s="337">
        <f>AG202*'Prg. HR'!AG$38</f>
        <v>840.81274875994063</v>
      </c>
      <c r="AH203" s="337">
        <f>AH202*'Prg. HR'!AH$38</f>
        <v>832.63493184975255</v>
      </c>
      <c r="AI203" s="337">
        <f>AI202*'Prg. HR'!AI$38</f>
        <v>929.86573299544909</v>
      </c>
      <c r="AJ203" s="337">
        <f>AJ202*'Prg. HR'!AJ$38</f>
        <v>948.73495828022283</v>
      </c>
      <c r="AK203" s="337">
        <f>AK202*'Prg. HR'!AK$38</f>
        <v>948.28571334984815</v>
      </c>
      <c r="AL203" s="337">
        <f>AL202*'Prg. HR'!AL$38</f>
        <v>1058.765178428265</v>
      </c>
      <c r="AM203" s="406">
        <f>AM202*'Prg. HR'!AM$38</f>
        <v>1052.8472321933291</v>
      </c>
      <c r="AN203" s="337">
        <f>AN202*'Prg. HR'!AN$38</f>
        <v>1166.5328003233317</v>
      </c>
      <c r="AO203" s="337">
        <f>AO202*'Prg. HR'!AO$38</f>
        <v>1141.3962319304435</v>
      </c>
      <c r="AP203" s="337">
        <f>AP202*'Prg. HR'!AP$38</f>
        <v>1132.7330989378011</v>
      </c>
      <c r="AQ203" s="337">
        <f>AQ202*'Prg. HR'!AQ$38</f>
        <v>1127.0392237582241</v>
      </c>
      <c r="AR203" s="337">
        <f>AR202*'Prg. HR'!AR$38</f>
        <v>1227.061719131402</v>
      </c>
      <c r="AS203" s="337">
        <f>AS202*'Prg. HR'!AS$38</f>
        <v>1364.1397473151044</v>
      </c>
      <c r="AT203" s="337">
        <f>AT202*'Prg. HR'!AT$38</f>
        <v>1366.2780384844173</v>
      </c>
      <c r="AU203" s="337">
        <f>AU202*'Prg. HR'!AU$38</f>
        <v>1363.7192061939634</v>
      </c>
      <c r="AV203" s="337">
        <f>AV202*'Prg. HR'!AV$38</f>
        <v>1360.1407632927069</v>
      </c>
      <c r="AW203" s="337">
        <f>AW202*'Prg. HR'!AW$38</f>
        <v>1356.454354480182</v>
      </c>
      <c r="AX203" s="337">
        <f>AX202*'Prg. HR'!AX$38</f>
        <v>1589.1305440942006</v>
      </c>
      <c r="AY203" s="406">
        <f>AY202*'Prg. HR'!AY$38</f>
        <v>1817.8834488627465</v>
      </c>
      <c r="AZ203" s="337">
        <f>AZ202*'Prg. HR'!AZ$38</f>
        <v>1853.5257537440277</v>
      </c>
      <c r="BA203" s="337">
        <f>BA202*'Prg. HR'!BA$38</f>
        <v>1863.4032918316327</v>
      </c>
      <c r="BB203" s="337">
        <f>BB202*'Prg. HR'!BB$38</f>
        <v>1864.7927358316531</v>
      </c>
      <c r="BC203" s="337">
        <f>BC202*'Prg. HR'!BC$38</f>
        <v>1863.4479685706044</v>
      </c>
      <c r="BD203" s="337">
        <f>BD202*'Prg. HR'!BD$38</f>
        <v>1976.7821933189193</v>
      </c>
      <c r="BE203" s="337">
        <f>BE202*'Prg. HR'!BE$38</f>
        <v>2341.9086191634146</v>
      </c>
      <c r="BF203" s="337">
        <f>BF202*'Prg. HR'!BF$38</f>
        <v>2394.2665363345945</v>
      </c>
      <c r="BG203" s="337">
        <f>BG202*'Prg. HR'!BG$38</f>
        <v>2414.8087712384281</v>
      </c>
      <c r="BH203" s="337">
        <f>BH202*'Prg. HR'!BH$38</f>
        <v>2537.6581500600746</v>
      </c>
      <c r="BI203" s="337">
        <f>BI202*'Prg. HR'!BI$38</f>
        <v>2689.0052564809812</v>
      </c>
      <c r="BJ203" s="337">
        <f>BJ202*'Prg. HR'!BJ$38</f>
        <v>2763.7575006188877</v>
      </c>
      <c r="BK203" s="406">
        <f>BK202*'Prg. HR'!BK$38</f>
        <v>3036.5083790689209</v>
      </c>
    </row>
    <row r="204" spans="1:63" s="54" customFormat="1" hidden="1" outlineLevel="1">
      <c r="A204" s="857"/>
      <c r="B204" s="192" t="s">
        <v>386</v>
      </c>
      <c r="C204" s="1207">
        <f t="shared" ref="C204:AH204" si="570">(C201+C203)/C192</f>
        <v>1251.304347826087</v>
      </c>
      <c r="D204" s="368">
        <f t="shared" si="570"/>
        <v>1251.304347826087</v>
      </c>
      <c r="E204" s="1208">
        <f t="shared" si="570"/>
        <v>1078.3208818126147</v>
      </c>
      <c r="F204" s="1208">
        <f t="shared" si="570"/>
        <v>929.4142104309874</v>
      </c>
      <c r="G204" s="1208">
        <f t="shared" si="570"/>
        <v>837.57428442314938</v>
      </c>
      <c r="H204" s="1208">
        <f t="shared" si="570"/>
        <v>721.53207052908806</v>
      </c>
      <c r="I204" s="1208">
        <f t="shared" si="570"/>
        <v>621.67269153641962</v>
      </c>
      <c r="J204" s="1208">
        <f t="shared" si="570"/>
        <v>535.72238814835043</v>
      </c>
      <c r="K204" s="1208">
        <f t="shared" si="570"/>
        <v>475.78072650539173</v>
      </c>
      <c r="L204" s="1208">
        <f t="shared" si="570"/>
        <v>410.88251011151181</v>
      </c>
      <c r="M204" s="1208">
        <f t="shared" si="570"/>
        <v>354.09163587645094</v>
      </c>
      <c r="N204" s="1208">
        <f t="shared" si="570"/>
        <v>305.14130416086073</v>
      </c>
      <c r="O204" s="1209">
        <f t="shared" si="570"/>
        <v>262.9937995002054</v>
      </c>
      <c r="P204" s="1208">
        <f t="shared" si="570"/>
        <v>241.09787452472753</v>
      </c>
      <c r="Q204" s="1208">
        <f t="shared" si="570"/>
        <v>222.08534221460616</v>
      </c>
      <c r="R204" s="1208">
        <f t="shared" si="570"/>
        <v>204.17083582602626</v>
      </c>
      <c r="S204" s="1208">
        <f t="shared" si="570"/>
        <v>187.6873456172213</v>
      </c>
      <c r="T204" s="1208">
        <f t="shared" si="570"/>
        <v>172.54808317655761</v>
      </c>
      <c r="U204" s="1208">
        <f t="shared" si="570"/>
        <v>169.32079017985251</v>
      </c>
      <c r="V204" s="1208">
        <f t="shared" si="570"/>
        <v>155.54265884466639</v>
      </c>
      <c r="W204" s="1208">
        <f t="shared" si="570"/>
        <v>142.89907929015089</v>
      </c>
      <c r="X204" s="1208">
        <f t="shared" si="570"/>
        <v>131.29531104362727</v>
      </c>
      <c r="Y204" s="1208">
        <f t="shared" si="570"/>
        <v>120.64465284984099</v>
      </c>
      <c r="Z204" s="1208">
        <f t="shared" si="570"/>
        <v>110.86774882152527</v>
      </c>
      <c r="AA204" s="1209">
        <f t="shared" si="570"/>
        <v>104.27239008616971</v>
      </c>
      <c r="AB204" s="1208">
        <f t="shared" si="570"/>
        <v>99.806695855544348</v>
      </c>
      <c r="AC204" s="1208">
        <f t="shared" si="570"/>
        <v>92.694162991882493</v>
      </c>
      <c r="AD204" s="1208">
        <f t="shared" si="570"/>
        <v>86.059086814950419</v>
      </c>
      <c r="AE204" s="1208">
        <f t="shared" si="570"/>
        <v>79.905036696583764</v>
      </c>
      <c r="AF204" s="1208">
        <f t="shared" si="570"/>
        <v>74.201365482567084</v>
      </c>
      <c r="AG204" s="1208">
        <f t="shared" si="570"/>
        <v>68.914687375354347</v>
      </c>
      <c r="AH204" s="1208">
        <f t="shared" si="570"/>
        <v>64.013501142521193</v>
      </c>
      <c r="AI204" s="1208">
        <f t="shared" ref="AI204:BK204" si="571">(AI201+AI203)/AI192</f>
        <v>60.848934738125088</v>
      </c>
      <c r="AJ204" s="1208">
        <f t="shared" si="571"/>
        <v>56.846058339559583</v>
      </c>
      <c r="AK204" s="1208">
        <f t="shared" si="571"/>
        <v>52.886722315383288</v>
      </c>
      <c r="AL204" s="1208">
        <f t="shared" si="571"/>
        <v>50.350897246457514</v>
      </c>
      <c r="AM204" s="1209">
        <f t="shared" si="571"/>
        <v>46.785005180454149</v>
      </c>
      <c r="AN204" s="1208">
        <f t="shared" si="571"/>
        <v>44.701084058017379</v>
      </c>
      <c r="AO204" s="1208">
        <f t="shared" si="571"/>
        <v>41.534558528772799</v>
      </c>
      <c r="AP204" s="1208">
        <f t="shared" si="571"/>
        <v>38.719587653037124</v>
      </c>
      <c r="AQ204" s="1208">
        <f t="shared" si="571"/>
        <v>36.117147903579706</v>
      </c>
      <c r="AR204" s="1208">
        <f t="shared" si="571"/>
        <v>34.392793129850858</v>
      </c>
      <c r="AS204" s="1208">
        <f t="shared" si="571"/>
        <v>32.963001378420408</v>
      </c>
      <c r="AT204" s="1208">
        <f t="shared" si="571"/>
        <v>30.789637919641049</v>
      </c>
      <c r="AU204" s="1208">
        <f t="shared" si="571"/>
        <v>28.734482818467495</v>
      </c>
      <c r="AV204" s="1208">
        <f t="shared" si="571"/>
        <v>26.811645735252785</v>
      </c>
      <c r="AW204" s="1208">
        <f t="shared" si="571"/>
        <v>25.017210337792644</v>
      </c>
      <c r="AX204" s="1208">
        <f t="shared" si="571"/>
        <v>24.361211942010012</v>
      </c>
      <c r="AY204" s="1209">
        <f t="shared" si="571"/>
        <v>23.659661991650658</v>
      </c>
      <c r="AZ204" s="1208">
        <f t="shared" si="571"/>
        <v>22.850379443750366</v>
      </c>
      <c r="BA204" s="1208">
        <f t="shared" si="571"/>
        <v>21.972840002908715</v>
      </c>
      <c r="BB204" s="1208">
        <f t="shared" si="571"/>
        <v>21.098852099216959</v>
      </c>
      <c r="BC204" s="1208">
        <f t="shared" si="571"/>
        <v>20.250321394184041</v>
      </c>
      <c r="BD204" s="1208">
        <f t="shared" si="571"/>
        <v>19.810588439403116</v>
      </c>
      <c r="BE204" s="1208">
        <f t="shared" si="571"/>
        <v>20.163370756678798</v>
      </c>
      <c r="BF204" s="1208">
        <f t="shared" si="571"/>
        <v>19.514485894987473</v>
      </c>
      <c r="BG204" s="1208">
        <f t="shared" si="571"/>
        <v>18.793285127163241</v>
      </c>
      <c r="BH204" s="1208">
        <f t="shared" si="571"/>
        <v>18.382453687915906</v>
      </c>
      <c r="BI204" s="1208">
        <f t="shared" si="571"/>
        <v>18.050335881622704</v>
      </c>
      <c r="BJ204" s="1208">
        <f t="shared" si="571"/>
        <v>17.519492866268727</v>
      </c>
      <c r="BK204" s="1209">
        <f t="shared" si="571"/>
        <v>17.48834152924163</v>
      </c>
    </row>
    <row r="205" spans="1:63" s="54" customFormat="1" hidden="1" outlineLevel="1">
      <c r="A205" s="857"/>
      <c r="B205" s="192" t="s">
        <v>390</v>
      </c>
      <c r="C205" s="1207">
        <f t="shared" ref="C205:AH205" si="572">(C201+C203)/C194</f>
        <v>2616.3636363636365</v>
      </c>
      <c r="D205" s="368">
        <f t="shared" si="572"/>
        <v>2616.3636363636365</v>
      </c>
      <c r="E205" s="1208">
        <f t="shared" si="572"/>
        <v>2249.983469138398</v>
      </c>
      <c r="F205" s="1208">
        <f t="shared" si="572"/>
        <v>1935.2486861012903</v>
      </c>
      <c r="G205" s="1208">
        <f t="shared" si="572"/>
        <v>1740.3915612686085</v>
      </c>
      <c r="H205" s="1208">
        <f t="shared" si="572"/>
        <v>1496.151024042679</v>
      </c>
      <c r="I205" s="1208">
        <f t="shared" si="572"/>
        <v>1286.4050793981112</v>
      </c>
      <c r="J205" s="1208">
        <f t="shared" si="572"/>
        <v>1106.2465085964873</v>
      </c>
      <c r="K205" s="1208">
        <f t="shared" si="572"/>
        <v>980.42668444286744</v>
      </c>
      <c r="L205" s="1208">
        <f t="shared" si="572"/>
        <v>844.93265305477473</v>
      </c>
      <c r="M205" s="1208">
        <f t="shared" si="572"/>
        <v>726.63492527017354</v>
      </c>
      <c r="N205" s="1208">
        <f t="shared" si="572"/>
        <v>624.88163183990571</v>
      </c>
      <c r="O205" s="1209">
        <f t="shared" si="572"/>
        <v>537.45045055776347</v>
      </c>
      <c r="P205" s="1208">
        <f t="shared" si="572"/>
        <v>491.88443710824453</v>
      </c>
      <c r="Q205" s="1208">
        <f t="shared" si="572"/>
        <v>452.34143807672541</v>
      </c>
      <c r="R205" s="1208">
        <f t="shared" si="572"/>
        <v>415.16139608125894</v>
      </c>
      <c r="S205" s="1208">
        <f t="shared" si="572"/>
        <v>381.00881860488056</v>
      </c>
      <c r="T205" s="1208">
        <f t="shared" si="572"/>
        <v>349.69301128259178</v>
      </c>
      <c r="U205" s="1208">
        <f t="shared" si="572"/>
        <v>342.58147800644531</v>
      </c>
      <c r="V205" s="1208">
        <f t="shared" si="572"/>
        <v>314.1809792963324</v>
      </c>
      <c r="W205" s="1208">
        <f t="shared" si="572"/>
        <v>288.16191361570998</v>
      </c>
      <c r="X205" s="1208">
        <f t="shared" si="572"/>
        <v>264.32189771292536</v>
      </c>
      <c r="Y205" s="1208">
        <f t="shared" si="572"/>
        <v>242.4760137868941</v>
      </c>
      <c r="Z205" s="1208">
        <f t="shared" si="572"/>
        <v>222.45527747478761</v>
      </c>
      <c r="AA205" s="1209">
        <f t="shared" si="572"/>
        <v>208.87361866651204</v>
      </c>
      <c r="AB205" s="1208">
        <f t="shared" si="572"/>
        <v>199.67854878818278</v>
      </c>
      <c r="AC205" s="1208">
        <f t="shared" si="572"/>
        <v>185.21731811900887</v>
      </c>
      <c r="AD205" s="1208">
        <f t="shared" si="572"/>
        <v>171.74472565267573</v>
      </c>
      <c r="AE205" s="1208">
        <f t="shared" si="572"/>
        <v>159.2642502153642</v>
      </c>
      <c r="AF205" s="1208">
        <f t="shared" si="572"/>
        <v>147.71122994778656</v>
      </c>
      <c r="AG205" s="1208">
        <f t="shared" si="572"/>
        <v>137.01587176447907</v>
      </c>
      <c r="AH205" s="1208">
        <f t="shared" si="572"/>
        <v>127.11246473941782</v>
      </c>
      <c r="AI205" s="1208">
        <f t="shared" ref="AI205:BK205" si="573">(AI201+AI203)/AI194</f>
        <v>120.67769581698259</v>
      </c>
      <c r="AJ205" s="1208">
        <f t="shared" si="573"/>
        <v>112.5983060748725</v>
      </c>
      <c r="AK205" s="1208">
        <f t="shared" si="573"/>
        <v>104.62503679421631</v>
      </c>
      <c r="AL205" s="1208">
        <f t="shared" si="573"/>
        <v>99.484095667318144</v>
      </c>
      <c r="AM205" s="1209">
        <f t="shared" si="573"/>
        <v>92.32314603779588</v>
      </c>
      <c r="AN205" s="1208">
        <f t="shared" si="573"/>
        <v>88.108049523368493</v>
      </c>
      <c r="AO205" s="1208">
        <f t="shared" si="573"/>
        <v>81.771271135875253</v>
      </c>
      <c r="AP205" s="1208">
        <f t="shared" si="573"/>
        <v>76.140459298842998</v>
      </c>
      <c r="AQ205" s="1208">
        <f t="shared" si="573"/>
        <v>70.940106274276914</v>
      </c>
      <c r="AR205" s="1208">
        <f t="shared" si="573"/>
        <v>67.474465501764769</v>
      </c>
      <c r="AS205" s="1208">
        <f t="shared" si="573"/>
        <v>64.594028765707947</v>
      </c>
      <c r="AT205" s="1208">
        <f t="shared" si="573"/>
        <v>60.264814500280885</v>
      </c>
      <c r="AU205" s="1208">
        <f t="shared" si="573"/>
        <v>56.176702833196906</v>
      </c>
      <c r="AV205" s="1208">
        <f t="shared" si="573"/>
        <v>52.356421051597536</v>
      </c>
      <c r="AW205" s="1208">
        <f t="shared" si="573"/>
        <v>48.795410699176443</v>
      </c>
      <c r="AX205" s="1208">
        <f t="shared" si="573"/>
        <v>47.460532462692079</v>
      </c>
      <c r="AY205" s="1209">
        <f t="shared" si="573"/>
        <v>46.040058889916502</v>
      </c>
      <c r="AZ205" s="1208">
        <f t="shared" si="573"/>
        <v>44.428227739495199</v>
      </c>
      <c r="BA205" s="1208">
        <f t="shared" si="573"/>
        <v>42.686446741341641</v>
      </c>
      <c r="BB205" s="1208">
        <f t="shared" si="573"/>
        <v>40.954429288570381</v>
      </c>
      <c r="BC205" s="1208">
        <f t="shared" si="573"/>
        <v>39.274639691319535</v>
      </c>
      <c r="BD205" s="1208">
        <f t="shared" si="573"/>
        <v>38.38980476707512</v>
      </c>
      <c r="BE205" s="1208">
        <f t="shared" si="573"/>
        <v>39.040907326134835</v>
      </c>
      <c r="BF205" s="1208">
        <f t="shared" si="573"/>
        <v>37.753056625858989</v>
      </c>
      <c r="BG205" s="1208">
        <f t="shared" si="573"/>
        <v>36.327536395751935</v>
      </c>
      <c r="BH205" s="1208">
        <f t="shared" si="573"/>
        <v>35.503810174030718</v>
      </c>
      <c r="BI205" s="1208">
        <f t="shared" si="573"/>
        <v>34.833331166887767</v>
      </c>
      <c r="BJ205" s="1208">
        <f t="shared" si="573"/>
        <v>33.780765765904</v>
      </c>
      <c r="BK205" s="1209">
        <f t="shared" si="573"/>
        <v>33.69262314156132</v>
      </c>
    </row>
    <row r="206" spans="1:63" s="54" customFormat="1" hidden="1" outlineLevel="1">
      <c r="A206" s="857"/>
      <c r="B206" s="192" t="s">
        <v>391</v>
      </c>
      <c r="C206" s="1207">
        <f t="shared" ref="C206:AH206" si="574">(C203+C201)/C196</f>
        <v>7195</v>
      </c>
      <c r="D206" s="368">
        <f t="shared" si="574"/>
        <v>7195</v>
      </c>
      <c r="E206" s="1208">
        <f t="shared" si="574"/>
        <v>6174.5908092779318</v>
      </c>
      <c r="F206" s="1208">
        <f t="shared" si="574"/>
        <v>5299.82826627555</v>
      </c>
      <c r="G206" s="1208">
        <f t="shared" si="574"/>
        <v>4756.2880195255275</v>
      </c>
      <c r="H206" s="1208">
        <f t="shared" si="574"/>
        <v>4080.3063575027263</v>
      </c>
      <c r="I206" s="1208">
        <f t="shared" si="574"/>
        <v>3500.9930213190164</v>
      </c>
      <c r="J206" s="1208">
        <f t="shared" si="574"/>
        <v>3004.4264234832981</v>
      </c>
      <c r="K206" s="1208">
        <f t="shared" si="574"/>
        <v>2657.1798097627679</v>
      </c>
      <c r="L206" s="1208">
        <f t="shared" si="574"/>
        <v>2285.1992661117933</v>
      </c>
      <c r="M206" s="1208">
        <f t="shared" si="574"/>
        <v>1961.1662507980088</v>
      </c>
      <c r="N206" s="1208">
        <f t="shared" si="574"/>
        <v>1683.0307961410901</v>
      </c>
      <c r="O206" s="1209">
        <f t="shared" si="574"/>
        <v>1444.5377514518423</v>
      </c>
      <c r="P206" s="1208">
        <f t="shared" si="574"/>
        <v>1319.8674700911738</v>
      </c>
      <c r="Q206" s="1208">
        <f t="shared" si="574"/>
        <v>1211.7426552585357</v>
      </c>
      <c r="R206" s="1208">
        <f t="shared" si="574"/>
        <v>1110.2934140143645</v>
      </c>
      <c r="S206" s="1208">
        <f t="shared" si="574"/>
        <v>1017.2614950731287</v>
      </c>
      <c r="T206" s="1208">
        <f t="shared" si="574"/>
        <v>932.09742810633247</v>
      </c>
      <c r="U206" s="1208">
        <f t="shared" si="574"/>
        <v>911.62245439807009</v>
      </c>
      <c r="V206" s="1208">
        <f t="shared" si="574"/>
        <v>834.65654364812906</v>
      </c>
      <c r="W206" s="1208">
        <f t="shared" si="574"/>
        <v>764.26024891206657</v>
      </c>
      <c r="X206" s="1208">
        <f t="shared" si="574"/>
        <v>699.86554601701528</v>
      </c>
      <c r="Y206" s="1208">
        <f t="shared" si="574"/>
        <v>640.95425127781425</v>
      </c>
      <c r="Z206" s="1208">
        <f t="shared" si="574"/>
        <v>587.05357933710434</v>
      </c>
      <c r="AA206" s="1209">
        <f t="shared" si="574"/>
        <v>550.29478385717516</v>
      </c>
      <c r="AB206" s="1208">
        <f t="shared" si="574"/>
        <v>525.41284746015594</v>
      </c>
      <c r="AC206" s="1208">
        <f t="shared" si="574"/>
        <v>486.7526658185642</v>
      </c>
      <c r="AD206" s="1208">
        <f t="shared" si="574"/>
        <v>450.78310091831611</v>
      </c>
      <c r="AE206" s="1208">
        <f t="shared" si="574"/>
        <v>417.50337485940418</v>
      </c>
      <c r="AF206" s="1208">
        <f t="shared" si="574"/>
        <v>386.73428432472275</v>
      </c>
      <c r="AG206" s="1208">
        <f t="shared" si="574"/>
        <v>358.28407832850814</v>
      </c>
      <c r="AH206" s="1208">
        <f t="shared" si="574"/>
        <v>331.97260137270837</v>
      </c>
      <c r="AI206" s="1208">
        <f t="shared" ref="AI206:BK206" si="575">(AI203+AI201)/AI196</f>
        <v>314.77380363549071</v>
      </c>
      <c r="AJ206" s="1208">
        <f t="shared" si="575"/>
        <v>293.3329842821409</v>
      </c>
      <c r="AK206" s="1208">
        <f t="shared" si="575"/>
        <v>272.2213216819693</v>
      </c>
      <c r="AL206" s="1208">
        <f t="shared" si="575"/>
        <v>258.52208023015754</v>
      </c>
      <c r="AM206" s="1209">
        <f t="shared" si="575"/>
        <v>239.61392410514239</v>
      </c>
      <c r="AN206" s="1208">
        <f t="shared" si="575"/>
        <v>228.40765864949063</v>
      </c>
      <c r="AO206" s="1208">
        <f t="shared" si="575"/>
        <v>211.7334344509234</v>
      </c>
      <c r="AP206" s="1208">
        <f t="shared" si="575"/>
        <v>196.92361690666081</v>
      </c>
      <c r="AQ206" s="1208">
        <f t="shared" si="575"/>
        <v>183.26003484445314</v>
      </c>
      <c r="AR206" s="1208">
        <f t="shared" si="575"/>
        <v>174.10410119577458</v>
      </c>
      <c r="AS206" s="1208">
        <f t="shared" si="575"/>
        <v>166.47749772887906</v>
      </c>
      <c r="AT206" s="1208">
        <f t="shared" si="575"/>
        <v>155.13886488020054</v>
      </c>
      <c r="AU206" s="1208">
        <f t="shared" si="575"/>
        <v>144.44637570684844</v>
      </c>
      <c r="AV206" s="1208">
        <f t="shared" si="575"/>
        <v>134.46646068764184</v>
      </c>
      <c r="AW206" s="1208">
        <f t="shared" si="575"/>
        <v>125.1747170514829</v>
      </c>
      <c r="AX206" s="1208">
        <f t="shared" si="575"/>
        <v>121.60848145364237</v>
      </c>
      <c r="AY206" s="1209">
        <f t="shared" si="575"/>
        <v>117.83132139471569</v>
      </c>
      <c r="AZ206" s="1208">
        <f t="shared" si="575"/>
        <v>113.61145075944734</v>
      </c>
      <c r="BA206" s="1208">
        <f t="shared" si="575"/>
        <v>109.06649584430765</v>
      </c>
      <c r="BB206" s="1208">
        <f t="shared" si="575"/>
        <v>104.55395646865648</v>
      </c>
      <c r="BC206" s="1208">
        <f t="shared" si="575"/>
        <v>100.18207936584837</v>
      </c>
      <c r="BD206" s="1208">
        <f t="shared" si="575"/>
        <v>97.843498792500924</v>
      </c>
      <c r="BE206" s="1208">
        <f t="shared" si="575"/>
        <v>99.420103679568413</v>
      </c>
      <c r="BF206" s="1208">
        <f t="shared" si="575"/>
        <v>96.060461223350046</v>
      </c>
      <c r="BG206" s="1208">
        <f t="shared" si="575"/>
        <v>92.356344121495923</v>
      </c>
      <c r="BH206" s="1208">
        <f t="shared" si="575"/>
        <v>90.187009870303129</v>
      </c>
      <c r="BI206" s="1208">
        <f t="shared" si="575"/>
        <v>88.410179579314473</v>
      </c>
      <c r="BJ206" s="1208">
        <f t="shared" si="575"/>
        <v>85.667282945062482</v>
      </c>
      <c r="BK206" s="1209">
        <f t="shared" si="575"/>
        <v>85.372611335286564</v>
      </c>
    </row>
    <row r="207" spans="1:63" s="1216" customFormat="1" hidden="1" outlineLevel="1">
      <c r="A207" s="1210"/>
      <c r="B207" s="1211" t="s">
        <v>392</v>
      </c>
      <c r="C207" s="1212">
        <f t="shared" ref="C207:AH207" si="576">(C203+C201)/C199</f>
        <v>0.856547619047619</v>
      </c>
      <c r="D207" s="1213">
        <f t="shared" si="576"/>
        <v>0.856547619047619</v>
      </c>
      <c r="E207" s="1214">
        <f t="shared" si="576"/>
        <v>0.73323724133451273</v>
      </c>
      <c r="F207" s="1214">
        <f t="shared" si="576"/>
        <v>0.62778906744249097</v>
      </c>
      <c r="G207" s="1214">
        <f t="shared" si="576"/>
        <v>0.56199922378416445</v>
      </c>
      <c r="H207" s="1214">
        <f t="shared" si="576"/>
        <v>0.48092345756376426</v>
      </c>
      <c r="I207" s="1214">
        <f t="shared" si="576"/>
        <v>0.41161391923486279</v>
      </c>
      <c r="J207" s="1214">
        <f t="shared" si="576"/>
        <v>0.3523513980880742</v>
      </c>
      <c r="K207" s="1214">
        <f t="shared" si="576"/>
        <v>0.31085008377238321</v>
      </c>
      <c r="L207" s="1214">
        <f t="shared" si="576"/>
        <v>0.26666728513781701</v>
      </c>
      <c r="M207" s="1214">
        <f t="shared" si="576"/>
        <v>0.22828411544134322</v>
      </c>
      <c r="N207" s="1214">
        <f t="shared" si="576"/>
        <v>0.19541997968272606</v>
      </c>
      <c r="O207" s="1215">
        <f t="shared" si="576"/>
        <v>0.16730981379692586</v>
      </c>
      <c r="P207" s="1214">
        <f t="shared" si="576"/>
        <v>0.15255238646411659</v>
      </c>
      <c r="Q207" s="1214">
        <f t="shared" si="576"/>
        <v>0.13976397303802504</v>
      </c>
      <c r="R207" s="1214">
        <f t="shared" si="576"/>
        <v>0.12779644308625751</v>
      </c>
      <c r="S207" s="1214">
        <f t="shared" si="576"/>
        <v>0.11684490231140175</v>
      </c>
      <c r="T207" s="1214">
        <f t="shared" si="576"/>
        <v>0.10684018574387218</v>
      </c>
      <c r="U207" s="1214">
        <f t="shared" si="576"/>
        <v>0.10427603270117333</v>
      </c>
      <c r="V207" s="1214">
        <f t="shared" si="576"/>
        <v>9.5273791638726096E-2</v>
      </c>
      <c r="W207" s="1214">
        <f t="shared" si="576"/>
        <v>8.7056876109116138E-2</v>
      </c>
      <c r="X207" s="1214">
        <f t="shared" si="576"/>
        <v>7.9555934716893026E-2</v>
      </c>
      <c r="Y207" s="1214">
        <f t="shared" si="576"/>
        <v>7.2707826496334407E-2</v>
      </c>
      <c r="Z207" s="1214">
        <f t="shared" si="576"/>
        <v>6.6455056424797487E-2</v>
      </c>
      <c r="AA207" s="1215">
        <f t="shared" si="576"/>
        <v>6.2164414558301434E-2</v>
      </c>
      <c r="AB207" s="1214">
        <f t="shared" si="576"/>
        <v>5.9230213862276705E-2</v>
      </c>
      <c r="AC207" s="1214">
        <f t="shared" si="576"/>
        <v>5.4757941374903363E-2</v>
      </c>
      <c r="AD207" s="1214">
        <f t="shared" si="576"/>
        <v>5.0606064126017293E-2</v>
      </c>
      <c r="AE207" s="1214">
        <f t="shared" si="576"/>
        <v>4.6772554119623902E-2</v>
      </c>
      <c r="AF207" s="1214">
        <f t="shared" si="576"/>
        <v>4.3235444781754111E-2</v>
      </c>
      <c r="AG207" s="1214">
        <f t="shared" si="576"/>
        <v>3.9971544238504783E-2</v>
      </c>
      <c r="AH207" s="1214">
        <f t="shared" si="576"/>
        <v>3.6959136877481952E-2</v>
      </c>
      <c r="AI207" s="1214">
        <f t="shared" ref="AI207:BK207" si="577">(AI203+AI201)/AI199</f>
        <v>3.4971504931280394E-2</v>
      </c>
      <c r="AJ207" s="1214">
        <f t="shared" si="577"/>
        <v>3.2521667208584668E-2</v>
      </c>
      <c r="AK207" s="1214">
        <f t="shared" si="577"/>
        <v>3.0118282324670332E-2</v>
      </c>
      <c r="AL207" s="1214">
        <f t="shared" si="577"/>
        <v>2.854314768695787E-2</v>
      </c>
      <c r="AM207" s="1215">
        <f t="shared" si="577"/>
        <v>2.6400517218985276E-2</v>
      </c>
      <c r="AN207" s="1214">
        <f t="shared" si="577"/>
        <v>2.5119764767512057E-2</v>
      </c>
      <c r="AO207" s="1214">
        <f t="shared" si="577"/>
        <v>2.3243357964002613E-2</v>
      </c>
      <c r="AP207" s="1214">
        <f t="shared" si="577"/>
        <v>2.1578028128470612E-2</v>
      </c>
      <c r="AQ207" s="1214">
        <f t="shared" si="577"/>
        <v>2.0044085113717063E-2</v>
      </c>
      <c r="AR207" s="1214">
        <f t="shared" si="577"/>
        <v>1.9007806286628959E-2</v>
      </c>
      <c r="AS207" s="1214">
        <f t="shared" si="577"/>
        <v>1.814191207354942E-2</v>
      </c>
      <c r="AT207" s="1214">
        <f t="shared" si="577"/>
        <v>1.6875344604589143E-2</v>
      </c>
      <c r="AU207" s="1214">
        <f t="shared" si="577"/>
        <v>1.5683508099675975E-2</v>
      </c>
      <c r="AV207" s="1214">
        <f t="shared" si="577"/>
        <v>1.4573204505667481E-2</v>
      </c>
      <c r="AW207" s="1214">
        <f t="shared" si="577"/>
        <v>1.3541358199042215E-2</v>
      </c>
      <c r="AX207" s="1214">
        <f t="shared" si="577"/>
        <v>1.3131489650660964E-2</v>
      </c>
      <c r="AY207" s="1215">
        <f t="shared" si="577"/>
        <v>1.270034155510771E-2</v>
      </c>
      <c r="AZ207" s="1214">
        <f t="shared" si="577"/>
        <v>1.2225131426703688E-2</v>
      </c>
      <c r="BA207" s="1214">
        <f t="shared" si="577"/>
        <v>1.1716545127264303E-2</v>
      </c>
      <c r="BB207" s="1214">
        <f t="shared" si="577"/>
        <v>1.1213093916971582E-2</v>
      </c>
      <c r="BC207" s="1214">
        <f t="shared" si="577"/>
        <v>1.07263461475606E-2</v>
      </c>
      <c r="BD207" s="1214">
        <f t="shared" si="577"/>
        <v>1.0458526927615838E-2</v>
      </c>
      <c r="BE207" s="1214">
        <f t="shared" si="577"/>
        <v>1.0609368512619687E-2</v>
      </c>
      <c r="BF207" s="1214">
        <f t="shared" si="577"/>
        <v>1.0233796316205607E-2</v>
      </c>
      <c r="BG207" s="1214">
        <f t="shared" si="577"/>
        <v>9.8228070454090474E-3</v>
      </c>
      <c r="BH207" s="1214">
        <f t="shared" si="577"/>
        <v>9.5761214719035977E-3</v>
      </c>
      <c r="BI207" s="1214">
        <f t="shared" si="577"/>
        <v>9.3718366279398717E-3</v>
      </c>
      <c r="BJ207" s="1214">
        <f t="shared" si="577"/>
        <v>9.0659685429473127E-3</v>
      </c>
      <c r="BK207" s="1215">
        <f t="shared" si="577"/>
        <v>9.0197512157743839E-3</v>
      </c>
    </row>
    <row r="208" spans="1:63" s="339" customFormat="1" hidden="1" outlineLevel="1">
      <c r="A208" s="854"/>
      <c r="B208" s="373"/>
      <c r="C208" s="356"/>
      <c r="M208" s="341"/>
      <c r="N208" s="342"/>
      <c r="O208" s="407"/>
      <c r="Y208" s="341"/>
      <c r="Z208" s="342"/>
      <c r="AA208" s="407"/>
      <c r="AK208" s="341"/>
      <c r="AL208" s="342"/>
      <c r="AM208" s="407"/>
      <c r="AW208" s="341"/>
      <c r="AX208" s="342"/>
      <c r="AY208" s="407"/>
      <c r="BI208" s="341"/>
      <c r="BJ208" s="342"/>
      <c r="BK208" s="407"/>
    </row>
    <row r="209" spans="1:63" s="339" customFormat="1" collapsed="1">
      <c r="A209" s="854" t="s">
        <v>325</v>
      </c>
      <c r="B209" s="373"/>
      <c r="C209" s="356"/>
      <c r="D209" s="396" t="s">
        <v>389</v>
      </c>
      <c r="E209" s="415">
        <v>0.5</v>
      </c>
      <c r="F209" s="396" t="s">
        <v>355</v>
      </c>
      <c r="G209" s="415">
        <v>0.03</v>
      </c>
      <c r="H209" s="396" t="s">
        <v>356</v>
      </c>
      <c r="I209" s="415">
        <v>0.3</v>
      </c>
      <c r="J209" s="414" t="s">
        <v>354</v>
      </c>
      <c r="K209" s="415">
        <v>0.05</v>
      </c>
      <c r="L209" s="396" t="s">
        <v>357</v>
      </c>
      <c r="M209" s="415">
        <f>C220</f>
        <v>0.08</v>
      </c>
      <c r="O209" s="404"/>
      <c r="P209" s="396" t="s">
        <v>389</v>
      </c>
      <c r="Q209" s="415">
        <v>0.3</v>
      </c>
      <c r="R209" s="396" t="s">
        <v>355</v>
      </c>
      <c r="S209" s="415">
        <v>2.5000000000000001E-2</v>
      </c>
      <c r="T209" s="396" t="s">
        <v>356</v>
      </c>
      <c r="U209" s="415">
        <f>I209*0.75</f>
        <v>0.22499999999999998</v>
      </c>
      <c r="V209" s="414" t="s">
        <v>354</v>
      </c>
      <c r="W209" s="415">
        <v>0.04</v>
      </c>
      <c r="X209" s="396" t="s">
        <v>357</v>
      </c>
      <c r="Y209" s="415">
        <f>O220</f>
        <v>0.08</v>
      </c>
      <c r="AA209" s="404"/>
      <c r="AB209" s="396" t="s">
        <v>389</v>
      </c>
      <c r="AC209" s="415">
        <f>Q209*0.6</f>
        <v>0.18</v>
      </c>
      <c r="AD209" s="396" t="s">
        <v>355</v>
      </c>
      <c r="AE209" s="415">
        <v>2.5000000000000001E-2</v>
      </c>
      <c r="AF209" s="396" t="s">
        <v>356</v>
      </c>
      <c r="AG209" s="415">
        <v>0.12</v>
      </c>
      <c r="AH209" s="414" t="s">
        <v>354</v>
      </c>
      <c r="AI209" s="415">
        <v>0.03</v>
      </c>
      <c r="AJ209" s="396" t="s">
        <v>357</v>
      </c>
      <c r="AK209" s="415">
        <f>AA220</f>
        <v>0.08</v>
      </c>
      <c r="AM209" s="404"/>
      <c r="AN209" s="396" t="s">
        <v>389</v>
      </c>
      <c r="AO209" s="415">
        <v>0.2</v>
      </c>
      <c r="AP209" s="396" t="s">
        <v>355</v>
      </c>
      <c r="AQ209" s="415">
        <v>2.1999999999999999E-2</v>
      </c>
      <c r="AR209" s="396" t="s">
        <v>356</v>
      </c>
      <c r="AS209" s="415">
        <v>0.06</v>
      </c>
      <c r="AT209" s="414" t="s">
        <v>354</v>
      </c>
      <c r="AU209" s="415">
        <v>2.8000000000000001E-2</v>
      </c>
      <c r="AV209" s="396" t="s">
        <v>357</v>
      </c>
      <c r="AW209" s="415">
        <f>AM220</f>
        <v>0.08</v>
      </c>
      <c r="AY209" s="404"/>
      <c r="AZ209" s="396" t="s">
        <v>389</v>
      </c>
      <c r="BA209" s="415">
        <v>0.3</v>
      </c>
      <c r="BB209" s="396" t="s">
        <v>355</v>
      </c>
      <c r="BC209" s="415">
        <v>0.02</v>
      </c>
      <c r="BD209" s="396" t="s">
        <v>356</v>
      </c>
      <c r="BE209" s="415">
        <v>0.03</v>
      </c>
      <c r="BF209" s="414" t="s">
        <v>354</v>
      </c>
      <c r="BG209" s="415">
        <v>0.02</v>
      </c>
      <c r="BH209" s="396" t="s">
        <v>357</v>
      </c>
      <c r="BI209" s="415">
        <f>AY220</f>
        <v>0.08</v>
      </c>
      <c r="BK209" s="404"/>
    </row>
    <row r="210" spans="1:63" s="378" customFormat="1" hidden="1" outlineLevel="1">
      <c r="A210" s="856"/>
      <c r="B210" s="386" t="s">
        <v>226</v>
      </c>
      <c r="C210" s="387">
        <v>22</v>
      </c>
      <c r="D210" s="376">
        <f>C210/12</f>
        <v>1.8333333333333333</v>
      </c>
      <c r="E210" s="377">
        <f t="shared" ref="E210:O210" si="578">D210*(1+($E209/12))</f>
        <v>1.9097222222222223</v>
      </c>
      <c r="F210" s="377">
        <f t="shared" si="578"/>
        <v>1.9892939814814816</v>
      </c>
      <c r="G210" s="377">
        <f t="shared" si="578"/>
        <v>2.072181230709877</v>
      </c>
      <c r="H210" s="377">
        <f t="shared" si="578"/>
        <v>2.1585221153227887</v>
      </c>
      <c r="I210" s="377">
        <f t="shared" si="578"/>
        <v>2.2484605367945716</v>
      </c>
      <c r="J210" s="377">
        <f t="shared" si="578"/>
        <v>2.3421463924943455</v>
      </c>
      <c r="K210" s="377">
        <f t="shared" si="578"/>
        <v>2.4397358255149433</v>
      </c>
      <c r="L210" s="377">
        <f t="shared" si="578"/>
        <v>2.5413914849113994</v>
      </c>
      <c r="M210" s="377">
        <f t="shared" si="578"/>
        <v>2.6472827967827079</v>
      </c>
      <c r="N210" s="377">
        <f t="shared" si="578"/>
        <v>2.7575862466486543</v>
      </c>
      <c r="O210" s="398">
        <f t="shared" si="578"/>
        <v>2.8724856735923483</v>
      </c>
      <c r="P210" s="377">
        <f t="shared" ref="P210:AA210" si="579">O210*(1+($Q209/12))</f>
        <v>2.9442978154321566</v>
      </c>
      <c r="Q210" s="377">
        <f t="shared" si="579"/>
        <v>3.0179052608179604</v>
      </c>
      <c r="R210" s="377">
        <f t="shared" si="579"/>
        <v>3.0933528923384093</v>
      </c>
      <c r="S210" s="377">
        <f t="shared" si="579"/>
        <v>3.1706867146468691</v>
      </c>
      <c r="T210" s="377">
        <f t="shared" si="579"/>
        <v>3.2499538825130405</v>
      </c>
      <c r="U210" s="377">
        <f t="shared" si="579"/>
        <v>3.3312027295758662</v>
      </c>
      <c r="V210" s="377">
        <f t="shared" si="579"/>
        <v>3.4144827978152623</v>
      </c>
      <c r="W210" s="377">
        <f t="shared" si="579"/>
        <v>3.4998448677606437</v>
      </c>
      <c r="X210" s="377">
        <f t="shared" si="579"/>
        <v>3.5873409894546597</v>
      </c>
      <c r="Y210" s="377">
        <f t="shared" si="579"/>
        <v>3.6770245141910261</v>
      </c>
      <c r="Z210" s="377">
        <f t="shared" si="579"/>
        <v>3.7689501270458012</v>
      </c>
      <c r="AA210" s="398">
        <f t="shared" si="579"/>
        <v>3.8631738802219457</v>
      </c>
      <c r="AB210" s="377">
        <f t="shared" ref="AB210:AM210" si="580">AA210*(1+($AC209/12))</f>
        <v>3.9211214884252747</v>
      </c>
      <c r="AC210" s="377">
        <f t="shared" si="580"/>
        <v>3.9799383107516535</v>
      </c>
      <c r="AD210" s="377">
        <f t="shared" si="580"/>
        <v>4.0396373854129282</v>
      </c>
      <c r="AE210" s="377">
        <f t="shared" si="580"/>
        <v>4.1002319461941221</v>
      </c>
      <c r="AF210" s="377">
        <f t="shared" si="580"/>
        <v>4.1617354253870333</v>
      </c>
      <c r="AG210" s="377">
        <f t="shared" si="580"/>
        <v>4.2241614567678383</v>
      </c>
      <c r="AH210" s="377">
        <f t="shared" si="580"/>
        <v>4.2875238786193552</v>
      </c>
      <c r="AI210" s="377">
        <f t="shared" si="580"/>
        <v>4.3518367367986448</v>
      </c>
      <c r="AJ210" s="377">
        <f t="shared" si="580"/>
        <v>4.417114287850624</v>
      </c>
      <c r="AK210" s="377">
        <f t="shared" si="580"/>
        <v>4.4833710021683828</v>
      </c>
      <c r="AL210" s="377">
        <f t="shared" si="580"/>
        <v>4.550621567200908</v>
      </c>
      <c r="AM210" s="398">
        <f t="shared" si="580"/>
        <v>4.6188808907089216</v>
      </c>
      <c r="AN210" s="377">
        <f t="shared" ref="AN210:AY210" si="581">AM210*(1+($AO209/12))</f>
        <v>4.6958622388874032</v>
      </c>
      <c r="AO210" s="377">
        <f t="shared" si="581"/>
        <v>4.7741266095355259</v>
      </c>
      <c r="AP210" s="377">
        <f t="shared" si="581"/>
        <v>4.8536953863611174</v>
      </c>
      <c r="AQ210" s="377">
        <f t="shared" si="581"/>
        <v>4.9345903094671355</v>
      </c>
      <c r="AR210" s="377">
        <f t="shared" si="581"/>
        <v>5.0168334812915871</v>
      </c>
      <c r="AS210" s="377">
        <f t="shared" si="581"/>
        <v>5.100447372646447</v>
      </c>
      <c r="AT210" s="377">
        <f t="shared" si="581"/>
        <v>5.1854548288572211</v>
      </c>
      <c r="AU210" s="377">
        <f t="shared" si="581"/>
        <v>5.2718790760048408</v>
      </c>
      <c r="AV210" s="377">
        <f t="shared" si="581"/>
        <v>5.3597437272715878</v>
      </c>
      <c r="AW210" s="377">
        <f t="shared" si="581"/>
        <v>5.4490727893927806</v>
      </c>
      <c r="AX210" s="377">
        <f t="shared" si="581"/>
        <v>5.5398906692159935</v>
      </c>
      <c r="AY210" s="398">
        <f t="shared" si="581"/>
        <v>5.6322221803695927</v>
      </c>
      <c r="AZ210" s="377">
        <f t="shared" ref="AZ210:BK210" si="582">AY210*(1+($BA209/12))</f>
        <v>5.7730277348788324</v>
      </c>
      <c r="BA210" s="377">
        <f t="shared" si="582"/>
        <v>5.9173534282508022</v>
      </c>
      <c r="BB210" s="377">
        <f t="shared" si="582"/>
        <v>6.0652872639570719</v>
      </c>
      <c r="BC210" s="377">
        <f t="shared" si="582"/>
        <v>6.2169194455559982</v>
      </c>
      <c r="BD210" s="377">
        <f t="shared" si="582"/>
        <v>6.3723424316948973</v>
      </c>
      <c r="BE210" s="377">
        <f t="shared" si="582"/>
        <v>6.5316509924872692</v>
      </c>
      <c r="BF210" s="377">
        <f t="shared" si="582"/>
        <v>6.6949422672994503</v>
      </c>
      <c r="BG210" s="377">
        <f t="shared" si="582"/>
        <v>6.8623158239819357</v>
      </c>
      <c r="BH210" s="377">
        <f t="shared" si="582"/>
        <v>7.0338737195814831</v>
      </c>
      <c r="BI210" s="377">
        <f t="shared" si="582"/>
        <v>7.2097205625710199</v>
      </c>
      <c r="BJ210" s="377">
        <f t="shared" si="582"/>
        <v>7.3899635766352949</v>
      </c>
      <c r="BK210" s="398">
        <f t="shared" si="582"/>
        <v>7.5747126660511768</v>
      </c>
    </row>
    <row r="211" spans="1:63" s="54" customFormat="1" hidden="1" outlineLevel="1">
      <c r="A211" s="857"/>
      <c r="B211" s="371" t="s">
        <v>347</v>
      </c>
      <c r="C211" s="364">
        <f>C212/C210</f>
        <v>0.45454545454545453</v>
      </c>
      <c r="D211" s="352">
        <f>C211</f>
        <v>0.45454545454545453</v>
      </c>
      <c r="E211" s="169">
        <f t="shared" ref="E211:O211" si="583">D211*((0.5*($K209/12))+1)</f>
        <v>0.45549242424242425</v>
      </c>
      <c r="F211" s="169">
        <f t="shared" si="583"/>
        <v>0.45644136679292935</v>
      </c>
      <c r="G211" s="169">
        <f t="shared" si="583"/>
        <v>0.45739228630708134</v>
      </c>
      <c r="H211" s="169">
        <f t="shared" si="583"/>
        <v>0.45834518690355447</v>
      </c>
      <c r="I211" s="169">
        <f t="shared" si="583"/>
        <v>0.4593000727096036</v>
      </c>
      <c r="J211" s="169">
        <f t="shared" si="583"/>
        <v>0.46025694786108201</v>
      </c>
      <c r="K211" s="169">
        <f t="shared" si="583"/>
        <v>0.4612158165024593</v>
      </c>
      <c r="L211" s="169">
        <f t="shared" si="583"/>
        <v>0.46217668278683949</v>
      </c>
      <c r="M211" s="169">
        <f t="shared" si="583"/>
        <v>0.4631395508759788</v>
      </c>
      <c r="N211" s="169">
        <f t="shared" si="583"/>
        <v>0.46410442494030379</v>
      </c>
      <c r="O211" s="405">
        <f t="shared" si="583"/>
        <v>0.46507130915892947</v>
      </c>
      <c r="P211" s="169">
        <f t="shared" ref="P211:AA211" si="584">O211*((0.5*($W209/12))+1)</f>
        <v>0.46584642800752768</v>
      </c>
      <c r="Q211" s="169">
        <f t="shared" si="584"/>
        <v>0.46662283872087357</v>
      </c>
      <c r="R211" s="169">
        <f t="shared" si="584"/>
        <v>0.46740054345207505</v>
      </c>
      <c r="S211" s="169">
        <f t="shared" si="584"/>
        <v>0.46817954435782855</v>
      </c>
      <c r="T211" s="169">
        <f t="shared" si="584"/>
        <v>0.46895984359842496</v>
      </c>
      <c r="U211" s="169">
        <f t="shared" si="584"/>
        <v>0.46974144333775569</v>
      </c>
      <c r="V211" s="169">
        <f t="shared" si="584"/>
        <v>0.47052434574331864</v>
      </c>
      <c r="W211" s="169">
        <f t="shared" si="584"/>
        <v>0.47130855298622421</v>
      </c>
      <c r="X211" s="169">
        <f t="shared" si="584"/>
        <v>0.47209406724120129</v>
      </c>
      <c r="Y211" s="169">
        <f t="shared" si="584"/>
        <v>0.47288089068660333</v>
      </c>
      <c r="Z211" s="169">
        <f t="shared" si="584"/>
        <v>0.47366902550441436</v>
      </c>
      <c r="AA211" s="405">
        <f t="shared" si="584"/>
        <v>0.47445847388025508</v>
      </c>
      <c r="AB211" s="169">
        <f t="shared" ref="AB211:AM211" si="585">AA211*((0.5*($AI209/12))+1)</f>
        <v>0.47505154697260538</v>
      </c>
      <c r="AC211" s="169">
        <f t="shared" si="585"/>
        <v>0.47564536140632113</v>
      </c>
      <c r="AD211" s="169">
        <f t="shared" si="585"/>
        <v>0.47623991810807903</v>
      </c>
      <c r="AE211" s="169">
        <f t="shared" si="585"/>
        <v>0.4768352180057141</v>
      </c>
      <c r="AF211" s="169">
        <f t="shared" si="585"/>
        <v>0.47743126202822123</v>
      </c>
      <c r="AG211" s="169">
        <f t="shared" si="585"/>
        <v>0.47802805110575647</v>
      </c>
      <c r="AH211" s="169">
        <f t="shared" si="585"/>
        <v>0.47862558616963863</v>
      </c>
      <c r="AI211" s="169">
        <f t="shared" si="585"/>
        <v>0.47922386815235068</v>
      </c>
      <c r="AJ211" s="169">
        <f t="shared" si="585"/>
        <v>0.47982289798754113</v>
      </c>
      <c r="AK211" s="169">
        <f t="shared" si="585"/>
        <v>0.48042267661002552</v>
      </c>
      <c r="AL211" s="169">
        <f t="shared" si="585"/>
        <v>0.48102320495578804</v>
      </c>
      <c r="AM211" s="405">
        <f t="shared" si="585"/>
        <v>0.48162448396198276</v>
      </c>
      <c r="AN211" s="169">
        <f t="shared" ref="AN211:AY211" si="586">AM211*((0.5*($AU209/12))+1)</f>
        <v>0.48218637919327179</v>
      </c>
      <c r="AO211" s="169">
        <f t="shared" si="586"/>
        <v>0.48274892996899732</v>
      </c>
      <c r="AP211" s="169">
        <f t="shared" si="586"/>
        <v>0.4833121370539612</v>
      </c>
      <c r="AQ211" s="169">
        <f t="shared" si="586"/>
        <v>0.48387600121385754</v>
      </c>
      <c r="AR211" s="169">
        <f t="shared" si="586"/>
        <v>0.48444052321527376</v>
      </c>
      <c r="AS211" s="169">
        <f t="shared" si="586"/>
        <v>0.48500570382569164</v>
      </c>
      <c r="AT211" s="169">
        <f t="shared" si="586"/>
        <v>0.48557154381348833</v>
      </c>
      <c r="AU211" s="169">
        <f t="shared" si="586"/>
        <v>0.48613804394793741</v>
      </c>
      <c r="AV211" s="169">
        <f t="shared" si="586"/>
        <v>0.48670520499921005</v>
      </c>
      <c r="AW211" s="169">
        <f t="shared" si="586"/>
        <v>0.48727302773837583</v>
      </c>
      <c r="AX211" s="169">
        <f t="shared" si="586"/>
        <v>0.48784151293740396</v>
      </c>
      <c r="AY211" s="405">
        <f t="shared" si="586"/>
        <v>0.48841066136916433</v>
      </c>
      <c r="AZ211" s="169">
        <f t="shared" ref="AZ211:BK211" si="587">AY211*((0.5*($BG209/12))+1)</f>
        <v>0.48881767025363859</v>
      </c>
      <c r="BA211" s="169">
        <f t="shared" si="587"/>
        <v>0.48922501831218324</v>
      </c>
      <c r="BB211" s="169">
        <f t="shared" si="587"/>
        <v>0.48963270582744334</v>
      </c>
      <c r="BC211" s="169">
        <f t="shared" si="587"/>
        <v>0.49004073308229951</v>
      </c>
      <c r="BD211" s="169">
        <f t="shared" si="587"/>
        <v>0.49044910035986805</v>
      </c>
      <c r="BE211" s="169">
        <f t="shared" si="587"/>
        <v>0.49085780794350126</v>
      </c>
      <c r="BF211" s="169">
        <f t="shared" si="587"/>
        <v>0.49126685611678744</v>
      </c>
      <c r="BG211" s="169">
        <f t="shared" si="587"/>
        <v>0.49167624516355141</v>
      </c>
      <c r="BH211" s="169">
        <f t="shared" si="587"/>
        <v>0.49208597536785431</v>
      </c>
      <c r="BI211" s="169">
        <f t="shared" si="587"/>
        <v>0.49249604701399413</v>
      </c>
      <c r="BJ211" s="169">
        <f t="shared" si="587"/>
        <v>0.49290646038650576</v>
      </c>
      <c r="BK211" s="405">
        <f t="shared" si="587"/>
        <v>0.49331721577016113</v>
      </c>
    </row>
    <row r="212" spans="1:63" s="338" customFormat="1" hidden="1" outlineLevel="1">
      <c r="A212" s="858"/>
      <c r="B212" s="388" t="s">
        <v>258</v>
      </c>
      <c r="C212" s="389">
        <v>10</v>
      </c>
      <c r="D212" s="380">
        <f t="shared" ref="D212:AI212" si="588">D210*D211</f>
        <v>0.83333333333333326</v>
      </c>
      <c r="E212" s="381">
        <f t="shared" si="588"/>
        <v>0.86986400462962965</v>
      </c>
      <c r="F212" s="381">
        <f t="shared" si="588"/>
        <v>0.90799606386035581</v>
      </c>
      <c r="G212" s="381">
        <f t="shared" si="588"/>
        <v>0.9477997107570123</v>
      </c>
      <c r="H212" s="381">
        <f t="shared" si="588"/>
        <v>0.98934822238307929</v>
      </c>
      <c r="I212" s="381">
        <f t="shared" si="588"/>
        <v>1.0327180880344211</v>
      </c>
      <c r="J212" s="381">
        <f t="shared" si="588"/>
        <v>1.0779891500532912</v>
      </c>
      <c r="K212" s="381">
        <f t="shared" si="588"/>
        <v>1.1252447508151762</v>
      </c>
      <c r="L212" s="381">
        <f t="shared" si="588"/>
        <v>1.1745718861590708</v>
      </c>
      <c r="M212" s="381">
        <f t="shared" si="588"/>
        <v>1.2260613655436483</v>
      </c>
      <c r="N212" s="381">
        <f t="shared" si="588"/>
        <v>1.2798079792241643</v>
      </c>
      <c r="O212" s="399">
        <f t="shared" si="588"/>
        <v>1.3359106727578627</v>
      </c>
      <c r="P212" s="381">
        <f t="shared" si="588"/>
        <v>1.3715906203094372</v>
      </c>
      <c r="Q212" s="381">
        <f t="shared" si="588"/>
        <v>1.4082235197935351</v>
      </c>
      <c r="R212" s="381">
        <f t="shared" si="588"/>
        <v>1.4458348229680207</v>
      </c>
      <c r="S212" s="381">
        <f t="shared" si="588"/>
        <v>1.4844506613647914</v>
      </c>
      <c r="T212" s="381">
        <f t="shared" si="588"/>
        <v>1.5240978644454095</v>
      </c>
      <c r="U212" s="381">
        <f t="shared" si="588"/>
        <v>1.5648039782416387</v>
      </c>
      <c r="V212" s="381">
        <f t="shared" si="588"/>
        <v>1.6065972844938425</v>
      </c>
      <c r="W212" s="381">
        <f t="shared" si="588"/>
        <v>1.6495068203005323</v>
      </c>
      <c r="X212" s="381">
        <f t="shared" si="588"/>
        <v>1.6935623982927257</v>
      </c>
      <c r="Y212" s="381">
        <f t="shared" si="588"/>
        <v>1.7387946273471273</v>
      </c>
      <c r="Z212" s="381">
        <f t="shared" si="588"/>
        <v>1.7852349338525233</v>
      </c>
      <c r="AA212" s="399">
        <f t="shared" si="588"/>
        <v>1.8329155835441677</v>
      </c>
      <c r="AB212" s="381">
        <f t="shared" si="588"/>
        <v>1.8627348289439518</v>
      </c>
      <c r="AC212" s="381">
        <f t="shared" si="588"/>
        <v>1.8930391961923334</v>
      </c>
      <c r="AD212" s="381">
        <f t="shared" si="588"/>
        <v>1.9238365776153874</v>
      </c>
      <c r="AE212" s="381">
        <f t="shared" si="588"/>
        <v>1.9551349939374676</v>
      </c>
      <c r="AF212" s="381">
        <f t="shared" si="588"/>
        <v>1.9869425963700875</v>
      </c>
      <c r="AG212" s="381">
        <f t="shared" si="588"/>
        <v>2.0192676687347828</v>
      </c>
      <c r="AH212" s="381">
        <f t="shared" si="588"/>
        <v>2.0521186296205114</v>
      </c>
      <c r="AI212" s="381">
        <f t="shared" si="588"/>
        <v>2.0855040345761497</v>
      </c>
      <c r="AJ212" s="381">
        <f t="shared" ref="AJ212:BK212" si="589">AJ210*AJ211</f>
        <v>2.1194325783386603</v>
      </c>
      <c r="AK212" s="381">
        <f t="shared" si="589"/>
        <v>2.1539130970975071</v>
      </c>
      <c r="AL212" s="381">
        <f t="shared" si="589"/>
        <v>2.1889545707959117</v>
      </c>
      <c r="AM212" s="399">
        <f t="shared" si="589"/>
        <v>2.2245661254695475</v>
      </c>
      <c r="AN212" s="381">
        <f t="shared" si="589"/>
        <v>2.2642808101595278</v>
      </c>
      <c r="AO212" s="381">
        <f t="shared" si="589"/>
        <v>2.304704512289792</v>
      </c>
      <c r="AP212" s="381">
        <f t="shared" si="589"/>
        <v>2.3458498897911437</v>
      </c>
      <c r="AQ212" s="381">
        <f t="shared" si="589"/>
        <v>2.3877298265736093</v>
      </c>
      <c r="AR212" s="381">
        <f t="shared" si="589"/>
        <v>2.4303574365607998</v>
      </c>
      <c r="AS212" s="381">
        <f t="shared" si="589"/>
        <v>2.4737460677962897</v>
      </c>
      <c r="AT212" s="381">
        <f t="shared" si="589"/>
        <v>2.5179093066233089</v>
      </c>
      <c r="AU212" s="381">
        <f t="shared" si="589"/>
        <v>2.5628609819390529</v>
      </c>
      <c r="AV212" s="381">
        <f t="shared" si="589"/>
        <v>2.6086151695249482</v>
      </c>
      <c r="AW212" s="381">
        <f t="shared" si="589"/>
        <v>2.6551861964542174</v>
      </c>
      <c r="AX212" s="381">
        <f t="shared" si="589"/>
        <v>2.7025886455781376</v>
      </c>
      <c r="AY212" s="399">
        <f t="shared" si="589"/>
        <v>2.7508373600923894</v>
      </c>
      <c r="AZ212" s="381">
        <f t="shared" si="589"/>
        <v>2.8219579676731112</v>
      </c>
      <c r="BA212" s="381">
        <f t="shared" si="589"/>
        <v>2.8949173392956591</v>
      </c>
      <c r="BB212" s="381">
        <f t="shared" si="589"/>
        <v>2.9697630146720315</v>
      </c>
      <c r="BC212" s="381">
        <f t="shared" si="589"/>
        <v>3.0465437626138643</v>
      </c>
      <c r="BD212" s="381">
        <f t="shared" si="589"/>
        <v>3.1253096128097764</v>
      </c>
      <c r="BE212" s="381">
        <f t="shared" si="589"/>
        <v>3.2061118884242954</v>
      </c>
      <c r="BF212" s="381">
        <f t="shared" si="589"/>
        <v>3.2890032395395976</v>
      </c>
      <c r="BG212" s="381">
        <f t="shared" si="589"/>
        <v>3.3740376774618603</v>
      </c>
      <c r="BH212" s="381">
        <f t="shared" si="589"/>
        <v>3.4612706099145716</v>
      </c>
      <c r="BI212" s="381">
        <f t="shared" si="589"/>
        <v>3.5507588771417371</v>
      </c>
      <c r="BJ212" s="381">
        <f t="shared" si="589"/>
        <v>3.6425607889445053</v>
      </c>
      <c r="BK212" s="399">
        <f t="shared" si="589"/>
        <v>3.7367361626753408</v>
      </c>
    </row>
    <row r="213" spans="1:63" s="54" customFormat="1" hidden="1" outlineLevel="1">
      <c r="A213" s="857"/>
      <c r="B213" s="371" t="s">
        <v>348</v>
      </c>
      <c r="C213" s="365">
        <f>C214/C212</f>
        <v>0.3</v>
      </c>
      <c r="D213" s="352">
        <f>C213</f>
        <v>0.3</v>
      </c>
      <c r="E213" s="169">
        <f t="shared" ref="E213:O213" si="590">D213*((0.5*($K209/12))+1)</f>
        <v>0.30062500000000003</v>
      </c>
      <c r="F213" s="169">
        <f t="shared" si="590"/>
        <v>0.30125130208333339</v>
      </c>
      <c r="G213" s="169">
        <f t="shared" si="590"/>
        <v>0.30187890896267372</v>
      </c>
      <c r="H213" s="169">
        <f t="shared" si="590"/>
        <v>0.30250782335634596</v>
      </c>
      <c r="I213" s="169">
        <f t="shared" si="590"/>
        <v>0.30313804798833838</v>
      </c>
      <c r="J213" s="169">
        <f t="shared" si="590"/>
        <v>0.30376958558831413</v>
      </c>
      <c r="K213" s="169">
        <f t="shared" si="590"/>
        <v>0.30440243889162316</v>
      </c>
      <c r="L213" s="169">
        <f t="shared" si="590"/>
        <v>0.30503661063931409</v>
      </c>
      <c r="M213" s="169">
        <f t="shared" si="590"/>
        <v>0.305672103578146</v>
      </c>
      <c r="N213" s="169">
        <f t="shared" si="590"/>
        <v>0.30630892046060049</v>
      </c>
      <c r="O213" s="405">
        <f t="shared" si="590"/>
        <v>0.30694706404489341</v>
      </c>
      <c r="P213" s="169">
        <f t="shared" ref="P213:AA213" si="591">O213*((0.5*($W209/12))+1)</f>
        <v>0.30745864248496824</v>
      </c>
      <c r="Q213" s="169">
        <f t="shared" si="591"/>
        <v>0.30797107355577652</v>
      </c>
      <c r="R213" s="169">
        <f t="shared" si="591"/>
        <v>0.30848435867836949</v>
      </c>
      <c r="S213" s="169">
        <f t="shared" si="591"/>
        <v>0.30899849927616679</v>
      </c>
      <c r="T213" s="169">
        <f t="shared" si="591"/>
        <v>0.30951349677496043</v>
      </c>
      <c r="U213" s="169">
        <f t="shared" si="591"/>
        <v>0.3100293526029187</v>
      </c>
      <c r="V213" s="169">
        <f t="shared" si="591"/>
        <v>0.31054606819059022</v>
      </c>
      <c r="W213" s="169">
        <f t="shared" si="591"/>
        <v>0.31106364497090788</v>
      </c>
      <c r="X213" s="169">
        <f t="shared" si="591"/>
        <v>0.31158208437919271</v>
      </c>
      <c r="Y213" s="169">
        <f t="shared" si="591"/>
        <v>0.31210138785315805</v>
      </c>
      <c r="Z213" s="169">
        <f t="shared" si="591"/>
        <v>0.31262155683291332</v>
      </c>
      <c r="AA213" s="405">
        <f t="shared" si="591"/>
        <v>0.31314259276096817</v>
      </c>
      <c r="AB213" s="169">
        <f t="shared" ref="AB213:AM213" si="592">AA213*((0.5*($AI209/12))+1)</f>
        <v>0.31353402100191935</v>
      </c>
      <c r="AC213" s="169">
        <f t="shared" si="592"/>
        <v>0.31392593852817174</v>
      </c>
      <c r="AD213" s="169">
        <f t="shared" si="592"/>
        <v>0.31431834595133196</v>
      </c>
      <c r="AE213" s="169">
        <f t="shared" si="592"/>
        <v>0.31471124388377109</v>
      </c>
      <c r="AF213" s="169">
        <f t="shared" si="592"/>
        <v>0.31510463293862578</v>
      </c>
      <c r="AG213" s="169">
        <f t="shared" si="592"/>
        <v>0.31549851372979903</v>
      </c>
      <c r="AH213" s="169">
        <f t="shared" si="592"/>
        <v>0.31589288687196126</v>
      </c>
      <c r="AI213" s="169">
        <f t="shared" si="592"/>
        <v>0.31628775298055123</v>
      </c>
      <c r="AJ213" s="169">
        <f t="shared" si="592"/>
        <v>0.3166831126717769</v>
      </c>
      <c r="AK213" s="169">
        <f t="shared" si="592"/>
        <v>0.31707896656261664</v>
      </c>
      <c r="AL213" s="169">
        <f t="shared" si="592"/>
        <v>0.3174753152708199</v>
      </c>
      <c r="AM213" s="405">
        <f t="shared" si="592"/>
        <v>0.31787215941490843</v>
      </c>
      <c r="AN213" s="169">
        <f t="shared" ref="AN213:AY213" si="593">AM213*((0.5*($AU209/12))+1)</f>
        <v>0.31824301026755919</v>
      </c>
      <c r="AO213" s="169">
        <f t="shared" si="593"/>
        <v>0.31861429377953804</v>
      </c>
      <c r="AP213" s="169">
        <f t="shared" si="593"/>
        <v>0.3189860104556142</v>
      </c>
      <c r="AQ213" s="169">
        <f t="shared" si="593"/>
        <v>0.31935816080114576</v>
      </c>
      <c r="AR213" s="169">
        <f t="shared" si="593"/>
        <v>0.31973074532208046</v>
      </c>
      <c r="AS213" s="169">
        <f t="shared" si="593"/>
        <v>0.32010376452495626</v>
      </c>
      <c r="AT213" s="169">
        <f t="shared" si="593"/>
        <v>0.32047721891690206</v>
      </c>
      <c r="AU213" s="169">
        <f t="shared" si="593"/>
        <v>0.32085110900563846</v>
      </c>
      <c r="AV213" s="169">
        <f t="shared" si="593"/>
        <v>0.32122543529947839</v>
      </c>
      <c r="AW213" s="169">
        <f t="shared" si="593"/>
        <v>0.32160019830732783</v>
      </c>
      <c r="AX213" s="169">
        <f t="shared" si="593"/>
        <v>0.3219753985386864</v>
      </c>
      <c r="AY213" s="405">
        <f t="shared" si="593"/>
        <v>0.32235103650364821</v>
      </c>
      <c r="AZ213" s="169">
        <f t="shared" ref="AZ213:BK213" si="594">AY213*((0.5*($BG209/12))+1)</f>
        <v>0.32261966236740125</v>
      </c>
      <c r="BA213" s="169">
        <f t="shared" si="594"/>
        <v>0.32288851208604075</v>
      </c>
      <c r="BB213" s="169">
        <f t="shared" si="594"/>
        <v>0.32315758584611243</v>
      </c>
      <c r="BC213" s="169">
        <f t="shared" si="594"/>
        <v>0.3234268838343175</v>
      </c>
      <c r="BD213" s="169">
        <f t="shared" si="594"/>
        <v>0.32369640623751272</v>
      </c>
      <c r="BE213" s="169">
        <f t="shared" si="594"/>
        <v>0.32396615324271061</v>
      </c>
      <c r="BF213" s="169">
        <f t="shared" si="594"/>
        <v>0.32423612503707949</v>
      </c>
      <c r="BG213" s="169">
        <f t="shared" si="594"/>
        <v>0.3245063218079437</v>
      </c>
      <c r="BH213" s="169">
        <f t="shared" si="594"/>
        <v>0.32477674374278365</v>
      </c>
      <c r="BI213" s="169">
        <f t="shared" si="594"/>
        <v>0.32504739102923591</v>
      </c>
      <c r="BJ213" s="169">
        <f t="shared" si="594"/>
        <v>0.3253182638550936</v>
      </c>
      <c r="BK213" s="405">
        <f t="shared" si="594"/>
        <v>0.32558936240830616</v>
      </c>
    </row>
    <row r="214" spans="1:63" s="385" customFormat="1" hidden="1" outlineLevel="1">
      <c r="A214" s="859"/>
      <c r="B214" s="390" t="s">
        <v>285</v>
      </c>
      <c r="C214" s="391">
        <v>3</v>
      </c>
      <c r="D214" s="383">
        <f t="shared" ref="D214:AI214" si="595">D212*D213</f>
        <v>0.24999999999999997</v>
      </c>
      <c r="E214" s="384">
        <f t="shared" si="595"/>
        <v>0.26150286639178244</v>
      </c>
      <c r="F214" s="384">
        <f t="shared" si="595"/>
        <v>0.27353499652447372</v>
      </c>
      <c r="G214" s="384">
        <f t="shared" si="595"/>
        <v>0.28612074259846459</v>
      </c>
      <c r="H214" s="384">
        <f t="shared" si="595"/>
        <v>0.29928557729457544</v>
      </c>
      <c r="I214" s="384">
        <f t="shared" si="595"/>
        <v>0.31305614532900339</v>
      </c>
      <c r="J214" s="384">
        <f t="shared" si="595"/>
        <v>0.32746031738038722</v>
      </c>
      <c r="K214" s="384">
        <f t="shared" si="595"/>
        <v>0.34252724649813637</v>
      </c>
      <c r="L214" s="384">
        <f t="shared" si="595"/>
        <v>0.35828742710618922</v>
      </c>
      <c r="M214" s="384">
        <f t="shared" si="595"/>
        <v>0.37477275672162119</v>
      </c>
      <c r="N214" s="384">
        <f t="shared" si="595"/>
        <v>0.3920166005130164</v>
      </c>
      <c r="O214" s="400">
        <f t="shared" si="595"/>
        <v>0.41005385882926432</v>
      </c>
      <c r="P214" s="384">
        <f t="shared" si="595"/>
        <v>0.42170739016545505</v>
      </c>
      <c r="Q214" s="384">
        <f t="shared" si="595"/>
        <v>0.43369210919730933</v>
      </c>
      <c r="R214" s="384">
        <f t="shared" si="595"/>
        <v>0.44601742811814377</v>
      </c>
      <c r="S214" s="384">
        <f t="shared" si="595"/>
        <v>0.45869302661123385</v>
      </c>
      <c r="T214" s="384">
        <f t="shared" si="595"/>
        <v>0.47172885945174831</v>
      </c>
      <c r="U214" s="384">
        <f t="shared" si="595"/>
        <v>0.48513516432472692</v>
      </c>
      <c r="V214" s="384">
        <f t="shared" si="595"/>
        <v>0.49892246986524191</v>
      </c>
      <c r="W214" s="384">
        <f t="shared" si="595"/>
        <v>0.51310160392705595</v>
      </c>
      <c r="X214" s="384">
        <f t="shared" si="595"/>
        <v>0.52768370208627202</v>
      </c>
      <c r="Y214" s="384">
        <f t="shared" si="595"/>
        <v>0.5426802163866532</v>
      </c>
      <c r="Z214" s="384">
        <f t="shared" si="595"/>
        <v>0.55810292433347886</v>
      </c>
      <c r="AA214" s="400">
        <f t="shared" si="595"/>
        <v>0.57396393814300362</v>
      </c>
      <c r="AB214" s="384">
        <f t="shared" si="595"/>
        <v>0.58403074097911967</v>
      </c>
      <c r="AC214" s="384">
        <f t="shared" si="595"/>
        <v>0.59427410633529409</v>
      </c>
      <c r="AD214" s="384">
        <f t="shared" si="595"/>
        <v>0.60469713095673983</v>
      </c>
      <c r="AE214" s="384">
        <f t="shared" si="595"/>
        <v>0.61530296590274969</v>
      </c>
      <c r="AF214" s="384">
        <f t="shared" si="595"/>
        <v>0.6260948174993165</v>
      </c>
      <c r="AG214" s="384">
        <f t="shared" si="595"/>
        <v>0.63707594830846015</v>
      </c>
      <c r="AH214" s="384">
        <f t="shared" si="595"/>
        <v>0.64824967811455636</v>
      </c>
      <c r="AI214" s="384">
        <f t="shared" si="595"/>
        <v>0.65961938492796424</v>
      </c>
      <c r="AJ214" s="384">
        <f t="shared" ref="AJ214:BK214" si="596">AJ212*AJ213</f>
        <v>0.67118850600625657</v>
      </c>
      <c r="AK214" s="384">
        <f t="shared" si="596"/>
        <v>0.6829605388933625</v>
      </c>
      <c r="AL214" s="384">
        <f t="shared" si="596"/>
        <v>0.69493904247693439</v>
      </c>
      <c r="AM214" s="400">
        <f t="shared" si="596"/>
        <v>0.70712763806426115</v>
      </c>
      <c r="AN214" s="384">
        <f t="shared" si="596"/>
        <v>0.7205915411162358</v>
      </c>
      <c r="AO214" s="384">
        <f t="shared" si="596"/>
        <v>0.73431180055372669</v>
      </c>
      <c r="AP214" s="384">
        <f t="shared" si="596"/>
        <v>0.74829329747221918</v>
      </c>
      <c r="AQ214" s="384">
        <f t="shared" si="596"/>
        <v>0.76254100590458662</v>
      </c>
      <c r="AR214" s="384">
        <f t="shared" si="596"/>
        <v>0.77705999459064545</v>
      </c>
      <c r="AS214" s="384">
        <f t="shared" si="596"/>
        <v>0.79185542878040005</v>
      </c>
      <c r="AT214" s="384">
        <f t="shared" si="596"/>
        <v>0.80693257207162328</v>
      </c>
      <c r="AU214" s="384">
        <f t="shared" si="596"/>
        <v>0.8222967882824247</v>
      </c>
      <c r="AV214" s="384">
        <f t="shared" si="596"/>
        <v>0.83795354335947414</v>
      </c>
      <c r="AW214" s="384">
        <f t="shared" si="596"/>
        <v>0.8539084073225558</v>
      </c>
      <c r="AX214" s="384">
        <f t="shared" si="596"/>
        <v>0.87016705624614954</v>
      </c>
      <c r="AY214" s="400">
        <f t="shared" si="596"/>
        <v>0.8867352742787411</v>
      </c>
      <c r="AZ214" s="384">
        <f t="shared" si="596"/>
        <v>0.91041912674569692</v>
      </c>
      <c r="BA214" s="384">
        <f t="shared" si="596"/>
        <v>0.93473555229725536</v>
      </c>
      <c r="BB214" s="384">
        <f t="shared" si="596"/>
        <v>0.95970144635648669</v>
      </c>
      <c r="BC214" s="384">
        <f t="shared" si="596"/>
        <v>0.98533415560707882</v>
      </c>
      <c r="BD214" s="384">
        <f t="shared" si="596"/>
        <v>1.0116514900460769</v>
      </c>
      <c r="BE214" s="384">
        <f t="shared" si="596"/>
        <v>1.0386717353585415</v>
      </c>
      <c r="BF214" s="384">
        <f t="shared" si="596"/>
        <v>1.0664136656227206</v>
      </c>
      <c r="BG214" s="384">
        <f t="shared" si="596"/>
        <v>1.0948965563545654</v>
      </c>
      <c r="BH214" s="384">
        <f t="shared" si="596"/>
        <v>1.1241401979006533</v>
      </c>
      <c r="BI214" s="384">
        <f t="shared" si="596"/>
        <v>1.1541649091888209</v>
      </c>
      <c r="BJ214" s="384">
        <f t="shared" si="596"/>
        <v>1.1849915518460665</v>
      </c>
      <c r="BK214" s="400">
        <f t="shared" si="596"/>
        <v>1.2166415446935248</v>
      </c>
    </row>
    <row r="215" spans="1:63" s="339" customFormat="1" ht="6.75" hidden="1" customHeight="1" outlineLevel="1">
      <c r="A215" s="854"/>
      <c r="B215" s="373"/>
      <c r="C215" s="357"/>
      <c r="D215" s="349"/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40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  <c r="AA215" s="401"/>
      <c r="AB215" s="341"/>
      <c r="AC215" s="341"/>
      <c r="AD215" s="341"/>
      <c r="AE215" s="341"/>
      <c r="AF215" s="341"/>
      <c r="AG215" s="341"/>
      <c r="AH215" s="341"/>
      <c r="AI215" s="341"/>
      <c r="AJ215" s="341"/>
      <c r="AK215" s="341"/>
      <c r="AL215" s="341"/>
      <c r="AM215" s="401"/>
      <c r="AN215" s="341"/>
      <c r="AO215" s="341"/>
      <c r="AP215" s="341"/>
      <c r="AQ215" s="341"/>
      <c r="AR215" s="341"/>
      <c r="AS215" s="341"/>
      <c r="AT215" s="341"/>
      <c r="AU215" s="341"/>
      <c r="AV215" s="341"/>
      <c r="AW215" s="341"/>
      <c r="AX215" s="341"/>
      <c r="AY215" s="401"/>
      <c r="AZ215" s="341"/>
      <c r="BA215" s="341"/>
      <c r="BB215" s="341"/>
      <c r="BC215" s="341"/>
      <c r="BD215" s="341"/>
      <c r="BE215" s="341"/>
      <c r="BF215" s="341"/>
      <c r="BG215" s="341"/>
      <c r="BH215" s="341"/>
      <c r="BI215" s="341"/>
      <c r="BJ215" s="341"/>
      <c r="BK215" s="401"/>
    </row>
    <row r="216" spans="1:63" s="248" customFormat="1" hidden="1" outlineLevel="1">
      <c r="A216" s="860"/>
      <c r="B216" s="374" t="s">
        <v>321</v>
      </c>
      <c r="C216" s="358">
        <v>4560</v>
      </c>
      <c r="D216" s="353">
        <f>C216</f>
        <v>4560</v>
      </c>
      <c r="E216" s="249">
        <f t="shared" ref="E216:O216" si="597">D216*((1+$G209/12))</f>
        <v>4571.3999999999996</v>
      </c>
      <c r="F216" s="249">
        <f t="shared" si="597"/>
        <v>4582.8284999999996</v>
      </c>
      <c r="G216" s="249">
        <f t="shared" si="597"/>
        <v>4594.2855712499995</v>
      </c>
      <c r="H216" s="249">
        <f t="shared" si="597"/>
        <v>4605.7712851781243</v>
      </c>
      <c r="I216" s="249">
        <f t="shared" si="597"/>
        <v>4617.2857133910693</v>
      </c>
      <c r="J216" s="249">
        <f t="shared" si="597"/>
        <v>4628.8289276745463</v>
      </c>
      <c r="K216" s="249">
        <f t="shared" si="597"/>
        <v>4640.4009999937325</v>
      </c>
      <c r="L216" s="249">
        <f t="shared" si="597"/>
        <v>4652.0020024937166</v>
      </c>
      <c r="M216" s="249">
        <f t="shared" si="597"/>
        <v>4663.6320074999503</v>
      </c>
      <c r="N216" s="249">
        <f t="shared" si="597"/>
        <v>4675.2910875186999</v>
      </c>
      <c r="O216" s="402">
        <f t="shared" si="597"/>
        <v>4686.9793152374968</v>
      </c>
      <c r="P216" s="249">
        <f t="shared" ref="P216:AA216" si="598">O216*((1+$S209/12))</f>
        <v>4696.7438554775754</v>
      </c>
      <c r="Q216" s="249">
        <f t="shared" si="598"/>
        <v>4706.5287385098209</v>
      </c>
      <c r="R216" s="249">
        <f t="shared" si="598"/>
        <v>4716.3340067150502</v>
      </c>
      <c r="S216" s="249">
        <f t="shared" si="598"/>
        <v>4726.1597025623742</v>
      </c>
      <c r="T216" s="249">
        <f t="shared" si="598"/>
        <v>4736.0058686093798</v>
      </c>
      <c r="U216" s="249">
        <f t="shared" si="598"/>
        <v>4745.8725475023166</v>
      </c>
      <c r="V216" s="249">
        <f t="shared" si="598"/>
        <v>4755.7597819762805</v>
      </c>
      <c r="W216" s="249">
        <f t="shared" si="598"/>
        <v>4765.6676148553979</v>
      </c>
      <c r="X216" s="249">
        <f t="shared" si="598"/>
        <v>4775.5960890530141</v>
      </c>
      <c r="Y216" s="249">
        <f t="shared" si="598"/>
        <v>4785.5452475718748</v>
      </c>
      <c r="Z216" s="249">
        <f t="shared" si="598"/>
        <v>4795.5151335043165</v>
      </c>
      <c r="AA216" s="402">
        <f t="shared" si="598"/>
        <v>4805.5057900324509</v>
      </c>
      <c r="AB216" s="249">
        <f t="shared" ref="AB216:AM216" si="599">AA216*((1+$AE209/12))</f>
        <v>4815.5172604283525</v>
      </c>
      <c r="AC216" s="249">
        <f t="shared" si="599"/>
        <v>4825.5495880542458</v>
      </c>
      <c r="AD216" s="249">
        <f t="shared" si="599"/>
        <v>4835.6028163626925</v>
      </c>
      <c r="AE216" s="249">
        <f t="shared" si="599"/>
        <v>4845.6769888967819</v>
      </c>
      <c r="AF216" s="249">
        <f t="shared" si="599"/>
        <v>4855.7721492903174</v>
      </c>
      <c r="AG216" s="249">
        <f t="shared" si="599"/>
        <v>4865.8883412680061</v>
      </c>
      <c r="AH216" s="249">
        <f t="shared" si="599"/>
        <v>4876.0256086456484</v>
      </c>
      <c r="AI216" s="249">
        <f t="shared" si="599"/>
        <v>4886.183995330327</v>
      </c>
      <c r="AJ216" s="249">
        <f t="shared" si="599"/>
        <v>4896.3635453205989</v>
      </c>
      <c r="AK216" s="249">
        <f t="shared" si="599"/>
        <v>4906.5643027066835</v>
      </c>
      <c r="AL216" s="249">
        <f t="shared" si="599"/>
        <v>4916.7863116706567</v>
      </c>
      <c r="AM216" s="402">
        <f t="shared" si="599"/>
        <v>4927.0296164866377</v>
      </c>
      <c r="AN216" s="249">
        <f t="shared" ref="AN216:AY216" si="600">AM216*((1+$AQ209/12))</f>
        <v>4936.0625041168632</v>
      </c>
      <c r="AO216" s="249">
        <f t="shared" si="600"/>
        <v>4945.1119520410775</v>
      </c>
      <c r="AP216" s="249">
        <f t="shared" si="600"/>
        <v>4954.1779906198199</v>
      </c>
      <c r="AQ216" s="249">
        <f t="shared" si="600"/>
        <v>4963.2606502692897</v>
      </c>
      <c r="AR216" s="249">
        <f t="shared" si="600"/>
        <v>4972.3599614614504</v>
      </c>
      <c r="AS216" s="249">
        <f t="shared" si="600"/>
        <v>4981.4759547241301</v>
      </c>
      <c r="AT216" s="249">
        <f t="shared" si="600"/>
        <v>4990.6086606411245</v>
      </c>
      <c r="AU216" s="249">
        <f t="shared" si="600"/>
        <v>4999.7581098522996</v>
      </c>
      <c r="AV216" s="249">
        <f t="shared" si="600"/>
        <v>5008.9243330536956</v>
      </c>
      <c r="AW216" s="249">
        <f t="shared" si="600"/>
        <v>5018.1073609976274</v>
      </c>
      <c r="AX216" s="249">
        <f t="shared" si="600"/>
        <v>5027.3072244927898</v>
      </c>
      <c r="AY216" s="402">
        <f t="shared" si="600"/>
        <v>5036.5239544043598</v>
      </c>
      <c r="AZ216" s="249">
        <f t="shared" ref="AZ216:BK216" si="601">AY216*((1+$BC209/12))</f>
        <v>5044.9181609950338</v>
      </c>
      <c r="BA216" s="249">
        <f t="shared" si="601"/>
        <v>5053.3263579300256</v>
      </c>
      <c r="BB216" s="249">
        <f t="shared" si="601"/>
        <v>5061.7485685265756</v>
      </c>
      <c r="BC216" s="249">
        <f t="shared" si="601"/>
        <v>5070.184816140787</v>
      </c>
      <c r="BD216" s="249">
        <f t="shared" si="601"/>
        <v>5078.6351241676884</v>
      </c>
      <c r="BE216" s="249">
        <f t="shared" si="601"/>
        <v>5087.0995160413013</v>
      </c>
      <c r="BF216" s="249">
        <f t="shared" si="601"/>
        <v>5095.5780152347033</v>
      </c>
      <c r="BG216" s="249">
        <f t="shared" si="601"/>
        <v>5104.0706452600944</v>
      </c>
      <c r="BH216" s="249">
        <f t="shared" si="601"/>
        <v>5112.5774296688614</v>
      </c>
      <c r="BI216" s="249">
        <f t="shared" si="601"/>
        <v>5121.0983920516428</v>
      </c>
      <c r="BJ216" s="249">
        <f t="shared" si="601"/>
        <v>5129.6335560383959</v>
      </c>
      <c r="BK216" s="402">
        <f t="shared" si="601"/>
        <v>5138.1829452984603</v>
      </c>
    </row>
    <row r="217" spans="1:63" s="334" customFormat="1" hidden="1" outlineLevel="1">
      <c r="A217" s="861"/>
      <c r="B217" s="372" t="s">
        <v>261</v>
      </c>
      <c r="C217" s="359">
        <f t="shared" ref="C217:AH217" si="602">C216*C214</f>
        <v>13680</v>
      </c>
      <c r="D217" s="354">
        <f t="shared" si="602"/>
        <v>1139.9999999999998</v>
      </c>
      <c r="E217" s="335">
        <f t="shared" si="602"/>
        <v>1195.4342034233941</v>
      </c>
      <c r="F217" s="335">
        <f t="shared" si="602"/>
        <v>1253.563977819759</v>
      </c>
      <c r="G217" s="335">
        <f t="shared" si="602"/>
        <v>1314.520399355461</v>
      </c>
      <c r="H217" s="335">
        <f t="shared" si="602"/>
        <v>1378.4409179713136</v>
      </c>
      <c r="I217" s="335">
        <f t="shared" si="602"/>
        <v>1445.4696673168858</v>
      </c>
      <c r="J217" s="335">
        <f t="shared" si="602"/>
        <v>1515.7577897558244</v>
      </c>
      <c r="K217" s="335">
        <f t="shared" si="602"/>
        <v>1589.4637771750517</v>
      </c>
      <c r="L217" s="335">
        <f t="shared" si="602"/>
        <v>1666.7538283663137</v>
      </c>
      <c r="M217" s="335">
        <f t="shared" si="602"/>
        <v>1747.8022237859448</v>
      </c>
      <c r="N217" s="335">
        <f t="shared" si="602"/>
        <v>1832.7917185378842</v>
      </c>
      <c r="O217" s="403">
        <f t="shared" si="602"/>
        <v>1921.9139544660784</v>
      </c>
      <c r="P217" s="335">
        <f t="shared" si="602"/>
        <v>1980.6515935690854</v>
      </c>
      <c r="Q217" s="335">
        <f t="shared" si="602"/>
        <v>2041.1843756020758</v>
      </c>
      <c r="R217" s="335">
        <f t="shared" si="602"/>
        <v>2103.567163821187</v>
      </c>
      <c r="S217" s="335">
        <f t="shared" si="602"/>
        <v>2167.8564982163839</v>
      </c>
      <c r="T217" s="335">
        <f t="shared" si="602"/>
        <v>2234.1106467558893</v>
      </c>
      <c r="U217" s="335">
        <f t="shared" si="602"/>
        <v>2302.389658196747</v>
      </c>
      <c r="V217" s="335">
        <f t="shared" si="602"/>
        <v>2372.7554165093902</v>
      </c>
      <c r="W217" s="335">
        <f t="shared" si="602"/>
        <v>2445.2716969655316</v>
      </c>
      <c r="X217" s="335">
        <f t="shared" si="602"/>
        <v>2520.0042239402164</v>
      </c>
      <c r="Y217" s="335">
        <f t="shared" si="602"/>
        <v>2597.0207304804248</v>
      </c>
      <c r="Z217" s="335">
        <f t="shared" si="602"/>
        <v>2676.3910196942124</v>
      </c>
      <c r="AA217" s="403">
        <f t="shared" si="602"/>
        <v>2758.1870280160315</v>
      </c>
      <c r="AB217" s="335">
        <f t="shared" si="602"/>
        <v>2812.4101138057113</v>
      </c>
      <c r="AC217" s="335">
        <f t="shared" si="602"/>
        <v>2867.6991690175832</v>
      </c>
      <c r="AD217" s="335">
        <f t="shared" si="602"/>
        <v>2924.0751495008508</v>
      </c>
      <c r="AE217" s="335">
        <f t="shared" si="602"/>
        <v>2981.5594230748952</v>
      </c>
      <c r="AF217" s="335">
        <f t="shared" si="602"/>
        <v>3040.1737776281852</v>
      </c>
      <c r="AG217" s="335">
        <f t="shared" si="602"/>
        <v>3099.9404293763951</v>
      </c>
      <c r="AH217" s="335">
        <f t="shared" si="602"/>
        <v>3160.8820312828752</v>
      </c>
      <c r="AI217" s="335">
        <f t="shared" ref="AI217:BK217" si="603">AI216*AI214</f>
        <v>3223.0216816446532</v>
      </c>
      <c r="AJ217" s="335">
        <f t="shared" si="603"/>
        <v>3286.3829328472307</v>
      </c>
      <c r="AK217" s="335">
        <f t="shared" si="603"/>
        <v>3350.989800291492</v>
      </c>
      <c r="AL217" s="335">
        <f t="shared" si="603"/>
        <v>3416.8667714961039</v>
      </c>
      <c r="AM217" s="403">
        <f t="shared" si="603"/>
        <v>3484.0388153788585</v>
      </c>
      <c r="AN217" s="335">
        <f t="shared" si="603"/>
        <v>3556.8848868876366</v>
      </c>
      <c r="AO217" s="335">
        <f t="shared" si="603"/>
        <v>3631.2540614430377</v>
      </c>
      <c r="AP217" s="335">
        <f t="shared" si="603"/>
        <v>3707.1781848651981</v>
      </c>
      <c r="AQ217" s="335">
        <f t="shared" si="603"/>
        <v>3784.6897688229969</v>
      </c>
      <c r="AR217" s="335">
        <f t="shared" si="603"/>
        <v>3863.8220047559766</v>
      </c>
      <c r="AS217" s="335">
        <f t="shared" si="603"/>
        <v>3944.6087780873286</v>
      </c>
      <c r="AT217" s="335">
        <f t="shared" si="603"/>
        <v>4027.0846827340615</v>
      </c>
      <c r="AU217" s="335">
        <f t="shared" si="603"/>
        <v>4111.2850359205522</v>
      </c>
      <c r="AV217" s="335">
        <f t="shared" si="603"/>
        <v>4197.2458933018352</v>
      </c>
      <c r="AW217" s="335">
        <f t="shared" si="603"/>
        <v>4285.0040644030778</v>
      </c>
      <c r="AX217" s="335">
        <f t="shared" si="603"/>
        <v>4374.5971283818917</v>
      </c>
      <c r="AY217" s="403">
        <f t="shared" si="603"/>
        <v>4466.0634501201994</v>
      </c>
      <c r="AZ217" s="335">
        <f t="shared" si="603"/>
        <v>4592.9899866366059</v>
      </c>
      <c r="BA217" s="335">
        <f t="shared" si="603"/>
        <v>4723.523804118</v>
      </c>
      <c r="BB217" s="335">
        <f t="shared" si="603"/>
        <v>4857.7674223078302</v>
      </c>
      <c r="BC217" s="335">
        <f t="shared" si="603"/>
        <v>4995.8262745839147</v>
      </c>
      <c r="BD217" s="335">
        <f t="shared" si="603"/>
        <v>5137.808790764585</v>
      </c>
      <c r="BE217" s="335">
        <f t="shared" si="603"/>
        <v>5283.8264822682149</v>
      </c>
      <c r="BF217" s="335">
        <f t="shared" si="603"/>
        <v>5433.9940296929872</v>
      </c>
      <c r="BG217" s="335">
        <f t="shared" si="603"/>
        <v>5588.4293728857019</v>
      </c>
      <c r="BH217" s="335">
        <f t="shared" si="603"/>
        <v>5747.2538035703674</v>
      </c>
      <c r="BI217" s="335">
        <f t="shared" si="603"/>
        <v>5910.5920606093005</v>
      </c>
      <c r="BJ217" s="335">
        <f t="shared" si="603"/>
        <v>6078.5724279715951</v>
      </c>
      <c r="BK217" s="403">
        <f t="shared" si="603"/>
        <v>6251.3268354858437</v>
      </c>
    </row>
    <row r="218" spans="1:63" s="339" customFormat="1" ht="4.5" hidden="1" customHeight="1" outlineLevel="1">
      <c r="A218" s="854"/>
      <c r="B218" s="373"/>
      <c r="C218" s="360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40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  <c r="Z218" s="341"/>
      <c r="AA218" s="401"/>
      <c r="AB218" s="341"/>
      <c r="AC218" s="341"/>
      <c r="AD218" s="341"/>
      <c r="AE218" s="341"/>
      <c r="AF218" s="341"/>
      <c r="AG218" s="341"/>
      <c r="AH218" s="341"/>
      <c r="AI218" s="341"/>
      <c r="AJ218" s="341"/>
      <c r="AK218" s="341"/>
      <c r="AL218" s="341"/>
      <c r="AM218" s="401"/>
      <c r="AN218" s="341"/>
      <c r="AO218" s="341"/>
      <c r="AP218" s="341"/>
      <c r="AQ218" s="341"/>
      <c r="AR218" s="341"/>
      <c r="AS218" s="341"/>
      <c r="AT218" s="341"/>
      <c r="AU218" s="341"/>
      <c r="AV218" s="341"/>
      <c r="AW218" s="341"/>
      <c r="AX218" s="341"/>
      <c r="AY218" s="401"/>
      <c r="AZ218" s="341"/>
      <c r="BA218" s="341"/>
      <c r="BB218" s="341"/>
      <c r="BC218" s="341"/>
      <c r="BD218" s="341"/>
      <c r="BE218" s="341"/>
      <c r="BF218" s="341"/>
      <c r="BG218" s="341"/>
      <c r="BH218" s="341"/>
      <c r="BI218" s="341"/>
      <c r="BJ218" s="341"/>
      <c r="BK218" s="401"/>
    </row>
    <row r="219" spans="1:63" s="248" customFormat="1" hidden="1" outlineLevel="1">
      <c r="A219" s="860"/>
      <c r="B219" s="374" t="s">
        <v>346</v>
      </c>
      <c r="C219" s="358">
        <v>14000</v>
      </c>
      <c r="D219" s="353">
        <f>C219/12</f>
        <v>1166.6666666666667</v>
      </c>
      <c r="E219" s="249">
        <f t="shared" ref="E219:O219" si="604">D219*(1+($I209/12))</f>
        <v>1195.8333333333333</v>
      </c>
      <c r="F219" s="249">
        <f t="shared" si="604"/>
        <v>1225.7291666666665</v>
      </c>
      <c r="G219" s="249">
        <f t="shared" si="604"/>
        <v>1256.372395833333</v>
      </c>
      <c r="H219" s="249">
        <f t="shared" si="604"/>
        <v>1287.7817057291663</v>
      </c>
      <c r="I219" s="249">
        <f t="shared" si="604"/>
        <v>1319.9762483723953</v>
      </c>
      <c r="J219" s="249">
        <f t="shared" si="604"/>
        <v>1352.9756545817049</v>
      </c>
      <c r="K219" s="249">
        <f t="shared" si="604"/>
        <v>1386.8000459462473</v>
      </c>
      <c r="L219" s="249">
        <f t="shared" si="604"/>
        <v>1421.4700470949033</v>
      </c>
      <c r="M219" s="249">
        <f t="shared" si="604"/>
        <v>1457.0067982722758</v>
      </c>
      <c r="N219" s="249">
        <f t="shared" si="604"/>
        <v>1493.4319682290825</v>
      </c>
      <c r="O219" s="402">
        <f t="shared" si="604"/>
        <v>1530.7677674348095</v>
      </c>
      <c r="P219" s="249">
        <f t="shared" ref="P219:AA219" si="605">O219*(1+($U209/12))</f>
        <v>1559.4696630742121</v>
      </c>
      <c r="Q219" s="249">
        <f t="shared" si="605"/>
        <v>1588.7097192568538</v>
      </c>
      <c r="R219" s="249">
        <f t="shared" si="605"/>
        <v>1618.4980264929197</v>
      </c>
      <c r="S219" s="249">
        <f t="shared" si="605"/>
        <v>1648.8448644896621</v>
      </c>
      <c r="T219" s="249">
        <f t="shared" si="605"/>
        <v>1679.7607056988434</v>
      </c>
      <c r="U219" s="249">
        <f t="shared" si="605"/>
        <v>1711.2562189306968</v>
      </c>
      <c r="V219" s="249">
        <f t="shared" si="605"/>
        <v>1743.3422730356474</v>
      </c>
      <c r="W219" s="249">
        <f t="shared" si="605"/>
        <v>1776.029940655066</v>
      </c>
      <c r="X219" s="249">
        <f t="shared" si="605"/>
        <v>1809.3305020423486</v>
      </c>
      <c r="Y219" s="249">
        <f t="shared" si="605"/>
        <v>1843.2554489556428</v>
      </c>
      <c r="Z219" s="249">
        <f t="shared" si="605"/>
        <v>1877.8164886235611</v>
      </c>
      <c r="AA219" s="402">
        <f t="shared" si="605"/>
        <v>1913.0255477852529</v>
      </c>
      <c r="AB219" s="249">
        <f t="shared" ref="AB219:AM219" si="606">AA219*(1+($AG209/12))</f>
        <v>1932.1558032631056</v>
      </c>
      <c r="AC219" s="249">
        <f t="shared" si="606"/>
        <v>1951.4773612957367</v>
      </c>
      <c r="AD219" s="249">
        <f t="shared" si="606"/>
        <v>1970.9921349086942</v>
      </c>
      <c r="AE219" s="249">
        <f t="shared" si="606"/>
        <v>1990.7020562577811</v>
      </c>
      <c r="AF219" s="249">
        <f t="shared" si="606"/>
        <v>2010.609076820359</v>
      </c>
      <c r="AG219" s="249">
        <f t="shared" si="606"/>
        <v>2030.7151675885625</v>
      </c>
      <c r="AH219" s="249">
        <f t="shared" si="606"/>
        <v>2051.022319264448</v>
      </c>
      <c r="AI219" s="249">
        <f t="shared" si="606"/>
        <v>2071.5325424570924</v>
      </c>
      <c r="AJ219" s="249">
        <f t="shared" si="606"/>
        <v>2092.2478678816633</v>
      </c>
      <c r="AK219" s="249">
        <f t="shared" si="606"/>
        <v>2113.1703465604801</v>
      </c>
      <c r="AL219" s="249">
        <f t="shared" si="606"/>
        <v>2134.302050026085</v>
      </c>
      <c r="AM219" s="402">
        <f t="shared" si="606"/>
        <v>2155.645070526346</v>
      </c>
      <c r="AN219" s="249">
        <f t="shared" ref="AN219:AY219" si="607">AM219*(1+($AS209/12))</f>
        <v>2166.4232958789776</v>
      </c>
      <c r="AO219" s="249">
        <f t="shared" si="607"/>
        <v>2177.2554123583723</v>
      </c>
      <c r="AP219" s="249">
        <f t="shared" si="607"/>
        <v>2188.1416894201639</v>
      </c>
      <c r="AQ219" s="249">
        <f t="shared" si="607"/>
        <v>2199.0823978672643</v>
      </c>
      <c r="AR219" s="249">
        <f t="shared" si="607"/>
        <v>2210.0778098566002</v>
      </c>
      <c r="AS219" s="249">
        <f t="shared" si="607"/>
        <v>2221.128198905883</v>
      </c>
      <c r="AT219" s="249">
        <f t="shared" si="607"/>
        <v>2232.233839900412</v>
      </c>
      <c r="AU219" s="249">
        <f t="shared" si="607"/>
        <v>2243.3950090999138</v>
      </c>
      <c r="AV219" s="249">
        <f t="shared" si="607"/>
        <v>2254.6119841454129</v>
      </c>
      <c r="AW219" s="249">
        <f t="shared" si="607"/>
        <v>2265.8850440661395</v>
      </c>
      <c r="AX219" s="249">
        <f t="shared" si="607"/>
        <v>2277.2144692864699</v>
      </c>
      <c r="AY219" s="402">
        <f t="shared" si="607"/>
        <v>2288.6005416329022</v>
      </c>
      <c r="AZ219" s="249">
        <f t="shared" ref="AZ219:BK219" si="608">AY219*(1+($BES209/12))</f>
        <v>2288.6005416329022</v>
      </c>
      <c r="BA219" s="249">
        <f t="shared" si="608"/>
        <v>2288.6005416329022</v>
      </c>
      <c r="BB219" s="249">
        <f t="shared" si="608"/>
        <v>2288.6005416329022</v>
      </c>
      <c r="BC219" s="249">
        <f t="shared" si="608"/>
        <v>2288.6005416329022</v>
      </c>
      <c r="BD219" s="249">
        <f t="shared" si="608"/>
        <v>2288.6005416329022</v>
      </c>
      <c r="BE219" s="249">
        <f t="shared" si="608"/>
        <v>2288.6005416329022</v>
      </c>
      <c r="BF219" s="249">
        <f t="shared" si="608"/>
        <v>2288.6005416329022</v>
      </c>
      <c r="BG219" s="249">
        <f t="shared" si="608"/>
        <v>2288.6005416329022</v>
      </c>
      <c r="BH219" s="249">
        <f t="shared" si="608"/>
        <v>2288.6005416329022</v>
      </c>
      <c r="BI219" s="249">
        <f t="shared" si="608"/>
        <v>2288.6005416329022</v>
      </c>
      <c r="BJ219" s="249">
        <f t="shared" si="608"/>
        <v>2288.6005416329022</v>
      </c>
      <c r="BK219" s="402">
        <f t="shared" si="608"/>
        <v>2288.6005416329022</v>
      </c>
    </row>
    <row r="220" spans="1:63" s="54" customFormat="1" hidden="1" outlineLevel="1">
      <c r="A220" s="857"/>
      <c r="B220" s="370" t="s">
        <v>345</v>
      </c>
      <c r="C220" s="361">
        <v>0.08</v>
      </c>
      <c r="D220" s="355">
        <f>M209</f>
        <v>0.08</v>
      </c>
      <c r="E220" s="169">
        <f t="shared" ref="E220:O220" si="609">D220</f>
        <v>0.08</v>
      </c>
      <c r="F220" s="169">
        <f t="shared" si="609"/>
        <v>0.08</v>
      </c>
      <c r="G220" s="169">
        <f t="shared" si="609"/>
        <v>0.08</v>
      </c>
      <c r="H220" s="169">
        <f t="shared" si="609"/>
        <v>0.08</v>
      </c>
      <c r="I220" s="169">
        <f t="shared" si="609"/>
        <v>0.08</v>
      </c>
      <c r="J220" s="169">
        <f t="shared" si="609"/>
        <v>0.08</v>
      </c>
      <c r="K220" s="169">
        <f t="shared" si="609"/>
        <v>0.08</v>
      </c>
      <c r="L220" s="169">
        <f t="shared" si="609"/>
        <v>0.08</v>
      </c>
      <c r="M220" s="169">
        <f t="shared" si="609"/>
        <v>0.08</v>
      </c>
      <c r="N220" s="169">
        <f t="shared" si="609"/>
        <v>0.08</v>
      </c>
      <c r="O220" s="405">
        <f t="shared" si="609"/>
        <v>0.08</v>
      </c>
      <c r="P220" s="169">
        <f t="shared" ref="P220:AA220" si="610">$Y209</f>
        <v>0.08</v>
      </c>
      <c r="Q220" s="169">
        <f t="shared" si="610"/>
        <v>0.08</v>
      </c>
      <c r="R220" s="169">
        <f t="shared" si="610"/>
        <v>0.08</v>
      </c>
      <c r="S220" s="169">
        <f t="shared" si="610"/>
        <v>0.08</v>
      </c>
      <c r="T220" s="169">
        <f t="shared" si="610"/>
        <v>0.08</v>
      </c>
      <c r="U220" s="169">
        <f t="shared" si="610"/>
        <v>0.08</v>
      </c>
      <c r="V220" s="169">
        <f t="shared" si="610"/>
        <v>0.08</v>
      </c>
      <c r="W220" s="169">
        <f t="shared" si="610"/>
        <v>0.08</v>
      </c>
      <c r="X220" s="169">
        <f t="shared" si="610"/>
        <v>0.08</v>
      </c>
      <c r="Y220" s="169">
        <f t="shared" si="610"/>
        <v>0.08</v>
      </c>
      <c r="Z220" s="169">
        <f t="shared" si="610"/>
        <v>0.08</v>
      </c>
      <c r="AA220" s="405">
        <f t="shared" si="610"/>
        <v>0.08</v>
      </c>
      <c r="AB220" s="169">
        <f t="shared" ref="AB220:AM220" si="611">$AK209</f>
        <v>0.08</v>
      </c>
      <c r="AC220" s="169">
        <f t="shared" si="611"/>
        <v>0.08</v>
      </c>
      <c r="AD220" s="169">
        <f t="shared" si="611"/>
        <v>0.08</v>
      </c>
      <c r="AE220" s="169">
        <f t="shared" si="611"/>
        <v>0.08</v>
      </c>
      <c r="AF220" s="169">
        <f t="shared" si="611"/>
        <v>0.08</v>
      </c>
      <c r="AG220" s="169">
        <f t="shared" si="611"/>
        <v>0.08</v>
      </c>
      <c r="AH220" s="169">
        <f t="shared" si="611"/>
        <v>0.08</v>
      </c>
      <c r="AI220" s="169">
        <f t="shared" si="611"/>
        <v>0.08</v>
      </c>
      <c r="AJ220" s="169">
        <f t="shared" si="611"/>
        <v>0.08</v>
      </c>
      <c r="AK220" s="169">
        <f t="shared" si="611"/>
        <v>0.08</v>
      </c>
      <c r="AL220" s="169">
        <f t="shared" si="611"/>
        <v>0.08</v>
      </c>
      <c r="AM220" s="405">
        <f t="shared" si="611"/>
        <v>0.08</v>
      </c>
      <c r="AN220" s="169">
        <f t="shared" ref="AN220:AY220" si="612">$AW209</f>
        <v>0.08</v>
      </c>
      <c r="AO220" s="169">
        <f t="shared" si="612"/>
        <v>0.08</v>
      </c>
      <c r="AP220" s="169">
        <f t="shared" si="612"/>
        <v>0.08</v>
      </c>
      <c r="AQ220" s="169">
        <f t="shared" si="612"/>
        <v>0.08</v>
      </c>
      <c r="AR220" s="169">
        <f t="shared" si="612"/>
        <v>0.08</v>
      </c>
      <c r="AS220" s="169">
        <f t="shared" si="612"/>
        <v>0.08</v>
      </c>
      <c r="AT220" s="169">
        <f t="shared" si="612"/>
        <v>0.08</v>
      </c>
      <c r="AU220" s="169">
        <f t="shared" si="612"/>
        <v>0.08</v>
      </c>
      <c r="AV220" s="169">
        <f t="shared" si="612"/>
        <v>0.08</v>
      </c>
      <c r="AW220" s="169">
        <f t="shared" si="612"/>
        <v>0.08</v>
      </c>
      <c r="AX220" s="169">
        <f t="shared" si="612"/>
        <v>0.08</v>
      </c>
      <c r="AY220" s="405">
        <f t="shared" si="612"/>
        <v>0.08</v>
      </c>
      <c r="AZ220" s="169">
        <f t="shared" ref="AZ220:BK220" si="613">$BI209</f>
        <v>0.08</v>
      </c>
      <c r="BA220" s="169">
        <f t="shared" si="613"/>
        <v>0.08</v>
      </c>
      <c r="BB220" s="169">
        <f t="shared" si="613"/>
        <v>0.08</v>
      </c>
      <c r="BC220" s="169">
        <f t="shared" si="613"/>
        <v>0.08</v>
      </c>
      <c r="BD220" s="169">
        <f t="shared" si="613"/>
        <v>0.08</v>
      </c>
      <c r="BE220" s="169">
        <f t="shared" si="613"/>
        <v>0.08</v>
      </c>
      <c r="BF220" s="169">
        <f t="shared" si="613"/>
        <v>0.08</v>
      </c>
      <c r="BG220" s="169">
        <f t="shared" si="613"/>
        <v>0.08</v>
      </c>
      <c r="BH220" s="169">
        <f t="shared" si="613"/>
        <v>0.08</v>
      </c>
      <c r="BI220" s="169">
        <f t="shared" si="613"/>
        <v>0.08</v>
      </c>
      <c r="BJ220" s="169">
        <f t="shared" si="613"/>
        <v>0.08</v>
      </c>
      <c r="BK220" s="405">
        <f t="shared" si="613"/>
        <v>0.08</v>
      </c>
    </row>
    <row r="221" spans="1:63" s="336" customFormat="1" ht="19.5" hidden="1" outlineLevel="1" thickBot="1">
      <c r="A221" s="862"/>
      <c r="B221" s="375" t="s">
        <v>300</v>
      </c>
      <c r="C221" s="362">
        <f>C220*'Prg. HR'!D$38*12</f>
        <v>6048</v>
      </c>
      <c r="D221" s="351">
        <f>D220*'Prg. HR'!D$38</f>
        <v>504</v>
      </c>
      <c r="E221" s="337">
        <f>E220*'Prg. HR'!E$38</f>
        <v>496.44</v>
      </c>
      <c r="F221" s="337">
        <f>F220*'Prg. HR'!F$38</f>
        <v>488.99340000000007</v>
      </c>
      <c r="G221" s="337">
        <f>G220*'Prg. HR'!G$38</f>
        <v>666.45849900000007</v>
      </c>
      <c r="H221" s="337">
        <f>H220*'Prg. HR'!H$38</f>
        <v>659.23362151499998</v>
      </c>
      <c r="I221" s="337">
        <f>I220*'Prg. HR'!I$38</f>
        <v>652.11711719227503</v>
      </c>
      <c r="J221" s="337">
        <f>J220*'Prg. HR'!J$38</f>
        <v>645.1073604343909</v>
      </c>
      <c r="K221" s="337">
        <f>K220*'Prg. HR'!K$38</f>
        <v>778.20275002787503</v>
      </c>
      <c r="L221" s="337">
        <f>L220*'Prg. HR'!L$38</f>
        <v>783.06837544412349</v>
      </c>
      <c r="M221" s="337">
        <f>M220*'Prg. HR'!M$38</f>
        <v>777.34157203468396</v>
      </c>
      <c r="N221" s="337">
        <f>N220*'Prg. HR'!N$38</f>
        <v>770.82405030601558</v>
      </c>
      <c r="O221" s="406">
        <f>O220*'Prg. HR'!O$38</f>
        <v>764.33123970574627</v>
      </c>
      <c r="P221" s="337">
        <f>P220*'Prg. HR'!P$38</f>
        <v>745.20251204380202</v>
      </c>
      <c r="Q221" s="337">
        <f>Q220*'Prg. HR'!Q$38</f>
        <v>750.56314102981173</v>
      </c>
      <c r="R221" s="337">
        <f>R220*'Prg. HR'!R$38</f>
        <v>745.3239161365866</v>
      </c>
      <c r="S221" s="337">
        <f>S220*'Prg. HR'!S$38</f>
        <v>739.28665924638972</v>
      </c>
      <c r="T221" s="337">
        <f>T220*'Prg. HR'!T$38</f>
        <v>733.26690951201488</v>
      </c>
      <c r="U221" s="337">
        <f>U220*'Prg. HR'!U$38</f>
        <v>1105.3313683821948</v>
      </c>
      <c r="V221" s="337">
        <f>V220*'Prg. HR'!V$38</f>
        <v>1099.4843530658668</v>
      </c>
      <c r="W221" s="337">
        <f>W220*'Prg. HR'!W$38</f>
        <v>1093.7250007039959</v>
      </c>
      <c r="X221" s="337">
        <f>X220*'Prg. HR'!X$38</f>
        <v>1088.0520351046123</v>
      </c>
      <c r="Y221" s="337">
        <f>Y220*'Prg. HR'!Y$38</f>
        <v>1082.464163695641</v>
      </c>
      <c r="Z221" s="337">
        <f>Z220*'Prg. HR'!Z$38</f>
        <v>1076.9601103333398</v>
      </c>
      <c r="AA221" s="406">
        <f>AA220*'Prg. HR'!AA$38</f>
        <v>1224.2658904966897</v>
      </c>
      <c r="AB221" s="337">
        <f>AB220*'Prg. HR'!AB$38</f>
        <v>1416.7198686991549</v>
      </c>
      <c r="AC221" s="337">
        <f>AC220*'Prg. HR'!AC$38</f>
        <v>1404.0517540520802</v>
      </c>
      <c r="AD221" s="337">
        <f>AD220*'Prg. HR'!AD$38</f>
        <v>1388.6938128141232</v>
      </c>
      <c r="AE221" s="337">
        <f>AE220*'Prg. HR'!AE$38</f>
        <v>1373.5498965841919</v>
      </c>
      <c r="AF221" s="337">
        <f>AF220*'Prg. HR'!AF$38</f>
        <v>1359.070864156778</v>
      </c>
      <c r="AG221" s="337">
        <f>AG220*'Prg. HR'!AG$38</f>
        <v>1345.3003980159049</v>
      </c>
      <c r="AH221" s="337">
        <f>AH220*'Prg. HR'!AH$38</f>
        <v>1332.2158909596039</v>
      </c>
      <c r="AI221" s="337">
        <f>AI220*'Prg. HR'!AI$38</f>
        <v>1487.7851727927186</v>
      </c>
      <c r="AJ221" s="337">
        <f>AJ220*'Prg. HR'!AJ$38</f>
        <v>1517.9759332483566</v>
      </c>
      <c r="AK221" s="337">
        <f>AK220*'Prg. HR'!AK$38</f>
        <v>1517.257141359757</v>
      </c>
      <c r="AL221" s="337">
        <f>AL220*'Prg. HR'!AL$38</f>
        <v>1694.0242854852238</v>
      </c>
      <c r="AM221" s="406">
        <f>AM220*'Prg. HR'!AM$38</f>
        <v>1684.5555715093265</v>
      </c>
      <c r="AN221" s="337">
        <f>AN220*'Prg. HR'!AN$38</f>
        <v>1866.4524805173307</v>
      </c>
      <c r="AO221" s="337">
        <f>AO220*'Prg. HR'!AO$38</f>
        <v>1826.2339710887095</v>
      </c>
      <c r="AP221" s="337">
        <f>AP220*'Prg. HR'!AP$38</f>
        <v>1812.3729583004815</v>
      </c>
      <c r="AQ221" s="337">
        <f>AQ220*'Prg. HR'!AQ$38</f>
        <v>1803.2627580131584</v>
      </c>
      <c r="AR221" s="337">
        <f>AR220*'Prg. HR'!AR$38</f>
        <v>1963.2987506102434</v>
      </c>
      <c r="AS221" s="337">
        <f>AS220*'Prg. HR'!AS$38</f>
        <v>2182.6235957041667</v>
      </c>
      <c r="AT221" s="337">
        <f>AT220*'Prg. HR'!AT$38</f>
        <v>2186.0448615750674</v>
      </c>
      <c r="AU221" s="337">
        <f>AU220*'Prg. HR'!AU$38</f>
        <v>2181.9507299103416</v>
      </c>
      <c r="AV221" s="337">
        <f>AV220*'Prg. HR'!AV$38</f>
        <v>2176.2252212683311</v>
      </c>
      <c r="AW221" s="337">
        <f>AW220*'Prg. HR'!AW$38</f>
        <v>2170.326967168291</v>
      </c>
      <c r="AX221" s="337">
        <f>AX220*'Prg. HR'!AX$38</f>
        <v>2542.6088705507209</v>
      </c>
      <c r="AY221" s="406">
        <f>AY220*'Prg. HR'!AY$38</f>
        <v>2908.6135181803943</v>
      </c>
      <c r="AZ221" s="337">
        <f>AZ220*'Prg. HR'!AZ$38</f>
        <v>2965.6412059904442</v>
      </c>
      <c r="BA221" s="337">
        <f>BA220*'Prg. HR'!BA$38</f>
        <v>2981.4452669306124</v>
      </c>
      <c r="BB221" s="337">
        <f>BB220*'Prg. HR'!BB$38</f>
        <v>2983.6683773306449</v>
      </c>
      <c r="BC221" s="337">
        <f>BC220*'Prg. HR'!BC$38</f>
        <v>2981.5167497129669</v>
      </c>
      <c r="BD221" s="337">
        <f>BD220*'Prg. HR'!BD$38</f>
        <v>3162.851509310271</v>
      </c>
      <c r="BE221" s="337">
        <f>BE220*'Prg. HR'!BE$38</f>
        <v>3747.0537906614632</v>
      </c>
      <c r="BF221" s="337">
        <f>BF220*'Prg. HR'!BF$38</f>
        <v>3830.8264581353515</v>
      </c>
      <c r="BG221" s="337">
        <f>BG220*'Prg. HR'!BG$38</f>
        <v>3863.6940339814851</v>
      </c>
      <c r="BH221" s="337">
        <f>BH220*'Prg. HR'!BH$38</f>
        <v>4060.2530400961191</v>
      </c>
      <c r="BI221" s="337">
        <f>BI220*'Prg. HR'!BI$38</f>
        <v>4302.4084103695695</v>
      </c>
      <c r="BJ221" s="337">
        <f>BJ220*'Prg. HR'!BJ$38</f>
        <v>4422.0120009902203</v>
      </c>
      <c r="BK221" s="406">
        <f>BK220*'Prg. HR'!BK$38</f>
        <v>4858.4134065102735</v>
      </c>
    </row>
    <row r="222" spans="1:63" s="54" customFormat="1" hidden="1" outlineLevel="1">
      <c r="A222" s="857"/>
      <c r="B222" s="192" t="s">
        <v>386</v>
      </c>
      <c r="C222" s="1207">
        <f t="shared" ref="C222:AH222" si="614">(C219+C221)/C210</f>
        <v>911.27272727272725</v>
      </c>
      <c r="D222" s="368">
        <f t="shared" si="614"/>
        <v>911.27272727272737</v>
      </c>
      <c r="E222" s="1208">
        <f t="shared" si="614"/>
        <v>886.13585454545444</v>
      </c>
      <c r="F222" s="1208">
        <f t="shared" si="614"/>
        <v>861.97544587636355</v>
      </c>
      <c r="G222" s="1208">
        <f t="shared" si="614"/>
        <v>927.92602612977998</v>
      </c>
      <c r="H222" s="1208">
        <f t="shared" si="614"/>
        <v>902.01314752478527</v>
      </c>
      <c r="I222" s="1208">
        <f t="shared" si="614"/>
        <v>877.0860476724697</v>
      </c>
      <c r="J222" s="1208">
        <f t="shared" si="614"/>
        <v>853.09911516170087</v>
      </c>
      <c r="K222" s="1208">
        <f t="shared" si="614"/>
        <v>887.39230425374672</v>
      </c>
      <c r="L222" s="1208">
        <f t="shared" si="614"/>
        <v>867.45329699406136</v>
      </c>
      <c r="M222" s="1208">
        <f t="shared" si="614"/>
        <v>844.01574815596007</v>
      </c>
      <c r="N222" s="1208">
        <f t="shared" si="614"/>
        <v>821.10070765216881</v>
      </c>
      <c r="O222" s="1209">
        <f t="shared" si="614"/>
        <v>798.994065745954</v>
      </c>
      <c r="P222" s="1208">
        <f t="shared" si="614"/>
        <v>782.75783211819555</v>
      </c>
      <c r="Q222" s="1208">
        <f t="shared" si="614"/>
        <v>775.1313106670018</v>
      </c>
      <c r="R222" s="1208">
        <f t="shared" si="614"/>
        <v>764.16174452135772</v>
      </c>
      <c r="S222" s="1208">
        <f t="shared" si="614"/>
        <v>753.19062987338589</v>
      </c>
      <c r="T222" s="1208">
        <f t="shared" si="614"/>
        <v>742.48057124582158</v>
      </c>
      <c r="U222" s="1208">
        <f t="shared" si="614"/>
        <v>845.51671452055507</v>
      </c>
      <c r="V222" s="1208">
        <f t="shared" si="614"/>
        <v>832.57898617046214</v>
      </c>
      <c r="W222" s="1208">
        <f t="shared" si="614"/>
        <v>819.96632702044838</v>
      </c>
      <c r="X222" s="1208">
        <f t="shared" si="614"/>
        <v>807.66856166283071</v>
      </c>
      <c r="Y222" s="1208">
        <f t="shared" si="614"/>
        <v>795.67585186332781</v>
      </c>
      <c r="Z222" s="1208">
        <f t="shared" si="614"/>
        <v>783.97869416036281</v>
      </c>
      <c r="AA222" s="1209">
        <f t="shared" si="614"/>
        <v>812.10205275608769</v>
      </c>
      <c r="AB222" s="1208">
        <f t="shared" si="614"/>
        <v>854.06067673439304</v>
      </c>
      <c r="AC222" s="1208">
        <f t="shared" si="614"/>
        <v>843.11083573405688</v>
      </c>
      <c r="AD222" s="1208">
        <f t="shared" si="614"/>
        <v>831.68008095345249</v>
      </c>
      <c r="AE222" s="1208">
        <f t="shared" si="614"/>
        <v>820.50283910516487</v>
      </c>
      <c r="AF222" s="1208">
        <f t="shared" si="614"/>
        <v>809.68144212669722</v>
      </c>
      <c r="AG222" s="1208">
        <f t="shared" si="614"/>
        <v>799.21556033221827</v>
      </c>
      <c r="AH222" s="1208">
        <f t="shared" si="614"/>
        <v>789.08906539163195</v>
      </c>
      <c r="AI222" s="1208">
        <f t="shared" ref="AI222:BK222" si="615">(AI219+AI221)/AI210</f>
        <v>817.88861359448958</v>
      </c>
      <c r="AJ222" s="1208">
        <f t="shared" si="615"/>
        <v>817.32632797390465</v>
      </c>
      <c r="AK222" s="1208">
        <f t="shared" si="615"/>
        <v>809.75397444565272</v>
      </c>
      <c r="AL222" s="1208">
        <f t="shared" si="615"/>
        <v>841.27547830045467</v>
      </c>
      <c r="AM222" s="1209">
        <f t="shared" si="615"/>
        <v>831.41365471458721</v>
      </c>
      <c r="AN222" s="1208">
        <f t="shared" si="615"/>
        <v>858.81475461508069</v>
      </c>
      <c r="AO222" s="1208">
        <f t="shared" si="615"/>
        <v>838.58047992501406</v>
      </c>
      <c r="AP222" s="1208">
        <f t="shared" si="615"/>
        <v>824.22037834555715</v>
      </c>
      <c r="AQ222" s="1208">
        <f t="shared" si="615"/>
        <v>811.07952329939587</v>
      </c>
      <c r="AR222" s="1208">
        <f t="shared" si="615"/>
        <v>831.87464284591022</v>
      </c>
      <c r="AS222" s="1208">
        <f t="shared" si="615"/>
        <v>863.40500604461567</v>
      </c>
      <c r="AT222" s="1208">
        <f t="shared" si="615"/>
        <v>852.0522976861389</v>
      </c>
      <c r="AU222" s="1208">
        <f t="shared" si="615"/>
        <v>839.42474309632519</v>
      </c>
      <c r="AV222" s="1208">
        <f t="shared" si="615"/>
        <v>826.6882580352941</v>
      </c>
      <c r="AW222" s="1208">
        <f t="shared" si="615"/>
        <v>814.12236222463491</v>
      </c>
      <c r="AX222" s="1208">
        <f t="shared" si="615"/>
        <v>870.02138266372913</v>
      </c>
      <c r="AY222" s="1209">
        <f t="shared" si="615"/>
        <v>922.76438914777498</v>
      </c>
      <c r="AZ222" s="1208">
        <f t="shared" si="615"/>
        <v>910.13623854236084</v>
      </c>
      <c r="BA222" s="1208">
        <f t="shared" si="615"/>
        <v>890.60859258517621</v>
      </c>
      <c r="BB222" s="1208">
        <f t="shared" si="615"/>
        <v>869.25296189909579</v>
      </c>
      <c r="BC222" s="1208">
        <f t="shared" si="615"/>
        <v>847.70557789888585</v>
      </c>
      <c r="BD222" s="1208">
        <f t="shared" si="615"/>
        <v>855.48636304110414</v>
      </c>
      <c r="BE222" s="1208">
        <f t="shared" si="615"/>
        <v>924.06258987759736</v>
      </c>
      <c r="BF222" s="1208">
        <f t="shared" si="615"/>
        <v>914.03730688728649</v>
      </c>
      <c r="BG222" s="1208">
        <f t="shared" si="615"/>
        <v>896.53328896839514</v>
      </c>
      <c r="BH222" s="1208">
        <f t="shared" si="615"/>
        <v>902.61125445777543</v>
      </c>
      <c r="BI222" s="1208">
        <f t="shared" si="615"/>
        <v>914.18369058843075</v>
      </c>
      <c r="BJ222" s="1208">
        <f t="shared" si="615"/>
        <v>908.07112552488582</v>
      </c>
      <c r="BK222" s="1209">
        <f t="shared" si="615"/>
        <v>943.53598126238012</v>
      </c>
    </row>
    <row r="223" spans="1:63" s="54" customFormat="1" hidden="1" outlineLevel="1">
      <c r="A223" s="857"/>
      <c r="B223" s="192" t="s">
        <v>390</v>
      </c>
      <c r="C223" s="1207">
        <f t="shared" ref="C223:AH223" si="616">(C219+C221)/C212</f>
        <v>2004.8</v>
      </c>
      <c r="D223" s="368">
        <f t="shared" si="616"/>
        <v>2004.8000000000002</v>
      </c>
      <c r="E223" s="1208">
        <f t="shared" si="616"/>
        <v>1945.4458677754676</v>
      </c>
      <c r="F223" s="1208">
        <f t="shared" si="616"/>
        <v>1888.4691629350282</v>
      </c>
      <c r="G223" s="1208">
        <f t="shared" si="616"/>
        <v>2028.7312530382169</v>
      </c>
      <c r="H223" s="1208">
        <f t="shared" si="616"/>
        <v>1967.9777890077157</v>
      </c>
      <c r="I223" s="1208">
        <f t="shared" si="616"/>
        <v>1909.6144324519078</v>
      </c>
      <c r="J223" s="1208">
        <f t="shared" si="616"/>
        <v>1853.527945914223</v>
      </c>
      <c r="K223" s="1208">
        <f t="shared" si="616"/>
        <v>1924.0283453050549</v>
      </c>
      <c r="L223" s="1208">
        <f t="shared" si="616"/>
        <v>1876.8867606290287</v>
      </c>
      <c r="M223" s="1208">
        <f t="shared" si="616"/>
        <v>1822.3789062272804</v>
      </c>
      <c r="N223" s="1208">
        <f t="shared" si="616"/>
        <v>1769.2154255107228</v>
      </c>
      <c r="O223" s="1209">
        <f t="shared" si="616"/>
        <v>1718.0033470370729</v>
      </c>
      <c r="P223" s="1208">
        <f t="shared" si="616"/>
        <v>1680.2915833574812</v>
      </c>
      <c r="Q223" s="1208">
        <f t="shared" si="616"/>
        <v>1661.1516761413238</v>
      </c>
      <c r="R223" s="1208">
        <f t="shared" si="616"/>
        <v>1634.9183911458397</v>
      </c>
      <c r="S223" s="1208">
        <f t="shared" si="616"/>
        <v>1608.76449847139</v>
      </c>
      <c r="T223" s="1208">
        <f t="shared" si="616"/>
        <v>1583.2497843495853</v>
      </c>
      <c r="U223" s="1208">
        <f t="shared" si="616"/>
        <v>1799.9619290832038</v>
      </c>
      <c r="V223" s="1208">
        <f t="shared" si="616"/>
        <v>1769.4705783080824</v>
      </c>
      <c r="W223" s="1208">
        <f t="shared" si="616"/>
        <v>1739.765429303412</v>
      </c>
      <c r="X223" s="1208">
        <f t="shared" si="616"/>
        <v>1710.8212487876456</v>
      </c>
      <c r="Y223" s="1208">
        <f t="shared" si="616"/>
        <v>1682.6136719291819</v>
      </c>
      <c r="Z223" s="1208">
        <f t="shared" si="616"/>
        <v>1655.1191907165492</v>
      </c>
      <c r="AA223" s="1209">
        <f t="shared" si="616"/>
        <v>1711.6398957204585</v>
      </c>
      <c r="AB223" s="1208">
        <f t="shared" si="616"/>
        <v>1797.827377212275</v>
      </c>
      <c r="AC223" s="1208">
        <f t="shared" si="616"/>
        <v>1772.5618793827098</v>
      </c>
      <c r="AD223" s="1208">
        <f t="shared" si="616"/>
        <v>1746.3468502543901</v>
      </c>
      <c r="AE223" s="1208">
        <f t="shared" si="616"/>
        <v>1720.7261714786607</v>
      </c>
      <c r="AF223" s="1208">
        <f t="shared" si="616"/>
        <v>1695.9120747288571</v>
      </c>
      <c r="AG223" s="1208">
        <f t="shared" si="616"/>
        <v>1671.9009658188531</v>
      </c>
      <c r="AH223" s="1208">
        <f t="shared" si="616"/>
        <v>1648.6562528062514</v>
      </c>
      <c r="AI223" s="1208">
        <f t="shared" ref="AI223:BK223" si="617">(AI219+AI221)/AI212</f>
        <v>1706.6942361361548</v>
      </c>
      <c r="AJ223" s="1208">
        <f t="shared" si="617"/>
        <v>1703.3916709725827</v>
      </c>
      <c r="AK223" s="1208">
        <f t="shared" si="617"/>
        <v>1685.503232610637</v>
      </c>
      <c r="AL223" s="1208">
        <f t="shared" si="617"/>
        <v>1748.9290945491462</v>
      </c>
      <c r="AM223" s="1209">
        <f t="shared" si="617"/>
        <v>1726.2694950122495</v>
      </c>
      <c r="AN223" s="1208">
        <f t="shared" si="617"/>
        <v>1781.0846421085803</v>
      </c>
      <c r="AO223" s="1208">
        <f t="shared" si="617"/>
        <v>1737.0944353597401</v>
      </c>
      <c r="AP223" s="1208">
        <f t="shared" si="617"/>
        <v>1705.3583288216366</v>
      </c>
      <c r="AQ223" s="1208">
        <f t="shared" si="617"/>
        <v>1676.2135779925256</v>
      </c>
      <c r="AR223" s="1208">
        <f t="shared" si="617"/>
        <v>1717.1863272805629</v>
      </c>
      <c r="AS223" s="1208">
        <f t="shared" si="617"/>
        <v>1780.195571380164</v>
      </c>
      <c r="AT223" s="1208">
        <f t="shared" si="617"/>
        <v>1754.741002725272</v>
      </c>
      <c r="AU223" s="1208">
        <f t="shared" si="617"/>
        <v>1726.7209459258506</v>
      </c>
      <c r="AV223" s="1208">
        <f t="shared" si="617"/>
        <v>1698.5399982246665</v>
      </c>
      <c r="AW223" s="1208">
        <f t="shared" si="617"/>
        <v>1670.7724743216227</v>
      </c>
      <c r="AX223" s="1208">
        <f t="shared" si="617"/>
        <v>1783.4098976635544</v>
      </c>
      <c r="AY223" s="1209">
        <f t="shared" si="617"/>
        <v>1889.3207338287507</v>
      </c>
      <c r="AZ223" s="1208">
        <f t="shared" si="617"/>
        <v>1861.913539398254</v>
      </c>
      <c r="BA223" s="1208">
        <f t="shared" si="617"/>
        <v>1820.4477678957599</v>
      </c>
      <c r="BB223" s="1208">
        <f t="shared" si="617"/>
        <v>1775.3163780800185</v>
      </c>
      <c r="BC223" s="1208">
        <f t="shared" si="617"/>
        <v>1729.8675817557366</v>
      </c>
      <c r="BD223" s="1208">
        <f t="shared" si="617"/>
        <v>1744.2918386706983</v>
      </c>
      <c r="BE223" s="1208">
        <f t="shared" si="617"/>
        <v>1882.5463808939937</v>
      </c>
      <c r="BF223" s="1208">
        <f t="shared" si="617"/>
        <v>1860.5718979543678</v>
      </c>
      <c r="BG223" s="1208">
        <f t="shared" si="617"/>
        <v>1823.4220135450553</v>
      </c>
      <c r="BH223" s="1208">
        <f t="shared" si="617"/>
        <v>1834.2551904330066</v>
      </c>
      <c r="BI223" s="1208">
        <f t="shared" si="617"/>
        <v>1856.2254380134234</v>
      </c>
      <c r="BJ223" s="1208">
        <f t="shared" si="617"/>
        <v>1842.2788064348649</v>
      </c>
      <c r="BK223" s="1209">
        <f t="shared" si="617"/>
        <v>1912.6354221985596</v>
      </c>
    </row>
    <row r="224" spans="1:63" s="54" customFormat="1" hidden="1" outlineLevel="1">
      <c r="A224" s="857"/>
      <c r="B224" s="192" t="s">
        <v>391</v>
      </c>
      <c r="C224" s="1207">
        <f t="shared" ref="C224:AH224" si="618">(C221+C219)/C214</f>
        <v>6682.666666666667</v>
      </c>
      <c r="D224" s="368">
        <f t="shared" si="618"/>
        <v>6682.6666666666679</v>
      </c>
      <c r="E224" s="1208">
        <f t="shared" si="618"/>
        <v>6471.337605905921</v>
      </c>
      <c r="F224" s="1208">
        <f t="shared" si="618"/>
        <v>6268.7502091281649</v>
      </c>
      <c r="G224" s="1208">
        <f t="shared" si="618"/>
        <v>6720.3477712616968</v>
      </c>
      <c r="H224" s="1208">
        <f t="shared" si="618"/>
        <v>6505.5434506547999</v>
      </c>
      <c r="I224" s="1208">
        <f t="shared" si="618"/>
        <v>6299.4877915337438</v>
      </c>
      <c r="J224" s="1208">
        <f t="shared" si="618"/>
        <v>6101.7561791924418</v>
      </c>
      <c r="K224" s="1208">
        <f t="shared" si="618"/>
        <v>6320.6732255849947</v>
      </c>
      <c r="L224" s="1208">
        <f t="shared" si="618"/>
        <v>6152.98851077363</v>
      </c>
      <c r="M224" s="1208">
        <f t="shared" si="618"/>
        <v>5961.8751102728083</v>
      </c>
      <c r="N224" s="1208">
        <f t="shared" si="618"/>
        <v>5775.9187125544095</v>
      </c>
      <c r="O224" s="1209">
        <f t="shared" si="618"/>
        <v>5597.0672089106592</v>
      </c>
      <c r="P224" s="1208">
        <f t="shared" si="618"/>
        <v>5465.0979064269795</v>
      </c>
      <c r="Q224" s="1208">
        <f t="shared" si="618"/>
        <v>5393.8561727956348</v>
      </c>
      <c r="R224" s="1208">
        <f t="shared" si="618"/>
        <v>5299.8420994512417</v>
      </c>
      <c r="S224" s="1208">
        <f t="shared" si="618"/>
        <v>5206.38288613033</v>
      </c>
      <c r="T224" s="1208">
        <f t="shared" si="618"/>
        <v>5115.2851195394787</v>
      </c>
      <c r="U224" s="1208">
        <f t="shared" si="618"/>
        <v>5805.7790785654097</v>
      </c>
      <c r="V224" s="1208">
        <f t="shared" si="618"/>
        <v>5697.9326404548519</v>
      </c>
      <c r="W224" s="1208">
        <f t="shared" si="618"/>
        <v>5592.9564815140093</v>
      </c>
      <c r="X224" s="1208">
        <f t="shared" si="618"/>
        <v>5490.756158834829</v>
      </c>
      <c r="Y224" s="1208">
        <f t="shared" si="618"/>
        <v>5391.2405949339845</v>
      </c>
      <c r="Z224" s="1208">
        <f t="shared" si="618"/>
        <v>5294.3220150399284</v>
      </c>
      <c r="AA224" s="1209">
        <f t="shared" si="618"/>
        <v>5466.0079314953127</v>
      </c>
      <c r="AB224" s="1208">
        <f t="shared" si="618"/>
        <v>5734.0743166154507</v>
      </c>
      <c r="AC224" s="1208">
        <f t="shared" si="618"/>
        <v>5646.4333202069574</v>
      </c>
      <c r="AD224" s="1208">
        <f t="shared" si="618"/>
        <v>5555.9812933247904</v>
      </c>
      <c r="AE224" s="1208">
        <f t="shared" si="618"/>
        <v>5467.6348713939115</v>
      </c>
      <c r="AF224" s="1208">
        <f t="shared" si="618"/>
        <v>5382.0601078219524</v>
      </c>
      <c r="AG224" s="1208">
        <f t="shared" si="618"/>
        <v>5299.235632059781</v>
      </c>
      <c r="AH224" s="1208">
        <f t="shared" si="618"/>
        <v>5219.0356963450404</v>
      </c>
      <c r="AI224" s="1208">
        <f t="shared" ref="AI224:BK224" si="619">(AI221+AI219)/AI214</f>
        <v>5396.0174557915961</v>
      </c>
      <c r="AJ224" s="1208">
        <f t="shared" si="619"/>
        <v>5378.852243182434</v>
      </c>
      <c r="AK224" s="1208">
        <f t="shared" si="619"/>
        <v>5315.7207205599507</v>
      </c>
      <c r="AL224" s="1208">
        <f t="shared" si="619"/>
        <v>5508.8663918869888</v>
      </c>
      <c r="AM224" s="1209">
        <f t="shared" si="619"/>
        <v>5430.7036457351551</v>
      </c>
      <c r="AN224" s="1208">
        <f t="shared" si="619"/>
        <v>5596.6182591446504</v>
      </c>
      <c r="AO224" s="1208">
        <f t="shared" si="619"/>
        <v>5452.0292067050368</v>
      </c>
      <c r="AP224" s="1208">
        <f t="shared" si="619"/>
        <v>5346.1853276444281</v>
      </c>
      <c r="AQ224" s="1208">
        <f t="shared" si="619"/>
        <v>5248.6949880584107</v>
      </c>
      <c r="AR224" s="1208">
        <f t="shared" si="619"/>
        <v>5370.7263139513116</v>
      </c>
      <c r="AS224" s="1208">
        <f t="shared" si="619"/>
        <v>5561.3078278602197</v>
      </c>
      <c r="AT224" s="1208">
        <f t="shared" si="619"/>
        <v>5475.400119408383</v>
      </c>
      <c r="AU224" s="1208">
        <f t="shared" si="619"/>
        <v>5381.6891930877073</v>
      </c>
      <c r="AV224" s="1208">
        <f t="shared" si="619"/>
        <v>5287.6883695125762</v>
      </c>
      <c r="AW224" s="1208">
        <f t="shared" si="619"/>
        <v>5195.184838552238</v>
      </c>
      <c r="AX224" s="1208">
        <f t="shared" si="619"/>
        <v>5538.9632430232768</v>
      </c>
      <c r="AY224" s="1209">
        <f t="shared" si="619"/>
        <v>5861.0661045830648</v>
      </c>
      <c r="AZ224" s="1208">
        <f t="shared" si="619"/>
        <v>5771.2339221218808</v>
      </c>
      <c r="BA224" s="1208">
        <f t="shared" si="619"/>
        <v>5638.0072370325197</v>
      </c>
      <c r="BB224" s="1208">
        <f t="shared" si="619"/>
        <v>5493.6552810040603</v>
      </c>
      <c r="BC224" s="1208">
        <f t="shared" si="619"/>
        <v>5348.5584168133009</v>
      </c>
      <c r="BD224" s="1208">
        <f t="shared" si="619"/>
        <v>5388.6660619606064</v>
      </c>
      <c r="BE224" s="1208">
        <f t="shared" si="619"/>
        <v>5810.9353772016366</v>
      </c>
      <c r="BF224" s="1208">
        <f t="shared" si="619"/>
        <v>5738.3238765933111</v>
      </c>
      <c r="BG224" s="1208">
        <f t="shared" si="619"/>
        <v>5619.0646868945505</v>
      </c>
      <c r="BH224" s="1208">
        <f t="shared" si="619"/>
        <v>5647.7417973181537</v>
      </c>
      <c r="BI224" s="1208">
        <f t="shared" si="619"/>
        <v>5710.6301703755798</v>
      </c>
      <c r="BJ224" s="1208">
        <f t="shared" si="619"/>
        <v>5663.0045439301566</v>
      </c>
      <c r="BK224" s="1209">
        <f t="shared" si="619"/>
        <v>5874.3793349120979</v>
      </c>
    </row>
    <row r="225" spans="1:63" s="1216" customFormat="1" hidden="1" outlineLevel="1">
      <c r="A225" s="1210"/>
      <c r="B225" s="1211" t="s">
        <v>392</v>
      </c>
      <c r="C225" s="1212">
        <f t="shared" ref="C225:AH225" si="620">(C221+C219)/C217</f>
        <v>1.4654970760233919</v>
      </c>
      <c r="D225" s="1213">
        <f t="shared" si="620"/>
        <v>1.4654970760233921</v>
      </c>
      <c r="E225" s="1214">
        <f t="shared" si="620"/>
        <v>1.4156139488791009</v>
      </c>
      <c r="F225" s="1214">
        <f t="shared" si="620"/>
        <v>1.3678779838975352</v>
      </c>
      <c r="G225" s="1214">
        <f t="shared" si="620"/>
        <v>1.4627623091860273</v>
      </c>
      <c r="H225" s="1214">
        <f t="shared" si="620"/>
        <v>1.4124764448443956</v>
      </c>
      <c r="I225" s="1214">
        <f t="shared" si="620"/>
        <v>1.3643270489551784</v>
      </c>
      <c r="J225" s="1214">
        <f t="shared" si="620"/>
        <v>1.318207320800225</v>
      </c>
      <c r="K225" s="1214">
        <f t="shared" si="620"/>
        <v>1.3620963415863268</v>
      </c>
      <c r="L225" s="1214">
        <f t="shared" si="620"/>
        <v>1.3226538826671412</v>
      </c>
      <c r="M225" s="1214">
        <f t="shared" si="620"/>
        <v>1.2783759740659322</v>
      </c>
      <c r="N225" s="1214">
        <f t="shared" si="620"/>
        <v>1.2354137110251764</v>
      </c>
      <c r="O225" s="1215">
        <f t="shared" si="620"/>
        <v>1.1941736526795503</v>
      </c>
      <c r="P225" s="1214">
        <f t="shared" si="620"/>
        <v>1.1635929219459802</v>
      </c>
      <c r="Q225" s="1214">
        <f t="shared" si="620"/>
        <v>1.1460370205884338</v>
      </c>
      <c r="R225" s="1214">
        <f t="shared" si="620"/>
        <v>1.1237206889727065</v>
      </c>
      <c r="S225" s="1214">
        <f t="shared" si="620"/>
        <v>1.1016095971762432</v>
      </c>
      <c r="T225" s="1214">
        <f t="shared" si="620"/>
        <v>1.0800842020581078</v>
      </c>
      <c r="U225" s="1214">
        <f t="shared" si="620"/>
        <v>1.223332278828454</v>
      </c>
      <c r="V225" s="1214">
        <f t="shared" si="620"/>
        <v>1.1981119530152229</v>
      </c>
      <c r="W225" s="1214">
        <f t="shared" si="620"/>
        <v>1.1735934885764614</v>
      </c>
      <c r="X225" s="1214">
        <f t="shared" si="620"/>
        <v>1.1497530478804854</v>
      </c>
      <c r="Y225" s="1214">
        <f t="shared" si="620"/>
        <v>1.1265676774594142</v>
      </c>
      <c r="Z225" s="1214">
        <f t="shared" si="620"/>
        <v>1.1040152867104205</v>
      </c>
      <c r="AA225" s="1215">
        <f t="shared" si="620"/>
        <v>1.1374469557050313</v>
      </c>
      <c r="AB225" s="1214">
        <f t="shared" si="620"/>
        <v>1.1907494058292274</v>
      </c>
      <c r="AC225" s="1214">
        <f t="shared" si="620"/>
        <v>1.1701119669736328</v>
      </c>
      <c r="AD225" s="1214">
        <f t="shared" si="620"/>
        <v>1.1489738724041776</v>
      </c>
      <c r="AE225" s="1214">
        <f t="shared" si="620"/>
        <v>1.1283531452720152</v>
      </c>
      <c r="AF225" s="1214">
        <f t="shared" si="620"/>
        <v>1.1083839896829906</v>
      </c>
      <c r="AG225" s="1214">
        <f t="shared" si="620"/>
        <v>1.0890582069293535</v>
      </c>
      <c r="AH225" s="1214">
        <f t="shared" si="620"/>
        <v>1.0703462440991292</v>
      </c>
      <c r="AI225" s="1214">
        <f t="shared" ref="AI225:BK225" si="621">(AI221+AI219)/AI217</f>
        <v>1.1043418465101829</v>
      </c>
      <c r="AJ225" s="1214">
        <f t="shared" si="621"/>
        <v>1.0985402111987668</v>
      </c>
      <c r="AK225" s="1214">
        <f t="shared" si="621"/>
        <v>1.0833895965915616</v>
      </c>
      <c r="AL225" s="1214">
        <f t="shared" si="621"/>
        <v>1.120420136789543</v>
      </c>
      <c r="AM225" s="1215">
        <f t="shared" si="621"/>
        <v>1.1022267103008967</v>
      </c>
      <c r="AN225" s="1214">
        <f t="shared" si="621"/>
        <v>1.133822404898005</v>
      </c>
      <c r="AO225" s="1214">
        <f t="shared" si="621"/>
        <v>1.1025087519919001</v>
      </c>
      <c r="AP225" s="1214">
        <f t="shared" si="621"/>
        <v>1.0791266155085324</v>
      </c>
      <c r="AQ225" s="1214">
        <f t="shared" si="621"/>
        <v>1.057509439439501</v>
      </c>
      <c r="AR225" s="1214">
        <f t="shared" si="621"/>
        <v>1.0801161532104315</v>
      </c>
      <c r="AS225" s="1214">
        <f t="shared" si="621"/>
        <v>1.1163976055301867</v>
      </c>
      <c r="AT225" s="1214">
        <f t="shared" si="621"/>
        <v>1.0971407480996473</v>
      </c>
      <c r="AU225" s="1214">
        <f t="shared" si="621"/>
        <v>1.0763899122405125</v>
      </c>
      <c r="AV225" s="1214">
        <f t="shared" si="621"/>
        <v>1.0556534732655727</v>
      </c>
      <c r="AW225" s="1214">
        <f t="shared" si="621"/>
        <v>1.0352877020788585</v>
      </c>
      <c r="AX225" s="1214">
        <f t="shared" si="621"/>
        <v>1.1017753631681237</v>
      </c>
      <c r="AY225" s="1215">
        <f t="shared" si="621"/>
        <v>1.1637125441362501</v>
      </c>
      <c r="AZ225" s="1214">
        <f t="shared" si="621"/>
        <v>1.1439697806680758</v>
      </c>
      <c r="BA225" s="1214">
        <f t="shared" si="621"/>
        <v>1.1157021806408709</v>
      </c>
      <c r="BB225" s="1214">
        <f t="shared" si="621"/>
        <v>1.0853275714173232</v>
      </c>
      <c r="BC225" s="1214">
        <f t="shared" si="621"/>
        <v>1.0549040342250089</v>
      </c>
      <c r="BD225" s="1214">
        <f t="shared" si="621"/>
        <v>1.0610461138106919</v>
      </c>
      <c r="BE225" s="1214">
        <f t="shared" si="621"/>
        <v>1.14228851998626</v>
      </c>
      <c r="BF225" s="1214">
        <f t="shared" si="621"/>
        <v>1.1261379689285362</v>
      </c>
      <c r="BG225" s="1214">
        <f t="shared" si="621"/>
        <v>1.1008986899726214</v>
      </c>
      <c r="BH225" s="1214">
        <f t="shared" si="621"/>
        <v>1.1046760415878836</v>
      </c>
      <c r="BI225" s="1214">
        <f t="shared" si="621"/>
        <v>1.1151182291750026</v>
      </c>
      <c r="BJ225" s="1214">
        <f t="shared" si="621"/>
        <v>1.1039783801445033</v>
      </c>
      <c r="BK225" s="1215">
        <f t="shared" si="621"/>
        <v>1.143279520688782</v>
      </c>
    </row>
    <row r="226" spans="1:63" s="339" customFormat="1" hidden="1" outlineLevel="1">
      <c r="A226" s="854"/>
      <c r="B226" s="373"/>
      <c r="C226" s="356"/>
      <c r="M226" s="341"/>
      <c r="N226" s="342"/>
      <c r="O226" s="407"/>
      <c r="Y226" s="341"/>
      <c r="Z226" s="342"/>
      <c r="AA226" s="407"/>
      <c r="AK226" s="341"/>
      <c r="AL226" s="342"/>
      <c r="AM226" s="407"/>
      <c r="AW226" s="341"/>
      <c r="AX226" s="342"/>
      <c r="AY226" s="407"/>
      <c r="BI226" s="341"/>
      <c r="BJ226" s="342"/>
      <c r="BK226" s="407"/>
    </row>
    <row r="227" spans="1:63" s="395" customFormat="1" collapsed="1">
      <c r="A227" s="855" t="s">
        <v>31</v>
      </c>
      <c r="B227" s="394"/>
      <c r="C227" s="863"/>
      <c r="D227" s="864" t="s">
        <v>389</v>
      </c>
      <c r="E227" s="865">
        <v>0.6</v>
      </c>
      <c r="F227" s="864" t="s">
        <v>355</v>
      </c>
      <c r="G227" s="865">
        <v>0.03</v>
      </c>
      <c r="H227" s="864" t="s">
        <v>356</v>
      </c>
      <c r="I227" s="865">
        <v>0.3</v>
      </c>
      <c r="J227" s="866" t="s">
        <v>354</v>
      </c>
      <c r="K227" s="865">
        <v>0.05</v>
      </c>
      <c r="L227" s="864" t="s">
        <v>357</v>
      </c>
      <c r="M227" s="865">
        <f>C238</f>
        <v>0.04</v>
      </c>
      <c r="O227" s="867"/>
      <c r="P227" s="864" t="s">
        <v>389</v>
      </c>
      <c r="Q227" s="865">
        <v>0.2</v>
      </c>
      <c r="R227" s="864" t="s">
        <v>355</v>
      </c>
      <c r="S227" s="865">
        <v>2.5000000000000001E-2</v>
      </c>
      <c r="T227" s="864" t="s">
        <v>356</v>
      </c>
      <c r="U227" s="865">
        <f>I227*0.75</f>
        <v>0.22499999999999998</v>
      </c>
      <c r="V227" s="866" t="s">
        <v>354</v>
      </c>
      <c r="W227" s="865">
        <v>0.04</v>
      </c>
      <c r="X227" s="864" t="s">
        <v>357</v>
      </c>
      <c r="Y227" s="865">
        <f>O238</f>
        <v>0.04</v>
      </c>
      <c r="AA227" s="867"/>
      <c r="AB227" s="864" t="s">
        <v>389</v>
      </c>
      <c r="AC227" s="865">
        <f>Q227*0.6</f>
        <v>0.12</v>
      </c>
      <c r="AD227" s="864" t="s">
        <v>355</v>
      </c>
      <c r="AE227" s="865">
        <v>2.5000000000000001E-2</v>
      </c>
      <c r="AF227" s="864" t="s">
        <v>356</v>
      </c>
      <c r="AG227" s="865">
        <v>0.12</v>
      </c>
      <c r="AH227" s="866" t="s">
        <v>354</v>
      </c>
      <c r="AI227" s="865">
        <v>0.03</v>
      </c>
      <c r="AJ227" s="864" t="s">
        <v>357</v>
      </c>
      <c r="AK227" s="865">
        <f>AA238</f>
        <v>0.04</v>
      </c>
      <c r="AM227" s="867"/>
      <c r="AN227" s="864" t="s">
        <v>389</v>
      </c>
      <c r="AO227" s="865">
        <f>AC227*0.5</f>
        <v>0.06</v>
      </c>
      <c r="AP227" s="864" t="s">
        <v>355</v>
      </c>
      <c r="AQ227" s="865">
        <v>2.1999999999999999E-2</v>
      </c>
      <c r="AR227" s="864" t="s">
        <v>356</v>
      </c>
      <c r="AS227" s="865">
        <v>0.06</v>
      </c>
      <c r="AT227" s="866" t="s">
        <v>354</v>
      </c>
      <c r="AU227" s="865">
        <v>2.8000000000000001E-2</v>
      </c>
      <c r="AV227" s="864" t="s">
        <v>357</v>
      </c>
      <c r="AW227" s="865">
        <f>AM238</f>
        <v>0.04</v>
      </c>
      <c r="AY227" s="867"/>
      <c r="AZ227" s="864" t="s">
        <v>389</v>
      </c>
      <c r="BA227" s="865">
        <v>0.5</v>
      </c>
      <c r="BB227" s="864" t="s">
        <v>355</v>
      </c>
      <c r="BC227" s="865">
        <v>0.02</v>
      </c>
      <c r="BD227" s="864" t="s">
        <v>356</v>
      </c>
      <c r="BE227" s="865">
        <v>0.03</v>
      </c>
      <c r="BF227" s="866" t="s">
        <v>354</v>
      </c>
      <c r="BG227" s="865">
        <v>0.02</v>
      </c>
      <c r="BH227" s="864" t="s">
        <v>357</v>
      </c>
      <c r="BI227" s="865">
        <f>AY238</f>
        <v>0.04</v>
      </c>
      <c r="BK227" s="867"/>
    </row>
    <row r="228" spans="1:63" s="338" customFormat="1" hidden="1" outlineLevel="1">
      <c r="A228" s="379"/>
      <c r="B228" s="388" t="s">
        <v>226</v>
      </c>
      <c r="C228" s="389">
        <v>12</v>
      </c>
      <c r="D228" s="380">
        <f>C228/12</f>
        <v>1</v>
      </c>
      <c r="E228" s="381">
        <f t="shared" ref="E228:O228" si="622">D228*(1+($E227/12))</f>
        <v>1.05</v>
      </c>
      <c r="F228" s="381">
        <f t="shared" si="622"/>
        <v>1.1025</v>
      </c>
      <c r="G228" s="381">
        <f t="shared" si="622"/>
        <v>1.1576250000000001</v>
      </c>
      <c r="H228" s="381">
        <f t="shared" si="622"/>
        <v>1.2155062500000002</v>
      </c>
      <c r="I228" s="381">
        <f t="shared" si="622"/>
        <v>1.2762815625000004</v>
      </c>
      <c r="J228" s="381">
        <f t="shared" si="622"/>
        <v>1.3400956406250004</v>
      </c>
      <c r="K228" s="381">
        <f t="shared" si="622"/>
        <v>1.4071004226562505</v>
      </c>
      <c r="L228" s="381">
        <f t="shared" si="622"/>
        <v>1.477455443789063</v>
      </c>
      <c r="M228" s="381">
        <f t="shared" si="622"/>
        <v>1.5513282159785162</v>
      </c>
      <c r="N228" s="381">
        <f t="shared" si="622"/>
        <v>1.628894626777442</v>
      </c>
      <c r="O228" s="399">
        <f t="shared" si="622"/>
        <v>1.7103393581163142</v>
      </c>
      <c r="P228" s="381">
        <f t="shared" ref="P228:AA228" si="623">O228*(1+($Q227/12))</f>
        <v>1.7388450140849194</v>
      </c>
      <c r="Q228" s="381">
        <f t="shared" si="623"/>
        <v>1.767825764319668</v>
      </c>
      <c r="R228" s="381">
        <f t="shared" si="623"/>
        <v>1.7972895270583291</v>
      </c>
      <c r="S228" s="381">
        <f t="shared" si="623"/>
        <v>1.8272443525093012</v>
      </c>
      <c r="T228" s="381">
        <f t="shared" si="623"/>
        <v>1.8576984250511228</v>
      </c>
      <c r="U228" s="381">
        <f t="shared" si="623"/>
        <v>1.8886600654686414</v>
      </c>
      <c r="V228" s="381">
        <f t="shared" si="623"/>
        <v>1.920137733226452</v>
      </c>
      <c r="W228" s="381">
        <f t="shared" si="623"/>
        <v>1.952140028780226</v>
      </c>
      <c r="X228" s="381">
        <f t="shared" si="623"/>
        <v>1.984675695926563</v>
      </c>
      <c r="Y228" s="381">
        <f t="shared" si="623"/>
        <v>2.0177536241920055</v>
      </c>
      <c r="Z228" s="381">
        <f t="shared" si="623"/>
        <v>2.0513828512618724</v>
      </c>
      <c r="AA228" s="399">
        <f t="shared" si="623"/>
        <v>2.0855725654495703</v>
      </c>
      <c r="AB228" s="381">
        <f t="shared" ref="AB228:AM228" si="624">AA228*(1+($AC227/12))</f>
        <v>2.1064282911040659</v>
      </c>
      <c r="AC228" s="381">
        <f t="shared" si="624"/>
        <v>2.1274925740151067</v>
      </c>
      <c r="AD228" s="381">
        <f t="shared" si="624"/>
        <v>2.1487674997552579</v>
      </c>
      <c r="AE228" s="381">
        <f t="shared" si="624"/>
        <v>2.1702551747528105</v>
      </c>
      <c r="AF228" s="381">
        <f t="shared" si="624"/>
        <v>2.1919577265003385</v>
      </c>
      <c r="AG228" s="381">
        <f t="shared" si="624"/>
        <v>2.2138773037653419</v>
      </c>
      <c r="AH228" s="381">
        <f t="shared" si="624"/>
        <v>2.2360160768029953</v>
      </c>
      <c r="AI228" s="381">
        <f t="shared" si="624"/>
        <v>2.2583762375710252</v>
      </c>
      <c r="AJ228" s="381">
        <f t="shared" si="624"/>
        <v>2.2809599999467354</v>
      </c>
      <c r="AK228" s="381">
        <f t="shared" si="624"/>
        <v>2.3037695999462029</v>
      </c>
      <c r="AL228" s="381">
        <f t="shared" si="624"/>
        <v>2.3268072959456649</v>
      </c>
      <c r="AM228" s="399">
        <f t="shared" si="624"/>
        <v>2.3500753689051215</v>
      </c>
      <c r="AN228" s="381">
        <f t="shared" ref="AN228:AY228" si="625">AM228*(1+($AO227/12))</f>
        <v>2.361825745749647</v>
      </c>
      <c r="AO228" s="381">
        <f t="shared" si="625"/>
        <v>2.3736348744783951</v>
      </c>
      <c r="AP228" s="381">
        <f t="shared" si="625"/>
        <v>2.3855030488507869</v>
      </c>
      <c r="AQ228" s="381">
        <f t="shared" si="625"/>
        <v>2.3974305640950404</v>
      </c>
      <c r="AR228" s="381">
        <f t="shared" si="625"/>
        <v>2.4094177169155153</v>
      </c>
      <c r="AS228" s="381">
        <f t="shared" si="625"/>
        <v>2.4214648055000927</v>
      </c>
      <c r="AT228" s="381">
        <f t="shared" si="625"/>
        <v>2.4335721295275929</v>
      </c>
      <c r="AU228" s="381">
        <f t="shared" si="625"/>
        <v>2.4457399901752308</v>
      </c>
      <c r="AV228" s="381">
        <f t="shared" si="625"/>
        <v>2.4579686901261066</v>
      </c>
      <c r="AW228" s="381">
        <f t="shared" si="625"/>
        <v>2.4702585335767369</v>
      </c>
      <c r="AX228" s="381">
        <f t="shared" si="625"/>
        <v>2.4826098262446203</v>
      </c>
      <c r="AY228" s="399">
        <f t="shared" si="625"/>
        <v>2.495022875375843</v>
      </c>
      <c r="AZ228" s="381">
        <f t="shared" ref="AZ228:BK228" si="626">AY228*(1+($BA227/12))</f>
        <v>2.5989821618498365</v>
      </c>
      <c r="BA228" s="381">
        <f t="shared" si="626"/>
        <v>2.7072730852602467</v>
      </c>
      <c r="BB228" s="381">
        <f t="shared" si="626"/>
        <v>2.820076130479424</v>
      </c>
      <c r="BC228" s="381">
        <f t="shared" si="626"/>
        <v>2.9375793025827335</v>
      </c>
      <c r="BD228" s="381">
        <f t="shared" si="626"/>
        <v>3.0599784401903474</v>
      </c>
      <c r="BE228" s="381">
        <f t="shared" si="626"/>
        <v>3.1874775418649453</v>
      </c>
      <c r="BF228" s="381">
        <f t="shared" si="626"/>
        <v>3.320289106109318</v>
      </c>
      <c r="BG228" s="381">
        <f t="shared" si="626"/>
        <v>3.4586344855305398</v>
      </c>
      <c r="BH228" s="381">
        <f t="shared" si="626"/>
        <v>3.602744255760979</v>
      </c>
      <c r="BI228" s="381">
        <f t="shared" si="626"/>
        <v>3.7528585997510202</v>
      </c>
      <c r="BJ228" s="381">
        <f t="shared" si="626"/>
        <v>3.9092277080739795</v>
      </c>
      <c r="BK228" s="399">
        <f t="shared" si="626"/>
        <v>4.0721121959103952</v>
      </c>
    </row>
    <row r="229" spans="1:63" s="54" customFormat="1" hidden="1" outlineLevel="1">
      <c r="A229" s="344"/>
      <c r="B229" s="371" t="s">
        <v>347</v>
      </c>
      <c r="C229" s="364">
        <f>C230/C228</f>
        <v>0.41666666666666669</v>
      </c>
      <c r="D229" s="352">
        <f>C229</f>
        <v>0.41666666666666669</v>
      </c>
      <c r="E229" s="169">
        <f t="shared" ref="E229:O229" si="627">D229*((0.5*($K227/12))+1)</f>
        <v>0.41753472222222227</v>
      </c>
      <c r="F229" s="169">
        <f t="shared" si="627"/>
        <v>0.41840458622685195</v>
      </c>
      <c r="G229" s="169">
        <f t="shared" si="627"/>
        <v>0.41927626244815791</v>
      </c>
      <c r="H229" s="169">
        <f t="shared" si="627"/>
        <v>0.4201497546615916</v>
      </c>
      <c r="I229" s="169">
        <f t="shared" si="627"/>
        <v>0.42102506665046996</v>
      </c>
      <c r="J229" s="169">
        <f t="shared" si="627"/>
        <v>0.42190220220599184</v>
      </c>
      <c r="K229" s="169">
        <f t="shared" si="627"/>
        <v>0.42278116512725439</v>
      </c>
      <c r="L229" s="169">
        <f t="shared" si="627"/>
        <v>0.42366195922126954</v>
      </c>
      <c r="M229" s="169">
        <f t="shared" si="627"/>
        <v>0.42454458830298053</v>
      </c>
      <c r="N229" s="169">
        <f t="shared" si="627"/>
        <v>0.42542905619527843</v>
      </c>
      <c r="O229" s="405">
        <f t="shared" si="627"/>
        <v>0.42631536672901865</v>
      </c>
      <c r="P229" s="169">
        <f t="shared" ref="P229:AA229" si="628">O229*((0.5*($W227/12))+1)</f>
        <v>0.42702589234023369</v>
      </c>
      <c r="Q229" s="169">
        <f t="shared" si="628"/>
        <v>0.42773760216080076</v>
      </c>
      <c r="R229" s="169">
        <f t="shared" si="628"/>
        <v>0.42845049816440212</v>
      </c>
      <c r="S229" s="169">
        <f t="shared" si="628"/>
        <v>0.42916458232800947</v>
      </c>
      <c r="T229" s="169">
        <f t="shared" si="628"/>
        <v>0.42987985663188949</v>
      </c>
      <c r="U229" s="169">
        <f t="shared" si="628"/>
        <v>0.43059632305960932</v>
      </c>
      <c r="V229" s="169">
        <f t="shared" si="628"/>
        <v>0.43131398359804202</v>
      </c>
      <c r="W229" s="169">
        <f t="shared" si="628"/>
        <v>0.4320328402373721</v>
      </c>
      <c r="X229" s="169">
        <f t="shared" si="628"/>
        <v>0.43275289497110109</v>
      </c>
      <c r="Y229" s="169">
        <f t="shared" si="628"/>
        <v>0.43347414979605292</v>
      </c>
      <c r="Z229" s="169">
        <f t="shared" si="628"/>
        <v>0.4341966067123797</v>
      </c>
      <c r="AA229" s="405">
        <f t="shared" si="628"/>
        <v>0.43492026772356701</v>
      </c>
      <c r="AB229" s="169">
        <f t="shared" ref="AB229:AM229" si="629">AA229*((0.5*($AI227/12))+1)</f>
        <v>0.43546391805822143</v>
      </c>
      <c r="AC229" s="169">
        <f t="shared" si="629"/>
        <v>0.43600824795579418</v>
      </c>
      <c r="AD229" s="169">
        <f t="shared" si="629"/>
        <v>0.43655325826573893</v>
      </c>
      <c r="AE229" s="169">
        <f t="shared" si="629"/>
        <v>0.43709894983857112</v>
      </c>
      <c r="AF229" s="169">
        <f t="shared" si="629"/>
        <v>0.43764532352586932</v>
      </c>
      <c r="AG229" s="169">
        <f t="shared" si="629"/>
        <v>0.43819238018027667</v>
      </c>
      <c r="AH229" s="169">
        <f t="shared" si="629"/>
        <v>0.438740120655502</v>
      </c>
      <c r="AI229" s="169">
        <f t="shared" si="629"/>
        <v>0.43928854580632137</v>
      </c>
      <c r="AJ229" s="169">
        <f t="shared" si="629"/>
        <v>0.43983765648857925</v>
      </c>
      <c r="AK229" s="169">
        <f t="shared" si="629"/>
        <v>0.44038745355918996</v>
      </c>
      <c r="AL229" s="169">
        <f t="shared" si="629"/>
        <v>0.44093793787613894</v>
      </c>
      <c r="AM229" s="405">
        <f t="shared" si="629"/>
        <v>0.44148911029848409</v>
      </c>
      <c r="AN229" s="169">
        <f t="shared" ref="AN229:AY229" si="630">AM229*((0.5*($AU227/12))+1)</f>
        <v>0.4420041809271657</v>
      </c>
      <c r="AO229" s="169">
        <f t="shared" si="630"/>
        <v>0.44251985247158077</v>
      </c>
      <c r="AP229" s="169">
        <f t="shared" si="630"/>
        <v>0.44303612563279765</v>
      </c>
      <c r="AQ229" s="169">
        <f t="shared" si="630"/>
        <v>0.44355300111270263</v>
      </c>
      <c r="AR229" s="169">
        <f t="shared" si="630"/>
        <v>0.44407047961400081</v>
      </c>
      <c r="AS229" s="169">
        <f t="shared" si="630"/>
        <v>0.44458856184021717</v>
      </c>
      <c r="AT229" s="169">
        <f t="shared" si="630"/>
        <v>0.44510724849569744</v>
      </c>
      <c r="AU229" s="169">
        <f t="shared" si="630"/>
        <v>0.44562654028560911</v>
      </c>
      <c r="AV229" s="169">
        <f t="shared" si="630"/>
        <v>0.44614643791594238</v>
      </c>
      <c r="AW229" s="169">
        <f t="shared" si="630"/>
        <v>0.44666694209351104</v>
      </c>
      <c r="AX229" s="169">
        <f t="shared" si="630"/>
        <v>0.44718805352595353</v>
      </c>
      <c r="AY229" s="405">
        <f t="shared" si="630"/>
        <v>0.44770977292173386</v>
      </c>
      <c r="AZ229" s="169">
        <f t="shared" ref="AZ229:BK229" si="631">AY229*((0.5*($BG227/12))+1)</f>
        <v>0.44808286439916861</v>
      </c>
      <c r="BA229" s="169">
        <f t="shared" si="631"/>
        <v>0.4484562667861679</v>
      </c>
      <c r="BB229" s="169">
        <f t="shared" si="631"/>
        <v>0.44882998034182298</v>
      </c>
      <c r="BC229" s="169">
        <f t="shared" si="631"/>
        <v>0.44920400532544114</v>
      </c>
      <c r="BD229" s="169">
        <f t="shared" si="631"/>
        <v>0.44957834199654562</v>
      </c>
      <c r="BE229" s="169">
        <f t="shared" si="631"/>
        <v>0.44995299061487604</v>
      </c>
      <c r="BF229" s="169">
        <f t="shared" si="631"/>
        <v>0.4503279514403884</v>
      </c>
      <c r="BG229" s="169">
        <f t="shared" si="631"/>
        <v>0.45070322473325536</v>
      </c>
      <c r="BH229" s="169">
        <f t="shared" si="631"/>
        <v>0.45107881075386635</v>
      </c>
      <c r="BI229" s="169">
        <f t="shared" si="631"/>
        <v>0.45145470976282787</v>
      </c>
      <c r="BJ229" s="169">
        <f t="shared" si="631"/>
        <v>0.45183092202096353</v>
      </c>
      <c r="BK229" s="405">
        <f t="shared" si="631"/>
        <v>0.45220744778931432</v>
      </c>
    </row>
    <row r="230" spans="1:63" s="338" customFormat="1" hidden="1" outlineLevel="1">
      <c r="A230" s="379"/>
      <c r="B230" s="388" t="s">
        <v>258</v>
      </c>
      <c r="C230" s="389">
        <v>5</v>
      </c>
      <c r="D230" s="380">
        <f t="shared" ref="D230:AI230" si="632">D228*D229</f>
        <v>0.41666666666666669</v>
      </c>
      <c r="E230" s="381">
        <f t="shared" si="632"/>
        <v>0.43841145833333339</v>
      </c>
      <c r="F230" s="381">
        <f t="shared" si="632"/>
        <v>0.46129105631510431</v>
      </c>
      <c r="G230" s="381">
        <f t="shared" si="632"/>
        <v>0.48536468331654886</v>
      </c>
      <c r="H230" s="381">
        <f t="shared" si="632"/>
        <v>0.51069465272713133</v>
      </c>
      <c r="I230" s="381">
        <f t="shared" si="632"/>
        <v>0.53734652991632859</v>
      </c>
      <c r="J230" s="381">
        <f t="shared" si="632"/>
        <v>0.56538930194633708</v>
      </c>
      <c r="K230" s="381">
        <f t="shared" si="632"/>
        <v>0.59489555614166167</v>
      </c>
      <c r="L230" s="381">
        <f t="shared" si="632"/>
        <v>0.62594166797780471</v>
      </c>
      <c r="M230" s="381">
        <f t="shared" si="632"/>
        <v>0.65860799877539644</v>
      </c>
      <c r="N230" s="381">
        <f t="shared" si="632"/>
        <v>0.69297910371148752</v>
      </c>
      <c r="O230" s="399">
        <f t="shared" si="632"/>
        <v>0.7291439506864309</v>
      </c>
      <c r="P230" s="381">
        <f t="shared" si="632"/>
        <v>0.74253184378097892</v>
      </c>
      <c r="Q230" s="381">
        <f t="shared" si="632"/>
        <v>0.75616555346817971</v>
      </c>
      <c r="R230" s="381">
        <f t="shared" si="632"/>
        <v>0.77004959321380384</v>
      </c>
      <c r="S230" s="381">
        <f t="shared" si="632"/>
        <v>0.78418855935586829</v>
      </c>
      <c r="T230" s="381">
        <f t="shared" si="632"/>
        <v>0.79858713262626357</v>
      </c>
      <c r="U230" s="381">
        <f t="shared" si="632"/>
        <v>0.81325007970031804</v>
      </c>
      <c r="V230" s="381">
        <f t="shared" si="632"/>
        <v>0.82818225477481544</v>
      </c>
      <c r="W230" s="381">
        <f t="shared" si="632"/>
        <v>0.84338860117498637</v>
      </c>
      <c r="X230" s="381">
        <f t="shared" si="632"/>
        <v>0.85887415299100489</v>
      </c>
      <c r="Y230" s="381">
        <f t="shared" si="632"/>
        <v>0.87464403674453406</v>
      </c>
      <c r="Z230" s="381">
        <f t="shared" si="632"/>
        <v>0.89070347308587128</v>
      </c>
      <c r="AA230" s="399">
        <f t="shared" si="632"/>
        <v>0.90705777852225355</v>
      </c>
      <c r="AB230" s="381">
        <f t="shared" si="632"/>
        <v>0.9172735167528604</v>
      </c>
      <c r="AC230" s="381">
        <f t="shared" si="632"/>
        <v>0.9276043097352894</v>
      </c>
      <c r="AD230" s="381">
        <f t="shared" si="632"/>
        <v>0.93805145327368322</v>
      </c>
      <c r="AE230" s="381">
        <f t="shared" si="632"/>
        <v>0.94861625776617808</v>
      </c>
      <c r="AF230" s="381">
        <f t="shared" si="632"/>
        <v>0.95930004836926963</v>
      </c>
      <c r="AG230" s="381">
        <f t="shared" si="632"/>
        <v>0.97010416516402853</v>
      </c>
      <c r="AH230" s="381">
        <f t="shared" si="632"/>
        <v>0.98102996332418835</v>
      </c>
      <c r="AI230" s="381">
        <f t="shared" si="632"/>
        <v>0.99207881328612701</v>
      </c>
      <c r="AJ230" s="381">
        <f t="shared" ref="AJ230:BK230" si="633">AJ228*AJ229</f>
        <v>1.003252100920762</v>
      </c>
      <c r="AK230" s="381">
        <f t="shared" si="633"/>
        <v>1.014551227707382</v>
      </c>
      <c r="AL230" s="381">
        <f t="shared" si="633"/>
        <v>1.0259776109094365</v>
      </c>
      <c r="AM230" s="399">
        <f t="shared" si="633"/>
        <v>1.0375326837523038</v>
      </c>
      <c r="AN230" s="381">
        <f t="shared" si="633"/>
        <v>1.0439368542427649</v>
      </c>
      <c r="AO230" s="381">
        <f t="shared" si="633"/>
        <v>1.0503805544755784</v>
      </c>
      <c r="AP230" s="381">
        <f t="shared" si="633"/>
        <v>1.056864028448079</v>
      </c>
      <c r="AQ230" s="381">
        <f t="shared" si="633"/>
        <v>1.0633875216636748</v>
      </c>
      <c r="AR230" s="381">
        <f t="shared" si="633"/>
        <v>1.0699512811411438</v>
      </c>
      <c r="AS230" s="381">
        <f t="shared" si="633"/>
        <v>1.0765555554239874</v>
      </c>
      <c r="AT230" s="381">
        <f t="shared" si="633"/>
        <v>1.083200594589842</v>
      </c>
      <c r="AU230" s="381">
        <f t="shared" si="633"/>
        <v>1.0898866502599478</v>
      </c>
      <c r="AV230" s="381">
        <f t="shared" si="633"/>
        <v>1.0966139756086772</v>
      </c>
      <c r="AW230" s="381">
        <f t="shared" si="633"/>
        <v>1.1033828253731219</v>
      </c>
      <c r="AX230" s="381">
        <f t="shared" si="633"/>
        <v>1.1101934558627375</v>
      </c>
      <c r="AY230" s="399">
        <f t="shared" si="633"/>
        <v>1.1170461249690502</v>
      </c>
      <c r="AZ230" s="381">
        <f t="shared" si="633"/>
        <v>1.1645593716040183</v>
      </c>
      <c r="BA230" s="381">
        <f t="shared" si="633"/>
        <v>1.214093580986481</v>
      </c>
      <c r="BB230" s="381">
        <f t="shared" si="633"/>
        <v>1.265734714205524</v>
      </c>
      <c r="BC230" s="381">
        <f t="shared" si="633"/>
        <v>1.3195723886812798</v>
      </c>
      <c r="BD230" s="381">
        <f t="shared" si="633"/>
        <v>1.3757000336859522</v>
      </c>
      <c r="BE230" s="381">
        <f t="shared" si="633"/>
        <v>1.4342150524798858</v>
      </c>
      <c r="BF230" s="381">
        <f t="shared" si="633"/>
        <v>1.4952189913440477</v>
      </c>
      <c r="BG230" s="381">
        <f t="shared" si="633"/>
        <v>1.5588177158022578</v>
      </c>
      <c r="BH230" s="381">
        <f t="shared" si="633"/>
        <v>1.6251215943389858</v>
      </c>
      <c r="BI230" s="381">
        <f t="shared" si="633"/>
        <v>1.6942456899315295</v>
      </c>
      <c r="BJ230" s="381">
        <f t="shared" si="633"/>
        <v>1.7663099597289642</v>
      </c>
      <c r="BK230" s="399">
        <f t="shared" si="633"/>
        <v>1.84143946322438</v>
      </c>
    </row>
    <row r="231" spans="1:63" s="54" customFormat="1" hidden="1" outlineLevel="1">
      <c r="A231" s="344"/>
      <c r="B231" s="371" t="s">
        <v>348</v>
      </c>
      <c r="C231" s="365">
        <f>C232/C230</f>
        <v>0.4</v>
      </c>
      <c r="D231" s="352">
        <f>C231</f>
        <v>0.4</v>
      </c>
      <c r="E231" s="169">
        <f t="shared" ref="E231:O231" si="634">D231*((0.5*($K227/12))+1)</f>
        <v>0.40083333333333337</v>
      </c>
      <c r="F231" s="169">
        <f t="shared" si="634"/>
        <v>0.40166840277777788</v>
      </c>
      <c r="G231" s="169">
        <f t="shared" si="634"/>
        <v>0.40250521195023165</v>
      </c>
      <c r="H231" s="169">
        <f t="shared" si="634"/>
        <v>0.40334376447512799</v>
      </c>
      <c r="I231" s="169">
        <f t="shared" si="634"/>
        <v>0.40418406398445123</v>
      </c>
      <c r="J231" s="169">
        <f t="shared" si="634"/>
        <v>0.40502611411775219</v>
      </c>
      <c r="K231" s="169">
        <f t="shared" si="634"/>
        <v>0.4058699185221642</v>
      </c>
      <c r="L231" s="169">
        <f t="shared" si="634"/>
        <v>0.40671548085241876</v>
      </c>
      <c r="M231" s="169">
        <f t="shared" si="634"/>
        <v>0.40756280477086132</v>
      </c>
      <c r="N231" s="169">
        <f t="shared" si="634"/>
        <v>0.4084118939474673</v>
      </c>
      <c r="O231" s="405">
        <f t="shared" si="634"/>
        <v>0.4092627520598579</v>
      </c>
      <c r="P231" s="169">
        <f t="shared" ref="P231:AA231" si="635">O231*((0.5*($W227/12))+1)</f>
        <v>0.40994485664662433</v>
      </c>
      <c r="Q231" s="169">
        <f t="shared" si="635"/>
        <v>0.41062809807436873</v>
      </c>
      <c r="R231" s="169">
        <f t="shared" si="635"/>
        <v>0.41131247823782602</v>
      </c>
      <c r="S231" s="169">
        <f t="shared" si="635"/>
        <v>0.4119979990348891</v>
      </c>
      <c r="T231" s="169">
        <f t="shared" si="635"/>
        <v>0.41268466236661394</v>
      </c>
      <c r="U231" s="169">
        <f t="shared" si="635"/>
        <v>0.413372470137225</v>
      </c>
      <c r="V231" s="169">
        <f t="shared" si="635"/>
        <v>0.4140614242541204</v>
      </c>
      <c r="W231" s="169">
        <f t="shared" si="635"/>
        <v>0.41475152662787729</v>
      </c>
      <c r="X231" s="169">
        <f t="shared" si="635"/>
        <v>0.41544277917225708</v>
      </c>
      <c r="Y231" s="169">
        <f t="shared" si="635"/>
        <v>0.41613518380421088</v>
      </c>
      <c r="Z231" s="169">
        <f t="shared" si="635"/>
        <v>0.41682874244388457</v>
      </c>
      <c r="AA231" s="405">
        <f t="shared" si="635"/>
        <v>0.4175234570146244</v>
      </c>
      <c r="AB231" s="169">
        <f t="shared" ref="AB231:AM231" si="636">AA231*((0.5*($AI227/12))+1)</f>
        <v>0.41804536133589265</v>
      </c>
      <c r="AC231" s="169">
        <f t="shared" si="636"/>
        <v>0.41856791803756249</v>
      </c>
      <c r="AD231" s="169">
        <f t="shared" si="636"/>
        <v>0.41909112793510944</v>
      </c>
      <c r="AE231" s="169">
        <f t="shared" si="636"/>
        <v>0.41961499184502832</v>
      </c>
      <c r="AF231" s="169">
        <f t="shared" si="636"/>
        <v>0.42013951058483462</v>
      </c>
      <c r="AG231" s="169">
        <f t="shared" si="636"/>
        <v>0.42066468497306564</v>
      </c>
      <c r="AH231" s="169">
        <f t="shared" si="636"/>
        <v>0.42119051582928196</v>
      </c>
      <c r="AI231" s="169">
        <f t="shared" si="636"/>
        <v>0.42171700397406858</v>
      </c>
      <c r="AJ231" s="169">
        <f t="shared" si="636"/>
        <v>0.42224415022903616</v>
      </c>
      <c r="AK231" s="169">
        <f t="shared" si="636"/>
        <v>0.42277195541682244</v>
      </c>
      <c r="AL231" s="169">
        <f t="shared" si="636"/>
        <v>0.42330042036109344</v>
      </c>
      <c r="AM231" s="405">
        <f t="shared" si="636"/>
        <v>0.42382954588654481</v>
      </c>
      <c r="AN231" s="169">
        <f t="shared" ref="AN231:AY231" si="637">AM231*((0.5*($AU227/12))+1)</f>
        <v>0.42432401369007916</v>
      </c>
      <c r="AO231" s="169">
        <f t="shared" si="637"/>
        <v>0.42481905837271761</v>
      </c>
      <c r="AP231" s="169">
        <f t="shared" si="637"/>
        <v>0.42531468060748584</v>
      </c>
      <c r="AQ231" s="169">
        <f t="shared" si="637"/>
        <v>0.42581088106819459</v>
      </c>
      <c r="AR231" s="169">
        <f t="shared" si="637"/>
        <v>0.42630766042944085</v>
      </c>
      <c r="AS231" s="169">
        <f t="shared" si="637"/>
        <v>0.42680501936660858</v>
      </c>
      <c r="AT231" s="169">
        <f t="shared" si="637"/>
        <v>0.42730295855586969</v>
      </c>
      <c r="AU231" s="169">
        <f t="shared" si="637"/>
        <v>0.42780147867418494</v>
      </c>
      <c r="AV231" s="169">
        <f t="shared" si="637"/>
        <v>0.42830058039930485</v>
      </c>
      <c r="AW231" s="169">
        <f t="shared" si="637"/>
        <v>0.42880026440977076</v>
      </c>
      <c r="AX231" s="169">
        <f t="shared" si="637"/>
        <v>0.42930053138491553</v>
      </c>
      <c r="AY231" s="405">
        <f t="shared" si="637"/>
        <v>0.42980138200486462</v>
      </c>
      <c r="AZ231" s="169">
        <f t="shared" ref="AZ231:BK231" si="638">AY231*((0.5*($BG227/12))+1)</f>
        <v>0.43015954982320198</v>
      </c>
      <c r="BA231" s="169">
        <f t="shared" si="638"/>
        <v>0.43051801611472129</v>
      </c>
      <c r="BB231" s="169">
        <f t="shared" si="638"/>
        <v>0.4308767811281502</v>
      </c>
      <c r="BC231" s="169">
        <f t="shared" si="638"/>
        <v>0.43123584511242363</v>
      </c>
      <c r="BD231" s="169">
        <f t="shared" si="638"/>
        <v>0.43159520831668396</v>
      </c>
      <c r="BE231" s="169">
        <f t="shared" si="638"/>
        <v>0.43195487099028118</v>
      </c>
      <c r="BF231" s="169">
        <f t="shared" si="638"/>
        <v>0.43231483338277304</v>
      </c>
      <c r="BG231" s="169">
        <f t="shared" si="638"/>
        <v>0.43267509574392532</v>
      </c>
      <c r="BH231" s="169">
        <f t="shared" si="638"/>
        <v>0.43303565832371188</v>
      </c>
      <c r="BI231" s="169">
        <f t="shared" si="638"/>
        <v>0.43339652137231494</v>
      </c>
      <c r="BJ231" s="169">
        <f t="shared" si="638"/>
        <v>0.43375768514012514</v>
      </c>
      <c r="BK231" s="405">
        <f t="shared" si="638"/>
        <v>0.43411914987774186</v>
      </c>
    </row>
    <row r="232" spans="1:63" s="385" customFormat="1" hidden="1" outlineLevel="1">
      <c r="A232" s="382"/>
      <c r="B232" s="390" t="s">
        <v>285</v>
      </c>
      <c r="C232" s="391">
        <v>2</v>
      </c>
      <c r="D232" s="383">
        <f t="shared" ref="D232:AI232" si="639">D230*D231</f>
        <v>0.16666666666666669</v>
      </c>
      <c r="E232" s="384">
        <f t="shared" si="639"/>
        <v>0.17572992621527783</v>
      </c>
      <c r="F232" s="384">
        <f t="shared" si="639"/>
        <v>0.18528604180576194</v>
      </c>
      <c r="G232" s="384">
        <f t="shared" si="639"/>
        <v>0.19536181473148456</v>
      </c>
      <c r="H232" s="384">
        <f t="shared" si="639"/>
        <v>0.20598550372827934</v>
      </c>
      <c r="I232" s="384">
        <f t="shared" si="639"/>
        <v>0.21718690422952419</v>
      </c>
      <c r="J232" s="384">
        <f t="shared" si="639"/>
        <v>0.22899743193107336</v>
      </c>
      <c r="K232" s="384">
        <f t="shared" si="639"/>
        <v>0.24145021090041377</v>
      </c>
      <c r="L232" s="384">
        <f t="shared" si="639"/>
        <v>0.25458016647715792</v>
      </c>
      <c r="M232" s="384">
        <f t="shared" si="639"/>
        <v>0.26842412322542458</v>
      </c>
      <c r="N232" s="384">
        <f t="shared" si="639"/>
        <v>0.28302090821282699</v>
      </c>
      <c r="O232" s="400">
        <f t="shared" si="639"/>
        <v>0.29841145990572604</v>
      </c>
      <c r="P232" s="384">
        <f t="shared" si="639"/>
        <v>0.30439711025434707</v>
      </c>
      <c r="Q232" s="384">
        <f t="shared" si="639"/>
        <v>0.31050282304999099</v>
      </c>
      <c r="R232" s="384">
        <f t="shared" si="639"/>
        <v>0.31673100655079944</v>
      </c>
      <c r="S232" s="384">
        <f t="shared" si="639"/>
        <v>0.32308411732067011</v>
      </c>
      <c r="T232" s="384">
        <f t="shared" si="639"/>
        <v>0.32956466119819194</v>
      </c>
      <c r="U232" s="384">
        <f t="shared" si="639"/>
        <v>0.33617519428501558</v>
      </c>
      <c r="V232" s="384">
        <f t="shared" si="639"/>
        <v>0.34291832395404886</v>
      </c>
      <c r="W232" s="384">
        <f t="shared" si="639"/>
        <v>0.34979670987787553</v>
      </c>
      <c r="X232" s="384">
        <f t="shared" si="639"/>
        <v>0.35681306507780142</v>
      </c>
      <c r="Y232" s="384">
        <f t="shared" si="639"/>
        <v>0.36397015699394364</v>
      </c>
      <c r="Z232" s="384">
        <f t="shared" si="639"/>
        <v>0.37127080857678413</v>
      </c>
      <c r="AA232" s="400">
        <f t="shared" si="639"/>
        <v>0.37871789940061684</v>
      </c>
      <c r="AB232" s="384">
        <f t="shared" si="639"/>
        <v>0.38346193875479451</v>
      </c>
      <c r="AC232" s="384">
        <f t="shared" si="639"/>
        <v>0.38826540468857035</v>
      </c>
      <c r="AD232" s="384">
        <f t="shared" si="639"/>
        <v>0.39312904161363649</v>
      </c>
      <c r="AE232" s="384">
        <f t="shared" si="639"/>
        <v>0.3980536032666161</v>
      </c>
      <c r="AF232" s="384">
        <f t="shared" si="639"/>
        <v>0.40303985282587312</v>
      </c>
      <c r="AG232" s="384">
        <f t="shared" si="639"/>
        <v>0.40808856302978491</v>
      </c>
      <c r="AH232" s="384">
        <f t="shared" si="639"/>
        <v>0.41320051629649646</v>
      </c>
      <c r="AI232" s="384">
        <f t="shared" si="639"/>
        <v>0.41837650484517486</v>
      </c>
      <c r="AJ232" s="384">
        <f t="shared" ref="AJ232:BK232" si="640">AJ230*AJ231</f>
        <v>0.42361733081878239</v>
      </c>
      <c r="AK232" s="384">
        <f t="shared" si="640"/>
        <v>0.42892380640838779</v>
      </c>
      <c r="AL232" s="384">
        <f t="shared" si="640"/>
        <v>0.43429675397903483</v>
      </c>
      <c r="AM232" s="400">
        <f t="shared" si="640"/>
        <v>0.43973700619718703</v>
      </c>
      <c r="AN232" s="384">
        <f t="shared" si="640"/>
        <v>0.44296747603128517</v>
      </c>
      <c r="AO232" s="384">
        <f t="shared" si="640"/>
        <v>0.44622167808532825</v>
      </c>
      <c r="AP232" s="384">
        <f t="shared" si="640"/>
        <v>0.44949978670493557</v>
      </c>
      <c r="AQ232" s="384">
        <f t="shared" si="640"/>
        <v>0.45280197751653323</v>
      </c>
      <c r="AR232" s="384">
        <f t="shared" si="640"/>
        <v>0.45612842743676391</v>
      </c>
      <c r="AS232" s="384">
        <f t="shared" si="640"/>
        <v>0.45947931468196501</v>
      </c>
      <c r="AT232" s="384">
        <f t="shared" si="640"/>
        <v>0.46285481877771667</v>
      </c>
      <c r="AU232" s="384">
        <f t="shared" si="640"/>
        <v>0.46625512056845991</v>
      </c>
      <c r="AV232" s="384">
        <f t="shared" si="640"/>
        <v>0.4696804022271856</v>
      </c>
      <c r="AW232" s="384">
        <f t="shared" si="640"/>
        <v>0.47313084726519461</v>
      </c>
      <c r="AX232" s="384">
        <f t="shared" si="640"/>
        <v>0.47660664054192897</v>
      </c>
      <c r="AY232" s="400">
        <f t="shared" si="640"/>
        <v>0.48010796827487651</v>
      </c>
      <c r="AZ232" s="384">
        <f t="shared" si="640"/>
        <v>0.50094633503157548</v>
      </c>
      <c r="BA232" s="384">
        <f t="shared" si="640"/>
        <v>0.52268915986391751</v>
      </c>
      <c r="BB232" s="384">
        <f t="shared" si="640"/>
        <v>0.5453756994190353</v>
      </c>
      <c r="BC232" s="384">
        <f t="shared" si="640"/>
        <v>0.56904691421999121</v>
      </c>
      <c r="BD232" s="384">
        <f t="shared" si="640"/>
        <v>0.59374554261995771</v>
      </c>
      <c r="BE232" s="384">
        <f t="shared" si="640"/>
        <v>0.61951617796626846</v>
      </c>
      <c r="BF232" s="384">
        <f t="shared" si="640"/>
        <v>0.64640534911365999</v>
      </c>
      <c r="BG232" s="384">
        <f t="shared" si="640"/>
        <v>0.67446160443206882</v>
      </c>
      <c r="BH232" s="384">
        <f t="shared" si="640"/>
        <v>0.703735599460663</v>
      </c>
      <c r="BI232" s="384">
        <f t="shared" si="640"/>
        <v>0.73428018836636255</v>
      </c>
      <c r="BJ232" s="384">
        <f t="shared" si="640"/>
        <v>0.7661505193719832</v>
      </c>
      <c r="BK232" s="400">
        <f t="shared" si="640"/>
        <v>0.7994041343262932</v>
      </c>
    </row>
    <row r="233" spans="1:63" s="339" customFormat="1" ht="6.75" hidden="1" customHeight="1" outlineLevel="1">
      <c r="A233" s="348"/>
      <c r="B233" s="373"/>
      <c r="C233" s="357"/>
      <c r="D233" s="349"/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40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  <c r="Z233" s="341"/>
      <c r="AA233" s="401"/>
      <c r="AB233" s="341"/>
      <c r="AC233" s="341"/>
      <c r="AD233" s="341"/>
      <c r="AE233" s="341"/>
      <c r="AF233" s="341"/>
      <c r="AG233" s="341"/>
      <c r="AH233" s="341"/>
      <c r="AI233" s="341"/>
      <c r="AJ233" s="341"/>
      <c r="AK233" s="341"/>
      <c r="AL233" s="341"/>
      <c r="AM233" s="401"/>
      <c r="AN233" s="341"/>
      <c r="AO233" s="341"/>
      <c r="AP233" s="341"/>
      <c r="AQ233" s="341"/>
      <c r="AR233" s="341"/>
      <c r="AS233" s="341"/>
      <c r="AT233" s="341"/>
      <c r="AU233" s="341"/>
      <c r="AV233" s="341"/>
      <c r="AW233" s="341"/>
      <c r="AX233" s="341"/>
      <c r="AY233" s="401"/>
      <c r="AZ233" s="341"/>
      <c r="BA233" s="341"/>
      <c r="BB233" s="341"/>
      <c r="BC233" s="341"/>
      <c r="BD233" s="341"/>
      <c r="BE233" s="341"/>
      <c r="BF233" s="341"/>
      <c r="BG233" s="341"/>
      <c r="BH233" s="341"/>
      <c r="BI233" s="341"/>
      <c r="BJ233" s="341"/>
      <c r="BK233" s="401"/>
    </row>
    <row r="234" spans="1:63" s="248" customFormat="1" hidden="1" outlineLevel="1">
      <c r="A234" s="346"/>
      <c r="B234" s="374" t="s">
        <v>321</v>
      </c>
      <c r="C234" s="358">
        <v>5600</v>
      </c>
      <c r="D234" s="353">
        <f>C234</f>
        <v>5600</v>
      </c>
      <c r="E234" s="249">
        <f t="shared" ref="E234:O234" si="641">D234*((1+$G227/12))</f>
        <v>5614</v>
      </c>
      <c r="F234" s="249">
        <f t="shared" si="641"/>
        <v>5628.0349999999999</v>
      </c>
      <c r="G234" s="249">
        <f t="shared" si="641"/>
        <v>5642.1050874999992</v>
      </c>
      <c r="H234" s="249">
        <f t="shared" si="641"/>
        <v>5656.2103502187492</v>
      </c>
      <c r="I234" s="249">
        <f t="shared" si="641"/>
        <v>5670.3508760942959</v>
      </c>
      <c r="J234" s="249">
        <f t="shared" si="641"/>
        <v>5684.526753284531</v>
      </c>
      <c r="K234" s="249">
        <f t="shared" si="641"/>
        <v>5698.7380701677421</v>
      </c>
      <c r="L234" s="249">
        <f t="shared" si="641"/>
        <v>5712.9849153431614</v>
      </c>
      <c r="M234" s="249">
        <f t="shared" si="641"/>
        <v>5727.2673776315187</v>
      </c>
      <c r="N234" s="249">
        <f t="shared" si="641"/>
        <v>5741.5855460755974</v>
      </c>
      <c r="O234" s="402">
        <f t="shared" si="641"/>
        <v>5755.9395099407857</v>
      </c>
      <c r="P234" s="249">
        <f t="shared" ref="P234:AA234" si="642">O234*((1+$S227/12))</f>
        <v>5767.931050586496</v>
      </c>
      <c r="Q234" s="249">
        <f t="shared" si="642"/>
        <v>5779.9475736085515</v>
      </c>
      <c r="R234" s="249">
        <f t="shared" si="642"/>
        <v>5791.9891310535695</v>
      </c>
      <c r="S234" s="249">
        <f t="shared" si="642"/>
        <v>5804.0557750765984</v>
      </c>
      <c r="T234" s="249">
        <f t="shared" si="642"/>
        <v>5816.1475579413418</v>
      </c>
      <c r="U234" s="249">
        <f t="shared" si="642"/>
        <v>5828.2645320203865</v>
      </c>
      <c r="V234" s="249">
        <f t="shared" si="642"/>
        <v>5840.4067497954293</v>
      </c>
      <c r="W234" s="249">
        <f t="shared" si="642"/>
        <v>5852.5742638575039</v>
      </c>
      <c r="X234" s="249">
        <f t="shared" si="642"/>
        <v>5864.767126907208</v>
      </c>
      <c r="Y234" s="249">
        <f t="shared" si="642"/>
        <v>5876.9853917549317</v>
      </c>
      <c r="Z234" s="249">
        <f t="shared" si="642"/>
        <v>5889.2291113210886</v>
      </c>
      <c r="AA234" s="402">
        <f t="shared" si="642"/>
        <v>5901.498338636341</v>
      </c>
      <c r="AB234" s="249">
        <f t="shared" ref="AB234:AM234" si="643">AA234*((1+$AE227/12))</f>
        <v>5913.7931268418342</v>
      </c>
      <c r="AC234" s="249">
        <f t="shared" si="643"/>
        <v>5926.1135291894216</v>
      </c>
      <c r="AD234" s="249">
        <f t="shared" si="643"/>
        <v>5938.4595990419002</v>
      </c>
      <c r="AE234" s="249">
        <f t="shared" si="643"/>
        <v>5950.8313898732385</v>
      </c>
      <c r="AF234" s="249">
        <f t="shared" si="643"/>
        <v>5963.228955268808</v>
      </c>
      <c r="AG234" s="249">
        <f t="shared" si="643"/>
        <v>5975.6523489256188</v>
      </c>
      <c r="AH234" s="249">
        <f t="shared" si="643"/>
        <v>5988.1016246525478</v>
      </c>
      <c r="AI234" s="249">
        <f t="shared" si="643"/>
        <v>6000.5768363705747</v>
      </c>
      <c r="AJ234" s="249">
        <f t="shared" si="643"/>
        <v>6013.0780381130144</v>
      </c>
      <c r="AK234" s="249">
        <f t="shared" si="643"/>
        <v>6025.6052840257507</v>
      </c>
      <c r="AL234" s="249">
        <f t="shared" si="643"/>
        <v>6038.1586283674715</v>
      </c>
      <c r="AM234" s="402">
        <f t="shared" si="643"/>
        <v>6050.7381255099044</v>
      </c>
      <c r="AN234" s="249">
        <f t="shared" ref="AN234:AY234" si="644">AM234*((1+$AQ227/12))</f>
        <v>6061.8311454066725</v>
      </c>
      <c r="AO234" s="249">
        <f t="shared" si="644"/>
        <v>6072.9445025065852</v>
      </c>
      <c r="AP234" s="249">
        <f t="shared" si="644"/>
        <v>6084.0782340945143</v>
      </c>
      <c r="AQ234" s="249">
        <f t="shared" si="644"/>
        <v>6095.2323775236873</v>
      </c>
      <c r="AR234" s="249">
        <f t="shared" si="644"/>
        <v>6106.406970215814</v>
      </c>
      <c r="AS234" s="249">
        <f t="shared" si="644"/>
        <v>6117.60204966121</v>
      </c>
      <c r="AT234" s="249">
        <f t="shared" si="644"/>
        <v>6128.8176534189224</v>
      </c>
      <c r="AU234" s="249">
        <f t="shared" si="644"/>
        <v>6140.0538191168571</v>
      </c>
      <c r="AV234" s="249">
        <f t="shared" si="644"/>
        <v>6151.310584451905</v>
      </c>
      <c r="AW234" s="249">
        <f t="shared" si="644"/>
        <v>6162.587987190067</v>
      </c>
      <c r="AX234" s="249">
        <f t="shared" si="644"/>
        <v>6173.8860651665818</v>
      </c>
      <c r="AY234" s="402">
        <f t="shared" si="644"/>
        <v>6185.2048562860537</v>
      </c>
      <c r="AZ234" s="249">
        <f t="shared" ref="AZ234:BK234" si="645">AY234*((1+$BC227/12))</f>
        <v>6195.5135310465303</v>
      </c>
      <c r="BA234" s="249">
        <f t="shared" si="645"/>
        <v>6205.8393869316078</v>
      </c>
      <c r="BB234" s="249">
        <f t="shared" si="645"/>
        <v>6216.1824525764941</v>
      </c>
      <c r="BC234" s="249">
        <f t="shared" si="645"/>
        <v>6226.542756664122</v>
      </c>
      <c r="BD234" s="249">
        <f t="shared" si="645"/>
        <v>6236.9203279252288</v>
      </c>
      <c r="BE234" s="249">
        <f t="shared" si="645"/>
        <v>6247.315195138438</v>
      </c>
      <c r="BF234" s="249">
        <f t="shared" si="645"/>
        <v>6257.727387130336</v>
      </c>
      <c r="BG234" s="249">
        <f t="shared" si="645"/>
        <v>6268.1569327755533</v>
      </c>
      <c r="BH234" s="249">
        <f t="shared" si="645"/>
        <v>6278.6038609968464</v>
      </c>
      <c r="BI234" s="249">
        <f t="shared" si="645"/>
        <v>6289.0682007651749</v>
      </c>
      <c r="BJ234" s="249">
        <f t="shared" si="645"/>
        <v>6299.5499810997835</v>
      </c>
      <c r="BK234" s="402">
        <f t="shared" si="645"/>
        <v>6310.049231068283</v>
      </c>
    </row>
    <row r="235" spans="1:63" s="334" customFormat="1" hidden="1" outlineLevel="1">
      <c r="A235" s="345"/>
      <c r="B235" s="372" t="s">
        <v>261</v>
      </c>
      <c r="C235" s="359">
        <f t="shared" ref="C235:AH235" si="646">C234*C232</f>
        <v>11200</v>
      </c>
      <c r="D235" s="354">
        <f t="shared" si="646"/>
        <v>933.33333333333348</v>
      </c>
      <c r="E235" s="335">
        <f t="shared" si="646"/>
        <v>986.54780577256975</v>
      </c>
      <c r="F235" s="335">
        <f t="shared" si="646"/>
        <v>1042.7963282942915</v>
      </c>
      <c r="G235" s="335">
        <f t="shared" si="646"/>
        <v>1102.2518887997414</v>
      </c>
      <c r="H235" s="335">
        <f t="shared" si="646"/>
        <v>1165.0973381829165</v>
      </c>
      <c r="I235" s="335">
        <f t="shared" si="646"/>
        <v>1231.5259526740904</v>
      </c>
      <c r="J235" s="335">
        <f t="shared" si="646"/>
        <v>1301.7420282456399</v>
      </c>
      <c r="K235" s="335">
        <f t="shared" si="646"/>
        <v>1375.9615089082183</v>
      </c>
      <c r="L235" s="335">
        <f t="shared" si="646"/>
        <v>1454.412650829554</v>
      </c>
      <c r="M235" s="335">
        <f t="shared" si="646"/>
        <v>1537.336724318317</v>
      </c>
      <c r="N235" s="335">
        <f t="shared" si="646"/>
        <v>1624.9887558319558</v>
      </c>
      <c r="O235" s="403">
        <f t="shared" si="646"/>
        <v>1717.6383122904792</v>
      </c>
      <c r="P235" s="335">
        <f t="shared" si="646"/>
        <v>1755.7415439448496</v>
      </c>
      <c r="Q235" s="335">
        <f t="shared" si="646"/>
        <v>1794.6900386864008</v>
      </c>
      <c r="R235" s="335">
        <f t="shared" si="646"/>
        <v>1834.5025474098873</v>
      </c>
      <c r="S235" s="335">
        <f t="shared" si="646"/>
        <v>1875.1982369705606</v>
      </c>
      <c r="T235" s="335">
        <f t="shared" si="646"/>
        <v>1916.7966994116298</v>
      </c>
      <c r="U235" s="335">
        <f t="shared" si="646"/>
        <v>1959.3179613964189</v>
      </c>
      <c r="V235" s="335">
        <f t="shared" si="646"/>
        <v>2002.7824938497627</v>
      </c>
      <c r="W235" s="335">
        <f t="shared" si="646"/>
        <v>2047.2112218132843</v>
      </c>
      <c r="X235" s="335">
        <f t="shared" si="646"/>
        <v>2092.6255345192922</v>
      </c>
      <c r="Y235" s="335">
        <f t="shared" si="646"/>
        <v>2139.0472956881558</v>
      </c>
      <c r="Z235" s="335">
        <f t="shared" si="646"/>
        <v>2186.4988540541162</v>
      </c>
      <c r="AA235" s="403">
        <f t="shared" si="646"/>
        <v>2235.0030541245851</v>
      </c>
      <c r="AB235" s="335">
        <f t="shared" si="646"/>
        <v>2267.7145778135482</v>
      </c>
      <c r="AC235" s="335">
        <f t="shared" si="646"/>
        <v>2300.9048676411426</v>
      </c>
      <c r="AD235" s="335">
        <f t="shared" si="646"/>
        <v>2334.580930832642</v>
      </c>
      <c r="AE235" s="335">
        <f t="shared" si="646"/>
        <v>2368.7498771711275</v>
      </c>
      <c r="AF235" s="335">
        <f t="shared" si="646"/>
        <v>2403.4189204985255</v>
      </c>
      <c r="AG235" s="335">
        <f t="shared" si="646"/>
        <v>2438.5953802386148</v>
      </c>
      <c r="AH235" s="335">
        <f t="shared" si="646"/>
        <v>2474.2866829423219</v>
      </c>
      <c r="AI235" s="335">
        <f t="shared" ref="AI235:BK235" si="647">AI234*AI232</f>
        <v>2510.5003638556377</v>
      </c>
      <c r="AJ235" s="335">
        <f t="shared" si="647"/>
        <v>2547.2440685104757</v>
      </c>
      <c r="AK235" s="335">
        <f t="shared" si="647"/>
        <v>2584.5255543388198</v>
      </c>
      <c r="AL235" s="335">
        <f t="shared" si="647"/>
        <v>2622.3526923104941</v>
      </c>
      <c r="AM235" s="403">
        <f t="shared" si="647"/>
        <v>2660.7334685949045</v>
      </c>
      <c r="AN235" s="335">
        <f t="shared" si="647"/>
        <v>2685.194042608628</v>
      </c>
      <c r="AO235" s="335">
        <f t="shared" si="647"/>
        <v>2709.8794868275572</v>
      </c>
      <c r="AP235" s="335">
        <f t="shared" si="647"/>
        <v>2734.791868521625</v>
      </c>
      <c r="AQ235" s="335">
        <f t="shared" si="647"/>
        <v>2759.933273965526</v>
      </c>
      <c r="AR235" s="335">
        <f t="shared" si="647"/>
        <v>2785.3058086134333</v>
      </c>
      <c r="AS235" s="335">
        <f t="shared" si="647"/>
        <v>2810.911597275317</v>
      </c>
      <c r="AT235" s="335">
        <f t="shared" si="647"/>
        <v>2836.7527842948862</v>
      </c>
      <c r="AU235" s="335">
        <f t="shared" si="647"/>
        <v>2862.8315337291629</v>
      </c>
      <c r="AV235" s="335">
        <f t="shared" si="647"/>
        <v>2889.1500295297151</v>
      </c>
      <c r="AW235" s="335">
        <f t="shared" si="647"/>
        <v>2915.7104757255465</v>
      </c>
      <c r="AX235" s="335">
        <f t="shared" si="647"/>
        <v>2942.5150966076735</v>
      </c>
      <c r="AY235" s="403">
        <f t="shared" si="647"/>
        <v>2969.5661369153968</v>
      </c>
      <c r="AZ235" s="335">
        <f t="shared" si="647"/>
        <v>3103.6197970162943</v>
      </c>
      <c r="BA235" s="335">
        <f t="shared" si="647"/>
        <v>3243.7249754056911</v>
      </c>
      <c r="BB235" s="335">
        <f t="shared" si="647"/>
        <v>3390.1548527902396</v>
      </c>
      <c r="BC235" s="335">
        <f t="shared" si="647"/>
        <v>3543.194941938556</v>
      </c>
      <c r="BD235" s="335">
        <f t="shared" si="647"/>
        <v>3703.1436443814096</v>
      </c>
      <c r="BE235" s="335">
        <f t="shared" si="647"/>
        <v>3870.3128322427578</v>
      </c>
      <c r="BF235" s="335">
        <f t="shared" si="647"/>
        <v>4045.028456336096</v>
      </c>
      <c r="BG235" s="335">
        <f t="shared" si="647"/>
        <v>4227.6311817117949</v>
      </c>
      <c r="BH235" s="335">
        <f t="shared" si="647"/>
        <v>4418.4770518946489</v>
      </c>
      <c r="BI235" s="335">
        <f t="shared" si="647"/>
        <v>4617.9381831067531</v>
      </c>
      <c r="BJ235" s="335">
        <f t="shared" si="647"/>
        <v>4826.4034898293658</v>
      </c>
      <c r="BK235" s="403">
        <f t="shared" si="647"/>
        <v>5044.2794431184329</v>
      </c>
    </row>
    <row r="236" spans="1:63" s="339" customFormat="1" ht="4.5" hidden="1" customHeight="1" outlineLevel="1">
      <c r="A236" s="348"/>
      <c r="B236" s="373"/>
      <c r="C236" s="360"/>
      <c r="D236" s="341"/>
      <c r="E236" s="341"/>
      <c r="F236" s="341"/>
      <c r="G236" s="341"/>
      <c r="H236" s="341"/>
      <c r="I236" s="341"/>
      <c r="J236" s="341"/>
      <c r="K236" s="341"/>
      <c r="L236" s="341"/>
      <c r="M236" s="341"/>
      <c r="N236" s="341"/>
      <c r="O236" s="401"/>
      <c r="P236" s="341"/>
      <c r="Q236" s="341"/>
      <c r="R236" s="341"/>
      <c r="S236" s="341"/>
      <c r="T236" s="341"/>
      <c r="U236" s="341"/>
      <c r="V236" s="341"/>
      <c r="W236" s="341"/>
      <c r="X236" s="341"/>
      <c r="Y236" s="341"/>
      <c r="Z236" s="341"/>
      <c r="AA236" s="401"/>
      <c r="AB236" s="341"/>
      <c r="AC236" s="341"/>
      <c r="AD236" s="341"/>
      <c r="AE236" s="341"/>
      <c r="AF236" s="341"/>
      <c r="AG236" s="341"/>
      <c r="AH236" s="341"/>
      <c r="AI236" s="341"/>
      <c r="AJ236" s="341"/>
      <c r="AK236" s="341"/>
      <c r="AL236" s="341"/>
      <c r="AM236" s="401"/>
      <c r="AN236" s="341"/>
      <c r="AO236" s="341"/>
      <c r="AP236" s="341"/>
      <c r="AQ236" s="341"/>
      <c r="AR236" s="341"/>
      <c r="AS236" s="341"/>
      <c r="AT236" s="341"/>
      <c r="AU236" s="341"/>
      <c r="AV236" s="341"/>
      <c r="AW236" s="341"/>
      <c r="AX236" s="341"/>
      <c r="AY236" s="401"/>
      <c r="AZ236" s="341"/>
      <c r="BA236" s="341"/>
      <c r="BB236" s="341"/>
      <c r="BC236" s="341"/>
      <c r="BD236" s="341"/>
      <c r="BE236" s="341"/>
      <c r="BF236" s="341"/>
      <c r="BG236" s="341"/>
      <c r="BH236" s="341"/>
      <c r="BI236" s="341"/>
      <c r="BJ236" s="341"/>
      <c r="BK236" s="401"/>
    </row>
    <row r="237" spans="1:63" s="248" customFormat="1" hidden="1" outlineLevel="1">
      <c r="A237" s="346"/>
      <c r="B237" s="374" t="s">
        <v>346</v>
      </c>
      <c r="C237" s="358">
        <v>500</v>
      </c>
      <c r="D237" s="353">
        <f>C237/12</f>
        <v>41.666666666666664</v>
      </c>
      <c r="E237" s="249">
        <f t="shared" ref="E237:O237" si="648">D237*(1+($I227/12))</f>
        <v>42.708333333333329</v>
      </c>
      <c r="F237" s="249">
        <f t="shared" si="648"/>
        <v>43.776041666666657</v>
      </c>
      <c r="G237" s="249">
        <f t="shared" si="648"/>
        <v>44.870442708333321</v>
      </c>
      <c r="H237" s="249">
        <f t="shared" si="648"/>
        <v>45.992203776041649</v>
      </c>
      <c r="I237" s="249">
        <f t="shared" si="648"/>
        <v>47.142008870442687</v>
      </c>
      <c r="J237" s="249">
        <f t="shared" si="648"/>
        <v>48.320559092203752</v>
      </c>
      <c r="K237" s="249">
        <f t="shared" si="648"/>
        <v>49.528573069508838</v>
      </c>
      <c r="L237" s="249">
        <f t="shared" si="648"/>
        <v>50.766787396246556</v>
      </c>
      <c r="M237" s="249">
        <f t="shared" si="648"/>
        <v>52.035957081152716</v>
      </c>
      <c r="N237" s="249">
        <f t="shared" si="648"/>
        <v>53.336856008181527</v>
      </c>
      <c r="O237" s="402">
        <f t="shared" si="648"/>
        <v>54.670277408386063</v>
      </c>
      <c r="P237" s="249">
        <f t="shared" ref="P237:AA237" si="649">O237*(1+($U227/12))</f>
        <v>55.695345109793301</v>
      </c>
      <c r="Q237" s="249">
        <f t="shared" si="649"/>
        <v>56.739632830601927</v>
      </c>
      <c r="R237" s="249">
        <f t="shared" si="649"/>
        <v>57.803500946175717</v>
      </c>
      <c r="S237" s="249">
        <f t="shared" si="649"/>
        <v>58.887316588916512</v>
      </c>
      <c r="T237" s="249">
        <f t="shared" si="649"/>
        <v>59.9914537749587</v>
      </c>
      <c r="U237" s="249">
        <f t="shared" si="649"/>
        <v>61.11629353323918</v>
      </c>
      <c r="V237" s="249">
        <f t="shared" si="649"/>
        <v>62.262224036987419</v>
      </c>
      <c r="W237" s="249">
        <f t="shared" si="649"/>
        <v>63.429640737680934</v>
      </c>
      <c r="X237" s="249">
        <f t="shared" si="649"/>
        <v>64.618946501512454</v>
      </c>
      <c r="Y237" s="249">
        <f t="shared" si="649"/>
        <v>65.830551748415814</v>
      </c>
      <c r="Z237" s="249">
        <f t="shared" si="649"/>
        <v>67.064874593698619</v>
      </c>
      <c r="AA237" s="402">
        <f t="shared" si="649"/>
        <v>68.322340992330467</v>
      </c>
      <c r="AB237" s="249">
        <f t="shared" ref="AB237:AM237" si="650">AA237*(1+($AG227/12))</f>
        <v>69.005564402253768</v>
      </c>
      <c r="AC237" s="249">
        <f t="shared" si="650"/>
        <v>69.695620046276304</v>
      </c>
      <c r="AD237" s="249">
        <f t="shared" si="650"/>
        <v>70.392576246739068</v>
      </c>
      <c r="AE237" s="249">
        <f t="shared" si="650"/>
        <v>71.096502009206461</v>
      </c>
      <c r="AF237" s="249">
        <f t="shared" si="650"/>
        <v>71.807467029298522</v>
      </c>
      <c r="AG237" s="249">
        <f t="shared" si="650"/>
        <v>72.525541699591514</v>
      </c>
      <c r="AH237" s="249">
        <f t="shared" si="650"/>
        <v>73.250797116587435</v>
      </c>
      <c r="AI237" s="249">
        <f t="shared" si="650"/>
        <v>73.983305087753308</v>
      </c>
      <c r="AJ237" s="249">
        <f t="shared" si="650"/>
        <v>74.723138138630844</v>
      </c>
      <c r="AK237" s="249">
        <f t="shared" si="650"/>
        <v>75.470369520017158</v>
      </c>
      <c r="AL237" s="249">
        <f t="shared" si="650"/>
        <v>76.225073215217336</v>
      </c>
      <c r="AM237" s="402">
        <f t="shared" si="650"/>
        <v>76.987323947369504</v>
      </c>
      <c r="AN237" s="249">
        <f t="shared" ref="AN237:AY237" si="651">AM237*(1+($AS227/12))</f>
        <v>77.372260567106338</v>
      </c>
      <c r="AO237" s="249">
        <f t="shared" si="651"/>
        <v>77.759121869941865</v>
      </c>
      <c r="AP237" s="249">
        <f t="shared" si="651"/>
        <v>78.147917479291564</v>
      </c>
      <c r="AQ237" s="249">
        <f t="shared" si="651"/>
        <v>78.538657066688017</v>
      </c>
      <c r="AR237" s="249">
        <f t="shared" si="651"/>
        <v>78.931350352021454</v>
      </c>
      <c r="AS237" s="249">
        <f t="shared" si="651"/>
        <v>79.326007103781549</v>
      </c>
      <c r="AT237" s="249">
        <f t="shared" si="651"/>
        <v>79.722637139300446</v>
      </c>
      <c r="AU237" s="249">
        <f t="shared" si="651"/>
        <v>80.121250324996936</v>
      </c>
      <c r="AV237" s="249">
        <f t="shared" si="651"/>
        <v>80.521856576621914</v>
      </c>
      <c r="AW237" s="249">
        <f t="shared" si="651"/>
        <v>80.92446585950502</v>
      </c>
      <c r="AX237" s="249">
        <f t="shared" si="651"/>
        <v>81.32908818880253</v>
      </c>
      <c r="AY237" s="402">
        <f t="shared" si="651"/>
        <v>81.735733629746534</v>
      </c>
      <c r="AZ237" s="249">
        <f t="shared" ref="AZ237:BK237" si="652">AY237*(1+($BES227/12))</f>
        <v>81.735733629746534</v>
      </c>
      <c r="BA237" s="249">
        <f t="shared" si="652"/>
        <v>81.735733629746534</v>
      </c>
      <c r="BB237" s="249">
        <f t="shared" si="652"/>
        <v>81.735733629746534</v>
      </c>
      <c r="BC237" s="249">
        <f t="shared" si="652"/>
        <v>81.735733629746534</v>
      </c>
      <c r="BD237" s="249">
        <f t="shared" si="652"/>
        <v>81.735733629746534</v>
      </c>
      <c r="BE237" s="249">
        <f t="shared" si="652"/>
        <v>81.735733629746534</v>
      </c>
      <c r="BF237" s="249">
        <f t="shared" si="652"/>
        <v>81.735733629746534</v>
      </c>
      <c r="BG237" s="249">
        <f t="shared" si="652"/>
        <v>81.735733629746534</v>
      </c>
      <c r="BH237" s="249">
        <f t="shared" si="652"/>
        <v>81.735733629746534</v>
      </c>
      <c r="BI237" s="249">
        <f t="shared" si="652"/>
        <v>81.735733629746534</v>
      </c>
      <c r="BJ237" s="249">
        <f t="shared" si="652"/>
        <v>81.735733629746534</v>
      </c>
      <c r="BK237" s="402">
        <f t="shared" si="652"/>
        <v>81.735733629746534</v>
      </c>
    </row>
    <row r="238" spans="1:63" s="54" customFormat="1" hidden="1" outlineLevel="1">
      <c r="A238" s="344"/>
      <c r="B238" s="370" t="s">
        <v>345</v>
      </c>
      <c r="C238" s="361">
        <v>0.04</v>
      </c>
      <c r="D238" s="355">
        <f>M227</f>
        <v>0.04</v>
      </c>
      <c r="E238" s="169">
        <f t="shared" ref="E238:O238" si="653">D238</f>
        <v>0.04</v>
      </c>
      <c r="F238" s="169">
        <f t="shared" si="653"/>
        <v>0.04</v>
      </c>
      <c r="G238" s="169">
        <f t="shared" si="653"/>
        <v>0.04</v>
      </c>
      <c r="H238" s="169">
        <f t="shared" si="653"/>
        <v>0.04</v>
      </c>
      <c r="I238" s="169">
        <f t="shared" si="653"/>
        <v>0.04</v>
      </c>
      <c r="J238" s="169">
        <f t="shared" si="653"/>
        <v>0.04</v>
      </c>
      <c r="K238" s="169">
        <f t="shared" si="653"/>
        <v>0.04</v>
      </c>
      <c r="L238" s="169">
        <f t="shared" si="653"/>
        <v>0.04</v>
      </c>
      <c r="M238" s="169">
        <f t="shared" si="653"/>
        <v>0.04</v>
      </c>
      <c r="N238" s="169">
        <f t="shared" si="653"/>
        <v>0.04</v>
      </c>
      <c r="O238" s="405">
        <f t="shared" si="653"/>
        <v>0.04</v>
      </c>
      <c r="P238" s="169">
        <f t="shared" ref="P238:AA238" si="654">$Y227</f>
        <v>0.04</v>
      </c>
      <c r="Q238" s="169">
        <f t="shared" si="654"/>
        <v>0.04</v>
      </c>
      <c r="R238" s="169">
        <f t="shared" si="654"/>
        <v>0.04</v>
      </c>
      <c r="S238" s="169">
        <f t="shared" si="654"/>
        <v>0.04</v>
      </c>
      <c r="T238" s="169">
        <f t="shared" si="654"/>
        <v>0.04</v>
      </c>
      <c r="U238" s="169">
        <f t="shared" si="654"/>
        <v>0.04</v>
      </c>
      <c r="V238" s="169">
        <f t="shared" si="654"/>
        <v>0.04</v>
      </c>
      <c r="W238" s="169">
        <f t="shared" si="654"/>
        <v>0.04</v>
      </c>
      <c r="X238" s="169">
        <f t="shared" si="654"/>
        <v>0.04</v>
      </c>
      <c r="Y238" s="169">
        <f t="shared" si="654"/>
        <v>0.04</v>
      </c>
      <c r="Z238" s="169">
        <f t="shared" si="654"/>
        <v>0.04</v>
      </c>
      <c r="AA238" s="405">
        <f t="shared" si="654"/>
        <v>0.04</v>
      </c>
      <c r="AB238" s="169">
        <f t="shared" ref="AB238:AM238" si="655">$AK227</f>
        <v>0.04</v>
      </c>
      <c r="AC238" s="169">
        <f t="shared" si="655"/>
        <v>0.04</v>
      </c>
      <c r="AD238" s="169">
        <f t="shared" si="655"/>
        <v>0.04</v>
      </c>
      <c r="AE238" s="169">
        <f t="shared" si="655"/>
        <v>0.04</v>
      </c>
      <c r="AF238" s="169">
        <f t="shared" si="655"/>
        <v>0.04</v>
      </c>
      <c r="AG238" s="169">
        <f t="shared" si="655"/>
        <v>0.04</v>
      </c>
      <c r="AH238" s="169">
        <f t="shared" si="655"/>
        <v>0.04</v>
      </c>
      <c r="AI238" s="169">
        <f t="shared" si="655"/>
        <v>0.04</v>
      </c>
      <c r="AJ238" s="169">
        <f t="shared" si="655"/>
        <v>0.04</v>
      </c>
      <c r="AK238" s="169">
        <f t="shared" si="655"/>
        <v>0.04</v>
      </c>
      <c r="AL238" s="169">
        <f t="shared" si="655"/>
        <v>0.04</v>
      </c>
      <c r="AM238" s="405">
        <f t="shared" si="655"/>
        <v>0.04</v>
      </c>
      <c r="AN238" s="169">
        <f t="shared" ref="AN238:AY238" si="656">$AW227</f>
        <v>0.04</v>
      </c>
      <c r="AO238" s="169">
        <f t="shared" si="656"/>
        <v>0.04</v>
      </c>
      <c r="AP238" s="169">
        <f t="shared" si="656"/>
        <v>0.04</v>
      </c>
      <c r="AQ238" s="169">
        <f t="shared" si="656"/>
        <v>0.04</v>
      </c>
      <c r="AR238" s="169">
        <f t="shared" si="656"/>
        <v>0.04</v>
      </c>
      <c r="AS238" s="169">
        <f t="shared" si="656"/>
        <v>0.04</v>
      </c>
      <c r="AT238" s="169">
        <f t="shared" si="656"/>
        <v>0.04</v>
      </c>
      <c r="AU238" s="169">
        <f t="shared" si="656"/>
        <v>0.04</v>
      </c>
      <c r="AV238" s="169">
        <f t="shared" si="656"/>
        <v>0.04</v>
      </c>
      <c r="AW238" s="169">
        <f t="shared" si="656"/>
        <v>0.04</v>
      </c>
      <c r="AX238" s="169">
        <f t="shared" si="656"/>
        <v>0.04</v>
      </c>
      <c r="AY238" s="405">
        <f t="shared" si="656"/>
        <v>0.04</v>
      </c>
      <c r="AZ238" s="169">
        <f t="shared" ref="AZ238:BK238" si="657">$BI227</f>
        <v>0.04</v>
      </c>
      <c r="BA238" s="169">
        <f t="shared" si="657"/>
        <v>0.04</v>
      </c>
      <c r="BB238" s="169">
        <f t="shared" si="657"/>
        <v>0.04</v>
      </c>
      <c r="BC238" s="169">
        <f t="shared" si="657"/>
        <v>0.04</v>
      </c>
      <c r="BD238" s="169">
        <f t="shared" si="657"/>
        <v>0.04</v>
      </c>
      <c r="BE238" s="169">
        <f t="shared" si="657"/>
        <v>0.04</v>
      </c>
      <c r="BF238" s="169">
        <f t="shared" si="657"/>
        <v>0.04</v>
      </c>
      <c r="BG238" s="169">
        <f t="shared" si="657"/>
        <v>0.04</v>
      </c>
      <c r="BH238" s="169">
        <f t="shared" si="657"/>
        <v>0.04</v>
      </c>
      <c r="BI238" s="169">
        <f t="shared" si="657"/>
        <v>0.04</v>
      </c>
      <c r="BJ238" s="169">
        <f t="shared" si="657"/>
        <v>0.04</v>
      </c>
      <c r="BK238" s="405">
        <f t="shared" si="657"/>
        <v>0.04</v>
      </c>
    </row>
    <row r="239" spans="1:63" s="336" customFormat="1" ht="19.5" hidden="1" outlineLevel="1" thickBot="1">
      <c r="A239" s="347"/>
      <c r="B239" s="375" t="s">
        <v>300</v>
      </c>
      <c r="C239" s="362">
        <f>C238*'Prg. HR'!D$38*12</f>
        <v>3024</v>
      </c>
      <c r="D239" s="351">
        <f>D238*'Prg. HR'!D$38</f>
        <v>252</v>
      </c>
      <c r="E239" s="337">
        <f>E238*'Prg. HR'!E$38</f>
        <v>248.22</v>
      </c>
      <c r="F239" s="337">
        <f>F238*'Prg. HR'!F$38</f>
        <v>244.49670000000003</v>
      </c>
      <c r="G239" s="337">
        <f>G238*'Prg. HR'!G$38</f>
        <v>333.22924950000004</v>
      </c>
      <c r="H239" s="337">
        <f>H238*'Prg. HR'!H$38</f>
        <v>329.61681075749999</v>
      </c>
      <c r="I239" s="337">
        <f>I238*'Prg. HR'!I$38</f>
        <v>326.05855859613752</v>
      </c>
      <c r="J239" s="337">
        <f>J238*'Prg. HR'!J$38</f>
        <v>322.55368021719545</v>
      </c>
      <c r="K239" s="337">
        <f>K238*'Prg. HR'!K$38</f>
        <v>389.10137501393751</v>
      </c>
      <c r="L239" s="337">
        <f>L238*'Prg. HR'!L$38</f>
        <v>391.53418772206174</v>
      </c>
      <c r="M239" s="337">
        <f>M238*'Prg. HR'!M$38</f>
        <v>388.67078601734198</v>
      </c>
      <c r="N239" s="337">
        <f>N238*'Prg. HR'!N$38</f>
        <v>385.41202515300779</v>
      </c>
      <c r="O239" s="406">
        <f>O238*'Prg. HR'!O$38</f>
        <v>382.16561985287314</v>
      </c>
      <c r="P239" s="337">
        <f>P238*'Prg. HR'!P$38</f>
        <v>372.60125602190101</v>
      </c>
      <c r="Q239" s="337">
        <f>Q238*'Prg. HR'!Q$38</f>
        <v>375.28157051490587</v>
      </c>
      <c r="R239" s="337">
        <f>R238*'Prg. HR'!R$38</f>
        <v>372.6619580682933</v>
      </c>
      <c r="S239" s="337">
        <f>S238*'Prg. HR'!S$38</f>
        <v>369.64332962319486</v>
      </c>
      <c r="T239" s="337">
        <f>T238*'Prg. HR'!T$38</f>
        <v>366.63345475600744</v>
      </c>
      <c r="U239" s="337">
        <f>U238*'Prg. HR'!U$38</f>
        <v>552.6656841910974</v>
      </c>
      <c r="V239" s="337">
        <f>V238*'Prg. HR'!V$38</f>
        <v>549.7421765329334</v>
      </c>
      <c r="W239" s="337">
        <f>W238*'Prg. HR'!W$38</f>
        <v>546.86250035199794</v>
      </c>
      <c r="X239" s="337">
        <f>X238*'Prg. HR'!X$38</f>
        <v>544.02601755230614</v>
      </c>
      <c r="Y239" s="337">
        <f>Y238*'Prg. HR'!Y$38</f>
        <v>541.2320818478205</v>
      </c>
      <c r="Z239" s="337">
        <f>Z238*'Prg. HR'!Z$38</f>
        <v>538.4800551666699</v>
      </c>
      <c r="AA239" s="406">
        <f>AA238*'Prg. HR'!AA$38</f>
        <v>612.13294524834487</v>
      </c>
      <c r="AB239" s="337">
        <f>AB238*'Prg. HR'!AB$38</f>
        <v>708.35993434957743</v>
      </c>
      <c r="AC239" s="337">
        <f>AC238*'Prg. HR'!AC$38</f>
        <v>702.02587702604012</v>
      </c>
      <c r="AD239" s="337">
        <f>AD238*'Prg. HR'!AD$38</f>
        <v>694.34690640706162</v>
      </c>
      <c r="AE239" s="337">
        <f>AE238*'Prg. HR'!AE$38</f>
        <v>686.77494829209593</v>
      </c>
      <c r="AF239" s="337">
        <f>AF238*'Prg. HR'!AF$38</f>
        <v>679.53543207838902</v>
      </c>
      <c r="AG239" s="337">
        <f>AG238*'Prg. HR'!AG$38</f>
        <v>672.65019900795244</v>
      </c>
      <c r="AH239" s="337">
        <f>AH238*'Prg. HR'!AH$38</f>
        <v>666.10794547980197</v>
      </c>
      <c r="AI239" s="337">
        <f>AI238*'Prg. HR'!AI$38</f>
        <v>743.89258639635932</v>
      </c>
      <c r="AJ239" s="337">
        <f>AJ238*'Prg. HR'!AJ$38</f>
        <v>758.98796662417828</v>
      </c>
      <c r="AK239" s="337">
        <f>AK238*'Prg. HR'!AK$38</f>
        <v>758.62857067987852</v>
      </c>
      <c r="AL239" s="337">
        <f>AL238*'Prg. HR'!AL$38</f>
        <v>847.0121427426119</v>
      </c>
      <c r="AM239" s="406">
        <f>AM238*'Prg. HR'!AM$38</f>
        <v>842.27778575466323</v>
      </c>
      <c r="AN239" s="337">
        <f>AN238*'Prg. HR'!AN$38</f>
        <v>933.22624025866537</v>
      </c>
      <c r="AO239" s="337">
        <f>AO238*'Prg. HR'!AO$38</f>
        <v>913.11698554435475</v>
      </c>
      <c r="AP239" s="337">
        <f>AP238*'Prg. HR'!AP$38</f>
        <v>906.18647915024076</v>
      </c>
      <c r="AQ239" s="337">
        <f>AQ238*'Prg. HR'!AQ$38</f>
        <v>901.63137900657921</v>
      </c>
      <c r="AR239" s="337">
        <f>AR238*'Prg. HR'!AR$38</f>
        <v>981.64937530512168</v>
      </c>
      <c r="AS239" s="337">
        <f>AS238*'Prg. HR'!AS$38</f>
        <v>1091.3117978520834</v>
      </c>
      <c r="AT239" s="337">
        <f>AT238*'Prg. HR'!AT$38</f>
        <v>1093.0224307875337</v>
      </c>
      <c r="AU239" s="337">
        <f>AU238*'Prg. HR'!AU$38</f>
        <v>1090.9753649551708</v>
      </c>
      <c r="AV239" s="337">
        <f>AV238*'Prg. HR'!AV$38</f>
        <v>1088.1126106341655</v>
      </c>
      <c r="AW239" s="337">
        <f>AW238*'Prg. HR'!AW$38</f>
        <v>1085.1634835841455</v>
      </c>
      <c r="AX239" s="337">
        <f>AX238*'Prg. HR'!AX$38</f>
        <v>1271.3044352753604</v>
      </c>
      <c r="AY239" s="406">
        <f>AY238*'Prg. HR'!AY$38</f>
        <v>1454.3067590901971</v>
      </c>
      <c r="AZ239" s="337">
        <f>AZ238*'Prg. HR'!AZ$38</f>
        <v>1482.8206029952221</v>
      </c>
      <c r="BA239" s="337">
        <f>BA238*'Prg. HR'!BA$38</f>
        <v>1490.7226334653062</v>
      </c>
      <c r="BB239" s="337">
        <f>BB238*'Prg. HR'!BB$38</f>
        <v>1491.8341886653225</v>
      </c>
      <c r="BC239" s="337">
        <f>BC238*'Prg. HR'!BC$38</f>
        <v>1490.7583748564834</v>
      </c>
      <c r="BD239" s="337">
        <f>BD238*'Prg. HR'!BD$38</f>
        <v>1581.4257546551355</v>
      </c>
      <c r="BE239" s="337">
        <f>BE238*'Prg. HR'!BE$38</f>
        <v>1873.5268953307316</v>
      </c>
      <c r="BF239" s="337">
        <f>BF238*'Prg. HR'!BF$38</f>
        <v>1915.4132290676757</v>
      </c>
      <c r="BG239" s="337">
        <f>BG238*'Prg. HR'!BG$38</f>
        <v>1931.8470169907425</v>
      </c>
      <c r="BH239" s="337">
        <f>BH238*'Prg. HR'!BH$38</f>
        <v>2030.1265200480595</v>
      </c>
      <c r="BI239" s="337">
        <f>BI238*'Prg. HR'!BI$38</f>
        <v>2151.2042051847848</v>
      </c>
      <c r="BJ239" s="337">
        <f>BJ238*'Prg. HR'!BJ$38</f>
        <v>2211.0060004951101</v>
      </c>
      <c r="BK239" s="406">
        <f>BK238*'Prg. HR'!BK$38</f>
        <v>2429.2067032551367</v>
      </c>
    </row>
    <row r="240" spans="1:63" s="54" customFormat="1" hidden="1" outlineLevel="1">
      <c r="A240" s="857"/>
      <c r="B240" s="192" t="s">
        <v>386</v>
      </c>
      <c r="C240" s="1207">
        <f t="shared" ref="C240:AH240" si="658">(C237+C239)/C228</f>
        <v>293.66666666666669</v>
      </c>
      <c r="D240" s="368">
        <f t="shared" si="658"/>
        <v>293.66666666666669</v>
      </c>
      <c r="E240" s="1208">
        <f t="shared" si="658"/>
        <v>277.07460317460317</v>
      </c>
      <c r="F240" s="1208">
        <f t="shared" si="658"/>
        <v>261.4718745275888</v>
      </c>
      <c r="G240" s="1208">
        <f t="shared" si="658"/>
        <v>326.6167301227369</v>
      </c>
      <c r="H240" s="1208">
        <f t="shared" si="658"/>
        <v>309.01446581088464</v>
      </c>
      <c r="I240" s="1208">
        <f t="shared" si="658"/>
        <v>292.41240995094302</v>
      </c>
      <c r="J240" s="1208">
        <f t="shared" si="658"/>
        <v>276.75206758857075</v>
      </c>
      <c r="K240" s="1208">
        <f t="shared" si="658"/>
        <v>311.72611493884972</v>
      </c>
      <c r="L240" s="1208">
        <f t="shared" si="658"/>
        <v>299.36670982374193</v>
      </c>
      <c r="M240" s="1208">
        <f t="shared" si="658"/>
        <v>284.0834960385958</v>
      </c>
      <c r="N240" s="1208">
        <f t="shared" si="658"/>
        <v>269.35375312103361</v>
      </c>
      <c r="O240" s="1209">
        <f t="shared" si="658"/>
        <v>255.40890185814899</v>
      </c>
      <c r="P240" s="1208">
        <f t="shared" si="658"/>
        <v>246.31096944375386</v>
      </c>
      <c r="Q240" s="1208">
        <f t="shared" si="658"/>
        <v>244.37996779154722</v>
      </c>
      <c r="R240" s="1208">
        <f t="shared" si="658"/>
        <v>239.50813296009306</v>
      </c>
      <c r="S240" s="1208">
        <f t="shared" si="658"/>
        <v>234.52290090464518</v>
      </c>
      <c r="T240" s="1208">
        <f t="shared" si="658"/>
        <v>229.65240362909049</v>
      </c>
      <c r="U240" s="1208">
        <f t="shared" si="658"/>
        <v>324.98276897279351</v>
      </c>
      <c r="V240" s="1208">
        <f t="shared" si="658"/>
        <v>318.72942757161258</v>
      </c>
      <c r="W240" s="1208">
        <f t="shared" si="658"/>
        <v>312.62723579876263</v>
      </c>
      <c r="X240" s="1208">
        <f t="shared" si="658"/>
        <v>306.67225144290762</v>
      </c>
      <c r="Y240" s="1208">
        <f t="shared" si="658"/>
        <v>300.86063348756471</v>
      </c>
      <c r="Z240" s="1208">
        <f t="shared" si="658"/>
        <v>295.18864769093597</v>
      </c>
      <c r="AA240" s="1209">
        <f t="shared" si="658"/>
        <v>326.2678544555917</v>
      </c>
      <c r="AB240" s="1208">
        <f t="shared" si="658"/>
        <v>369.04436862855744</v>
      </c>
      <c r="AC240" s="1208">
        <f t="shared" si="658"/>
        <v>362.73757497347515</v>
      </c>
      <c r="AD240" s="1208">
        <f t="shared" si="658"/>
        <v>355.896802581435</v>
      </c>
      <c r="AE240" s="1208">
        <f t="shared" si="658"/>
        <v>349.20845212942442</v>
      </c>
      <c r="AF240" s="1208">
        <f t="shared" si="658"/>
        <v>342.77253161596116</v>
      </c>
      <c r="AG240" s="1208">
        <f t="shared" si="658"/>
        <v>336.59306206362743</v>
      </c>
      <c r="AH240" s="1208">
        <f t="shared" si="658"/>
        <v>330.65895646578161</v>
      </c>
      <c r="AI240" s="1208">
        <f t="shared" ref="AI240:BK240" si="659">(AI237+AI239)/AI228</f>
        <v>362.15218610508015</v>
      </c>
      <c r="AJ240" s="1208">
        <f t="shared" si="659"/>
        <v>365.50886678515968</v>
      </c>
      <c r="AK240" s="1208">
        <f t="shared" si="659"/>
        <v>362.0583153017443</v>
      </c>
      <c r="AL240" s="1208">
        <f t="shared" si="659"/>
        <v>396.78284384208342</v>
      </c>
      <c r="AM240" s="1209">
        <f t="shared" si="659"/>
        <v>391.16409706055936</v>
      </c>
      <c r="AN240" s="1208">
        <f t="shared" si="659"/>
        <v>427.88868003681034</v>
      </c>
      <c r="AO240" s="1208">
        <f t="shared" si="659"/>
        <v>417.45093909274527</v>
      </c>
      <c r="AP240" s="1208">
        <f t="shared" si="659"/>
        <v>412.63179148051569</v>
      </c>
      <c r="AQ240" s="1208">
        <f t="shared" si="659"/>
        <v>408.84188712395627</v>
      </c>
      <c r="AR240" s="1208">
        <f t="shared" si="659"/>
        <v>440.18134265853899</v>
      </c>
      <c r="AS240" s="1208">
        <f t="shared" si="659"/>
        <v>483.44200679559299</v>
      </c>
      <c r="AT240" s="1208">
        <f t="shared" si="659"/>
        <v>481.90273618661485</v>
      </c>
      <c r="AU240" s="1208">
        <f t="shared" si="659"/>
        <v>478.8312003665859</v>
      </c>
      <c r="AV240" s="1208">
        <f t="shared" si="659"/>
        <v>475.44725524995619</v>
      </c>
      <c r="AW240" s="1208">
        <f t="shared" si="659"/>
        <v>472.05097506747541</v>
      </c>
      <c r="AX240" s="1208">
        <f t="shared" si="659"/>
        <v>544.84337778935503</v>
      </c>
      <c r="AY240" s="1209">
        <f t="shared" si="659"/>
        <v>615.64264916351067</v>
      </c>
      <c r="AZ240" s="1208">
        <f t="shared" si="659"/>
        <v>601.98810118473034</v>
      </c>
      <c r="BA240" s="1208">
        <f t="shared" si="659"/>
        <v>580.82739257310436</v>
      </c>
      <c r="BB240" s="1208">
        <f t="shared" si="659"/>
        <v>557.9884547398924</v>
      </c>
      <c r="BC240" s="1208">
        <f t="shared" si="659"/>
        <v>535.30269194900916</v>
      </c>
      <c r="BD240" s="1208">
        <f t="shared" si="659"/>
        <v>543.52065571462799</v>
      </c>
      <c r="BE240" s="1208">
        <f t="shared" si="659"/>
        <v>613.42004869985169</v>
      </c>
      <c r="BF240" s="1208">
        <f t="shared" si="659"/>
        <v>601.49851379588506</v>
      </c>
      <c r="BG240" s="1208">
        <f t="shared" si="659"/>
        <v>582.19009815708068</v>
      </c>
      <c r="BH240" s="1208">
        <f t="shared" si="659"/>
        <v>586.18156154182373</v>
      </c>
      <c r="BI240" s="1208">
        <f t="shared" si="659"/>
        <v>594.99708807645277</v>
      </c>
      <c r="BJ240" s="1208">
        <f t="shared" si="659"/>
        <v>586.49480289662063</v>
      </c>
      <c r="BK240" s="1209">
        <f t="shared" si="659"/>
        <v>616.61916864830289</v>
      </c>
    </row>
    <row r="241" spans="1:63" s="54" customFormat="1" hidden="1" outlineLevel="1">
      <c r="A241" s="857"/>
      <c r="B241" s="192" t="s">
        <v>390</v>
      </c>
      <c r="C241" s="1207">
        <f t="shared" ref="C241:AH241" si="660">(C237+C239)/C230</f>
        <v>704.8</v>
      </c>
      <c r="D241" s="368">
        <f t="shared" si="660"/>
        <v>704.80000000000007</v>
      </c>
      <c r="E241" s="1208">
        <f t="shared" si="660"/>
        <v>663.59655479655476</v>
      </c>
      <c r="F241" s="1208">
        <f t="shared" si="660"/>
        <v>624.9259284787646</v>
      </c>
      <c r="G241" s="1208">
        <f t="shared" si="660"/>
        <v>779.00124422885006</v>
      </c>
      <c r="H241" s="1208">
        <f t="shared" si="660"/>
        <v>735.48648400325601</v>
      </c>
      <c r="I241" s="1208">
        <f t="shared" si="660"/>
        <v>694.52494189306867</v>
      </c>
      <c r="J241" s="1208">
        <f t="shared" si="660"/>
        <v>655.96260493906561</v>
      </c>
      <c r="K241" s="1208">
        <f t="shared" si="660"/>
        <v>737.32261664263638</v>
      </c>
      <c r="L241" s="1208">
        <f t="shared" si="660"/>
        <v>706.61692254363845</v>
      </c>
      <c r="M241" s="1208">
        <f t="shared" si="660"/>
        <v>669.14878640699283</v>
      </c>
      <c r="N241" s="1208">
        <f t="shared" si="660"/>
        <v>633.13435976830908</v>
      </c>
      <c r="O241" s="1209">
        <f t="shared" si="660"/>
        <v>599.10789474425872</v>
      </c>
      <c r="P241" s="1208">
        <f t="shared" si="660"/>
        <v>576.80570162594529</v>
      </c>
      <c r="Q241" s="1208">
        <f t="shared" si="660"/>
        <v>571.33150454160136</v>
      </c>
      <c r="R241" s="1208">
        <f t="shared" si="660"/>
        <v>559.01004663598405</v>
      </c>
      <c r="S241" s="1208">
        <f t="shared" si="660"/>
        <v>546.46378233840346</v>
      </c>
      <c r="T241" s="1208">
        <f t="shared" si="660"/>
        <v>534.22462133587283</v>
      </c>
      <c r="U241" s="1208">
        <f t="shared" si="660"/>
        <v>754.72722726386291</v>
      </c>
      <c r="V241" s="1208">
        <f t="shared" si="660"/>
        <v>738.97309081601384</v>
      </c>
      <c r="W241" s="1208">
        <f t="shared" si="660"/>
        <v>723.61914808836195</v>
      </c>
      <c r="X241" s="1208">
        <f t="shared" si="660"/>
        <v>708.65441920010028</v>
      </c>
      <c r="Y241" s="1208">
        <f t="shared" si="660"/>
        <v>694.06822443533918</v>
      </c>
      <c r="Z241" s="1208">
        <f t="shared" si="660"/>
        <v>679.85019488297075</v>
      </c>
      <c r="AA241" s="1209">
        <f t="shared" si="660"/>
        <v>750.17854689394653</v>
      </c>
      <c r="AB241" s="1208">
        <f t="shared" si="660"/>
        <v>847.47404624053434</v>
      </c>
      <c r="AC241" s="1208">
        <f t="shared" si="660"/>
        <v>831.95117678198665</v>
      </c>
      <c r="AD241" s="1208">
        <f t="shared" si="660"/>
        <v>815.2425754311821</v>
      </c>
      <c r="AE241" s="1208">
        <f t="shared" si="660"/>
        <v>798.92310942040388</v>
      </c>
      <c r="AF241" s="1208">
        <f t="shared" si="660"/>
        <v>783.21991162713698</v>
      </c>
      <c r="AG241" s="1208">
        <f t="shared" si="660"/>
        <v>768.13992503737688</v>
      </c>
      <c r="AH241" s="1208">
        <f t="shared" si="660"/>
        <v>753.65561729745366</v>
      </c>
      <c r="AI241" s="1208">
        <f t="shared" ref="AI241:BK241" si="661">(AI237+AI239)/AI230</f>
        <v>824.40616665828111</v>
      </c>
      <c r="AJ241" s="1208">
        <f t="shared" si="661"/>
        <v>831.00858099140578</v>
      </c>
      <c r="AK241" s="1208">
        <f t="shared" si="661"/>
        <v>822.13585417932916</v>
      </c>
      <c r="AL241" s="1208">
        <f t="shared" si="661"/>
        <v>899.8609776089196</v>
      </c>
      <c r="AM241" s="1209">
        <f t="shared" si="661"/>
        <v>886.01074847825635</v>
      </c>
      <c r="AN241" s="1208">
        <f t="shared" si="661"/>
        <v>968.06477970243157</v>
      </c>
      <c r="AO241" s="1208">
        <f t="shared" si="661"/>
        <v>943.34962999101742</v>
      </c>
      <c r="AP241" s="1208">
        <f t="shared" si="661"/>
        <v>931.37278792140296</v>
      </c>
      <c r="AQ241" s="1208">
        <f t="shared" si="661"/>
        <v>921.74302980327116</v>
      </c>
      <c r="AR241" s="1208">
        <f t="shared" si="661"/>
        <v>991.24207274745572</v>
      </c>
      <c r="AS241" s="1208">
        <f t="shared" si="661"/>
        <v>1087.3919130860131</v>
      </c>
      <c r="AT241" s="1208">
        <f t="shared" si="661"/>
        <v>1082.6665659013033</v>
      </c>
      <c r="AU241" s="1208">
        <f t="shared" si="661"/>
        <v>1074.5123036426317</v>
      </c>
      <c r="AV241" s="1208">
        <f t="shared" si="661"/>
        <v>1065.675336266014</v>
      </c>
      <c r="AW241" s="1208">
        <f t="shared" si="661"/>
        <v>1056.8298895257176</v>
      </c>
      <c r="AX241" s="1208">
        <f t="shared" si="661"/>
        <v>1218.3764156788545</v>
      </c>
      <c r="AY241" s="1209">
        <f t="shared" si="661"/>
        <v>1375.0931661505945</v>
      </c>
      <c r="AZ241" s="1208">
        <f t="shared" si="661"/>
        <v>1343.4749440640458</v>
      </c>
      <c r="BA241" s="1208">
        <f t="shared" si="661"/>
        <v>1295.170645591744</v>
      </c>
      <c r="BB241" s="1208">
        <f t="shared" si="661"/>
        <v>1243.2067356885025</v>
      </c>
      <c r="BC241" s="1208">
        <f t="shared" si="661"/>
        <v>1191.6694544190248</v>
      </c>
      <c r="BD241" s="1208">
        <f t="shared" si="661"/>
        <v>1208.9564931017167</v>
      </c>
      <c r="BE241" s="1208">
        <f t="shared" si="661"/>
        <v>1363.2980811208574</v>
      </c>
      <c r="BF241" s="1208">
        <f t="shared" si="661"/>
        <v>1335.6899385702634</v>
      </c>
      <c r="BG241" s="1208">
        <f t="shared" si="661"/>
        <v>1291.7371481014911</v>
      </c>
      <c r="BH241" s="1208">
        <f t="shared" si="661"/>
        <v>1299.510301896395</v>
      </c>
      <c r="BI241" s="1208">
        <f t="shared" si="661"/>
        <v>1317.9552128031514</v>
      </c>
      <c r="BJ241" s="1208">
        <f t="shared" si="661"/>
        <v>1298.0404268776654</v>
      </c>
      <c r="BK241" s="1209">
        <f t="shared" si="661"/>
        <v>1363.5758801911393</v>
      </c>
    </row>
    <row r="242" spans="1:63" s="54" customFormat="1" hidden="1" outlineLevel="1">
      <c r="A242" s="857"/>
      <c r="B242" s="192" t="s">
        <v>391</v>
      </c>
      <c r="C242" s="1207">
        <f t="shared" ref="C242:AH242" si="662">(C239+C237)/C232</f>
        <v>1762</v>
      </c>
      <c r="D242" s="368">
        <f t="shared" si="662"/>
        <v>1762</v>
      </c>
      <c r="E242" s="1208">
        <f t="shared" si="662"/>
        <v>1655.5423404487849</v>
      </c>
      <c r="F242" s="1208">
        <f t="shared" si="662"/>
        <v>1555.8254623889434</v>
      </c>
      <c r="G242" s="1208">
        <f t="shared" si="662"/>
        <v>1935.3817568085822</v>
      </c>
      <c r="H242" s="1208">
        <f t="shared" si="662"/>
        <v>1823.4730490016275</v>
      </c>
      <c r="I242" s="1208">
        <f t="shared" si="662"/>
        <v>1718.3382616485017</v>
      </c>
      <c r="J242" s="1208">
        <f t="shared" si="662"/>
        <v>1619.5563250728057</v>
      </c>
      <c r="K242" s="1208">
        <f t="shared" si="662"/>
        <v>1816.6476080004729</v>
      </c>
      <c r="L242" s="1208">
        <f t="shared" si="662"/>
        <v>1737.374050927858</v>
      </c>
      <c r="M242" s="1208">
        <f t="shared" si="662"/>
        <v>1641.8298691000507</v>
      </c>
      <c r="N242" s="1208">
        <f t="shared" si="662"/>
        <v>1550.2348710974297</v>
      </c>
      <c r="O242" s="1209">
        <f t="shared" si="662"/>
        <v>1463.8710503921805</v>
      </c>
      <c r="P242" s="1208">
        <f t="shared" si="662"/>
        <v>1407.0324149063695</v>
      </c>
      <c r="Q242" s="1208">
        <f t="shared" si="662"/>
        <v>1391.3599854000436</v>
      </c>
      <c r="R242" s="1208">
        <f t="shared" si="662"/>
        <v>1359.0884697467347</v>
      </c>
      <c r="S242" s="1208">
        <f t="shared" si="662"/>
        <v>1326.3748455538673</v>
      </c>
      <c r="T242" s="1208">
        <f t="shared" si="662"/>
        <v>1294.5104823432648</v>
      </c>
      <c r="U242" s="1208">
        <f t="shared" si="662"/>
        <v>1825.7800937089987</v>
      </c>
      <c r="V242" s="1208">
        <f t="shared" si="662"/>
        <v>1784.694365448752</v>
      </c>
      <c r="W242" s="1208">
        <f t="shared" si="662"/>
        <v>1744.7052069264748</v>
      </c>
      <c r="X242" s="1208">
        <f t="shared" si="662"/>
        <v>1705.7810479027903</v>
      </c>
      <c r="Y242" s="1208">
        <f t="shared" si="662"/>
        <v>1667.8912320999375</v>
      </c>
      <c r="Z242" s="1208">
        <f t="shared" si="662"/>
        <v>1631.0060359489134</v>
      </c>
      <c r="AA242" s="1209">
        <f t="shared" si="662"/>
        <v>1796.7338943250568</v>
      </c>
      <c r="AB242" s="1208">
        <f t="shared" si="662"/>
        <v>2027.2298765195549</v>
      </c>
      <c r="AC242" s="1208">
        <f t="shared" si="662"/>
        <v>1987.613338075583</v>
      </c>
      <c r="AD242" s="1208">
        <f t="shared" si="662"/>
        <v>1945.2632639777842</v>
      </c>
      <c r="AE242" s="1208">
        <f t="shared" si="662"/>
        <v>1903.9431978051471</v>
      </c>
      <c r="AF242" s="1208">
        <f t="shared" si="662"/>
        <v>1864.1900889942344</v>
      </c>
      <c r="AG242" s="1208">
        <f t="shared" si="662"/>
        <v>1826.0147630090682</v>
      </c>
      <c r="AH242" s="1208">
        <f t="shared" si="662"/>
        <v>1789.3461247900636</v>
      </c>
      <c r="AI242" s="1208">
        <f t="shared" ref="AI242:BK242" si="663">(AI239+AI237)/AI232</f>
        <v>1954.8800709704699</v>
      </c>
      <c r="AJ242" s="1208">
        <f t="shared" si="663"/>
        <v>1968.0760065962909</v>
      </c>
      <c r="AK242" s="1208">
        <f t="shared" si="663"/>
        <v>1944.6319549951297</v>
      </c>
      <c r="AL242" s="1208">
        <f t="shared" si="663"/>
        <v>2125.8211292143283</v>
      </c>
      <c r="AM242" s="1209">
        <f t="shared" si="663"/>
        <v>2090.4883981718281</v>
      </c>
      <c r="AN242" s="1208">
        <f t="shared" si="663"/>
        <v>2281.4282210515989</v>
      </c>
      <c r="AO242" s="1208">
        <f t="shared" si="663"/>
        <v>2220.5915939942688</v>
      </c>
      <c r="AP242" s="1208">
        <f t="shared" si="663"/>
        <v>2189.8439682145554</v>
      </c>
      <c r="AQ242" s="1208">
        <f t="shared" si="663"/>
        <v>2164.677021618083</v>
      </c>
      <c r="AR242" s="1208">
        <f t="shared" si="663"/>
        <v>2325.1800630298985</v>
      </c>
      <c r="AS242" s="1208">
        <f t="shared" si="663"/>
        <v>2547.7486527682713</v>
      </c>
      <c r="AT242" s="1208">
        <f t="shared" si="663"/>
        <v>2533.7212023065013</v>
      </c>
      <c r="AU242" s="1208">
        <f t="shared" si="663"/>
        <v>2511.7077831817965</v>
      </c>
      <c r="AV242" s="1208">
        <f t="shared" si="663"/>
        <v>2488.1482422285867</v>
      </c>
      <c r="AW242" s="1208">
        <f t="shared" si="663"/>
        <v>2464.6204241044688</v>
      </c>
      <c r="AX242" s="1208">
        <f t="shared" si="663"/>
        <v>2838.0500991890112</v>
      </c>
      <c r="AY242" s="1209">
        <f t="shared" si="663"/>
        <v>3199.3688799610018</v>
      </c>
      <c r="AZ242" s="1208">
        <f t="shared" si="663"/>
        <v>3123.2014833013045</v>
      </c>
      <c r="BA242" s="1208">
        <f t="shared" si="663"/>
        <v>3008.4005712007561</v>
      </c>
      <c r="BB242" s="1208">
        <f t="shared" si="663"/>
        <v>2885.2952633777481</v>
      </c>
      <c r="BC242" s="1208">
        <f t="shared" si="663"/>
        <v>2763.3821908017767</v>
      </c>
      <c r="BD242" s="1208">
        <f t="shared" si="663"/>
        <v>2801.1351141198074</v>
      </c>
      <c r="BE242" s="1208">
        <f t="shared" si="663"/>
        <v>3156.1122994062293</v>
      </c>
      <c r="BF242" s="1208">
        <f t="shared" si="663"/>
        <v>3089.6231991828022</v>
      </c>
      <c r="BG242" s="1208">
        <f t="shared" si="663"/>
        <v>2985.4668336769578</v>
      </c>
      <c r="BH242" s="1208">
        <f t="shared" si="663"/>
        <v>3000.931394257047</v>
      </c>
      <c r="BI242" s="1208">
        <f t="shared" si="663"/>
        <v>3040.9916734678745</v>
      </c>
      <c r="BJ242" s="1208">
        <f t="shared" si="663"/>
        <v>2992.5473861248915</v>
      </c>
      <c r="BK242" s="1209">
        <f t="shared" si="663"/>
        <v>3141.0175767992596</v>
      </c>
    </row>
    <row r="243" spans="1:63" s="1216" customFormat="1" hidden="1" outlineLevel="1">
      <c r="A243" s="1210"/>
      <c r="B243" s="1211" t="s">
        <v>392</v>
      </c>
      <c r="C243" s="1212">
        <f t="shared" ref="C243:AH243" si="664">(C239+C237)/C235</f>
        <v>0.31464285714285717</v>
      </c>
      <c r="D243" s="1213">
        <f t="shared" si="664"/>
        <v>0.31464285714285711</v>
      </c>
      <c r="E243" s="1214">
        <f t="shared" si="664"/>
        <v>0.29489532248820538</v>
      </c>
      <c r="F243" s="1214">
        <f t="shared" si="664"/>
        <v>0.27644203747648038</v>
      </c>
      <c r="G243" s="1214">
        <f t="shared" si="664"/>
        <v>0.34302476235268853</v>
      </c>
      <c r="H243" s="1214">
        <f t="shared" si="664"/>
        <v>0.32238423539731087</v>
      </c>
      <c r="I243" s="1214">
        <f t="shared" si="664"/>
        <v>0.30303914152700245</v>
      </c>
      <c r="J243" s="1214">
        <f t="shared" si="664"/>
        <v>0.28490609603288836</v>
      </c>
      <c r="K243" s="1214">
        <f t="shared" si="664"/>
        <v>0.3187806819040202</v>
      </c>
      <c r="L243" s="1214">
        <f t="shared" si="664"/>
        <v>0.30410968638510738</v>
      </c>
      <c r="M243" s="1214">
        <f t="shared" si="664"/>
        <v>0.28666897507044992</v>
      </c>
      <c r="N243" s="1214">
        <f t="shared" si="664"/>
        <v>0.27000117975373944</v>
      </c>
      <c r="O243" s="1215">
        <f t="shared" si="664"/>
        <v>0.25432356400966416</v>
      </c>
      <c r="P243" s="1214">
        <f t="shared" si="664"/>
        <v>0.24394057463001387</v>
      </c>
      <c r="Q243" s="1214">
        <f t="shared" si="664"/>
        <v>0.24072190407972616</v>
      </c>
      <c r="R243" s="1214">
        <f t="shared" si="664"/>
        <v>0.23464969270401842</v>
      </c>
      <c r="S243" s="1214">
        <f t="shared" si="664"/>
        <v>0.22852551680318106</v>
      </c>
      <c r="T243" s="1214">
        <f t="shared" si="664"/>
        <v>0.22257180882141583</v>
      </c>
      <c r="U243" s="1214">
        <f t="shared" si="664"/>
        <v>0.31326307920277019</v>
      </c>
      <c r="V243" s="1214">
        <f t="shared" si="664"/>
        <v>0.30557706713000155</v>
      </c>
      <c r="W243" s="1214">
        <f t="shared" si="664"/>
        <v>0.29810902489540014</v>
      </c>
      <c r="X243" s="1214">
        <f t="shared" si="664"/>
        <v>0.29085230683359392</v>
      </c>
      <c r="Y243" s="1214">
        <f t="shared" si="664"/>
        <v>0.28380047267769148</v>
      </c>
      <c r="Z243" s="1214">
        <f t="shared" si="664"/>
        <v>0.27694728887581715</v>
      </c>
      <c r="AA243" s="1215">
        <f t="shared" si="664"/>
        <v>0.30445385073856146</v>
      </c>
      <c r="AB243" s="1214">
        <f t="shared" si="664"/>
        <v>0.34279688738489306</v>
      </c>
      <c r="AC243" s="1214">
        <f t="shared" si="664"/>
        <v>0.33539913271750132</v>
      </c>
      <c r="AD243" s="1214">
        <f t="shared" si="664"/>
        <v>0.32757034573269295</v>
      </c>
      <c r="AE243" s="1214">
        <f t="shared" si="664"/>
        <v>0.31994574758833894</v>
      </c>
      <c r="AF243" s="1214">
        <f t="shared" si="664"/>
        <v>0.31261420666183382</v>
      </c>
      <c r="AG243" s="1214">
        <f t="shared" si="664"/>
        <v>0.30557580267154816</v>
      </c>
      <c r="AH243" s="1214">
        <f t="shared" si="664"/>
        <v>0.29881692679086558</v>
      </c>
      <c r="AI243" s="1214">
        <f t="shared" ref="AI243:BK243" si="665">(AI239+AI237)/AI235</f>
        <v>0.32578202467495965</v>
      </c>
      <c r="AJ243" s="1214">
        <f t="shared" si="665"/>
        <v>0.3272992623947219</v>
      </c>
      <c r="AK243" s="1214">
        <f t="shared" si="665"/>
        <v>0.32272806852291969</v>
      </c>
      <c r="AL243" s="1214">
        <f t="shared" si="665"/>
        <v>0.35206447197778967</v>
      </c>
      <c r="AM243" s="1215">
        <f t="shared" si="665"/>
        <v>0.34549312080758077</v>
      </c>
      <c r="AN243" s="1214">
        <f t="shared" si="665"/>
        <v>0.37635957952744059</v>
      </c>
      <c r="AO243" s="1214">
        <f t="shared" si="665"/>
        <v>0.36565320053192124</v>
      </c>
      <c r="AP243" s="1214">
        <f t="shared" si="665"/>
        <v>0.35993027767836833</v>
      </c>
      <c r="AQ243" s="1214">
        <f t="shared" si="665"/>
        <v>0.35514265700523251</v>
      </c>
      <c r="AR243" s="1214">
        <f t="shared" si="665"/>
        <v>0.38077712055076496</v>
      </c>
      <c r="AS243" s="1214">
        <f t="shared" si="665"/>
        <v>0.41646197841674987</v>
      </c>
      <c r="AT243" s="1214">
        <f t="shared" si="665"/>
        <v>0.41341109257722503</v>
      </c>
      <c r="AU243" s="1214">
        <f t="shared" si="665"/>
        <v>0.40906934322980631</v>
      </c>
      <c r="AV243" s="1214">
        <f t="shared" si="665"/>
        <v>0.40449075169731269</v>
      </c>
      <c r="AW243" s="1214">
        <f t="shared" si="665"/>
        <v>0.39993269535908937</v>
      </c>
      <c r="AX243" s="1214">
        <f t="shared" si="665"/>
        <v>0.45968617969830244</v>
      </c>
      <c r="AY243" s="1215">
        <f t="shared" si="665"/>
        <v>0.51726158701267066</v>
      </c>
      <c r="AZ243" s="1214">
        <f t="shared" si="665"/>
        <v>0.50410695863232846</v>
      </c>
      <c r="BA243" s="1214">
        <f t="shared" si="665"/>
        <v>0.48476932508693532</v>
      </c>
      <c r="BB243" s="1214">
        <f t="shared" si="665"/>
        <v>0.46415871564095518</v>
      </c>
      <c r="BC243" s="1214">
        <f t="shared" si="665"/>
        <v>0.44380682808998528</v>
      </c>
      <c r="BD243" s="1214">
        <f t="shared" si="665"/>
        <v>0.44912151620375623</v>
      </c>
      <c r="BE243" s="1214">
        <f t="shared" si="665"/>
        <v>0.50519498389680506</v>
      </c>
      <c r="BF243" s="1214">
        <f t="shared" si="665"/>
        <v>0.4937292739113136</v>
      </c>
      <c r="BG243" s="1214">
        <f t="shared" si="665"/>
        <v>0.47629101595498607</v>
      </c>
      <c r="BH243" s="1214">
        <f t="shared" si="665"/>
        <v>0.47796157564567116</v>
      </c>
      <c r="BI243" s="1214">
        <f t="shared" si="665"/>
        <v>0.48353612592369172</v>
      </c>
      <c r="BJ243" s="1214">
        <f t="shared" si="665"/>
        <v>0.47504145456473529</v>
      </c>
      <c r="BK243" s="1215">
        <f t="shared" si="665"/>
        <v>0.49778020135470308</v>
      </c>
    </row>
    <row r="244" spans="1:63" s="57" customFormat="1" ht="10.5" customHeight="1" collapsed="1">
      <c r="A244" s="868"/>
      <c r="B244" s="851"/>
      <c r="C244" s="869"/>
      <c r="D244" s="532"/>
      <c r="O244" s="531"/>
      <c r="AA244" s="531"/>
      <c r="AM244" s="531"/>
      <c r="AY244" s="531"/>
      <c r="BK244" s="531"/>
    </row>
    <row r="245" spans="1:63" s="57" customFormat="1">
      <c r="A245" s="868"/>
      <c r="B245" s="851"/>
      <c r="C245" s="869"/>
      <c r="D245" s="532"/>
      <c r="L245" s="519" t="s">
        <v>234</v>
      </c>
      <c r="M245" s="1271">
        <f>M29+M47+M65+M83+M101+M119+M137+M155+M173+M191+M209+M227</f>
        <v>1</v>
      </c>
      <c r="O245" s="531"/>
      <c r="X245" s="1272" t="s">
        <v>234</v>
      </c>
      <c r="Y245" s="1273">
        <f>Y29+Y47+Y61+Y65+Y83+Y101+Y119+Y137+Y155+Y191+Y173+Y209+Y227</f>
        <v>1856.9028179364511</v>
      </c>
      <c r="AA245" s="531"/>
      <c r="AJ245" s="1272" t="s">
        <v>234</v>
      </c>
      <c r="AK245" s="1273">
        <f>AK29+AK47+AK61+AK65+AK83+AK101+AK119+AK137+AK155+AK191+AK173+AK209+AK227</f>
        <v>1666.3731916508827</v>
      </c>
      <c r="AM245" s="531"/>
      <c r="AV245" s="1272" t="s">
        <v>234</v>
      </c>
      <c r="AW245" s="1273">
        <f>AW29+AW47+AW61+AW65+AW83+AW101+AW119+AW137+AW155+AW191+AW173+AW209+AW227</f>
        <v>1524.5350994863475</v>
      </c>
      <c r="AY245" s="531"/>
      <c r="BH245" s="1272" t="s">
        <v>234</v>
      </c>
      <c r="BI245" s="1273">
        <f>BI29+BI47+BI61+BI65+BI83+BI101+BI119+BI137+BI155+BI191+BI173+BI209+BI227</f>
        <v>1410.440596107283</v>
      </c>
      <c r="BK245" s="531"/>
    </row>
    <row r="246" spans="1:63" s="57" customFormat="1">
      <c r="A246" s="868"/>
      <c r="B246" s="851"/>
      <c r="C246" s="869"/>
      <c r="D246" s="532"/>
      <c r="L246" s="1322" t="s">
        <v>358</v>
      </c>
      <c r="M246" s="1322"/>
      <c r="O246" s="531"/>
      <c r="X246" s="1322" t="s">
        <v>358</v>
      </c>
      <c r="Y246" s="1322"/>
      <c r="AA246" s="531"/>
      <c r="AJ246" s="1322" t="s">
        <v>358</v>
      </c>
      <c r="AK246" s="1322"/>
      <c r="AM246" s="531"/>
      <c r="AV246" s="1322" t="s">
        <v>358</v>
      </c>
      <c r="AW246" s="1322"/>
      <c r="AY246" s="531"/>
      <c r="BH246" s="1322" t="s">
        <v>358</v>
      </c>
      <c r="BI246" s="1322"/>
      <c r="BK246" s="531"/>
    </row>
    <row r="247" spans="1:63" s="57" customFormat="1">
      <c r="A247" s="868"/>
      <c r="B247" s="851"/>
      <c r="C247" s="869"/>
      <c r="D247" s="532"/>
      <c r="O247" s="531"/>
      <c r="AA247" s="531"/>
      <c r="AM247" s="531"/>
      <c r="AY247" s="531"/>
      <c r="BK247" s="531"/>
    </row>
    <row r="248" spans="1:63" s="57" customFormat="1">
      <c r="A248" s="868"/>
      <c r="B248" s="851"/>
      <c r="C248" s="1274"/>
      <c r="O248" s="531"/>
      <c r="AA248" s="531"/>
      <c r="AM248" s="531"/>
      <c r="AY248" s="531"/>
      <c r="BK248" s="531"/>
    </row>
    <row r="249" spans="1:63" s="57" customFormat="1">
      <c r="A249" s="868"/>
      <c r="B249" s="851"/>
      <c r="C249" s="869"/>
      <c r="D249" s="532"/>
      <c r="O249" s="531"/>
      <c r="AA249" s="531"/>
      <c r="AM249" s="531"/>
      <c r="AY249" s="531"/>
      <c r="BK249" s="531"/>
    </row>
    <row r="250" spans="1:63" s="57" customFormat="1">
      <c r="A250" s="868"/>
      <c r="B250" s="851"/>
      <c r="C250" s="869"/>
      <c r="D250" s="532"/>
      <c r="O250" s="531"/>
      <c r="AA250" s="531"/>
      <c r="AM250" s="531"/>
      <c r="AY250" s="531"/>
      <c r="BK250" s="531"/>
    </row>
    <row r="251" spans="1:63" s="57" customFormat="1">
      <c r="A251" s="868"/>
      <c r="B251" s="851"/>
      <c r="C251" s="869"/>
      <c r="D251" s="532"/>
      <c r="O251" s="531"/>
      <c r="AA251" s="531"/>
      <c r="AM251" s="531"/>
      <c r="AY251" s="531"/>
      <c r="BK251" s="531"/>
    </row>
    <row r="252" spans="1:63" s="57" customFormat="1">
      <c r="A252" s="868"/>
      <c r="B252" s="851"/>
      <c r="C252" s="869"/>
      <c r="D252" s="532"/>
      <c r="O252" s="531"/>
      <c r="AA252" s="531"/>
      <c r="AM252" s="531"/>
      <c r="AY252" s="531"/>
      <c r="BK252" s="531"/>
    </row>
    <row r="253" spans="1:63" s="57" customFormat="1">
      <c r="A253" s="868"/>
      <c r="B253" s="851"/>
      <c r="C253" s="869"/>
      <c r="D253" s="532"/>
      <c r="O253" s="531"/>
      <c r="AA253" s="531"/>
      <c r="AM253" s="531"/>
      <c r="AY253" s="531"/>
      <c r="BK253" s="531"/>
    </row>
    <row r="254" spans="1:63" s="57" customFormat="1">
      <c r="A254" s="868"/>
      <c r="B254" s="851"/>
      <c r="C254" s="869"/>
      <c r="D254" s="532"/>
      <c r="O254" s="531"/>
      <c r="AA254" s="531"/>
      <c r="AM254" s="531"/>
      <c r="AY254" s="531"/>
      <c r="BK254" s="531"/>
    </row>
    <row r="255" spans="1:63" s="57" customFormat="1">
      <c r="A255" s="868"/>
      <c r="B255" s="851"/>
      <c r="C255" s="869"/>
      <c r="D255" s="532"/>
      <c r="O255" s="531"/>
      <c r="AA255" s="531"/>
      <c r="AM255" s="531"/>
      <c r="AY255" s="531"/>
      <c r="BK255" s="531"/>
    </row>
    <row r="256" spans="1:63" s="57" customFormat="1">
      <c r="A256" s="868"/>
      <c r="B256" s="851"/>
      <c r="C256" s="869"/>
      <c r="D256" s="532"/>
      <c r="O256" s="531"/>
      <c r="AA256" s="531"/>
      <c r="AM256" s="531"/>
      <c r="AY256" s="531"/>
      <c r="BK256" s="531"/>
    </row>
    <row r="257" spans="1:63" s="57" customFormat="1">
      <c r="A257" s="868"/>
      <c r="B257" s="851"/>
      <c r="C257" s="869"/>
      <c r="D257" s="532"/>
      <c r="O257" s="531"/>
      <c r="AA257" s="531"/>
      <c r="AM257" s="531"/>
      <c r="AY257" s="531"/>
      <c r="BK257" s="531"/>
    </row>
    <row r="258" spans="1:63" s="57" customFormat="1">
      <c r="A258" s="868"/>
      <c r="B258" s="851"/>
      <c r="C258" s="869"/>
      <c r="D258" s="532"/>
      <c r="O258" s="531"/>
      <c r="AA258" s="531"/>
      <c r="AM258" s="531"/>
      <c r="AY258" s="531"/>
      <c r="BK258" s="531"/>
    </row>
    <row r="259" spans="1:63" s="57" customFormat="1">
      <c r="A259" s="868"/>
      <c r="B259" s="851"/>
      <c r="C259" s="869"/>
      <c r="D259" s="532"/>
      <c r="O259" s="531"/>
      <c r="AA259" s="531"/>
      <c r="AM259" s="531"/>
      <c r="AY259" s="531"/>
      <c r="BK259" s="531"/>
    </row>
    <row r="260" spans="1:63" s="57" customFormat="1">
      <c r="A260" s="868"/>
      <c r="B260" s="851"/>
      <c r="C260" s="869"/>
      <c r="D260" s="532"/>
      <c r="O260" s="531"/>
      <c r="AA260" s="531"/>
      <c r="AM260" s="531"/>
      <c r="AY260" s="531"/>
      <c r="BK260" s="531"/>
    </row>
    <row r="261" spans="1:63" s="57" customFormat="1">
      <c r="A261" s="868"/>
      <c r="B261" s="851"/>
      <c r="C261" s="869"/>
      <c r="D261" s="532"/>
      <c r="O261" s="531"/>
      <c r="AA261" s="531"/>
      <c r="AM261" s="531"/>
      <c r="AY261" s="531"/>
      <c r="BK261" s="531"/>
    </row>
    <row r="262" spans="1:63" s="57" customFormat="1">
      <c r="A262" s="868"/>
      <c r="B262" s="851"/>
      <c r="C262" s="869"/>
      <c r="D262" s="532"/>
      <c r="O262" s="531"/>
      <c r="AA262" s="531"/>
      <c r="AM262" s="531"/>
      <c r="AY262" s="531"/>
      <c r="BK262" s="531"/>
    </row>
    <row r="263" spans="1:63" s="57" customFormat="1">
      <c r="A263" s="868"/>
      <c r="B263" s="851"/>
      <c r="C263" s="869"/>
      <c r="D263" s="532"/>
      <c r="O263" s="531"/>
      <c r="AA263" s="531"/>
      <c r="AM263" s="531"/>
      <c r="AY263" s="531"/>
      <c r="BK263" s="531"/>
    </row>
    <row r="264" spans="1:63" s="57" customFormat="1">
      <c r="A264" s="868"/>
      <c r="B264" s="851"/>
      <c r="C264" s="869"/>
      <c r="D264" s="532"/>
      <c r="O264" s="531"/>
      <c r="AA264" s="531"/>
      <c r="AM264" s="531"/>
      <c r="AY264" s="531"/>
      <c r="BK264" s="531"/>
    </row>
    <row r="265" spans="1:63" s="57" customFormat="1">
      <c r="A265" s="868"/>
      <c r="B265" s="851"/>
      <c r="C265" s="869"/>
      <c r="D265" s="532"/>
      <c r="O265" s="531"/>
      <c r="AA265" s="531"/>
      <c r="AM265" s="531"/>
      <c r="AY265" s="531"/>
      <c r="BK265" s="531"/>
    </row>
    <row r="266" spans="1:63" s="57" customFormat="1">
      <c r="A266" s="868"/>
      <c r="B266" s="851"/>
      <c r="C266" s="869"/>
      <c r="D266" s="532"/>
      <c r="O266" s="531"/>
      <c r="AA266" s="531"/>
      <c r="AM266" s="531"/>
      <c r="AY266" s="531"/>
      <c r="BK266" s="531"/>
    </row>
    <row r="267" spans="1:63" s="57" customFormat="1">
      <c r="A267" s="868"/>
      <c r="B267" s="851"/>
      <c r="C267" s="869"/>
      <c r="D267" s="532"/>
      <c r="O267" s="531"/>
      <c r="AA267" s="531"/>
      <c r="AM267" s="531"/>
      <c r="AY267" s="531"/>
      <c r="BK267" s="531"/>
    </row>
    <row r="268" spans="1:63" s="57" customFormat="1">
      <c r="A268" s="868"/>
      <c r="B268" s="851"/>
      <c r="C268" s="869"/>
      <c r="D268" s="532"/>
      <c r="O268" s="531"/>
      <c r="AA268" s="531"/>
      <c r="AM268" s="531"/>
      <c r="AY268" s="531"/>
      <c r="BK268" s="531"/>
    </row>
    <row r="269" spans="1:63" s="57" customFormat="1">
      <c r="A269" s="868"/>
      <c r="B269" s="851"/>
      <c r="C269" s="869"/>
      <c r="D269" s="532"/>
      <c r="O269" s="531"/>
      <c r="AA269" s="531"/>
      <c r="AM269" s="531"/>
      <c r="AY269" s="531"/>
      <c r="BK269" s="531"/>
    </row>
    <row r="270" spans="1:63" s="57" customFormat="1">
      <c r="A270" s="868"/>
      <c r="B270" s="851"/>
      <c r="C270" s="869"/>
      <c r="D270" s="532"/>
      <c r="O270" s="531"/>
      <c r="AA270" s="531"/>
      <c r="AM270" s="531"/>
      <c r="AY270" s="531"/>
      <c r="BK270" s="531"/>
    </row>
    <row r="271" spans="1:63" s="57" customFormat="1">
      <c r="A271" s="868"/>
      <c r="B271" s="851"/>
      <c r="C271" s="869"/>
      <c r="D271" s="532"/>
      <c r="O271" s="531"/>
      <c r="AA271" s="531"/>
      <c r="AM271" s="531"/>
      <c r="AY271" s="531"/>
      <c r="BK271" s="531"/>
    </row>
    <row r="272" spans="1:63" s="57" customFormat="1">
      <c r="A272" s="868"/>
      <c r="B272" s="851"/>
      <c r="C272" s="869"/>
      <c r="D272" s="532"/>
      <c r="O272" s="531"/>
      <c r="AA272" s="531"/>
      <c r="AM272" s="531"/>
      <c r="AY272" s="531"/>
      <c r="BK272" s="531"/>
    </row>
    <row r="273" spans="1:63" s="57" customFormat="1">
      <c r="A273" s="868"/>
      <c r="B273" s="851"/>
      <c r="C273" s="869"/>
      <c r="D273" s="532"/>
      <c r="O273" s="531"/>
      <c r="AA273" s="531"/>
      <c r="AM273" s="531"/>
      <c r="AY273" s="531"/>
      <c r="BK273" s="531"/>
    </row>
    <row r="274" spans="1:63" s="57" customFormat="1">
      <c r="A274" s="868"/>
      <c r="B274" s="851"/>
      <c r="C274" s="869"/>
      <c r="D274" s="532"/>
      <c r="O274" s="531"/>
      <c r="AA274" s="531"/>
      <c r="AM274" s="531"/>
      <c r="AY274" s="531"/>
      <c r="BK274" s="531"/>
    </row>
    <row r="275" spans="1:63" s="57" customFormat="1">
      <c r="A275" s="868"/>
      <c r="B275" s="851"/>
      <c r="C275" s="869"/>
      <c r="D275" s="532"/>
      <c r="O275" s="531"/>
      <c r="AA275" s="531"/>
      <c r="AM275" s="531"/>
      <c r="AY275" s="531"/>
      <c r="BK275" s="531"/>
    </row>
    <row r="276" spans="1:63" s="57" customFormat="1">
      <c r="A276" s="868"/>
      <c r="B276" s="851"/>
      <c r="C276" s="869"/>
      <c r="D276" s="532"/>
      <c r="O276" s="531"/>
      <c r="AA276" s="531"/>
      <c r="AM276" s="531"/>
      <c r="AY276" s="531"/>
      <c r="BK276" s="531"/>
    </row>
    <row r="277" spans="1:63" s="57" customFormat="1">
      <c r="A277" s="868"/>
      <c r="B277" s="851"/>
      <c r="C277" s="869"/>
      <c r="D277" s="532"/>
      <c r="O277" s="531"/>
      <c r="AA277" s="531"/>
      <c r="AM277" s="531"/>
      <c r="AY277" s="531"/>
      <c r="BK277" s="531"/>
    </row>
    <row r="278" spans="1:63" s="57" customFormat="1">
      <c r="A278" s="868"/>
      <c r="B278" s="851"/>
      <c r="C278" s="869"/>
      <c r="D278" s="532"/>
      <c r="O278" s="531"/>
      <c r="AA278" s="531"/>
      <c r="AM278" s="531"/>
      <c r="AY278" s="531"/>
      <c r="BK278" s="531"/>
    </row>
    <row r="279" spans="1:63" s="57" customFormat="1">
      <c r="A279" s="868"/>
      <c r="B279" s="851"/>
      <c r="C279" s="869"/>
      <c r="D279" s="532"/>
      <c r="O279" s="531"/>
      <c r="AA279" s="531"/>
      <c r="AM279" s="531"/>
      <c r="AY279" s="531"/>
      <c r="BK279" s="531"/>
    </row>
    <row r="280" spans="1:63" s="57" customFormat="1">
      <c r="A280" s="868"/>
      <c r="B280" s="851"/>
      <c r="C280" s="869"/>
      <c r="D280" s="532"/>
      <c r="O280" s="531"/>
      <c r="AA280" s="531"/>
      <c r="AM280" s="531"/>
      <c r="AY280" s="531"/>
      <c r="BK280" s="531"/>
    </row>
    <row r="281" spans="1:63" s="57" customFormat="1">
      <c r="A281" s="868"/>
      <c r="B281" s="851"/>
      <c r="C281" s="869"/>
      <c r="D281" s="532"/>
      <c r="O281" s="531"/>
      <c r="AA281" s="531"/>
      <c r="AM281" s="531"/>
      <c r="AY281" s="531"/>
      <c r="BK281" s="531"/>
    </row>
    <row r="282" spans="1:63" s="57" customFormat="1">
      <c r="A282" s="868"/>
      <c r="B282" s="851"/>
      <c r="C282" s="869"/>
      <c r="D282" s="532"/>
      <c r="O282" s="531"/>
      <c r="AA282" s="531"/>
      <c r="AM282" s="531"/>
      <c r="AY282" s="531"/>
      <c r="BK282" s="531"/>
    </row>
    <row r="283" spans="1:63" s="57" customFormat="1">
      <c r="A283" s="868"/>
      <c r="B283" s="851"/>
      <c r="C283" s="869"/>
      <c r="D283" s="532"/>
      <c r="O283" s="531"/>
      <c r="AA283" s="531"/>
      <c r="AM283" s="531"/>
      <c r="AY283" s="531"/>
      <c r="BK283" s="531"/>
    </row>
    <row r="284" spans="1:63" s="57" customFormat="1">
      <c r="A284" s="868"/>
      <c r="B284" s="851"/>
      <c r="C284" s="869"/>
      <c r="D284" s="532"/>
      <c r="O284" s="531"/>
      <c r="AA284" s="531"/>
      <c r="AM284" s="531"/>
      <c r="AY284" s="531"/>
      <c r="BK284" s="531"/>
    </row>
    <row r="285" spans="1:63" s="57" customFormat="1">
      <c r="A285" s="868"/>
      <c r="B285" s="851"/>
      <c r="C285" s="869"/>
      <c r="D285" s="532"/>
      <c r="O285" s="531"/>
      <c r="AA285" s="531"/>
      <c r="AM285" s="531"/>
      <c r="AY285" s="531"/>
      <c r="BK285" s="531"/>
    </row>
    <row r="286" spans="1:63" s="57" customFormat="1">
      <c r="A286" s="868"/>
      <c r="B286" s="851"/>
      <c r="C286" s="869"/>
      <c r="D286" s="532"/>
      <c r="O286" s="531"/>
      <c r="AA286" s="531"/>
      <c r="AM286" s="531"/>
      <c r="AY286" s="531"/>
      <c r="BK286" s="531"/>
    </row>
    <row r="287" spans="1:63" s="57" customFormat="1">
      <c r="A287" s="868"/>
      <c r="B287" s="851"/>
      <c r="C287" s="869"/>
      <c r="D287" s="532"/>
      <c r="O287" s="531"/>
      <c r="AA287" s="531"/>
      <c r="AM287" s="531"/>
      <c r="AY287" s="531"/>
      <c r="BK287" s="531"/>
    </row>
    <row r="288" spans="1:63" s="57" customFormat="1">
      <c r="A288" s="868"/>
      <c r="B288" s="851"/>
      <c r="C288" s="869"/>
      <c r="D288" s="532"/>
      <c r="O288" s="531"/>
      <c r="AA288" s="531"/>
      <c r="AM288" s="531"/>
      <c r="AY288" s="531"/>
      <c r="BK288" s="531"/>
    </row>
    <row r="289" spans="1:63" s="57" customFormat="1">
      <c r="A289" s="868"/>
      <c r="B289" s="851"/>
      <c r="C289" s="869"/>
      <c r="D289" s="532"/>
      <c r="O289" s="531"/>
      <c r="AA289" s="531"/>
      <c r="AM289" s="531"/>
      <c r="AY289" s="531"/>
      <c r="BK289" s="531"/>
    </row>
    <row r="290" spans="1:63" s="57" customFormat="1">
      <c r="A290" s="868"/>
      <c r="B290" s="851"/>
      <c r="C290" s="869"/>
      <c r="D290" s="532"/>
      <c r="O290" s="531"/>
      <c r="AA290" s="531"/>
      <c r="AM290" s="531"/>
      <c r="AY290" s="531"/>
      <c r="BK290" s="531"/>
    </row>
    <row r="291" spans="1:63" s="57" customFormat="1">
      <c r="A291" s="868"/>
      <c r="B291" s="851"/>
      <c r="C291" s="869"/>
      <c r="D291" s="532"/>
      <c r="O291" s="531"/>
      <c r="AA291" s="531"/>
      <c r="AM291" s="531"/>
      <c r="AY291" s="531"/>
      <c r="BK291" s="531"/>
    </row>
    <row r="292" spans="1:63" s="57" customFormat="1">
      <c r="A292" s="868"/>
      <c r="B292" s="851"/>
      <c r="C292" s="869"/>
      <c r="D292" s="532"/>
      <c r="O292" s="531"/>
      <c r="AA292" s="531"/>
      <c r="AM292" s="531"/>
      <c r="AY292" s="531"/>
      <c r="BK292" s="531"/>
    </row>
    <row r="293" spans="1:63" s="57" customFormat="1">
      <c r="A293" s="868"/>
      <c r="B293" s="851"/>
      <c r="C293" s="869"/>
      <c r="D293" s="532"/>
      <c r="O293" s="531"/>
      <c r="AA293" s="531"/>
      <c r="AM293" s="531"/>
      <c r="AY293" s="531"/>
      <c r="BK293" s="531"/>
    </row>
    <row r="294" spans="1:63" s="57" customFormat="1">
      <c r="A294" s="868"/>
      <c r="B294" s="851"/>
      <c r="C294" s="869"/>
      <c r="D294" s="532"/>
      <c r="O294" s="531"/>
      <c r="AA294" s="531"/>
      <c r="AM294" s="531"/>
      <c r="AY294" s="531"/>
      <c r="BK294" s="531"/>
    </row>
    <row r="295" spans="1:63" s="57" customFormat="1">
      <c r="A295" s="868"/>
      <c r="B295" s="851"/>
      <c r="C295" s="869"/>
      <c r="D295" s="532"/>
      <c r="O295" s="531"/>
      <c r="AA295" s="531"/>
      <c r="AM295" s="531"/>
      <c r="AY295" s="531"/>
      <c r="BK295" s="531"/>
    </row>
    <row r="296" spans="1:63" s="57" customFormat="1">
      <c r="A296" s="868"/>
      <c r="B296" s="851"/>
      <c r="C296" s="869"/>
      <c r="D296" s="532"/>
      <c r="O296" s="531"/>
      <c r="AA296" s="531"/>
      <c r="AM296" s="531"/>
      <c r="AY296" s="531"/>
      <c r="BK296" s="531"/>
    </row>
    <row r="297" spans="1:63" s="57" customFormat="1">
      <c r="A297" s="868"/>
      <c r="B297" s="851"/>
      <c r="C297" s="869"/>
      <c r="D297" s="532"/>
      <c r="O297" s="531"/>
      <c r="AA297" s="531"/>
      <c r="AM297" s="531"/>
      <c r="AY297" s="531"/>
      <c r="BK297" s="531"/>
    </row>
    <row r="298" spans="1:63" s="57" customFormat="1">
      <c r="A298" s="868"/>
      <c r="B298" s="851"/>
      <c r="C298" s="869"/>
      <c r="D298" s="532"/>
      <c r="O298" s="531"/>
      <c r="AA298" s="531"/>
      <c r="AM298" s="531"/>
      <c r="AY298" s="531"/>
      <c r="BK298" s="531"/>
    </row>
    <row r="299" spans="1:63" s="57" customFormat="1">
      <c r="A299" s="868"/>
      <c r="B299" s="851"/>
      <c r="C299" s="869"/>
      <c r="D299" s="532"/>
      <c r="O299" s="531"/>
      <c r="AA299" s="531"/>
      <c r="AM299" s="531"/>
      <c r="AY299" s="531"/>
      <c r="BK299" s="531"/>
    </row>
    <row r="300" spans="1:63" s="57" customFormat="1">
      <c r="A300" s="868"/>
      <c r="B300" s="851"/>
      <c r="C300" s="869"/>
      <c r="D300" s="532"/>
      <c r="O300" s="531"/>
      <c r="AA300" s="531"/>
      <c r="AM300" s="531"/>
      <c r="AY300" s="531"/>
      <c r="BK300" s="531"/>
    </row>
    <row r="301" spans="1:63" s="57" customFormat="1">
      <c r="A301" s="868"/>
      <c r="B301" s="851"/>
      <c r="C301" s="869"/>
      <c r="D301" s="532"/>
      <c r="O301" s="531"/>
      <c r="AA301" s="531"/>
      <c r="AM301" s="531"/>
      <c r="AY301" s="531"/>
      <c r="BK301" s="531"/>
    </row>
    <row r="302" spans="1:63" s="57" customFormat="1">
      <c r="A302" s="868"/>
      <c r="B302" s="851"/>
      <c r="C302" s="869"/>
      <c r="D302" s="532"/>
      <c r="O302" s="531"/>
      <c r="AA302" s="531"/>
      <c r="AM302" s="531"/>
      <c r="AY302" s="531"/>
      <c r="BK302" s="531"/>
    </row>
    <row r="303" spans="1:63" s="57" customFormat="1">
      <c r="A303" s="868"/>
      <c r="B303" s="851"/>
      <c r="C303" s="869"/>
      <c r="D303" s="532"/>
      <c r="O303" s="531"/>
      <c r="AA303" s="531"/>
      <c r="AM303" s="531"/>
      <c r="AY303" s="531"/>
      <c r="BK303" s="531"/>
    </row>
    <row r="304" spans="1:63" s="57" customFormat="1">
      <c r="A304" s="868"/>
      <c r="B304" s="851"/>
      <c r="C304" s="869"/>
      <c r="D304" s="532"/>
      <c r="O304" s="531"/>
      <c r="AA304" s="531"/>
      <c r="AM304" s="531"/>
      <c r="AY304" s="531"/>
      <c r="BK304" s="531"/>
    </row>
    <row r="305" spans="1:63" s="57" customFormat="1">
      <c r="A305" s="868"/>
      <c r="B305" s="851"/>
      <c r="C305" s="869"/>
      <c r="D305" s="532"/>
      <c r="O305" s="531"/>
      <c r="AA305" s="531"/>
      <c r="AM305" s="531"/>
      <c r="AY305" s="531"/>
      <c r="BK305" s="531"/>
    </row>
    <row r="306" spans="1:63" s="57" customFormat="1">
      <c r="A306" s="868"/>
      <c r="B306" s="851"/>
      <c r="C306" s="869"/>
      <c r="D306" s="532"/>
      <c r="O306" s="531"/>
      <c r="AA306" s="531"/>
      <c r="AM306" s="531"/>
      <c r="AY306" s="531"/>
      <c r="BK306" s="531"/>
    </row>
    <row r="307" spans="1:63" s="57" customFormat="1">
      <c r="A307" s="868"/>
      <c r="B307" s="851"/>
      <c r="C307" s="869"/>
      <c r="D307" s="532"/>
      <c r="O307" s="531"/>
      <c r="AA307" s="531"/>
      <c r="AM307" s="531"/>
      <c r="AY307" s="531"/>
      <c r="BK307" s="531"/>
    </row>
    <row r="308" spans="1:63" s="57" customFormat="1">
      <c r="A308" s="868"/>
      <c r="B308" s="851"/>
      <c r="C308" s="869"/>
      <c r="D308" s="532"/>
      <c r="O308" s="531"/>
      <c r="AA308" s="531"/>
      <c r="AM308" s="531"/>
      <c r="AY308" s="531"/>
      <c r="BK308" s="531"/>
    </row>
    <row r="309" spans="1:63" s="57" customFormat="1">
      <c r="A309" s="868"/>
      <c r="B309" s="851"/>
      <c r="C309" s="869"/>
      <c r="D309" s="532"/>
      <c r="O309" s="531"/>
      <c r="AA309" s="531"/>
      <c r="AM309" s="531"/>
      <c r="AY309" s="531"/>
      <c r="BK309" s="531"/>
    </row>
    <row r="310" spans="1:63" s="57" customFormat="1">
      <c r="A310" s="868"/>
      <c r="B310" s="851"/>
      <c r="C310" s="869"/>
      <c r="D310" s="532"/>
      <c r="O310" s="531"/>
      <c r="AA310" s="531"/>
      <c r="AM310" s="531"/>
      <c r="AY310" s="531"/>
      <c r="BK310" s="531"/>
    </row>
    <row r="311" spans="1:63" s="57" customFormat="1">
      <c r="A311" s="868"/>
      <c r="B311" s="851"/>
      <c r="C311" s="869"/>
      <c r="D311" s="532"/>
      <c r="O311" s="531"/>
      <c r="AA311" s="531"/>
      <c r="AM311" s="531"/>
      <c r="AY311" s="531"/>
      <c r="BK311" s="531"/>
    </row>
    <row r="312" spans="1:63" s="57" customFormat="1">
      <c r="A312" s="868"/>
      <c r="B312" s="851"/>
      <c r="C312" s="869"/>
      <c r="D312" s="532"/>
      <c r="O312" s="531"/>
      <c r="AA312" s="531"/>
      <c r="AM312" s="531"/>
      <c r="AY312" s="531"/>
      <c r="BK312" s="531"/>
    </row>
    <row r="313" spans="1:63" s="57" customFormat="1">
      <c r="A313" s="868"/>
      <c r="B313" s="851"/>
      <c r="C313" s="869"/>
      <c r="D313" s="532"/>
      <c r="O313" s="531"/>
      <c r="AA313" s="531"/>
      <c r="AM313" s="531"/>
      <c r="AY313" s="531"/>
      <c r="BK313" s="531"/>
    </row>
    <row r="314" spans="1:63" s="57" customFormat="1">
      <c r="A314" s="868"/>
      <c r="B314" s="851"/>
      <c r="C314" s="869"/>
      <c r="D314" s="532"/>
      <c r="O314" s="531"/>
      <c r="AA314" s="531"/>
      <c r="AM314" s="531"/>
      <c r="AY314" s="531"/>
      <c r="BK314" s="531"/>
    </row>
    <row r="315" spans="1:63" s="57" customFormat="1">
      <c r="A315" s="868"/>
      <c r="B315" s="851"/>
      <c r="C315" s="869"/>
      <c r="D315" s="532"/>
      <c r="O315" s="531"/>
      <c r="AA315" s="531"/>
      <c r="AM315" s="531"/>
      <c r="AY315" s="531"/>
      <c r="BK315" s="531"/>
    </row>
    <row r="316" spans="1:63" s="57" customFormat="1">
      <c r="A316" s="868"/>
      <c r="B316" s="851"/>
      <c r="C316" s="869"/>
      <c r="D316" s="532"/>
      <c r="O316" s="531"/>
      <c r="AA316" s="531"/>
      <c r="AM316" s="531"/>
      <c r="AY316" s="531"/>
      <c r="BK316" s="531"/>
    </row>
    <row r="317" spans="1:63" s="57" customFormat="1">
      <c r="A317" s="868"/>
      <c r="B317" s="851"/>
      <c r="C317" s="869"/>
      <c r="D317" s="532"/>
      <c r="O317" s="531"/>
      <c r="AA317" s="531"/>
      <c r="AM317" s="531"/>
      <c r="AY317" s="531"/>
      <c r="BK317" s="531"/>
    </row>
    <row r="318" spans="1:63" s="57" customFormat="1">
      <c r="A318" s="868"/>
      <c r="B318" s="851"/>
      <c r="C318" s="869"/>
      <c r="D318" s="532"/>
      <c r="O318" s="531"/>
      <c r="AA318" s="531"/>
      <c r="AM318" s="531"/>
      <c r="AY318" s="531"/>
      <c r="BK318" s="531"/>
    </row>
    <row r="319" spans="1:63" s="57" customFormat="1">
      <c r="A319" s="868"/>
      <c r="B319" s="851"/>
      <c r="C319" s="869"/>
      <c r="D319" s="532"/>
      <c r="O319" s="531"/>
      <c r="AA319" s="531"/>
      <c r="AM319" s="531"/>
      <c r="AY319" s="531"/>
      <c r="BK319" s="531"/>
    </row>
    <row r="320" spans="1:63" s="57" customFormat="1">
      <c r="A320" s="868"/>
      <c r="B320" s="851"/>
      <c r="C320" s="869"/>
      <c r="D320" s="532"/>
      <c r="O320" s="531"/>
      <c r="AA320" s="531"/>
      <c r="AM320" s="531"/>
      <c r="AY320" s="531"/>
      <c r="BK320" s="531"/>
    </row>
    <row r="321" spans="1:63" s="57" customFormat="1">
      <c r="A321" s="868"/>
      <c r="B321" s="851"/>
      <c r="C321" s="869"/>
      <c r="D321" s="532"/>
      <c r="O321" s="531"/>
      <c r="AA321" s="531"/>
      <c r="AM321" s="531"/>
      <c r="AY321" s="531"/>
      <c r="BK321" s="531"/>
    </row>
    <row r="322" spans="1:63" s="57" customFormat="1">
      <c r="A322" s="868"/>
      <c r="B322" s="851"/>
      <c r="C322" s="869"/>
      <c r="D322" s="532"/>
      <c r="O322" s="531"/>
      <c r="AA322" s="531"/>
      <c r="AM322" s="531"/>
      <c r="AY322" s="531"/>
      <c r="BK322" s="531"/>
    </row>
    <row r="323" spans="1:63" s="57" customFormat="1">
      <c r="A323" s="868"/>
      <c r="B323" s="851"/>
      <c r="C323" s="869"/>
      <c r="D323" s="532"/>
      <c r="O323" s="531"/>
      <c r="AA323" s="531"/>
      <c r="AM323" s="531"/>
      <c r="AY323" s="531"/>
      <c r="BK323" s="531"/>
    </row>
    <row r="324" spans="1:63" s="57" customFormat="1">
      <c r="A324" s="868"/>
      <c r="B324" s="851"/>
      <c r="C324" s="869"/>
      <c r="D324" s="532"/>
      <c r="O324" s="531"/>
      <c r="AA324" s="531"/>
      <c r="AM324" s="531"/>
      <c r="AY324" s="531"/>
      <c r="BK324" s="531"/>
    </row>
    <row r="325" spans="1:63" s="57" customFormat="1">
      <c r="A325" s="868"/>
      <c r="B325" s="851"/>
      <c r="C325" s="869"/>
      <c r="D325" s="532"/>
      <c r="O325" s="531"/>
      <c r="AA325" s="531"/>
      <c r="AM325" s="531"/>
      <c r="AY325" s="531"/>
      <c r="BK325" s="531"/>
    </row>
    <row r="326" spans="1:63" s="57" customFormat="1">
      <c r="A326" s="868"/>
      <c r="B326" s="851"/>
      <c r="C326" s="869"/>
      <c r="D326" s="532"/>
      <c r="O326" s="531"/>
      <c r="AA326" s="531"/>
      <c r="AM326" s="531"/>
      <c r="AY326" s="531"/>
      <c r="BK326" s="531"/>
    </row>
    <row r="327" spans="1:63" s="57" customFormat="1">
      <c r="A327" s="868"/>
      <c r="B327" s="851"/>
      <c r="C327" s="869"/>
      <c r="D327" s="532"/>
      <c r="O327" s="531"/>
      <c r="AA327" s="531"/>
      <c r="AM327" s="531"/>
      <c r="AY327" s="531"/>
      <c r="BK327" s="531"/>
    </row>
    <row r="328" spans="1:63" s="57" customFormat="1">
      <c r="A328" s="868"/>
      <c r="B328" s="851"/>
      <c r="C328" s="869"/>
      <c r="D328" s="532"/>
      <c r="O328" s="531"/>
      <c r="AA328" s="531"/>
      <c r="AM328" s="531"/>
      <c r="AY328" s="531"/>
      <c r="BK328" s="531"/>
    </row>
    <row r="329" spans="1:63" s="57" customFormat="1">
      <c r="A329" s="868"/>
      <c r="B329" s="851"/>
      <c r="C329" s="869"/>
      <c r="D329" s="532"/>
      <c r="O329" s="531"/>
      <c r="AA329" s="531"/>
      <c r="AM329" s="531"/>
      <c r="AY329" s="531"/>
      <c r="BK329" s="531"/>
    </row>
    <row r="330" spans="1:63" s="57" customFormat="1">
      <c r="A330" s="868"/>
      <c r="B330" s="851"/>
      <c r="C330" s="869"/>
      <c r="D330" s="532"/>
      <c r="O330" s="531"/>
      <c r="AA330" s="531"/>
      <c r="AM330" s="531"/>
      <c r="AY330" s="531"/>
      <c r="BK330" s="531"/>
    </row>
    <row r="331" spans="1:63" s="57" customFormat="1">
      <c r="A331" s="868"/>
      <c r="B331" s="851"/>
      <c r="C331" s="869"/>
      <c r="D331" s="532"/>
      <c r="O331" s="531"/>
      <c r="AA331" s="531"/>
      <c r="AM331" s="531"/>
      <c r="AY331" s="531"/>
      <c r="BK331" s="531"/>
    </row>
    <row r="332" spans="1:63" s="57" customFormat="1">
      <c r="A332" s="868"/>
      <c r="B332" s="851"/>
      <c r="C332" s="869"/>
      <c r="D332" s="532"/>
      <c r="O332" s="531"/>
      <c r="AA332" s="531"/>
      <c r="AM332" s="531"/>
      <c r="AY332" s="531"/>
      <c r="BK332" s="531"/>
    </row>
    <row r="333" spans="1:63" s="57" customFormat="1">
      <c r="A333" s="868"/>
      <c r="B333" s="851"/>
      <c r="C333" s="869"/>
      <c r="D333" s="532"/>
      <c r="O333" s="531"/>
      <c r="AA333" s="531"/>
      <c r="AM333" s="531"/>
      <c r="AY333" s="531"/>
      <c r="BK333" s="531"/>
    </row>
    <row r="334" spans="1:63" s="57" customFormat="1">
      <c r="A334" s="868"/>
      <c r="B334" s="851"/>
      <c r="C334" s="869"/>
      <c r="D334" s="532"/>
      <c r="O334" s="531"/>
      <c r="AA334" s="531"/>
      <c r="AM334" s="531"/>
      <c r="AY334" s="531"/>
      <c r="BK334" s="531"/>
    </row>
    <row r="335" spans="1:63" s="57" customFormat="1">
      <c r="A335" s="868"/>
      <c r="B335" s="851"/>
      <c r="C335" s="869"/>
      <c r="D335" s="532"/>
      <c r="O335" s="531"/>
      <c r="AA335" s="531"/>
      <c r="AM335" s="531"/>
      <c r="AY335" s="531"/>
      <c r="BK335" s="531"/>
    </row>
    <row r="336" spans="1:63" s="57" customFormat="1">
      <c r="A336" s="868"/>
      <c r="B336" s="851"/>
      <c r="C336" s="869"/>
      <c r="D336" s="532"/>
      <c r="O336" s="531"/>
      <c r="AA336" s="531"/>
      <c r="AM336" s="531"/>
      <c r="AY336" s="531"/>
      <c r="BK336" s="531"/>
    </row>
    <row r="337" spans="1:63" s="57" customFormat="1">
      <c r="A337" s="868"/>
      <c r="B337" s="851"/>
      <c r="C337" s="869"/>
      <c r="D337" s="532"/>
      <c r="O337" s="531"/>
      <c r="AA337" s="531"/>
      <c r="AM337" s="531"/>
      <c r="AY337" s="531"/>
      <c r="BK337" s="531"/>
    </row>
    <row r="338" spans="1:63" s="57" customFormat="1">
      <c r="A338" s="868"/>
      <c r="B338" s="851"/>
      <c r="C338" s="869"/>
      <c r="D338" s="532"/>
      <c r="O338" s="531"/>
      <c r="AA338" s="531"/>
      <c r="AM338" s="531"/>
      <c r="AY338" s="531"/>
      <c r="BK338" s="531"/>
    </row>
    <row r="339" spans="1:63" s="57" customFormat="1">
      <c r="A339" s="868"/>
      <c r="B339" s="851"/>
      <c r="C339" s="869"/>
      <c r="D339" s="532"/>
      <c r="O339" s="531"/>
      <c r="AA339" s="531"/>
      <c r="AM339" s="531"/>
      <c r="AY339" s="531"/>
      <c r="BK339" s="531"/>
    </row>
    <row r="340" spans="1:63" s="57" customFormat="1">
      <c r="A340" s="868"/>
      <c r="B340" s="851"/>
      <c r="C340" s="869"/>
      <c r="D340" s="532"/>
      <c r="O340" s="531"/>
      <c r="AA340" s="531"/>
      <c r="AM340" s="531"/>
      <c r="AY340" s="531"/>
      <c r="BK340" s="531"/>
    </row>
    <row r="341" spans="1:63" s="57" customFormat="1">
      <c r="A341" s="868"/>
      <c r="B341" s="851"/>
      <c r="C341" s="869"/>
      <c r="D341" s="532"/>
      <c r="O341" s="531"/>
      <c r="AA341" s="531"/>
      <c r="AM341" s="531"/>
      <c r="AY341" s="531"/>
      <c r="BK341" s="531"/>
    </row>
    <row r="342" spans="1:63" s="57" customFormat="1">
      <c r="A342" s="868"/>
      <c r="B342" s="851"/>
      <c r="C342" s="869"/>
      <c r="D342" s="532"/>
      <c r="O342" s="531"/>
      <c r="AA342" s="531"/>
      <c r="AM342" s="531"/>
      <c r="AY342" s="531"/>
      <c r="BK342" s="531"/>
    </row>
    <row r="343" spans="1:63" s="57" customFormat="1">
      <c r="A343" s="868"/>
      <c r="B343" s="851"/>
      <c r="C343" s="869"/>
      <c r="D343" s="532"/>
      <c r="O343" s="531"/>
      <c r="AA343" s="531"/>
      <c r="AM343" s="531"/>
      <c r="AY343" s="531"/>
      <c r="BK343" s="531"/>
    </row>
    <row r="344" spans="1:63" s="57" customFormat="1">
      <c r="A344" s="868"/>
      <c r="B344" s="851"/>
      <c r="C344" s="869"/>
      <c r="D344" s="532"/>
      <c r="O344" s="531"/>
      <c r="AA344" s="531"/>
      <c r="AM344" s="531"/>
      <c r="AY344" s="531"/>
      <c r="BK344" s="531"/>
    </row>
    <row r="345" spans="1:63" s="57" customFormat="1">
      <c r="A345" s="868"/>
      <c r="B345" s="851"/>
      <c r="C345" s="869"/>
      <c r="D345" s="532"/>
      <c r="O345" s="531"/>
      <c r="AA345" s="531"/>
      <c r="AM345" s="531"/>
      <c r="AY345" s="531"/>
      <c r="BK345" s="531"/>
    </row>
    <row r="346" spans="1:63" s="57" customFormat="1">
      <c r="A346" s="868"/>
      <c r="B346" s="851"/>
      <c r="C346" s="869"/>
      <c r="D346" s="532"/>
      <c r="O346" s="531"/>
      <c r="AA346" s="531"/>
      <c r="AM346" s="531"/>
      <c r="AY346" s="531"/>
      <c r="BK346" s="531"/>
    </row>
    <row r="347" spans="1:63" s="57" customFormat="1">
      <c r="A347" s="868"/>
      <c r="B347" s="851"/>
      <c r="C347" s="869"/>
      <c r="D347" s="532"/>
      <c r="O347" s="531"/>
      <c r="AA347" s="531"/>
      <c r="AM347" s="531"/>
      <c r="AY347" s="531"/>
      <c r="BK347" s="531"/>
    </row>
    <row r="348" spans="1:63" s="57" customFormat="1">
      <c r="A348" s="868"/>
      <c r="B348" s="851"/>
      <c r="C348" s="869"/>
      <c r="D348" s="532"/>
      <c r="O348" s="531"/>
      <c r="AA348" s="531"/>
      <c r="AM348" s="531"/>
      <c r="AY348" s="531"/>
      <c r="BK348" s="531"/>
    </row>
    <row r="349" spans="1:63" s="57" customFormat="1">
      <c r="A349" s="868"/>
      <c r="B349" s="851"/>
      <c r="C349" s="869"/>
      <c r="D349" s="532"/>
      <c r="O349" s="531"/>
      <c r="AA349" s="531"/>
      <c r="AM349" s="531"/>
      <c r="AY349" s="531"/>
      <c r="BK349" s="531"/>
    </row>
    <row r="350" spans="1:63" s="57" customFormat="1">
      <c r="A350" s="868"/>
      <c r="B350" s="851"/>
      <c r="C350" s="869"/>
      <c r="D350" s="532"/>
      <c r="O350" s="531"/>
      <c r="AA350" s="531"/>
      <c r="AM350" s="531"/>
      <c r="AY350" s="531"/>
      <c r="BK350" s="531"/>
    </row>
    <row r="351" spans="1:63" s="57" customFormat="1">
      <c r="A351" s="868"/>
      <c r="B351" s="851"/>
      <c r="C351" s="869"/>
      <c r="D351" s="532"/>
      <c r="O351" s="531"/>
      <c r="AA351" s="531"/>
      <c r="AM351" s="531"/>
      <c r="AY351" s="531"/>
      <c r="BK351" s="531"/>
    </row>
    <row r="352" spans="1:63" s="57" customFormat="1">
      <c r="A352" s="868"/>
      <c r="B352" s="851"/>
      <c r="C352" s="869"/>
      <c r="D352" s="532"/>
      <c r="O352" s="531"/>
      <c r="AA352" s="531"/>
      <c r="AM352" s="531"/>
      <c r="AY352" s="531"/>
      <c r="BK352" s="531"/>
    </row>
    <row r="353" spans="1:63" s="57" customFormat="1">
      <c r="A353" s="868"/>
      <c r="B353" s="851"/>
      <c r="C353" s="869"/>
      <c r="D353" s="532"/>
      <c r="O353" s="531"/>
      <c r="AA353" s="531"/>
      <c r="AM353" s="531"/>
      <c r="AY353" s="531"/>
      <c r="BK353" s="531"/>
    </row>
    <row r="354" spans="1:63" s="57" customFormat="1">
      <c r="A354" s="868"/>
      <c r="B354" s="851"/>
      <c r="C354" s="869"/>
      <c r="D354" s="532"/>
      <c r="O354" s="531"/>
      <c r="AA354" s="531"/>
      <c r="AM354" s="531"/>
      <c r="AY354" s="531"/>
      <c r="BK354" s="531"/>
    </row>
    <row r="355" spans="1:63" s="57" customFormat="1">
      <c r="A355" s="868"/>
      <c r="B355" s="851"/>
      <c r="C355" s="869"/>
      <c r="D355" s="532"/>
      <c r="O355" s="531"/>
      <c r="AA355" s="531"/>
      <c r="AM355" s="531"/>
      <c r="AY355" s="531"/>
      <c r="BK355" s="531"/>
    </row>
    <row r="356" spans="1:63" s="57" customFormat="1">
      <c r="A356" s="868"/>
      <c r="B356" s="851"/>
      <c r="C356" s="869"/>
      <c r="D356" s="532"/>
      <c r="O356" s="531"/>
      <c r="AA356" s="531"/>
      <c r="AM356" s="531"/>
      <c r="AY356" s="531"/>
      <c r="BK356" s="531"/>
    </row>
    <row r="357" spans="1:63" s="57" customFormat="1">
      <c r="A357" s="868"/>
      <c r="B357" s="851"/>
      <c r="C357" s="869"/>
      <c r="D357" s="532"/>
      <c r="O357" s="531"/>
      <c r="AA357" s="531"/>
      <c r="AM357" s="531"/>
      <c r="AY357" s="531"/>
      <c r="BK357" s="531"/>
    </row>
    <row r="358" spans="1:63" s="57" customFormat="1">
      <c r="A358" s="868"/>
      <c r="B358" s="851"/>
      <c r="C358" s="869"/>
      <c r="D358" s="532"/>
      <c r="O358" s="531"/>
      <c r="AA358" s="531"/>
      <c r="AM358" s="531"/>
      <c r="AY358" s="531"/>
      <c r="BK358" s="531"/>
    </row>
    <row r="359" spans="1:63" s="57" customFormat="1">
      <c r="A359" s="868"/>
      <c r="B359" s="851"/>
      <c r="C359" s="869"/>
      <c r="D359" s="532"/>
      <c r="O359" s="531"/>
      <c r="AA359" s="531"/>
      <c r="AM359" s="531"/>
      <c r="AY359" s="531"/>
      <c r="BK359" s="531"/>
    </row>
    <row r="360" spans="1:63" s="57" customFormat="1">
      <c r="A360" s="868"/>
      <c r="B360" s="851"/>
      <c r="C360" s="869"/>
      <c r="D360" s="532"/>
      <c r="O360" s="531"/>
      <c r="AA360" s="531"/>
      <c r="AM360" s="531"/>
      <c r="AY360" s="531"/>
      <c r="BK360" s="531"/>
    </row>
    <row r="361" spans="1:63" s="57" customFormat="1">
      <c r="A361" s="868"/>
      <c r="B361" s="851"/>
      <c r="C361" s="869"/>
      <c r="D361" s="532"/>
      <c r="O361" s="531"/>
      <c r="AA361" s="531"/>
      <c r="AM361" s="531"/>
      <c r="AY361" s="531"/>
      <c r="BK361" s="531"/>
    </row>
    <row r="362" spans="1:63" s="57" customFormat="1">
      <c r="A362" s="868"/>
      <c r="B362" s="851"/>
      <c r="C362" s="869"/>
      <c r="D362" s="532"/>
      <c r="O362" s="531"/>
      <c r="AA362" s="531"/>
      <c r="AM362" s="531"/>
      <c r="AY362" s="531"/>
      <c r="BK362" s="531"/>
    </row>
    <row r="363" spans="1:63" s="57" customFormat="1">
      <c r="A363" s="868"/>
      <c r="B363" s="851"/>
      <c r="C363" s="869"/>
      <c r="D363" s="532"/>
      <c r="O363" s="531"/>
      <c r="AA363" s="531"/>
      <c r="AM363" s="531"/>
      <c r="AY363" s="531"/>
      <c r="BK363" s="531"/>
    </row>
    <row r="364" spans="1:63" s="57" customFormat="1">
      <c r="A364" s="868"/>
      <c r="B364" s="851"/>
      <c r="C364" s="869"/>
      <c r="D364" s="532"/>
      <c r="O364" s="531"/>
      <c r="AA364" s="531"/>
      <c r="AM364" s="531"/>
      <c r="AY364" s="531"/>
      <c r="BK364" s="531"/>
    </row>
    <row r="365" spans="1:63" s="57" customFormat="1">
      <c r="A365" s="868"/>
      <c r="B365" s="851"/>
      <c r="C365" s="869"/>
      <c r="D365" s="532"/>
      <c r="O365" s="531"/>
      <c r="AA365" s="531"/>
      <c r="AM365" s="531"/>
      <c r="AY365" s="531"/>
      <c r="BK365" s="531"/>
    </row>
    <row r="366" spans="1:63" s="57" customFormat="1">
      <c r="A366" s="868"/>
      <c r="B366" s="851"/>
      <c r="C366" s="869"/>
      <c r="D366" s="532"/>
      <c r="O366" s="531"/>
      <c r="AA366" s="531"/>
      <c r="AM366" s="531"/>
      <c r="AY366" s="531"/>
      <c r="BK366" s="531"/>
    </row>
    <row r="367" spans="1:63" s="57" customFormat="1">
      <c r="A367" s="868"/>
      <c r="B367" s="851"/>
      <c r="C367" s="869"/>
      <c r="D367" s="532"/>
      <c r="O367" s="531"/>
      <c r="AA367" s="531"/>
      <c r="AM367" s="531"/>
      <c r="AY367" s="531"/>
      <c r="BK367" s="531"/>
    </row>
    <row r="368" spans="1:63" s="57" customFormat="1">
      <c r="A368" s="868"/>
      <c r="B368" s="851"/>
      <c r="C368" s="869"/>
      <c r="D368" s="532"/>
      <c r="O368" s="531"/>
      <c r="AA368" s="531"/>
      <c r="AM368" s="531"/>
      <c r="AY368" s="531"/>
      <c r="BK368" s="531"/>
    </row>
    <row r="369" spans="1:63" s="57" customFormat="1">
      <c r="A369" s="868"/>
      <c r="B369" s="851"/>
      <c r="C369" s="869"/>
      <c r="D369" s="532"/>
      <c r="O369" s="531"/>
      <c r="AA369" s="531"/>
      <c r="AM369" s="531"/>
      <c r="AY369" s="531"/>
      <c r="BK369" s="531"/>
    </row>
    <row r="370" spans="1:63" s="57" customFormat="1">
      <c r="A370" s="868"/>
      <c r="B370" s="851"/>
      <c r="C370" s="869"/>
      <c r="D370" s="532"/>
      <c r="O370" s="531"/>
      <c r="AA370" s="531"/>
      <c r="AM370" s="531"/>
      <c r="AY370" s="531"/>
      <c r="BK370" s="531"/>
    </row>
    <row r="371" spans="1:63" s="57" customFormat="1">
      <c r="A371" s="868"/>
      <c r="B371" s="851"/>
      <c r="C371" s="869"/>
      <c r="D371" s="532"/>
      <c r="O371" s="531"/>
      <c r="AA371" s="531"/>
      <c r="AM371" s="531"/>
      <c r="AY371" s="531"/>
      <c r="BK371" s="531"/>
    </row>
    <row r="372" spans="1:63" s="57" customFormat="1">
      <c r="A372" s="868"/>
      <c r="B372" s="851"/>
      <c r="C372" s="869"/>
      <c r="D372" s="532"/>
      <c r="O372" s="531"/>
      <c r="AA372" s="531"/>
      <c r="AM372" s="531"/>
      <c r="AY372" s="531"/>
      <c r="BK372" s="531"/>
    </row>
    <row r="373" spans="1:63" s="57" customFormat="1">
      <c r="A373" s="868"/>
      <c r="B373" s="851"/>
      <c r="C373" s="869"/>
      <c r="D373" s="532"/>
      <c r="O373" s="531"/>
      <c r="AA373" s="531"/>
      <c r="AM373" s="531"/>
      <c r="AY373" s="531"/>
      <c r="BK373" s="531"/>
    </row>
    <row r="374" spans="1:63" s="57" customFormat="1">
      <c r="A374" s="868"/>
      <c r="B374" s="851"/>
      <c r="C374" s="869"/>
      <c r="D374" s="532"/>
      <c r="O374" s="531"/>
      <c r="AA374" s="531"/>
      <c r="AM374" s="531"/>
      <c r="AY374" s="531"/>
      <c r="BK374" s="531"/>
    </row>
    <row r="375" spans="1:63" s="57" customFormat="1">
      <c r="A375" s="868"/>
      <c r="B375" s="851"/>
      <c r="C375" s="869"/>
      <c r="D375" s="532"/>
      <c r="O375" s="531"/>
      <c r="AA375" s="531"/>
      <c r="AM375" s="531"/>
      <c r="AY375" s="531"/>
      <c r="BK375" s="531"/>
    </row>
    <row r="376" spans="1:63" s="57" customFormat="1">
      <c r="A376" s="868"/>
      <c r="B376" s="851"/>
      <c r="C376" s="869"/>
      <c r="D376" s="532"/>
      <c r="O376" s="531"/>
      <c r="AA376" s="531"/>
      <c r="AM376" s="531"/>
      <c r="AY376" s="531"/>
      <c r="BK376" s="531"/>
    </row>
    <row r="377" spans="1:63" s="57" customFormat="1">
      <c r="A377" s="868"/>
      <c r="B377" s="851"/>
      <c r="C377" s="869"/>
      <c r="D377" s="532"/>
      <c r="O377" s="531"/>
      <c r="AA377" s="531"/>
      <c r="AM377" s="531"/>
      <c r="AY377" s="531"/>
      <c r="BK377" s="531"/>
    </row>
    <row r="378" spans="1:63" s="57" customFormat="1">
      <c r="A378" s="868"/>
      <c r="B378" s="851"/>
      <c r="C378" s="869"/>
      <c r="D378" s="532"/>
      <c r="O378" s="531"/>
      <c r="AA378" s="531"/>
      <c r="AM378" s="531"/>
      <c r="AY378" s="531"/>
      <c r="BK378" s="531"/>
    </row>
    <row r="379" spans="1:63" s="57" customFormat="1">
      <c r="A379" s="868"/>
      <c r="B379" s="851"/>
      <c r="C379" s="869"/>
      <c r="D379" s="532"/>
      <c r="O379" s="531"/>
      <c r="AA379" s="531"/>
      <c r="AM379" s="531"/>
      <c r="AY379" s="531"/>
      <c r="BK379" s="531"/>
    </row>
    <row r="380" spans="1:63" s="57" customFormat="1">
      <c r="A380" s="868"/>
      <c r="B380" s="851"/>
      <c r="C380" s="869"/>
      <c r="D380" s="532"/>
      <c r="O380" s="531"/>
      <c r="AA380" s="531"/>
      <c r="AM380" s="531"/>
      <c r="AY380" s="531"/>
      <c r="BK380" s="531"/>
    </row>
    <row r="381" spans="1:63" s="57" customFormat="1">
      <c r="A381" s="868"/>
      <c r="B381" s="851"/>
      <c r="C381" s="869"/>
      <c r="D381" s="532"/>
      <c r="O381" s="531"/>
      <c r="AA381" s="531"/>
      <c r="AM381" s="531"/>
      <c r="AY381" s="531"/>
      <c r="BK381" s="531"/>
    </row>
    <row r="382" spans="1:63" s="57" customFormat="1">
      <c r="A382" s="868"/>
      <c r="B382" s="851"/>
      <c r="C382" s="869"/>
      <c r="D382" s="532"/>
      <c r="O382" s="531"/>
      <c r="AA382" s="531"/>
      <c r="AM382" s="531"/>
      <c r="AY382" s="531"/>
      <c r="BK382" s="531"/>
    </row>
    <row r="383" spans="1:63" s="57" customFormat="1">
      <c r="A383" s="868"/>
      <c r="B383" s="851"/>
      <c r="C383" s="869"/>
      <c r="D383" s="532"/>
      <c r="O383" s="531"/>
      <c r="AA383" s="531"/>
      <c r="AM383" s="531"/>
      <c r="AY383" s="531"/>
      <c r="BK383" s="531"/>
    </row>
    <row r="384" spans="1:63" s="57" customFormat="1">
      <c r="A384" s="868"/>
      <c r="B384" s="851"/>
      <c r="C384" s="869"/>
      <c r="D384" s="532"/>
      <c r="O384" s="531"/>
      <c r="AA384" s="531"/>
      <c r="AM384" s="531"/>
      <c r="AY384" s="531"/>
      <c r="BK384" s="531"/>
    </row>
    <row r="385" spans="1:63" s="57" customFormat="1">
      <c r="A385" s="868"/>
      <c r="B385" s="851"/>
      <c r="C385" s="869"/>
      <c r="D385" s="532"/>
      <c r="O385" s="531"/>
      <c r="AA385" s="531"/>
      <c r="AM385" s="531"/>
      <c r="AY385" s="531"/>
      <c r="BK385" s="531"/>
    </row>
    <row r="386" spans="1:63" s="57" customFormat="1">
      <c r="A386" s="868"/>
      <c r="B386" s="851"/>
      <c r="C386" s="869"/>
      <c r="D386" s="532"/>
      <c r="O386" s="531"/>
      <c r="AA386" s="531"/>
      <c r="AM386" s="531"/>
      <c r="AY386" s="531"/>
      <c r="BK386" s="531"/>
    </row>
    <row r="387" spans="1:63" s="57" customFormat="1">
      <c r="A387" s="868"/>
      <c r="B387" s="851"/>
      <c r="C387" s="869"/>
      <c r="D387" s="532"/>
      <c r="O387" s="531"/>
      <c r="AA387" s="531"/>
      <c r="AM387" s="531"/>
      <c r="AY387" s="531"/>
      <c r="BK387" s="531"/>
    </row>
    <row r="388" spans="1:63" s="57" customFormat="1">
      <c r="A388" s="868"/>
      <c r="B388" s="851"/>
      <c r="C388" s="869"/>
      <c r="D388" s="532"/>
      <c r="O388" s="531"/>
      <c r="AA388" s="531"/>
      <c r="AM388" s="531"/>
      <c r="AY388" s="531"/>
      <c r="BK388" s="531"/>
    </row>
    <row r="389" spans="1:63" s="57" customFormat="1">
      <c r="A389" s="868"/>
      <c r="B389" s="851"/>
      <c r="C389" s="869"/>
      <c r="D389" s="532"/>
      <c r="O389" s="531"/>
      <c r="AA389" s="531"/>
      <c r="AM389" s="531"/>
      <c r="AY389" s="531"/>
      <c r="BK389" s="531"/>
    </row>
    <row r="390" spans="1:63" s="57" customFormat="1">
      <c r="A390" s="868"/>
      <c r="B390" s="851"/>
      <c r="C390" s="869"/>
      <c r="D390" s="532"/>
      <c r="O390" s="531"/>
      <c r="AA390" s="531"/>
      <c r="AM390" s="531"/>
      <c r="AY390" s="531"/>
      <c r="BK390" s="531"/>
    </row>
    <row r="391" spans="1:63" s="57" customFormat="1">
      <c r="A391" s="868"/>
      <c r="B391" s="851"/>
      <c r="C391" s="869"/>
      <c r="D391" s="532"/>
      <c r="O391" s="531"/>
      <c r="AA391" s="531"/>
      <c r="AM391" s="531"/>
      <c r="AY391" s="531"/>
      <c r="BK391" s="531"/>
    </row>
    <row r="392" spans="1:63" s="57" customFormat="1">
      <c r="A392" s="868"/>
      <c r="B392" s="851"/>
      <c r="C392" s="869"/>
      <c r="D392" s="532"/>
      <c r="O392" s="531"/>
      <c r="AA392" s="531"/>
      <c r="AM392" s="531"/>
      <c r="AY392" s="531"/>
      <c r="BK392" s="531"/>
    </row>
    <row r="393" spans="1:63" s="57" customFormat="1">
      <c r="A393" s="868"/>
      <c r="B393" s="851"/>
      <c r="C393" s="869"/>
      <c r="D393" s="532"/>
      <c r="O393" s="531"/>
      <c r="AA393" s="531"/>
      <c r="AM393" s="531"/>
      <c r="AY393" s="531"/>
      <c r="BK393" s="531"/>
    </row>
    <row r="394" spans="1:63" s="57" customFormat="1">
      <c r="A394" s="868"/>
      <c r="B394" s="851"/>
      <c r="C394" s="869"/>
      <c r="D394" s="532"/>
      <c r="O394" s="531"/>
      <c r="AA394" s="531"/>
      <c r="AM394" s="531"/>
      <c r="AY394" s="531"/>
      <c r="BK394" s="531"/>
    </row>
    <row r="395" spans="1:63" s="57" customFormat="1">
      <c r="A395" s="868"/>
      <c r="B395" s="851"/>
      <c r="C395" s="869"/>
      <c r="D395" s="532"/>
      <c r="O395" s="531"/>
      <c r="AA395" s="531"/>
      <c r="AM395" s="531"/>
      <c r="AY395" s="531"/>
      <c r="BK395" s="531"/>
    </row>
    <row r="396" spans="1:63" s="57" customFormat="1">
      <c r="A396" s="868"/>
      <c r="B396" s="851"/>
      <c r="C396" s="869"/>
      <c r="D396" s="532"/>
      <c r="O396" s="531"/>
      <c r="AA396" s="531"/>
      <c r="AM396" s="531"/>
      <c r="AY396" s="531"/>
      <c r="BK396" s="531"/>
    </row>
    <row r="397" spans="1:63" s="57" customFormat="1">
      <c r="A397" s="868"/>
      <c r="B397" s="851"/>
      <c r="C397" s="869"/>
      <c r="D397" s="532"/>
      <c r="O397" s="531"/>
      <c r="AA397" s="531"/>
      <c r="AM397" s="531"/>
      <c r="AY397" s="531"/>
      <c r="BK397" s="531"/>
    </row>
    <row r="398" spans="1:63" s="57" customFormat="1">
      <c r="A398" s="868"/>
      <c r="B398" s="851"/>
      <c r="C398" s="869"/>
      <c r="D398" s="532"/>
      <c r="O398" s="531"/>
      <c r="AA398" s="531"/>
      <c r="AM398" s="531"/>
      <c r="AY398" s="531"/>
      <c r="BK398" s="531"/>
    </row>
    <row r="399" spans="1:63" s="57" customFormat="1">
      <c r="A399" s="868"/>
      <c r="B399" s="851"/>
      <c r="C399" s="869"/>
      <c r="D399" s="532"/>
      <c r="O399" s="531"/>
      <c r="AA399" s="531"/>
      <c r="AM399" s="531"/>
      <c r="AY399" s="531"/>
      <c r="BK399" s="531"/>
    </row>
    <row r="400" spans="1:63" s="57" customFormat="1">
      <c r="A400" s="868"/>
      <c r="B400" s="851"/>
      <c r="C400" s="869"/>
      <c r="D400" s="532"/>
      <c r="O400" s="531"/>
      <c r="AA400" s="531"/>
      <c r="AM400" s="531"/>
      <c r="AY400" s="531"/>
      <c r="BK400" s="531"/>
    </row>
    <row r="401" spans="1:63" s="57" customFormat="1">
      <c r="A401" s="868"/>
      <c r="B401" s="851"/>
      <c r="C401" s="869"/>
      <c r="D401" s="532"/>
      <c r="O401" s="531"/>
      <c r="AA401" s="531"/>
      <c r="AM401" s="531"/>
      <c r="AY401" s="531"/>
      <c r="BK401" s="531"/>
    </row>
    <row r="402" spans="1:63" s="57" customFormat="1">
      <c r="A402" s="868"/>
      <c r="B402" s="851"/>
      <c r="C402" s="869"/>
      <c r="D402" s="532"/>
      <c r="O402" s="531"/>
      <c r="AA402" s="531"/>
      <c r="AM402" s="531"/>
      <c r="AY402" s="531"/>
      <c r="BK402" s="531"/>
    </row>
    <row r="403" spans="1:63" s="57" customFormat="1">
      <c r="A403" s="868"/>
      <c r="B403" s="851"/>
      <c r="C403" s="869"/>
      <c r="D403" s="532"/>
      <c r="O403" s="531"/>
      <c r="AA403" s="531"/>
      <c r="AM403" s="531"/>
      <c r="AY403" s="531"/>
      <c r="BK403" s="531"/>
    </row>
    <row r="404" spans="1:63" s="57" customFormat="1">
      <c r="A404" s="868"/>
      <c r="B404" s="851"/>
      <c r="C404" s="869"/>
      <c r="D404" s="532"/>
      <c r="O404" s="531"/>
      <c r="AA404" s="531"/>
      <c r="AM404" s="531"/>
      <c r="AY404" s="531"/>
      <c r="BK404" s="531"/>
    </row>
    <row r="405" spans="1:63" s="57" customFormat="1">
      <c r="A405" s="868"/>
      <c r="B405" s="851"/>
      <c r="C405" s="869"/>
      <c r="D405" s="532"/>
      <c r="O405" s="531"/>
      <c r="AA405" s="531"/>
      <c r="AM405" s="531"/>
      <c r="AY405" s="531"/>
      <c r="BK405" s="531"/>
    </row>
    <row r="406" spans="1:63" s="57" customFormat="1">
      <c r="A406" s="868"/>
      <c r="B406" s="851"/>
      <c r="C406" s="869"/>
      <c r="D406" s="532"/>
      <c r="O406" s="531"/>
      <c r="AA406" s="531"/>
      <c r="AM406" s="531"/>
      <c r="AY406" s="531"/>
      <c r="BK406" s="531"/>
    </row>
    <row r="407" spans="1:63" s="57" customFormat="1">
      <c r="A407" s="868"/>
      <c r="B407" s="851"/>
      <c r="C407" s="869"/>
      <c r="D407" s="532"/>
      <c r="O407" s="531"/>
      <c r="AA407" s="531"/>
      <c r="AM407" s="531"/>
      <c r="AY407" s="531"/>
      <c r="BK407" s="531"/>
    </row>
    <row r="408" spans="1:63" s="57" customFormat="1">
      <c r="A408" s="868"/>
      <c r="B408" s="851"/>
      <c r="C408" s="869"/>
      <c r="D408" s="532"/>
      <c r="O408" s="531"/>
      <c r="AA408" s="531"/>
      <c r="AM408" s="531"/>
      <c r="AY408" s="531"/>
      <c r="BK408" s="531"/>
    </row>
    <row r="409" spans="1:63" s="57" customFormat="1">
      <c r="A409" s="868"/>
      <c r="B409" s="851"/>
      <c r="C409" s="869"/>
      <c r="D409" s="532"/>
      <c r="O409" s="531"/>
      <c r="AA409" s="531"/>
      <c r="AM409" s="531"/>
      <c r="AY409" s="531"/>
      <c r="BK409" s="531"/>
    </row>
    <row r="410" spans="1:63" s="57" customFormat="1">
      <c r="A410" s="868"/>
      <c r="B410" s="851"/>
      <c r="C410" s="869"/>
      <c r="D410" s="532"/>
      <c r="O410" s="531"/>
      <c r="AA410" s="531"/>
      <c r="AM410" s="531"/>
      <c r="AY410" s="531"/>
      <c r="BK410" s="531"/>
    </row>
    <row r="411" spans="1:63" s="57" customFormat="1">
      <c r="A411" s="868"/>
      <c r="B411" s="851"/>
      <c r="C411" s="869"/>
      <c r="D411" s="532"/>
      <c r="O411" s="531"/>
      <c r="AA411" s="531"/>
      <c r="AM411" s="531"/>
      <c r="AY411" s="531"/>
      <c r="BK411" s="531"/>
    </row>
    <row r="412" spans="1:63" s="57" customFormat="1">
      <c r="A412" s="868"/>
      <c r="B412" s="851"/>
      <c r="C412" s="869"/>
      <c r="D412" s="532"/>
      <c r="O412" s="531"/>
      <c r="AA412" s="531"/>
      <c r="AM412" s="531"/>
      <c r="AY412" s="531"/>
      <c r="BK412" s="531"/>
    </row>
    <row r="413" spans="1:63" s="57" customFormat="1">
      <c r="A413" s="868"/>
      <c r="B413" s="851"/>
      <c r="C413" s="869"/>
      <c r="D413" s="532"/>
      <c r="O413" s="531"/>
      <c r="AA413" s="531"/>
      <c r="AM413" s="531"/>
      <c r="AY413" s="531"/>
      <c r="BK413" s="531"/>
    </row>
    <row r="414" spans="1:63" s="57" customFormat="1">
      <c r="A414" s="868"/>
      <c r="B414" s="851"/>
      <c r="C414" s="869"/>
      <c r="D414" s="532"/>
      <c r="O414" s="531"/>
      <c r="AA414" s="531"/>
      <c r="AM414" s="531"/>
      <c r="AY414" s="531"/>
      <c r="BK414" s="531"/>
    </row>
    <row r="415" spans="1:63" s="57" customFormat="1">
      <c r="A415" s="868"/>
      <c r="B415" s="851"/>
      <c r="C415" s="869"/>
      <c r="D415" s="532"/>
      <c r="O415" s="531"/>
      <c r="AA415" s="531"/>
      <c r="AM415" s="531"/>
      <c r="AY415" s="531"/>
      <c r="BK415" s="531"/>
    </row>
    <row r="416" spans="1:63" s="57" customFormat="1">
      <c r="A416" s="868"/>
      <c r="B416" s="851"/>
      <c r="C416" s="869"/>
      <c r="D416" s="532"/>
      <c r="O416" s="531"/>
      <c r="AA416" s="531"/>
      <c r="AM416" s="531"/>
      <c r="AY416" s="531"/>
      <c r="BK416" s="531"/>
    </row>
    <row r="417" spans="1:63" s="57" customFormat="1">
      <c r="A417" s="868"/>
      <c r="B417" s="851"/>
      <c r="C417" s="869"/>
      <c r="D417" s="532"/>
      <c r="O417" s="531"/>
      <c r="AA417" s="531"/>
      <c r="AM417" s="531"/>
      <c r="AY417" s="531"/>
      <c r="BK417" s="531"/>
    </row>
    <row r="418" spans="1:63" s="57" customFormat="1">
      <c r="A418" s="868"/>
      <c r="B418" s="851"/>
      <c r="C418" s="869"/>
      <c r="D418" s="532"/>
      <c r="O418" s="531"/>
      <c r="AA418" s="531"/>
      <c r="AM418" s="531"/>
      <c r="AY418" s="531"/>
      <c r="BK418" s="531"/>
    </row>
    <row r="419" spans="1:63" s="57" customFormat="1">
      <c r="A419" s="868"/>
      <c r="B419" s="851"/>
      <c r="C419" s="869"/>
      <c r="D419" s="532"/>
      <c r="O419" s="531"/>
      <c r="AA419" s="531"/>
      <c r="AM419" s="531"/>
      <c r="AY419" s="531"/>
      <c r="BK419" s="531"/>
    </row>
    <row r="420" spans="1:63" s="57" customFormat="1">
      <c r="A420" s="868"/>
      <c r="B420" s="851"/>
      <c r="C420" s="869"/>
      <c r="D420" s="532"/>
      <c r="O420" s="531"/>
      <c r="AA420" s="531"/>
      <c r="AM420" s="531"/>
      <c r="AY420" s="531"/>
      <c r="BK420" s="531"/>
    </row>
    <row r="421" spans="1:63" s="57" customFormat="1">
      <c r="A421" s="868"/>
      <c r="B421" s="851"/>
      <c r="C421" s="869"/>
      <c r="D421" s="532"/>
      <c r="O421" s="531"/>
      <c r="AA421" s="531"/>
      <c r="AM421" s="531"/>
      <c r="AY421" s="531"/>
      <c r="BK421" s="531"/>
    </row>
    <row r="422" spans="1:63" s="57" customFormat="1">
      <c r="A422" s="868"/>
      <c r="B422" s="851"/>
      <c r="C422" s="869"/>
      <c r="D422" s="532"/>
      <c r="O422" s="531"/>
      <c r="AA422" s="531"/>
      <c r="AM422" s="531"/>
      <c r="AY422" s="531"/>
      <c r="BK422" s="531"/>
    </row>
    <row r="423" spans="1:63" s="57" customFormat="1">
      <c r="A423" s="868"/>
      <c r="B423" s="851"/>
      <c r="C423" s="869"/>
      <c r="D423" s="532"/>
      <c r="O423" s="531"/>
      <c r="AA423" s="531"/>
      <c r="AM423" s="531"/>
      <c r="AY423" s="531"/>
      <c r="BK423" s="531"/>
    </row>
    <row r="424" spans="1:63" s="57" customFormat="1">
      <c r="A424" s="868"/>
      <c r="B424" s="851"/>
      <c r="C424" s="869"/>
      <c r="D424" s="532"/>
      <c r="O424" s="531"/>
      <c r="AA424" s="531"/>
      <c r="AM424" s="531"/>
      <c r="AY424" s="531"/>
      <c r="BK424" s="531"/>
    </row>
    <row r="425" spans="1:63" s="57" customFormat="1">
      <c r="A425" s="868"/>
      <c r="B425" s="851"/>
      <c r="C425" s="869"/>
      <c r="D425" s="532"/>
      <c r="O425" s="531"/>
      <c r="AA425" s="531"/>
      <c r="AM425" s="531"/>
      <c r="AY425" s="531"/>
      <c r="BK425" s="531"/>
    </row>
    <row r="426" spans="1:63" s="57" customFormat="1">
      <c r="A426" s="868"/>
      <c r="B426" s="851"/>
      <c r="C426" s="869"/>
      <c r="D426" s="532"/>
      <c r="O426" s="531"/>
      <c r="AA426" s="531"/>
      <c r="AM426" s="531"/>
      <c r="AY426" s="531"/>
      <c r="BK426" s="531"/>
    </row>
    <row r="427" spans="1:63" s="57" customFormat="1">
      <c r="A427" s="868"/>
      <c r="B427" s="851"/>
      <c r="C427" s="869"/>
      <c r="D427" s="532"/>
      <c r="O427" s="531"/>
      <c r="AA427" s="531"/>
      <c r="AM427" s="531"/>
      <c r="AY427" s="531"/>
      <c r="BK427" s="531"/>
    </row>
    <row r="428" spans="1:63" s="57" customFormat="1">
      <c r="A428" s="868"/>
      <c r="B428" s="851"/>
      <c r="C428" s="869"/>
      <c r="D428" s="532"/>
      <c r="O428" s="531"/>
      <c r="AA428" s="531"/>
      <c r="AM428" s="531"/>
      <c r="AY428" s="531"/>
      <c r="BK428" s="531"/>
    </row>
    <row r="429" spans="1:63" s="57" customFormat="1">
      <c r="A429" s="868"/>
      <c r="B429" s="851"/>
      <c r="C429" s="869"/>
      <c r="D429" s="532"/>
      <c r="O429" s="531"/>
      <c r="AA429" s="531"/>
      <c r="AM429" s="531"/>
      <c r="AY429" s="531"/>
      <c r="BK429" s="531"/>
    </row>
    <row r="430" spans="1:63" s="57" customFormat="1">
      <c r="A430" s="868"/>
      <c r="B430" s="851"/>
      <c r="C430" s="869"/>
      <c r="D430" s="532"/>
      <c r="O430" s="531"/>
      <c r="AA430" s="531"/>
      <c r="AM430" s="531"/>
      <c r="AY430" s="531"/>
      <c r="BK430" s="531"/>
    </row>
    <row r="431" spans="1:63" s="57" customFormat="1">
      <c r="A431" s="868"/>
      <c r="B431" s="851"/>
      <c r="C431" s="869"/>
      <c r="D431" s="532"/>
      <c r="O431" s="531"/>
      <c r="AA431" s="531"/>
      <c r="AM431" s="531"/>
      <c r="AY431" s="531"/>
      <c r="BK431" s="531"/>
    </row>
    <row r="432" spans="1:63" s="57" customFormat="1">
      <c r="A432" s="868"/>
      <c r="B432" s="851"/>
      <c r="C432" s="869"/>
      <c r="D432" s="532"/>
      <c r="O432" s="531"/>
      <c r="AA432" s="531"/>
      <c r="AM432" s="531"/>
      <c r="AY432" s="531"/>
      <c r="BK432" s="531"/>
    </row>
    <row r="433" spans="1:63" s="57" customFormat="1">
      <c r="A433" s="868"/>
      <c r="B433" s="851"/>
      <c r="C433" s="869"/>
      <c r="D433" s="532"/>
      <c r="O433" s="531"/>
      <c r="AA433" s="531"/>
      <c r="AM433" s="531"/>
      <c r="AY433" s="531"/>
      <c r="BK433" s="531"/>
    </row>
    <row r="434" spans="1:63" s="57" customFormat="1">
      <c r="A434" s="868"/>
      <c r="B434" s="851"/>
      <c r="C434" s="869"/>
      <c r="D434" s="532"/>
      <c r="O434" s="531"/>
      <c r="AA434" s="531"/>
      <c r="AM434" s="531"/>
      <c r="AY434" s="531"/>
      <c r="BK434" s="531"/>
    </row>
    <row r="435" spans="1:63" s="57" customFormat="1">
      <c r="A435" s="868"/>
      <c r="B435" s="851"/>
      <c r="C435" s="869"/>
      <c r="D435" s="532"/>
      <c r="O435" s="531"/>
      <c r="AA435" s="531"/>
      <c r="AM435" s="531"/>
      <c r="AY435" s="531"/>
      <c r="BK435" s="531"/>
    </row>
    <row r="436" spans="1:63" s="57" customFormat="1">
      <c r="A436" s="868"/>
      <c r="B436" s="851"/>
      <c r="C436" s="869"/>
      <c r="D436" s="532"/>
      <c r="O436" s="531"/>
      <c r="AA436" s="531"/>
      <c r="AM436" s="531"/>
      <c r="AY436" s="531"/>
      <c r="BK436" s="531"/>
    </row>
    <row r="437" spans="1:63" s="57" customFormat="1">
      <c r="A437" s="868"/>
      <c r="B437" s="851"/>
      <c r="C437" s="869"/>
      <c r="D437" s="532"/>
      <c r="O437" s="531"/>
      <c r="AA437" s="531"/>
      <c r="AM437" s="531"/>
      <c r="AY437" s="531"/>
      <c r="BK437" s="531"/>
    </row>
    <row r="438" spans="1:63" s="57" customFormat="1">
      <c r="A438" s="868"/>
      <c r="B438" s="851"/>
      <c r="C438" s="869"/>
      <c r="D438" s="532"/>
      <c r="O438" s="531"/>
      <c r="AA438" s="531"/>
      <c r="AM438" s="531"/>
      <c r="AY438" s="531"/>
      <c r="BK438" s="531"/>
    </row>
    <row r="439" spans="1:63" s="57" customFormat="1">
      <c r="A439" s="868"/>
      <c r="B439" s="851"/>
      <c r="C439" s="869"/>
      <c r="D439" s="532"/>
      <c r="O439" s="531"/>
      <c r="AA439" s="531"/>
      <c r="AM439" s="531"/>
      <c r="AY439" s="531"/>
      <c r="BK439" s="531"/>
    </row>
    <row r="440" spans="1:63" s="57" customFormat="1">
      <c r="A440" s="868"/>
      <c r="B440" s="851"/>
      <c r="C440" s="869"/>
      <c r="D440" s="532"/>
      <c r="O440" s="531"/>
      <c r="AA440" s="531"/>
      <c r="AM440" s="531"/>
      <c r="AY440" s="531"/>
      <c r="BK440" s="531"/>
    </row>
    <row r="441" spans="1:63" s="57" customFormat="1">
      <c r="A441" s="868"/>
      <c r="B441" s="851"/>
      <c r="C441" s="869"/>
      <c r="D441" s="532"/>
      <c r="O441" s="531"/>
      <c r="AA441" s="531"/>
      <c r="AM441" s="531"/>
      <c r="AY441" s="531"/>
      <c r="BK441" s="531"/>
    </row>
    <row r="442" spans="1:63" s="57" customFormat="1">
      <c r="A442" s="868"/>
      <c r="B442" s="851"/>
      <c r="C442" s="869"/>
      <c r="D442" s="532"/>
      <c r="O442" s="531"/>
      <c r="AA442" s="531"/>
      <c r="AM442" s="531"/>
      <c r="AY442" s="531"/>
      <c r="BK442" s="531"/>
    </row>
    <row r="443" spans="1:63" s="57" customFormat="1">
      <c r="A443" s="868"/>
      <c r="B443" s="851"/>
      <c r="C443" s="869"/>
      <c r="D443" s="532"/>
      <c r="O443" s="531"/>
      <c r="AA443" s="531"/>
      <c r="AM443" s="531"/>
      <c r="AY443" s="531"/>
      <c r="BK443" s="531"/>
    </row>
    <row r="444" spans="1:63" s="57" customFormat="1">
      <c r="A444" s="868"/>
      <c r="B444" s="851"/>
      <c r="C444" s="869"/>
      <c r="D444" s="532"/>
      <c r="O444" s="531"/>
      <c r="AA444" s="531"/>
      <c r="AM444" s="531"/>
      <c r="AY444" s="531"/>
      <c r="BK444" s="531"/>
    </row>
    <row r="445" spans="1:63" s="57" customFormat="1">
      <c r="A445" s="868"/>
      <c r="B445" s="851"/>
      <c r="C445" s="869"/>
      <c r="D445" s="532"/>
      <c r="O445" s="531"/>
      <c r="AA445" s="531"/>
      <c r="AM445" s="531"/>
      <c r="AY445" s="531"/>
      <c r="BK445" s="531"/>
    </row>
    <row r="446" spans="1:63" s="57" customFormat="1">
      <c r="A446" s="868"/>
      <c r="B446" s="851"/>
      <c r="C446" s="869"/>
      <c r="D446" s="532"/>
      <c r="O446" s="531"/>
      <c r="AA446" s="531"/>
      <c r="AM446" s="531"/>
      <c r="AY446" s="531"/>
      <c r="BK446" s="531"/>
    </row>
    <row r="447" spans="1:63" s="57" customFormat="1">
      <c r="A447" s="868"/>
      <c r="B447" s="851"/>
      <c r="C447" s="869"/>
      <c r="D447" s="532"/>
      <c r="O447" s="531"/>
      <c r="AA447" s="531"/>
      <c r="AM447" s="531"/>
      <c r="AY447" s="531"/>
      <c r="BK447" s="531"/>
    </row>
    <row r="448" spans="1:63" s="57" customFormat="1">
      <c r="A448" s="868"/>
      <c r="B448" s="851"/>
      <c r="C448" s="869"/>
      <c r="D448" s="532"/>
      <c r="O448" s="531"/>
      <c r="AA448" s="531"/>
      <c r="AM448" s="531"/>
      <c r="AY448" s="531"/>
      <c r="BK448" s="531"/>
    </row>
    <row r="449" spans="1:63" s="57" customFormat="1">
      <c r="A449" s="868"/>
      <c r="B449" s="851"/>
      <c r="C449" s="869"/>
      <c r="D449" s="532"/>
      <c r="O449" s="531"/>
      <c r="AA449" s="531"/>
      <c r="AM449" s="531"/>
      <c r="AY449" s="531"/>
      <c r="BK449" s="531"/>
    </row>
    <row r="450" spans="1:63" s="57" customFormat="1">
      <c r="A450" s="868"/>
      <c r="B450" s="851"/>
      <c r="C450" s="869"/>
      <c r="D450" s="532"/>
      <c r="O450" s="531"/>
      <c r="AA450" s="531"/>
      <c r="AM450" s="531"/>
      <c r="AY450" s="531"/>
      <c r="BK450" s="531"/>
    </row>
    <row r="451" spans="1:63" s="57" customFormat="1">
      <c r="A451" s="868"/>
      <c r="B451" s="851"/>
      <c r="C451" s="869"/>
      <c r="D451" s="532"/>
      <c r="O451" s="531"/>
      <c r="AA451" s="531"/>
      <c r="AM451" s="531"/>
      <c r="AY451" s="531"/>
      <c r="BK451" s="531"/>
    </row>
    <row r="452" spans="1:63" s="57" customFormat="1">
      <c r="A452" s="868"/>
      <c r="B452" s="851"/>
      <c r="C452" s="869"/>
      <c r="D452" s="532"/>
      <c r="O452" s="531"/>
      <c r="AA452" s="531"/>
      <c r="AM452" s="531"/>
      <c r="AY452" s="531"/>
      <c r="BK452" s="531"/>
    </row>
    <row r="453" spans="1:63" s="57" customFormat="1">
      <c r="A453" s="868"/>
      <c r="B453" s="851"/>
      <c r="C453" s="869"/>
      <c r="D453" s="532"/>
      <c r="O453" s="531"/>
      <c r="AA453" s="531"/>
      <c r="AM453" s="531"/>
      <c r="AY453" s="531"/>
      <c r="BK453" s="531"/>
    </row>
    <row r="454" spans="1:63" s="57" customFormat="1">
      <c r="A454" s="868"/>
      <c r="B454" s="851"/>
      <c r="C454" s="869"/>
      <c r="D454" s="532"/>
      <c r="O454" s="531"/>
      <c r="AA454" s="531"/>
      <c r="AM454" s="531"/>
      <c r="AY454" s="531"/>
      <c r="BK454" s="531"/>
    </row>
    <row r="455" spans="1:63" s="57" customFormat="1">
      <c r="A455" s="868"/>
      <c r="B455" s="851"/>
      <c r="C455" s="869"/>
      <c r="D455" s="532"/>
      <c r="O455" s="531"/>
      <c r="AA455" s="531"/>
      <c r="AM455" s="531"/>
      <c r="AY455" s="531"/>
      <c r="BK455" s="531"/>
    </row>
    <row r="456" spans="1:63" s="57" customFormat="1">
      <c r="A456" s="868"/>
      <c r="B456" s="851"/>
      <c r="C456" s="869"/>
      <c r="D456" s="532"/>
      <c r="O456" s="531"/>
      <c r="AA456" s="531"/>
      <c r="AM456" s="531"/>
      <c r="AY456" s="531"/>
      <c r="BK456" s="531"/>
    </row>
    <row r="457" spans="1:63" s="57" customFormat="1">
      <c r="A457" s="868"/>
      <c r="B457" s="851"/>
      <c r="C457" s="869"/>
      <c r="D457" s="532"/>
      <c r="O457" s="531"/>
      <c r="AA457" s="531"/>
      <c r="AM457" s="531"/>
      <c r="AY457" s="531"/>
      <c r="BK457" s="531"/>
    </row>
    <row r="458" spans="1:63" s="57" customFormat="1">
      <c r="A458" s="868"/>
      <c r="B458" s="851"/>
      <c r="C458" s="869"/>
      <c r="D458" s="532"/>
      <c r="O458" s="531"/>
      <c r="AA458" s="531"/>
      <c r="AM458" s="531"/>
      <c r="AY458" s="531"/>
      <c r="BK458" s="531"/>
    </row>
    <row r="459" spans="1:63" s="57" customFormat="1">
      <c r="A459" s="868"/>
      <c r="B459" s="851"/>
      <c r="C459" s="869"/>
      <c r="D459" s="532"/>
      <c r="O459" s="531"/>
      <c r="AA459" s="531"/>
      <c r="AM459" s="531"/>
      <c r="AY459" s="531"/>
      <c r="BK459" s="531"/>
    </row>
    <row r="460" spans="1:63" s="57" customFormat="1">
      <c r="A460" s="868"/>
      <c r="B460" s="851"/>
      <c r="C460" s="869"/>
      <c r="D460" s="532"/>
      <c r="O460" s="531"/>
      <c r="AA460" s="531"/>
      <c r="AM460" s="531"/>
      <c r="AY460" s="531"/>
      <c r="BK460" s="531"/>
    </row>
    <row r="461" spans="1:63" s="57" customFormat="1">
      <c r="A461" s="868"/>
      <c r="B461" s="851"/>
      <c r="C461" s="869"/>
      <c r="D461" s="532"/>
      <c r="O461" s="531"/>
      <c r="AA461" s="531"/>
      <c r="AM461" s="531"/>
      <c r="AY461" s="531"/>
      <c r="BK461" s="531"/>
    </row>
    <row r="462" spans="1:63" s="57" customFormat="1">
      <c r="A462" s="868"/>
      <c r="B462" s="851"/>
      <c r="C462" s="869"/>
      <c r="D462" s="532"/>
      <c r="O462" s="531"/>
      <c r="AA462" s="531"/>
      <c r="AM462" s="531"/>
      <c r="AY462" s="531"/>
      <c r="BK462" s="531"/>
    </row>
    <row r="463" spans="1:63" s="57" customFormat="1">
      <c r="A463" s="868"/>
      <c r="B463" s="851"/>
      <c r="C463" s="869"/>
      <c r="D463" s="532"/>
      <c r="O463" s="531"/>
      <c r="AA463" s="531"/>
      <c r="AM463" s="531"/>
      <c r="AY463" s="531"/>
      <c r="BK463" s="531"/>
    </row>
    <row r="464" spans="1:63" s="57" customFormat="1">
      <c r="A464" s="868"/>
      <c r="B464" s="851"/>
      <c r="C464" s="869"/>
      <c r="D464" s="532"/>
      <c r="O464" s="531"/>
      <c r="AA464" s="531"/>
      <c r="AM464" s="531"/>
      <c r="AY464" s="531"/>
      <c r="BK464" s="531"/>
    </row>
    <row r="465" spans="1:63" s="57" customFormat="1">
      <c r="A465" s="868"/>
      <c r="B465" s="851"/>
      <c r="C465" s="869"/>
      <c r="D465" s="532"/>
      <c r="O465" s="531"/>
      <c r="AA465" s="531"/>
      <c r="AM465" s="531"/>
      <c r="AY465" s="531"/>
      <c r="BK465" s="531"/>
    </row>
    <row r="466" spans="1:63" s="57" customFormat="1">
      <c r="A466" s="868"/>
      <c r="B466" s="851"/>
      <c r="C466" s="869"/>
      <c r="D466" s="532"/>
      <c r="O466" s="531"/>
      <c r="AA466" s="531"/>
      <c r="AM466" s="531"/>
      <c r="AY466" s="531"/>
      <c r="BK466" s="531"/>
    </row>
    <row r="467" spans="1:63" s="57" customFormat="1">
      <c r="A467" s="868"/>
      <c r="B467" s="851"/>
      <c r="C467" s="869"/>
      <c r="D467" s="532"/>
      <c r="O467" s="531"/>
      <c r="AA467" s="531"/>
      <c r="AM467" s="531"/>
      <c r="AY467" s="531"/>
      <c r="BK467" s="531"/>
    </row>
    <row r="468" spans="1:63" s="57" customFormat="1">
      <c r="A468" s="868"/>
      <c r="B468" s="851"/>
      <c r="C468" s="869"/>
      <c r="D468" s="532"/>
      <c r="O468" s="531"/>
      <c r="AA468" s="531"/>
      <c r="AM468" s="531"/>
      <c r="AY468" s="531"/>
      <c r="BK468" s="531"/>
    </row>
    <row r="469" spans="1:63" s="57" customFormat="1">
      <c r="A469" s="868"/>
      <c r="B469" s="851"/>
      <c r="C469" s="869"/>
      <c r="D469" s="532"/>
      <c r="O469" s="531"/>
      <c r="AA469" s="531"/>
      <c r="AM469" s="531"/>
      <c r="AY469" s="531"/>
      <c r="BK469" s="531"/>
    </row>
    <row r="470" spans="1:63" s="57" customFormat="1">
      <c r="A470" s="868"/>
      <c r="B470" s="851"/>
      <c r="C470" s="869"/>
      <c r="D470" s="532"/>
      <c r="O470" s="531"/>
      <c r="AA470" s="531"/>
      <c r="AM470" s="531"/>
      <c r="AY470" s="531"/>
      <c r="BK470" s="531"/>
    </row>
    <row r="471" spans="1:63" s="57" customFormat="1">
      <c r="A471" s="868"/>
      <c r="B471" s="851"/>
      <c r="C471" s="869"/>
      <c r="D471" s="532"/>
      <c r="O471" s="531"/>
      <c r="AA471" s="531"/>
      <c r="AM471" s="531"/>
      <c r="AY471" s="531"/>
      <c r="BK471" s="531"/>
    </row>
    <row r="472" spans="1:63" s="57" customFormat="1">
      <c r="A472" s="868"/>
      <c r="B472" s="851"/>
      <c r="C472" s="869"/>
      <c r="D472" s="532"/>
      <c r="O472" s="531"/>
      <c r="AA472" s="531"/>
      <c r="AM472" s="531"/>
      <c r="AY472" s="531"/>
      <c r="BK472" s="531"/>
    </row>
    <row r="473" spans="1:63" s="57" customFormat="1">
      <c r="A473" s="868"/>
      <c r="B473" s="851"/>
      <c r="C473" s="869"/>
      <c r="D473" s="532"/>
      <c r="O473" s="531"/>
      <c r="AA473" s="531"/>
      <c r="AM473" s="531"/>
      <c r="AY473" s="531"/>
      <c r="BK473" s="531"/>
    </row>
    <row r="474" spans="1:63" s="57" customFormat="1">
      <c r="A474" s="868"/>
      <c r="B474" s="851"/>
      <c r="C474" s="869"/>
      <c r="D474" s="532"/>
      <c r="O474" s="531"/>
      <c r="AA474" s="531"/>
      <c r="AM474" s="531"/>
      <c r="AY474" s="531"/>
      <c r="BK474" s="531"/>
    </row>
    <row r="475" spans="1:63" s="57" customFormat="1">
      <c r="A475" s="868"/>
      <c r="B475" s="851"/>
      <c r="C475" s="869"/>
      <c r="D475" s="532"/>
      <c r="O475" s="531"/>
      <c r="AA475" s="531"/>
      <c r="AM475" s="531"/>
      <c r="AY475" s="531"/>
      <c r="BK475" s="531"/>
    </row>
    <row r="476" spans="1:63" s="57" customFormat="1">
      <c r="A476" s="868"/>
      <c r="B476" s="851"/>
      <c r="C476" s="869"/>
      <c r="D476" s="532"/>
      <c r="O476" s="531"/>
      <c r="AA476" s="531"/>
      <c r="AM476" s="531"/>
      <c r="AY476" s="531"/>
      <c r="BK476" s="531"/>
    </row>
    <row r="477" spans="1:63" s="57" customFormat="1">
      <c r="A477" s="868"/>
      <c r="B477" s="851"/>
      <c r="C477" s="869"/>
      <c r="D477" s="532"/>
      <c r="O477" s="531"/>
      <c r="AA477" s="531"/>
      <c r="AM477" s="531"/>
      <c r="AY477" s="531"/>
      <c r="BK477" s="531"/>
    </row>
    <row r="478" spans="1:63" s="57" customFormat="1">
      <c r="A478" s="868"/>
      <c r="B478" s="851"/>
      <c r="C478" s="869"/>
      <c r="D478" s="532"/>
      <c r="O478" s="531"/>
      <c r="AA478" s="531"/>
      <c r="AM478" s="531"/>
      <c r="AY478" s="531"/>
      <c r="BK478" s="531"/>
    </row>
    <row r="479" spans="1:63" s="57" customFormat="1">
      <c r="A479" s="868"/>
      <c r="B479" s="851"/>
      <c r="C479" s="869"/>
      <c r="D479" s="532"/>
      <c r="O479" s="531"/>
      <c r="AA479" s="531"/>
      <c r="AM479" s="531"/>
      <c r="AY479" s="531"/>
      <c r="BK479" s="531"/>
    </row>
    <row r="480" spans="1:63" s="57" customFormat="1">
      <c r="A480" s="868"/>
      <c r="B480" s="851"/>
      <c r="C480" s="869"/>
      <c r="D480" s="532"/>
      <c r="O480" s="531"/>
      <c r="AA480" s="531"/>
      <c r="AM480" s="531"/>
      <c r="AY480" s="531"/>
      <c r="BK480" s="531"/>
    </row>
    <row r="481" spans="1:63" s="57" customFormat="1">
      <c r="A481" s="868"/>
      <c r="B481" s="851"/>
      <c r="C481" s="869"/>
      <c r="D481" s="532"/>
      <c r="O481" s="531"/>
      <c r="AA481" s="531"/>
      <c r="AM481" s="531"/>
      <c r="AY481" s="531"/>
      <c r="BK481" s="531"/>
    </row>
    <row r="482" spans="1:63" s="57" customFormat="1">
      <c r="A482" s="868"/>
      <c r="B482" s="851"/>
      <c r="C482" s="869"/>
      <c r="D482" s="532"/>
      <c r="O482" s="531"/>
      <c r="AA482" s="531"/>
      <c r="AM482" s="531"/>
      <c r="AY482" s="531"/>
      <c r="BK482" s="531"/>
    </row>
    <row r="483" spans="1:63" s="57" customFormat="1">
      <c r="A483" s="868"/>
      <c r="B483" s="851"/>
      <c r="C483" s="869"/>
      <c r="D483" s="532"/>
      <c r="O483" s="531"/>
      <c r="AA483" s="531"/>
      <c r="AM483" s="531"/>
      <c r="AY483" s="531"/>
      <c r="BK483" s="531"/>
    </row>
    <row r="484" spans="1:63" s="57" customFormat="1">
      <c r="A484" s="868"/>
      <c r="B484" s="851"/>
      <c r="C484" s="869"/>
      <c r="D484" s="532"/>
      <c r="O484" s="531"/>
      <c r="AA484" s="531"/>
      <c r="AM484" s="531"/>
      <c r="AY484" s="531"/>
      <c r="BK484" s="531"/>
    </row>
    <row r="485" spans="1:63" s="57" customFormat="1">
      <c r="A485" s="868"/>
      <c r="B485" s="851"/>
      <c r="C485" s="869"/>
      <c r="D485" s="532"/>
      <c r="O485" s="531"/>
      <c r="AA485" s="531"/>
      <c r="AM485" s="531"/>
      <c r="AY485" s="531"/>
      <c r="BK485" s="531"/>
    </row>
    <row r="486" spans="1:63" s="57" customFormat="1">
      <c r="A486" s="868"/>
      <c r="B486" s="851"/>
      <c r="C486" s="869"/>
      <c r="D486" s="532"/>
      <c r="O486" s="531"/>
      <c r="AA486" s="531"/>
      <c r="AM486" s="531"/>
      <c r="AY486" s="531"/>
      <c r="BK486" s="531"/>
    </row>
    <row r="487" spans="1:63" s="57" customFormat="1">
      <c r="A487" s="868"/>
      <c r="B487" s="851"/>
      <c r="C487" s="869"/>
      <c r="D487" s="532"/>
      <c r="O487" s="531"/>
      <c r="AA487" s="531"/>
      <c r="AM487" s="531"/>
      <c r="AY487" s="531"/>
      <c r="BK487" s="531"/>
    </row>
    <row r="488" spans="1:63" s="57" customFormat="1">
      <c r="A488" s="868"/>
      <c r="B488" s="851"/>
      <c r="C488" s="869"/>
      <c r="D488" s="532"/>
      <c r="O488" s="531"/>
      <c r="AA488" s="531"/>
      <c r="AM488" s="531"/>
      <c r="AY488" s="531"/>
      <c r="BK488" s="531"/>
    </row>
    <row r="489" spans="1:63" s="57" customFormat="1">
      <c r="A489" s="868"/>
      <c r="B489" s="851"/>
      <c r="C489" s="869"/>
      <c r="D489" s="532"/>
      <c r="O489" s="531"/>
      <c r="AA489" s="531"/>
      <c r="AM489" s="531"/>
      <c r="AY489" s="531"/>
      <c r="BK489" s="531"/>
    </row>
    <row r="490" spans="1:63" s="57" customFormat="1">
      <c r="A490" s="868"/>
      <c r="B490" s="851"/>
      <c r="C490" s="869"/>
      <c r="D490" s="532"/>
      <c r="O490" s="531"/>
      <c r="AA490" s="531"/>
      <c r="AM490" s="531"/>
      <c r="AY490" s="531"/>
      <c r="BK490" s="531"/>
    </row>
    <row r="491" spans="1:63" s="57" customFormat="1">
      <c r="A491" s="868"/>
      <c r="B491" s="851"/>
      <c r="C491" s="869"/>
      <c r="D491" s="532"/>
      <c r="O491" s="531"/>
      <c r="AA491" s="531"/>
      <c r="AM491" s="531"/>
      <c r="AY491" s="531"/>
      <c r="BK491" s="531"/>
    </row>
    <row r="492" spans="1:63" s="57" customFormat="1">
      <c r="A492" s="868"/>
      <c r="B492" s="851"/>
      <c r="C492" s="869"/>
      <c r="D492" s="532"/>
      <c r="O492" s="531"/>
      <c r="AA492" s="531"/>
      <c r="AM492" s="531"/>
      <c r="AY492" s="531"/>
      <c r="BK492" s="531"/>
    </row>
    <row r="493" spans="1:63" s="57" customFormat="1">
      <c r="A493" s="868"/>
      <c r="B493" s="851"/>
      <c r="C493" s="869"/>
      <c r="D493" s="532"/>
      <c r="O493" s="531"/>
      <c r="AA493" s="531"/>
      <c r="AM493" s="531"/>
      <c r="AY493" s="531"/>
      <c r="BK493" s="531"/>
    </row>
    <row r="494" spans="1:63" s="57" customFormat="1">
      <c r="A494" s="868"/>
      <c r="B494" s="851"/>
      <c r="C494" s="869"/>
      <c r="D494" s="532"/>
      <c r="O494" s="531"/>
      <c r="AA494" s="531"/>
      <c r="AM494" s="531"/>
      <c r="AY494" s="531"/>
      <c r="BK494" s="531"/>
    </row>
    <row r="495" spans="1:63" s="57" customFormat="1">
      <c r="A495" s="868"/>
      <c r="B495" s="851"/>
      <c r="C495" s="869"/>
      <c r="D495" s="532"/>
      <c r="O495" s="531"/>
      <c r="AA495" s="531"/>
      <c r="AM495" s="531"/>
      <c r="AY495" s="531"/>
      <c r="BK495" s="531"/>
    </row>
    <row r="496" spans="1:63" s="57" customFormat="1">
      <c r="A496" s="868"/>
      <c r="B496" s="851"/>
      <c r="C496" s="869"/>
      <c r="D496" s="532"/>
      <c r="O496" s="531"/>
      <c r="AA496" s="531"/>
      <c r="AM496" s="531"/>
      <c r="AY496" s="531"/>
      <c r="BK496" s="531"/>
    </row>
    <row r="497" spans="1:63" s="57" customFormat="1">
      <c r="A497" s="868"/>
      <c r="B497" s="851"/>
      <c r="C497" s="869"/>
      <c r="D497" s="532"/>
      <c r="O497" s="531"/>
      <c r="AA497" s="531"/>
      <c r="AM497" s="531"/>
      <c r="AY497" s="531"/>
      <c r="BK497" s="531"/>
    </row>
    <row r="498" spans="1:63" s="57" customFormat="1">
      <c r="A498" s="868"/>
      <c r="B498" s="851"/>
      <c r="C498" s="869"/>
      <c r="D498" s="532"/>
      <c r="O498" s="531"/>
      <c r="AA498" s="531"/>
      <c r="AM498" s="531"/>
      <c r="AY498" s="531"/>
      <c r="BK498" s="531"/>
    </row>
    <row r="499" spans="1:63" s="57" customFormat="1">
      <c r="A499" s="868"/>
      <c r="B499" s="851"/>
      <c r="C499" s="869"/>
      <c r="D499" s="532"/>
      <c r="O499" s="531"/>
      <c r="AA499" s="531"/>
      <c r="AM499" s="531"/>
      <c r="AY499" s="531"/>
      <c r="BK499" s="531"/>
    </row>
    <row r="500" spans="1:63" s="57" customFormat="1">
      <c r="A500" s="868"/>
      <c r="B500" s="851"/>
      <c r="C500" s="869"/>
      <c r="D500" s="532"/>
      <c r="O500" s="531"/>
      <c r="AA500" s="531"/>
      <c r="AM500" s="531"/>
      <c r="AY500" s="531"/>
      <c r="BK500" s="531"/>
    </row>
    <row r="501" spans="1:63" s="57" customFormat="1">
      <c r="A501" s="868"/>
      <c r="B501" s="851"/>
      <c r="C501" s="869"/>
      <c r="D501" s="532"/>
      <c r="O501" s="531"/>
      <c r="AA501" s="531"/>
      <c r="AM501" s="531"/>
      <c r="AY501" s="531"/>
      <c r="BK501" s="531"/>
    </row>
    <row r="502" spans="1:63" s="57" customFormat="1">
      <c r="A502" s="868"/>
      <c r="B502" s="851"/>
      <c r="C502" s="869"/>
      <c r="D502" s="532"/>
      <c r="O502" s="531"/>
      <c r="AA502" s="531"/>
      <c r="AM502" s="531"/>
      <c r="AY502" s="531"/>
      <c r="BK502" s="531"/>
    </row>
    <row r="503" spans="1:63" s="57" customFormat="1">
      <c r="A503" s="868"/>
      <c r="B503" s="851"/>
      <c r="C503" s="869"/>
      <c r="D503" s="532"/>
      <c r="O503" s="531"/>
      <c r="AA503" s="531"/>
      <c r="AM503" s="531"/>
      <c r="AY503" s="531"/>
      <c r="BK503" s="531"/>
    </row>
    <row r="504" spans="1:63" s="57" customFormat="1">
      <c r="A504" s="868"/>
      <c r="B504" s="851"/>
      <c r="C504" s="869"/>
      <c r="D504" s="532"/>
      <c r="O504" s="531"/>
      <c r="AA504" s="531"/>
      <c r="AM504" s="531"/>
      <c r="AY504" s="531"/>
      <c r="BK504" s="531"/>
    </row>
    <row r="505" spans="1:63" s="57" customFormat="1">
      <c r="A505" s="868"/>
      <c r="B505" s="851"/>
      <c r="C505" s="869"/>
      <c r="D505" s="532"/>
      <c r="O505" s="531"/>
      <c r="AA505" s="531"/>
      <c r="AM505" s="531"/>
      <c r="AY505" s="531"/>
      <c r="BK505" s="531"/>
    </row>
    <row r="1048576" spans="5:5">
      <c r="E1048576" s="57"/>
    </row>
  </sheetData>
  <mergeCells count="11">
    <mergeCell ref="A4:C4"/>
    <mergeCell ref="L246:M246"/>
    <mergeCell ref="X246:Y246"/>
    <mergeCell ref="AJ246:AK246"/>
    <mergeCell ref="AV246:AW246"/>
    <mergeCell ref="D1:O1"/>
    <mergeCell ref="BH246:BI246"/>
    <mergeCell ref="P1:AA1"/>
    <mergeCell ref="AB1:AM1"/>
    <mergeCell ref="AN1:AY1"/>
    <mergeCell ref="AZ1:BK1"/>
  </mergeCells>
  <pageMargins left="0.75" right="0.75" top="1" bottom="1" header="0.5" footer="0.5"/>
  <pageSetup orientation="portrait" horizontalDpi="4294967292" verticalDpi="4294967292"/>
  <ignoredErrors>
    <ignoredError sqref="C1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499984740745262"/>
  </sheetPr>
  <dimension ref="A1:DB20"/>
  <sheetViews>
    <sheetView showGridLines="0" workbookViewId="0">
      <selection activeCell="A18" sqref="A18:XFD20"/>
    </sheetView>
  </sheetViews>
  <sheetFormatPr defaultColWidth="8.85546875" defaultRowHeight="15"/>
  <cols>
    <col min="1" max="1" width="9" bestFit="1" customWidth="1"/>
  </cols>
  <sheetData>
    <row r="1" spans="1:106" s="1136" customFormat="1" ht="12">
      <c r="B1" s="1192" t="s">
        <v>1</v>
      </c>
      <c r="C1" s="1192" t="s">
        <v>2</v>
      </c>
      <c r="D1" s="1192" t="s">
        <v>159</v>
      </c>
      <c r="E1" s="1192" t="s">
        <v>160</v>
      </c>
      <c r="F1" s="1192" t="s">
        <v>5</v>
      </c>
      <c r="G1" s="1192" t="s">
        <v>161</v>
      </c>
      <c r="H1" s="1192" t="s">
        <v>145</v>
      </c>
      <c r="I1" s="1192" t="s">
        <v>8</v>
      </c>
      <c r="J1" s="1192" t="s">
        <v>9</v>
      </c>
      <c r="K1" s="1192" t="s">
        <v>10</v>
      </c>
      <c r="L1" s="1192" t="s">
        <v>11</v>
      </c>
      <c r="M1" s="1193" t="s">
        <v>12</v>
      </c>
      <c r="N1" s="1192" t="s">
        <v>1</v>
      </c>
      <c r="O1" s="1192" t="s">
        <v>2</v>
      </c>
      <c r="P1" s="1192" t="s">
        <v>159</v>
      </c>
      <c r="Q1" s="1192" t="s">
        <v>160</v>
      </c>
      <c r="R1" s="1192" t="s">
        <v>5</v>
      </c>
      <c r="S1" s="1192" t="s">
        <v>161</v>
      </c>
      <c r="T1" s="1192" t="s">
        <v>145</v>
      </c>
      <c r="U1" s="1192" t="s">
        <v>8</v>
      </c>
      <c r="V1" s="1192" t="s">
        <v>9</v>
      </c>
      <c r="W1" s="1192" t="s">
        <v>10</v>
      </c>
      <c r="X1" s="1192" t="s">
        <v>11</v>
      </c>
      <c r="Y1" s="1193" t="s">
        <v>12</v>
      </c>
      <c r="Z1" s="1192" t="s">
        <v>1</v>
      </c>
      <c r="AA1" s="1192" t="s">
        <v>2</v>
      </c>
      <c r="AB1" s="1192" t="s">
        <v>159</v>
      </c>
      <c r="AC1" s="1192" t="s">
        <v>160</v>
      </c>
      <c r="AD1" s="1192" t="s">
        <v>5</v>
      </c>
      <c r="AE1" s="1192" t="s">
        <v>161</v>
      </c>
      <c r="AF1" s="1192" t="s">
        <v>145</v>
      </c>
      <c r="AG1" s="1192" t="s">
        <v>8</v>
      </c>
      <c r="AH1" s="1192" t="s">
        <v>9</v>
      </c>
      <c r="AI1" s="1192" t="s">
        <v>10</v>
      </c>
      <c r="AJ1" s="1192" t="s">
        <v>11</v>
      </c>
      <c r="AK1" s="1193" t="s">
        <v>12</v>
      </c>
      <c r="AL1" s="1192" t="s">
        <v>1</v>
      </c>
      <c r="AM1" s="1192" t="s">
        <v>2</v>
      </c>
      <c r="AN1" s="1192" t="s">
        <v>159</v>
      </c>
      <c r="AO1" s="1192" t="s">
        <v>160</v>
      </c>
      <c r="AP1" s="1192" t="s">
        <v>5</v>
      </c>
      <c r="AQ1" s="1192" t="s">
        <v>161</v>
      </c>
      <c r="AR1" s="1192" t="s">
        <v>145</v>
      </c>
      <c r="AS1" s="1192" t="s">
        <v>8</v>
      </c>
      <c r="AT1" s="1192" t="s">
        <v>9</v>
      </c>
      <c r="AU1" s="1192" t="s">
        <v>10</v>
      </c>
      <c r="AV1" s="1192" t="s">
        <v>11</v>
      </c>
      <c r="AW1" s="1193" t="s">
        <v>12</v>
      </c>
      <c r="AX1" s="1192" t="s">
        <v>1</v>
      </c>
      <c r="AY1" s="1192" t="s">
        <v>2</v>
      </c>
      <c r="AZ1" s="1192" t="s">
        <v>159</v>
      </c>
      <c r="BA1" s="1192" t="s">
        <v>160</v>
      </c>
      <c r="BB1" s="1192" t="s">
        <v>5</v>
      </c>
      <c r="BC1" s="1192" t="s">
        <v>161</v>
      </c>
      <c r="BD1" s="1192" t="s">
        <v>145</v>
      </c>
      <c r="BE1" s="1192" t="s">
        <v>8</v>
      </c>
      <c r="BF1" s="1192" t="s">
        <v>9</v>
      </c>
      <c r="BG1" s="1192" t="s">
        <v>10</v>
      </c>
      <c r="BH1" s="1192" t="s">
        <v>11</v>
      </c>
      <c r="BI1" s="1193" t="s">
        <v>12</v>
      </c>
    </row>
    <row r="2" spans="1:106" s="1136" customFormat="1" ht="12">
      <c r="A2" s="1136" t="s">
        <v>288</v>
      </c>
      <c r="B2" s="1194">
        <f>'Program Model'!B24</f>
        <v>9250</v>
      </c>
      <c r="C2" s="1194">
        <f>'Program Model'!C24</f>
        <v>11535.779375999999</v>
      </c>
      <c r="D2" s="1194">
        <f>'Program Model'!D24</f>
        <v>12087.251169124353</v>
      </c>
      <c r="E2" s="1194">
        <f>'Program Model'!E24</f>
        <v>14524.725151031666</v>
      </c>
      <c r="F2" s="1194">
        <f>'Program Model'!F24</f>
        <v>15237.547255986176</v>
      </c>
      <c r="G2" s="1194">
        <f>'Program Model'!G24</f>
        <v>15996.557108615441</v>
      </c>
      <c r="H2" s="1194">
        <f>'Program Model'!H24</f>
        <v>16804.495187435896</v>
      </c>
      <c r="I2" s="1194">
        <f>'Program Model'!I24</f>
        <v>19514.221094348846</v>
      </c>
      <c r="J2" s="1194">
        <f>'Program Model'!J24</f>
        <v>20515.872345391468</v>
      </c>
      <c r="K2" s="1194">
        <f>'Program Model'!K24</f>
        <v>23431.106980726079</v>
      </c>
      <c r="L2" s="1194">
        <f>'Program Model'!L24</f>
        <v>24650.667058476414</v>
      </c>
      <c r="M2" s="1194">
        <f>'Program Model'!M24</f>
        <v>27796.837074521503</v>
      </c>
      <c r="N2" s="1194">
        <f>'Program Model'!N24</f>
        <v>29265.042913015026</v>
      </c>
      <c r="O2" s="1194">
        <f>'Program Model'!O24</f>
        <v>32679.373459769511</v>
      </c>
      <c r="P2" s="1194">
        <f>'Program Model'!P24</f>
        <v>34432.304879899966</v>
      </c>
      <c r="Q2" s="1194">
        <f>'Program Model'!Q24</f>
        <v>36298.707134925506</v>
      </c>
      <c r="R2" s="1194">
        <f>'Program Model'!R24</f>
        <v>40134.70221192536</v>
      </c>
      <c r="S2" s="1194">
        <f>'Program Model'!S24</f>
        <v>42333.779926698648</v>
      </c>
      <c r="T2" s="1194">
        <f>'Program Model'!T24</f>
        <v>44671.040135659379</v>
      </c>
      <c r="U2" s="1194">
        <f>'Program Model'!U24</f>
        <v>49004.406978945488</v>
      </c>
      <c r="V2" s="1194">
        <f>'Program Model'!V24</f>
        <v>51728.454307206142</v>
      </c>
      <c r="W2" s="1194">
        <f>'Program Model'!W24</f>
        <v>56470.197241200556</v>
      </c>
      <c r="X2" s="1194">
        <f>'Program Model'!X24</f>
        <v>59625.106807343567</v>
      </c>
      <c r="Y2" s="1194">
        <f>'Program Model'!Y24</f>
        <v>64821.117220285189</v>
      </c>
      <c r="Z2" s="1194">
        <f>'Program Model'!Z24</f>
        <v>68459.908846911756</v>
      </c>
      <c r="AA2" s="1194">
        <f>'Program Model'!AA24</f>
        <v>74171.696840639212</v>
      </c>
      <c r="AB2" s="1194">
        <f>'Program Model'!AB24</f>
        <v>80204.175689457348</v>
      </c>
      <c r="AC2" s="1194">
        <f>'Program Model'!AC24</f>
        <v>86574.924592870986</v>
      </c>
      <c r="AD2" s="1194">
        <f>'Program Model'!AD24</f>
        <v>93301.962271253709</v>
      </c>
      <c r="AE2" s="1194">
        <f>'Program Model'!AE24</f>
        <v>100403.21344908761</v>
      </c>
      <c r="AF2" s="1194">
        <f>'Program Model'!AF24</f>
        <v>107897.26980388594</v>
      </c>
      <c r="AG2" s="1194">
        <f>'Program Model'!AG24</f>
        <v>113955.27053385583</v>
      </c>
      <c r="AH2" s="1194">
        <f>'Program Model'!AH24</f>
        <v>122210.16423815746</v>
      </c>
      <c r="AI2" s="1194">
        <f>'Program Model'!AI24</f>
        <v>129066.09065588911</v>
      </c>
      <c r="AJ2" s="1194">
        <f>'Program Model'!AJ24</f>
        <v>138157.23969587608</v>
      </c>
      <c r="AK2" s="1194">
        <f>'Program Model'!AK24</f>
        <v>145889.01939904242</v>
      </c>
      <c r="AL2" s="1194">
        <f>'Program Model'!AL24</f>
        <v>148856.04082590621</v>
      </c>
      <c r="AM2" s="1194">
        <f>'Program Model'!AM24</f>
        <v>157591.15047368643</v>
      </c>
      <c r="AN2" s="1194">
        <f>'Program Model'!AN24</f>
        <v>166342.88099469518</v>
      </c>
      <c r="AO2" s="1194">
        <f>'Program Model'!AO24</f>
        <v>176008.27893223704</v>
      </c>
      <c r="AP2" s="1194">
        <f>'Program Model'!AP24</f>
        <v>185732.46758841327</v>
      </c>
      <c r="AQ2" s="1194">
        <f>'Program Model'!AQ24</f>
        <v>197822.05320166456</v>
      </c>
      <c r="AR2" s="1194">
        <f>'Program Model'!AR24</f>
        <v>210535.67080347639</v>
      </c>
      <c r="AS2" s="1194">
        <f>'Program Model'!AS24</f>
        <v>220643.19103844979</v>
      </c>
      <c r="AT2" s="1194">
        <f>'Program Model'!AT24</f>
        <v>234523.08426248754</v>
      </c>
      <c r="AU2" s="1194">
        <f>'Program Model'!AU24</f>
        <v>247696.02602316954</v>
      </c>
      <c r="AV2" s="1194">
        <f>'Program Model'!AV24</f>
        <v>261079.20453707423</v>
      </c>
      <c r="AW2" s="1194">
        <f>'Program Model'!AW24</f>
        <v>275576.30582812865</v>
      </c>
      <c r="AX2" s="1194">
        <f>'Program Model'!AX24</f>
        <v>250325.52270255843</v>
      </c>
      <c r="AY2" s="1194">
        <f>'Program Model'!AY24</f>
        <v>253994.07596703895</v>
      </c>
      <c r="AZ2" s="1194">
        <f>'Program Model'!AZ24</f>
        <v>269461.97073406877</v>
      </c>
      <c r="BA2" s="1194">
        <f>'Program Model'!BA24</f>
        <v>277324.4709824801</v>
      </c>
      <c r="BB2" s="1194">
        <f>'Program Model'!BB24</f>
        <v>290675.62886132044</v>
      </c>
      <c r="BC2" s="1194">
        <f>'Program Model'!BC24</f>
        <v>306085.37401540542</v>
      </c>
      <c r="BD2" s="1194">
        <f>'Program Model'!BD24</f>
        <v>324100.96636890591</v>
      </c>
      <c r="BE2" s="1194">
        <f>'Program Model'!BE24</f>
        <v>331357.70266064856</v>
      </c>
      <c r="BF2" s="1194">
        <f>'Program Model'!BF24</f>
        <v>348711.75205188943</v>
      </c>
      <c r="BG2" s="1194">
        <f>'Program Model'!BG24</f>
        <v>358966.90392991662</v>
      </c>
      <c r="BH2" s="1194">
        <f>'Program Model'!BH24</f>
        <v>377598.71543961036</v>
      </c>
      <c r="BI2" s="1194">
        <f>'Program Model'!BI24</f>
        <v>389180.76199960092</v>
      </c>
      <c r="BJ2" s="1194"/>
      <c r="BK2" s="1194"/>
      <c r="BL2" s="1194"/>
      <c r="BM2" s="1194"/>
      <c r="BN2" s="1194"/>
      <c r="BO2" s="1194"/>
      <c r="BP2" s="1194"/>
      <c r="BQ2" s="1194"/>
      <c r="BR2" s="1194"/>
      <c r="BS2" s="1194"/>
      <c r="BT2" s="1194"/>
      <c r="BU2" s="1194"/>
      <c r="BV2" s="1194"/>
      <c r="BW2" s="1194"/>
      <c r="BX2" s="1194"/>
      <c r="BY2" s="1194"/>
      <c r="BZ2" s="1194"/>
      <c r="CA2" s="1194"/>
      <c r="CB2" s="1194"/>
      <c r="CC2" s="1194"/>
      <c r="CD2" s="1194"/>
      <c r="CE2" s="1194"/>
      <c r="CF2" s="1194"/>
      <c r="CG2" s="1194"/>
      <c r="CH2" s="1194"/>
      <c r="CI2" s="1194"/>
      <c r="CJ2" s="1194"/>
      <c r="CK2" s="1194"/>
      <c r="CL2" s="1194"/>
      <c r="CM2" s="1194"/>
      <c r="CN2" s="1194"/>
      <c r="CO2" s="1194"/>
      <c r="CP2" s="1194"/>
      <c r="CQ2" s="1194"/>
      <c r="CR2" s="1194"/>
      <c r="CS2" s="1194"/>
      <c r="CT2" s="1194"/>
      <c r="CU2" s="1194"/>
      <c r="CV2" s="1194"/>
      <c r="CW2" s="1194"/>
      <c r="CX2" s="1194"/>
      <c r="CY2" s="1194"/>
      <c r="CZ2" s="1194"/>
      <c r="DA2" s="1194"/>
      <c r="DB2" s="1194"/>
    </row>
    <row r="3" spans="1:106" s="1136" customFormat="1" ht="12">
      <c r="A3" s="1136" t="s">
        <v>387</v>
      </c>
      <c r="B3" s="1194">
        <f>'Program Model'!B41</f>
        <v>-79098.953744493396</v>
      </c>
      <c r="C3" s="1194">
        <f>'Program Model'!C41</f>
        <v>-89081.167648816569</v>
      </c>
      <c r="D3" s="1194">
        <f>'Program Model'!D41</f>
        <v>-84943.305989922243</v>
      </c>
      <c r="E3" s="1194">
        <f>'Program Model'!E41</f>
        <v>-103000.63162548101</v>
      </c>
      <c r="F3" s="1194">
        <f>'Program Model'!F41</f>
        <v>-96617.145747234812</v>
      </c>
      <c r="G3" s="1194">
        <f>'Program Model'!G41</f>
        <v>-91213.75114319993</v>
      </c>
      <c r="H3" s="1194">
        <f>'Program Model'!H41</f>
        <v>-85796.283248954758</v>
      </c>
      <c r="I3" s="1194">
        <f>'Program Model'!I41</f>
        <v>-96319.182878203952</v>
      </c>
      <c r="J3" s="1194">
        <f>'Program Model'!J41</f>
        <v>-89397.951761514574</v>
      </c>
      <c r="K3" s="1194">
        <f>'Program Model'!K41</f>
        <v>-90024.480712323173</v>
      </c>
      <c r="L3" s="1194">
        <f>'Program Model'!L41</f>
        <v>-83034.745192974573</v>
      </c>
      <c r="M3" s="1194">
        <f>'Program Model'!M41</f>
        <v>-81523.935737271546</v>
      </c>
      <c r="N3" s="1194">
        <f>'Program Model'!N41</f>
        <v>-78885.594482606524</v>
      </c>
      <c r="O3" s="1194">
        <f>'Program Model'!O41</f>
        <v>-82752.239686320871</v>
      </c>
      <c r="P3" s="1194">
        <f>'Program Model'!P41</f>
        <v>-80018.374350076134</v>
      </c>
      <c r="Q3" s="1194">
        <f>'Program Model'!Q41</f>
        <v>-78136.345904044138</v>
      </c>
      <c r="R3" s="1194">
        <f>'Program Model'!R41</f>
        <v>-77544.930759546551</v>
      </c>
      <c r="S3" s="1194">
        <f>'Program Model'!S41</f>
        <v>-90533.397204045032</v>
      </c>
      <c r="T3" s="1194">
        <f>'Program Model'!T41</f>
        <v>-85597.56262776228</v>
      </c>
      <c r="U3" s="1194">
        <f>'Program Model'!U41</f>
        <v>-84893.902662333829</v>
      </c>
      <c r="V3" s="1194">
        <f>'Program Model'!V41</f>
        <v>-78548.028372898785</v>
      </c>
      <c r="W3" s="1194">
        <f>'Program Model'!W41</f>
        <v>-75688.216730491302</v>
      </c>
      <c r="X3" s="1194">
        <f>'Program Model'!X41</f>
        <v>-69511.799269979616</v>
      </c>
      <c r="Y3" s="1194">
        <f>'Program Model'!Y41</f>
        <v>-72171.626808674468</v>
      </c>
      <c r="Z3" s="1194">
        <f>'Program Model'!Z41</f>
        <v>-75729.796236390379</v>
      </c>
      <c r="AA3" s="1194">
        <f>'Program Model'!AA41</f>
        <v>-70028.406063933493</v>
      </c>
      <c r="AB3" s="1194">
        <f>'Program Model'!AB41</f>
        <v>-65482.485910912263</v>
      </c>
      <c r="AC3" s="1194">
        <f>'Program Model'!AC41</f>
        <v>-60202.047690816486</v>
      </c>
      <c r="AD3" s="1194">
        <f>'Program Model'!AD41</f>
        <v>-54207.007909203399</v>
      </c>
      <c r="AE3" s="1194">
        <f>'Program Model'!AE41</f>
        <v>-47502.602507063857</v>
      </c>
      <c r="AF3" s="1194">
        <f>'Program Model'!AF41</f>
        <v>-41254.649175577055</v>
      </c>
      <c r="AG3" s="1194">
        <f>'Program Model'!AG41</f>
        <v>-39672.328633009223</v>
      </c>
      <c r="AH3" s="1194">
        <f>'Program Model'!AH41</f>
        <v>-31496.145929501639</v>
      </c>
      <c r="AI3" s="1194">
        <f>'Program Model'!AI41</f>
        <v>-21778.739037474428</v>
      </c>
      <c r="AJ3" s="1194">
        <f>'Program Model'!AJ41</f>
        <v>-19480.413252411992</v>
      </c>
      <c r="AK3" s="1194">
        <f>'Program Model'!AK41</f>
        <v>-7259.2979587492882</v>
      </c>
      <c r="AL3" s="1194">
        <f>'Program Model'!AL41</f>
        <v>-11309.951218101487</v>
      </c>
      <c r="AM3" s="1194">
        <f>'Program Model'!AM41</f>
        <v>-2071.8275880328438</v>
      </c>
      <c r="AN3" s="1194">
        <f>'Program Model'!AN41</f>
        <v>8365.0115044530248</v>
      </c>
      <c r="AO3" s="1194">
        <f>'Program Model'!AO41</f>
        <v>17705.696812828799</v>
      </c>
      <c r="AP3" s="1194">
        <f>'Program Model'!AP41</f>
        <v>22171.441663712962</v>
      </c>
      <c r="AQ3" s="1194">
        <f>'Program Model'!AQ41</f>
        <v>26413.993095181853</v>
      </c>
      <c r="AR3" s="1194">
        <f>'Program Model'!AR41</f>
        <v>38672.46053864024</v>
      </c>
      <c r="AS3" s="1194">
        <f>'Program Model'!AS41</f>
        <v>50399.208758255321</v>
      </c>
      <c r="AT3" s="1194">
        <f>'Program Model'!AT41</f>
        <v>63156.692854878638</v>
      </c>
      <c r="AU3" s="1194">
        <f>'Program Model'!AU41</f>
        <v>77519.791950262472</v>
      </c>
      <c r="AV3" s="1194">
        <f>'Program Model'!AV41</f>
        <v>79383.1140656528</v>
      </c>
      <c r="AW3" s="1194">
        <f>'Program Model'!AW41</f>
        <v>77497.244180244918</v>
      </c>
      <c r="AX3" s="1194">
        <f>'Program Model'!AX41</f>
        <v>53564.305352482595</v>
      </c>
      <c r="AY3" s="1194">
        <f>'Program Model'!AY41</f>
        <v>57097.435399652051</v>
      </c>
      <c r="AZ3" s="1194">
        <f>'Program Model'!AZ41</f>
        <v>72166.789208013157</v>
      </c>
      <c r="BA3" s="1194">
        <f>'Program Model'!BA41</f>
        <v>80167.293739477871</v>
      </c>
      <c r="BB3" s="1194">
        <f>'Program Model'!BB41</f>
        <v>87902.892655542993</v>
      </c>
      <c r="BC3" s="1194">
        <f>'Program Model'!BC41</f>
        <v>85274.869265730726</v>
      </c>
      <c r="BD3" s="1194">
        <f>'Program Model'!BD41</f>
        <v>102741.187498807</v>
      </c>
      <c r="BE3" s="1194">
        <f>'Program Model'!BE41</f>
        <v>109619.80825951233</v>
      </c>
      <c r="BF3" s="1194">
        <f>'Program Model'!BF41</f>
        <v>121269.10552140913</v>
      </c>
      <c r="BG3" s="1194">
        <f>'Program Model'!BG41</f>
        <v>124789.95910791395</v>
      </c>
      <c r="BH3" s="1194">
        <f>'Program Model'!BH41</f>
        <v>142298.44981604224</v>
      </c>
      <c r="BI3" s="1194">
        <f>'Program Model'!BI41</f>
        <v>138603.86350487417</v>
      </c>
      <c r="BJ3" s="1194"/>
      <c r="BK3" s="1194"/>
      <c r="BL3" s="1194"/>
      <c r="BM3" s="1194"/>
      <c r="BN3" s="1194"/>
      <c r="BO3" s="1194"/>
      <c r="BP3" s="1194"/>
      <c r="BQ3" s="1194"/>
      <c r="BR3" s="1194"/>
      <c r="BS3" s="1194"/>
      <c r="BT3" s="1194"/>
      <c r="BU3" s="1194"/>
      <c r="BV3" s="1194"/>
      <c r="BW3" s="1194"/>
      <c r="BX3" s="1194"/>
      <c r="BY3" s="1194"/>
      <c r="BZ3" s="1194"/>
      <c r="CA3" s="1194"/>
      <c r="CB3" s="1194"/>
      <c r="CC3" s="1194"/>
      <c r="CD3" s="1194"/>
      <c r="CE3" s="1194"/>
      <c r="CF3" s="1194"/>
      <c r="CG3" s="1194"/>
      <c r="CH3" s="1194"/>
      <c r="CI3" s="1194"/>
      <c r="CJ3" s="1194"/>
      <c r="CK3" s="1194"/>
      <c r="CL3" s="1194"/>
      <c r="CM3" s="1194"/>
      <c r="CN3" s="1194"/>
      <c r="CO3" s="1194"/>
      <c r="CP3" s="1194"/>
      <c r="CQ3" s="1194"/>
      <c r="CR3" s="1194"/>
      <c r="CS3" s="1194"/>
      <c r="CT3" s="1194"/>
      <c r="CU3" s="1194"/>
      <c r="CV3" s="1194"/>
      <c r="CW3" s="1194"/>
      <c r="CX3" s="1194"/>
      <c r="CY3" s="1194"/>
      <c r="CZ3" s="1194"/>
      <c r="DA3" s="1194"/>
      <c r="DB3" s="1194"/>
    </row>
    <row r="4" spans="1:106" s="1136" customFormat="1" ht="12"/>
    <row r="5" spans="1:106" s="1136" customFormat="1" ht="12"/>
    <row r="6" spans="1:106" s="1136" customFormat="1" ht="12">
      <c r="A6" s="1136" t="s">
        <v>386</v>
      </c>
      <c r="B6" s="1136">
        <f>'Prg. Marketing'!D24</f>
        <v>587.22466960352426</v>
      </c>
    </row>
    <row r="7" spans="1:106" s="1136" customFormat="1" ht="12"/>
    <row r="8" spans="1:106" s="1136" customFormat="1" ht="12">
      <c r="A8" s="1194" t="str">
        <f>'Program Model'!A24</f>
        <v>Program Revenue / Month</v>
      </c>
      <c r="B8" s="1194">
        <f>'Program Model'!B24</f>
        <v>9250</v>
      </c>
      <c r="C8" s="1194">
        <f>'Program Model'!C24</f>
        <v>11535.779375999999</v>
      </c>
      <c r="D8" s="1194">
        <f>'Program Model'!D24</f>
        <v>12087.251169124353</v>
      </c>
      <c r="E8" s="1194">
        <f>'Program Model'!E24</f>
        <v>14524.725151031666</v>
      </c>
      <c r="F8" s="1194">
        <f>'Program Model'!F24</f>
        <v>15237.547255986176</v>
      </c>
      <c r="G8" s="1194">
        <f>'Program Model'!G24</f>
        <v>15996.557108615441</v>
      </c>
      <c r="H8" s="1194">
        <f>'Program Model'!H24</f>
        <v>16804.495187435896</v>
      </c>
      <c r="I8" s="1194">
        <f>'Program Model'!I24</f>
        <v>19514.221094348846</v>
      </c>
      <c r="J8" s="1194">
        <f>'Program Model'!J24</f>
        <v>20515.872345391468</v>
      </c>
      <c r="K8" s="1194">
        <f>'Program Model'!K24</f>
        <v>23431.106980726079</v>
      </c>
      <c r="L8" s="1194">
        <f>'Program Model'!L24</f>
        <v>24650.667058476414</v>
      </c>
      <c r="M8" s="1194">
        <f>'Program Model'!M24</f>
        <v>27796.837074521503</v>
      </c>
      <c r="N8" s="1194">
        <f>'Program Model'!N24</f>
        <v>29265.042913015026</v>
      </c>
      <c r="O8" s="1194">
        <f>'Program Model'!O24</f>
        <v>32679.373459769511</v>
      </c>
      <c r="P8" s="1194">
        <f>'Program Model'!P24</f>
        <v>34432.304879899966</v>
      </c>
      <c r="Q8" s="1194">
        <f>'Program Model'!Q24</f>
        <v>36298.707134925506</v>
      </c>
      <c r="R8" s="1194">
        <f>'Program Model'!R24</f>
        <v>40134.70221192536</v>
      </c>
      <c r="S8" s="1194">
        <f>'Program Model'!S24</f>
        <v>42333.779926698648</v>
      </c>
      <c r="T8" s="1194">
        <f>'Program Model'!T24</f>
        <v>44671.040135659379</v>
      </c>
      <c r="U8" s="1194">
        <f>'Program Model'!U24</f>
        <v>49004.406978945488</v>
      </c>
      <c r="V8" s="1194">
        <f>'Program Model'!V24</f>
        <v>51728.454307206142</v>
      </c>
      <c r="W8" s="1194">
        <f>'Program Model'!W24</f>
        <v>56470.197241200556</v>
      </c>
      <c r="X8" s="1194">
        <f>'Program Model'!X24</f>
        <v>59625.106807343567</v>
      </c>
      <c r="Y8" s="1194">
        <f>'Program Model'!Y24</f>
        <v>64821.117220285189</v>
      </c>
      <c r="Z8" s="1194">
        <f>'Program Model'!Z24</f>
        <v>68459.908846911756</v>
      </c>
      <c r="AA8" s="1194">
        <f>'Program Model'!AA24</f>
        <v>74171.696840639212</v>
      </c>
      <c r="AB8" s="1194">
        <f>'Program Model'!AB24</f>
        <v>80204.175689457348</v>
      </c>
      <c r="AC8" s="1194">
        <f>'Program Model'!AC24</f>
        <v>86574.924592870986</v>
      </c>
      <c r="AD8" s="1194">
        <f>'Program Model'!AD24</f>
        <v>93301.962271253709</v>
      </c>
      <c r="AE8" s="1194">
        <f>'Program Model'!AE24</f>
        <v>100403.21344908761</v>
      </c>
      <c r="AF8" s="1194">
        <f>'Program Model'!AF24</f>
        <v>107897.26980388594</v>
      </c>
      <c r="AG8" s="1194">
        <f>'Program Model'!AG24</f>
        <v>113955.27053385583</v>
      </c>
      <c r="AH8" s="1194">
        <f>'Program Model'!AH24</f>
        <v>122210.16423815746</v>
      </c>
      <c r="AI8" s="1194">
        <f>'Program Model'!AI24</f>
        <v>129066.09065588911</v>
      </c>
      <c r="AJ8" s="1194">
        <f>'Program Model'!AJ24</f>
        <v>138157.23969587608</v>
      </c>
      <c r="AK8" s="1194">
        <f>'Program Model'!AK24</f>
        <v>145889.01939904242</v>
      </c>
      <c r="AL8" s="1194">
        <f>'Program Model'!AL24</f>
        <v>148856.04082590621</v>
      </c>
      <c r="AM8" s="1194">
        <f>'Program Model'!AM24</f>
        <v>157591.15047368643</v>
      </c>
      <c r="AN8" s="1194">
        <f>'Program Model'!AN24</f>
        <v>166342.88099469518</v>
      </c>
      <c r="AO8" s="1194">
        <f>'Program Model'!AO24</f>
        <v>176008.27893223704</v>
      </c>
      <c r="AP8" s="1194">
        <f>'Program Model'!AP24</f>
        <v>185732.46758841327</v>
      </c>
      <c r="AQ8" s="1194">
        <f>'Program Model'!AQ24</f>
        <v>197822.05320166456</v>
      </c>
      <c r="AR8" s="1194">
        <f>'Program Model'!AR24</f>
        <v>210535.67080347639</v>
      </c>
      <c r="AS8" s="1194">
        <f>'Program Model'!AS24</f>
        <v>220643.19103844979</v>
      </c>
      <c r="AT8" s="1194">
        <f>'Program Model'!AT24</f>
        <v>234523.08426248754</v>
      </c>
      <c r="AU8" s="1194">
        <f>'Program Model'!AU24</f>
        <v>247696.02602316954</v>
      </c>
      <c r="AV8" s="1194">
        <f>'Program Model'!AV24</f>
        <v>261079.20453707423</v>
      </c>
      <c r="AW8" s="1194">
        <f>'Program Model'!AW24</f>
        <v>275576.30582812865</v>
      </c>
      <c r="AX8" s="1194">
        <f>'Program Model'!AX24</f>
        <v>250325.52270255843</v>
      </c>
      <c r="AY8" s="1194">
        <f>'Program Model'!AY24</f>
        <v>253994.07596703895</v>
      </c>
      <c r="AZ8" s="1194">
        <f>'Program Model'!AZ24</f>
        <v>269461.97073406877</v>
      </c>
      <c r="BA8" s="1194">
        <f>'Program Model'!BA24</f>
        <v>277324.4709824801</v>
      </c>
      <c r="BB8" s="1194">
        <f>'Program Model'!BB24</f>
        <v>290675.62886132044</v>
      </c>
      <c r="BC8" s="1194">
        <f>'Program Model'!BC24</f>
        <v>306085.37401540542</v>
      </c>
      <c r="BD8" s="1194">
        <f>'Program Model'!BD24</f>
        <v>324100.96636890591</v>
      </c>
      <c r="BE8" s="1194">
        <f>'Program Model'!BE24</f>
        <v>331357.70266064856</v>
      </c>
      <c r="BF8" s="1194">
        <f>'Program Model'!BF24</f>
        <v>348711.75205188943</v>
      </c>
      <c r="BG8" s="1194">
        <f>'Program Model'!BG24</f>
        <v>358966.90392991662</v>
      </c>
      <c r="BH8" s="1194">
        <f>'Program Model'!BH24</f>
        <v>377598.71543961036</v>
      </c>
      <c r="BI8" s="1194">
        <f>'Program Model'!BI24</f>
        <v>389180.76199960092</v>
      </c>
    </row>
    <row r="9" spans="1:106" s="1136" customFormat="1" ht="12">
      <c r="A9" s="1136" t="str">
        <f>'Program Model'!A31</f>
        <v>Cost Per Lead (blended)</v>
      </c>
      <c r="B9" s="1136">
        <f>'Program Model'!B31</f>
        <v>587.22466960352426</v>
      </c>
      <c r="C9" s="1136">
        <f>'Program Model'!C31</f>
        <v>542.7343475423005</v>
      </c>
      <c r="D9" s="1136">
        <f>'Program Model'!D31</f>
        <v>500.73542408325528</v>
      </c>
      <c r="E9" s="1136">
        <f>'Program Model'!E31</f>
        <v>507.13542516555367</v>
      </c>
      <c r="F9" s="1136">
        <f>'Program Model'!F31</f>
        <v>465.54333509946269</v>
      </c>
      <c r="G9" s="1136">
        <f>'Program Model'!G31</f>
        <v>426.52024766464012</v>
      </c>
      <c r="H9" s="1136">
        <f>'Program Model'!H31</f>
        <v>389.97483277658324</v>
      </c>
      <c r="I9" s="1136">
        <f>'Program Model'!I31</f>
        <v>378.96766017201293</v>
      </c>
      <c r="J9" s="1136">
        <f>'Program Model'!J31</f>
        <v>346.4688206745567</v>
      </c>
      <c r="K9" s="1136">
        <f>'Program Model'!K31</f>
        <v>314.59526070503659</v>
      </c>
      <c r="L9" s="1136">
        <f>'Program Model'!L31</f>
        <v>284.91323814841314</v>
      </c>
      <c r="M9" s="1136">
        <f>'Program Model'!M31</f>
        <v>257.44668251159368</v>
      </c>
      <c r="N9" s="1136">
        <f>'Program Model'!N31</f>
        <v>243.6025788068406</v>
      </c>
      <c r="O9" s="1136">
        <f>'Program Model'!O31</f>
        <v>232.3888122054789</v>
      </c>
      <c r="P9" s="1136">
        <f>'Program Model'!P31</f>
        <v>220.31888255830754</v>
      </c>
      <c r="Q9" s="1136">
        <f>'Program Model'!Q31</f>
        <v>208.40938140566246</v>
      </c>
      <c r="R9" s="1136">
        <f>'Program Model'!R31</f>
        <v>196.76264137243686</v>
      </c>
      <c r="S9" s="1136">
        <f>'Program Model'!S31</f>
        <v>212.41591210516202</v>
      </c>
      <c r="T9" s="1136">
        <f>'Program Model'!T31</f>
        <v>199.48862304008279</v>
      </c>
      <c r="U9" s="1136">
        <f>'Program Model'!U31</f>
        <v>186.9828734761052</v>
      </c>
      <c r="V9" s="1136">
        <f>'Program Model'!V31</f>
        <v>174.91998259976603</v>
      </c>
      <c r="W9" s="1136">
        <f>'Program Model'!W31</f>
        <v>163.31857895348003</v>
      </c>
      <c r="X9" s="1136">
        <f>'Program Model'!X31</f>
        <v>152.19427293809696</v>
      </c>
      <c r="Y9" s="1136">
        <f>'Program Model'!Y31</f>
        <v>148.40232297773736</v>
      </c>
      <c r="Z9" s="1136">
        <f>'Program Model'!Z31</f>
        <v>148.44940330941131</v>
      </c>
      <c r="AA9" s="1136">
        <f>'Program Model'!AA31</f>
        <v>139.64878080252714</v>
      </c>
      <c r="AB9" s="1136">
        <f>'Program Model'!AB31</f>
        <v>131.09727804524786</v>
      </c>
      <c r="AC9" s="1136">
        <f>'Program Model'!AC31</f>
        <v>122.91871466012431</v>
      </c>
      <c r="AD9" s="1136">
        <f>'Program Model'!AD31</f>
        <v>115.12744302985251</v>
      </c>
      <c r="AE9" s="1136">
        <f>'Program Model'!AE31</f>
        <v>107.71987577524709</v>
      </c>
      <c r="AF9" s="1136">
        <f>'Program Model'!AF31</f>
        <v>100.68883819004732</v>
      </c>
      <c r="AG9" s="1136">
        <f>'Program Model'!AG31</f>
        <v>98.437354457846013</v>
      </c>
      <c r="AH9" s="1136">
        <f>'Program Model'!AH31</f>
        <v>92.850709939513749</v>
      </c>
      <c r="AI9" s="1136">
        <f>'Program Model'!AI31</f>
        <v>86.769536051478994</v>
      </c>
      <c r="AJ9" s="1136">
        <f>'Program Model'!AJ31</f>
        <v>84.73904624241969</v>
      </c>
      <c r="AK9" s="1136">
        <f>'Program Model'!AK31</f>
        <v>78.834011569062852</v>
      </c>
      <c r="AL9" s="1136">
        <f>'Program Model'!AL31</f>
        <v>77.938630257962089</v>
      </c>
      <c r="AM9" s="1136">
        <f>'Program Model'!AM31</f>
        <v>73.013242487671974</v>
      </c>
      <c r="AN9" s="1136">
        <f>'Program Model'!AN31</f>
        <v>68.81072324720671</v>
      </c>
      <c r="AO9" s="1136">
        <f>'Program Model'!AO31</f>
        <v>64.907765166002193</v>
      </c>
      <c r="AP9" s="1136">
        <f>'Program Model'!AP31</f>
        <v>63.673296045961301</v>
      </c>
      <c r="AQ9" s="1136">
        <f>'Program Model'!AQ31</f>
        <v>63.164423923563888</v>
      </c>
      <c r="AR9" s="1136">
        <f>'Program Model'!AR31</f>
        <v>59.699223396921511</v>
      </c>
      <c r="AS9" s="1136">
        <f>'Program Model'!AS31</f>
        <v>56.319982291486426</v>
      </c>
      <c r="AT9" s="1136">
        <f>'Program Model'!AT31</f>
        <v>53.102149981504823</v>
      </c>
      <c r="AU9" s="1136">
        <f>'Program Model'!AU31</f>
        <v>50.05614868482148</v>
      </c>
      <c r="AV9" s="1136">
        <f>'Program Model'!AV31</f>
        <v>51.012482512465695</v>
      </c>
      <c r="AW9" s="1136">
        <f>'Program Model'!AW31</f>
        <v>51.613099017370757</v>
      </c>
      <c r="AX9" s="1136">
        <f>'Program Model'!AX31</f>
        <v>49.447081787763345</v>
      </c>
      <c r="AY9" s="1136">
        <f>'Program Model'!AY31</f>
        <v>47.007097853338365</v>
      </c>
      <c r="AZ9" s="1136">
        <f>'Program Model'!AZ31</f>
        <v>44.571097679883295</v>
      </c>
      <c r="BA9" s="1136">
        <f>'Program Model'!BA31</f>
        <v>42.222387263779048</v>
      </c>
      <c r="BB9" s="1136">
        <f>'Program Model'!BB31</f>
        <v>41.332313417443849</v>
      </c>
      <c r="BC9" s="1136">
        <f>'Program Model'!BC31</f>
        <v>43.201634271665313</v>
      </c>
      <c r="BD9" s="1136">
        <f>'Program Model'!BD31</f>
        <v>41.475435627953836</v>
      </c>
      <c r="BE9" s="1136">
        <f>'Program Model'!BE31</f>
        <v>39.490602256549167</v>
      </c>
      <c r="BF9" s="1136">
        <f>'Program Model'!BF31</f>
        <v>38.557862328948886</v>
      </c>
      <c r="BG9" s="1136">
        <f>'Program Model'!BG31</f>
        <v>37.862976040045538</v>
      </c>
      <c r="BH9" s="1136">
        <f>'Program Model'!BH31</f>
        <v>36.4832305388734</v>
      </c>
      <c r="BI9" s="1136">
        <f>'Program Model'!BI31</f>
        <v>36.720819099354074</v>
      </c>
    </row>
    <row r="10" spans="1:106" s="1136" customFormat="1" ht="12">
      <c r="A10" s="1194" t="str">
        <f>'Program Model'!A41</f>
        <v>Net Program P/L</v>
      </c>
    </row>
    <row r="11" spans="1:106" s="1136" customFormat="1" ht="12"/>
    <row r="12" spans="1:106" s="1136" customFormat="1" ht="12">
      <c r="A12" s="1195" t="str">
        <f>'Program Model'!A18</f>
        <v>Crew Jobs</v>
      </c>
      <c r="B12" s="1195">
        <f>'Program Model'!B18</f>
        <v>5.7580372001957905</v>
      </c>
      <c r="C12" s="1195">
        <f>'Program Model'!C18</f>
        <v>7.3557175579780179</v>
      </c>
      <c r="D12" s="1195">
        <f>'Program Model'!D18</f>
        <v>7.9800940118775596</v>
      </c>
      <c r="E12" s="1195">
        <f>'Program Model'!E18</f>
        <v>10.029751150768824</v>
      </c>
      <c r="F12" s="1195">
        <f>'Program Model'!F18</f>
        <v>10.916605459512841</v>
      </c>
      <c r="G12" s="1195">
        <f>'Program Model'!G18</f>
        <v>11.84422506230349</v>
      </c>
      <c r="H12" s="1195">
        <f>'Program Model'!H18</f>
        <v>12.766742121373095</v>
      </c>
      <c r="I12" s="1195">
        <f>'Program Model'!I18</f>
        <v>14.845732392831547</v>
      </c>
      <c r="J12" s="1195">
        <f>'Program Model'!J18</f>
        <v>15.935266399089512</v>
      </c>
      <c r="K12" s="1195">
        <f>'Program Model'!K18</f>
        <v>18.099966303651616</v>
      </c>
      <c r="L12" s="1195">
        <f>'Program Model'!L18</f>
        <v>19.288531764491307</v>
      </c>
      <c r="M12" s="1195">
        <f>'Program Model'!M18</f>
        <v>21.682108197142107</v>
      </c>
      <c r="N12" s="1195">
        <f>'Program Model'!N18</f>
        <v>22.969417947701185</v>
      </c>
      <c r="O12" s="1195">
        <f>'Program Model'!O18</f>
        <v>25.557784795979615</v>
      </c>
      <c r="P12" s="1195">
        <f>'Program Model'!P18</f>
        <v>27.260324953496351</v>
      </c>
      <c r="Q12" s="1195">
        <f>'Program Model'!Q18</f>
        <v>29.002475954059832</v>
      </c>
      <c r="R12" s="1195">
        <f>'Program Model'!R18</f>
        <v>32.066133159810803</v>
      </c>
      <c r="S12" s="1195">
        <f>'Program Model'!S18</f>
        <v>34.139401668948885</v>
      </c>
      <c r="T12" s="1195">
        <f>'Program Model'!T18</f>
        <v>36.344685566618615</v>
      </c>
      <c r="U12" s="1195">
        <f>'Program Model'!U18</f>
        <v>39.848550594062679</v>
      </c>
      <c r="V12" s="1195">
        <f>'Program Model'!V18</f>
        <v>42.413658425928261</v>
      </c>
      <c r="W12" s="1195">
        <f>'Program Model'!W18</f>
        <v>46.293301594591448</v>
      </c>
      <c r="X12" s="1195">
        <f>'Program Model'!X18</f>
        <v>49.318991855191193</v>
      </c>
      <c r="Y12" s="1195">
        <f>'Program Model'!Y18</f>
        <v>53.645017103646254</v>
      </c>
      <c r="Z12" s="1195">
        <f>'Program Model'!Z18</f>
        <v>57.200523992728982</v>
      </c>
      <c r="AA12" s="1195">
        <f>'Program Model'!AA18</f>
        <v>61.960790568993183</v>
      </c>
      <c r="AB12" s="1195">
        <f>'Program Model'!AB18</f>
        <v>67.107132586778121</v>
      </c>
      <c r="AC12" s="1195">
        <f>'Program Model'!AC18</f>
        <v>72.551963159843311</v>
      </c>
      <c r="AD12" s="1195">
        <f>'Program Model'!AD18</f>
        <v>78.348753767212472</v>
      </c>
      <c r="AE12" s="1195">
        <f>'Program Model'!AE18</f>
        <v>84.552597333381186</v>
      </c>
      <c r="AF12" s="1195">
        <f>'Program Model'!AF18</f>
        <v>91.155260430855037</v>
      </c>
      <c r="AG12" s="1195">
        <f>'Program Model'!AG18</f>
        <v>97.00401818025388</v>
      </c>
      <c r="AH12" s="1195">
        <f>'Program Model'!AH18</f>
        <v>104.34845599982505</v>
      </c>
      <c r="AI12" s="1195">
        <f>'Program Model'!AI18</f>
        <v>110.96741805202549</v>
      </c>
      <c r="AJ12" s="1195">
        <f>'Program Model'!AJ18</f>
        <v>119.07928380316167</v>
      </c>
      <c r="AK12" s="1195">
        <f>'Program Model'!AK18</f>
        <v>126.51698649585416</v>
      </c>
      <c r="AL12" s="1195">
        <f>'Program Model'!AL18</f>
        <v>135.48638888197317</v>
      </c>
      <c r="AM12" s="1195">
        <f>'Program Model'!AM18</f>
        <v>144.6813223778789</v>
      </c>
      <c r="AN12" s="1195">
        <f>'Program Model'!AN18</f>
        <v>153.1177712208077</v>
      </c>
      <c r="AO12" s="1195">
        <f>'Program Model'!AO18</f>
        <v>163.21445304621821</v>
      </c>
      <c r="AP12" s="1195">
        <f>'Program Model'!AP18</f>
        <v>172.67080092154043</v>
      </c>
      <c r="AQ12" s="1195">
        <f>'Program Model'!AQ18</f>
        <v>183.73684259580597</v>
      </c>
      <c r="AR12" s="1195">
        <f>'Program Model'!AR18</f>
        <v>195.46449818206469</v>
      </c>
      <c r="AS12" s="1195">
        <f>'Program Model'!AS18</f>
        <v>206.66235657864343</v>
      </c>
      <c r="AT12" s="1195">
        <f>'Program Model'!AT18</f>
        <v>219.57738596611043</v>
      </c>
      <c r="AU12" s="1195">
        <f>'Program Model'!AU18</f>
        <v>233.20047006931586</v>
      </c>
      <c r="AV12" s="1195">
        <f>'Program Model'!AV18</f>
        <v>246.27043562754446</v>
      </c>
      <c r="AW12" s="1195">
        <f>'Program Model'!AW18</f>
        <v>261.25258817335839</v>
      </c>
      <c r="AX12" s="1195">
        <f>'Program Model'!AX18</f>
        <v>276.90110505327993</v>
      </c>
      <c r="AY12" s="1195">
        <f>'Program Model'!AY18</f>
        <v>292.37479364371143</v>
      </c>
      <c r="AZ12" s="1195">
        <f>'Program Model'!AZ18</f>
        <v>309.80829346548393</v>
      </c>
      <c r="BA12" s="1195">
        <f>'Program Model'!BA18</f>
        <v>328.09637625273285</v>
      </c>
      <c r="BB12" s="1195">
        <f>'Program Model'!BB18</f>
        <v>346.2362830640165</v>
      </c>
      <c r="BC12" s="1195">
        <f>'Program Model'!BC18</f>
        <v>365.22078556193446</v>
      </c>
      <c r="BD12" s="1195">
        <f>'Program Model'!BD18</f>
        <v>386.27225115502279</v>
      </c>
      <c r="BE12" s="1195">
        <f>'Program Model'!BE18</f>
        <v>407.25516584359269</v>
      </c>
      <c r="BF12" s="1195">
        <f>'Program Model'!BF18</f>
        <v>429.20688142113602</v>
      </c>
      <c r="BG12" s="1195">
        <f>'Program Model'!BG18</f>
        <v>453.39576993622967</v>
      </c>
      <c r="BH12" s="1195">
        <f>'Program Model'!BH18</f>
        <v>477.63425453236908</v>
      </c>
      <c r="BI12" s="1195">
        <f>'Program Model'!BI18</f>
        <v>504.17556222199886</v>
      </c>
    </row>
    <row r="13" spans="1:106" s="1136" customFormat="1" ht="12">
      <c r="A13" s="1195" t="str">
        <f>'Program Model'!A19</f>
        <v>Project Management</v>
      </c>
      <c r="B13" s="1195">
        <f>'Program Model'!B19</f>
        <v>1.1144588129411208</v>
      </c>
      <c r="C13" s="1195">
        <f>'Program Model'!C19</f>
        <v>1.423687269286068</v>
      </c>
      <c r="D13" s="1195">
        <f>'Program Model'!D19</f>
        <v>1.5445343248795276</v>
      </c>
      <c r="E13" s="1195">
        <f>'Program Model'!E19</f>
        <v>1.9412421582133208</v>
      </c>
      <c r="F13" s="1195">
        <f>'Program Model'!F19</f>
        <v>2.1128913792605499</v>
      </c>
      <c r="G13" s="1195">
        <f>'Program Model'!G19</f>
        <v>2.2924306572200304</v>
      </c>
      <c r="H13" s="1195">
        <f>'Program Model'!H19</f>
        <v>2.470982346072212</v>
      </c>
      <c r="I13" s="1195">
        <f>'Program Model'!I19</f>
        <v>2.8733675599028801</v>
      </c>
      <c r="J13" s="1195">
        <f>'Program Model'!J19</f>
        <v>3.0842451095011958</v>
      </c>
      <c r="K13" s="1195">
        <f>'Program Model'!K19</f>
        <v>3.5032192845777321</v>
      </c>
      <c r="L13" s="1195">
        <f>'Program Model'!L19</f>
        <v>3.7332642124821884</v>
      </c>
      <c r="M13" s="1195">
        <f>'Program Model'!M19</f>
        <v>4.1965370704146014</v>
      </c>
      <c r="N13" s="1195">
        <f>'Program Model'!N19</f>
        <v>4.4456937963292615</v>
      </c>
      <c r="O13" s="1195">
        <f>'Program Model'!O19</f>
        <v>4.9466680250283126</v>
      </c>
      <c r="P13" s="1195">
        <f>'Program Model'!P19</f>
        <v>5.2761919264831647</v>
      </c>
      <c r="Q13" s="1195">
        <f>'Program Model'!Q19</f>
        <v>5.6133824427212575</v>
      </c>
      <c r="R13" s="1195">
        <f>'Program Model'!R19</f>
        <v>6.2063483535117685</v>
      </c>
      <c r="S13" s="1195">
        <f>'Program Model'!S19</f>
        <v>6.607626129473978</v>
      </c>
      <c r="T13" s="1195">
        <f>'Program Model'!T19</f>
        <v>7.0344552709584418</v>
      </c>
      <c r="U13" s="1195">
        <f>'Program Model'!U19</f>
        <v>7.7126226956250346</v>
      </c>
      <c r="V13" s="1195">
        <f>'Program Model'!V19</f>
        <v>8.2090951792119213</v>
      </c>
      <c r="W13" s="1195">
        <f>'Program Model'!W19</f>
        <v>8.9599938570176985</v>
      </c>
      <c r="X13" s="1195">
        <f>'Program Model'!X19</f>
        <v>9.5456113268111977</v>
      </c>
      <c r="Y13" s="1195">
        <f>'Program Model'!Y19</f>
        <v>10.382906536189598</v>
      </c>
      <c r="Z13" s="1195">
        <f>'Program Model'!Z19</f>
        <v>11.071069159883029</v>
      </c>
      <c r="AA13" s="1195">
        <f>'Program Model'!AA19</f>
        <v>11.992411077869647</v>
      </c>
      <c r="AB13" s="1195">
        <f>'Program Model'!AB19</f>
        <v>12.988477274860282</v>
      </c>
      <c r="AC13" s="1195">
        <f>'Program Model'!AC19</f>
        <v>14.042315450292254</v>
      </c>
      <c r="AD13" s="1195">
        <f>'Program Model'!AD19</f>
        <v>15.164274922686284</v>
      </c>
      <c r="AE13" s="1195">
        <f>'Program Model'!AE19</f>
        <v>16.365018838718939</v>
      </c>
      <c r="AF13" s="1195">
        <f>'Program Model'!AF19</f>
        <v>17.642953631778393</v>
      </c>
      <c r="AG13" s="1195">
        <f>'Program Model'!AG19</f>
        <v>18.774971260694297</v>
      </c>
      <c r="AH13" s="1195">
        <f>'Program Model'!AH19</f>
        <v>20.196475354804846</v>
      </c>
      <c r="AI13" s="1195">
        <f>'Program Model'!AI19</f>
        <v>21.477564784262999</v>
      </c>
      <c r="AJ13" s="1195">
        <f>'Program Model'!AJ19</f>
        <v>23.047603316740968</v>
      </c>
      <c r="AK13" s="1195">
        <f>'Program Model'!AK19</f>
        <v>24.487158676616932</v>
      </c>
      <c r="AL13" s="1195">
        <f>'Program Model'!AL19</f>
        <v>26.223172041672225</v>
      </c>
      <c r="AM13" s="1195">
        <f>'Program Model'!AM19</f>
        <v>28.002836589266884</v>
      </c>
      <c r="AN13" s="1195">
        <f>'Program Model'!AN19</f>
        <v>29.6356976556402</v>
      </c>
      <c r="AO13" s="1195">
        <f>'Program Model'!AO19</f>
        <v>31.589894137977716</v>
      </c>
      <c r="AP13" s="1195">
        <f>'Program Model'!AP19</f>
        <v>33.420155017072339</v>
      </c>
      <c r="AQ13" s="1195">
        <f>'Program Model'!AQ19</f>
        <v>35.561969534672123</v>
      </c>
      <c r="AR13" s="1195">
        <f>'Program Model'!AR19</f>
        <v>37.831838357818974</v>
      </c>
      <c r="AS13" s="1195">
        <f>'Program Model'!AS19</f>
        <v>39.999165789414853</v>
      </c>
      <c r="AT13" s="1195">
        <f>'Program Model'!AT19</f>
        <v>42.49884889666653</v>
      </c>
      <c r="AU13" s="1195">
        <f>'Program Model'!AU19</f>
        <v>45.13557485212565</v>
      </c>
      <c r="AV13" s="1195">
        <f>'Program Model'!AV19</f>
        <v>47.665245605331187</v>
      </c>
      <c r="AW13" s="1195">
        <f>'Program Model'!AW19</f>
        <v>50.565017065811297</v>
      </c>
      <c r="AX13" s="1195">
        <f>'Program Model'!AX19</f>
        <v>53.593762268376757</v>
      </c>
      <c r="AY13" s="1195">
        <f>'Program Model'!AY19</f>
        <v>56.58866973749253</v>
      </c>
      <c r="AZ13" s="1195">
        <f>'Program Model'!AZ19</f>
        <v>59.962895509448501</v>
      </c>
      <c r="BA13" s="1195">
        <f>'Program Model'!BA19</f>
        <v>63.502524436012806</v>
      </c>
      <c r="BB13" s="1195">
        <f>'Program Model'!BB19</f>
        <v>67.013474141422549</v>
      </c>
      <c r="BC13" s="1195">
        <f>'Program Model'!BC19</f>
        <v>70.687893979729253</v>
      </c>
      <c r="BD13" s="1195">
        <f>'Program Model'!BD19</f>
        <v>74.762371191294733</v>
      </c>
      <c r="BE13" s="1195">
        <f>'Program Model'!BE19</f>
        <v>78.823580485856652</v>
      </c>
      <c r="BF13" s="1195">
        <f>'Program Model'!BF19</f>
        <v>83.072299629897287</v>
      </c>
      <c r="BG13" s="1195">
        <f>'Program Model'!BG19</f>
        <v>87.754019987657358</v>
      </c>
      <c r="BH13" s="1195">
        <f>'Program Model'!BH19</f>
        <v>92.445339586910137</v>
      </c>
      <c r="BI13" s="1195">
        <f>'Program Model'!BI19</f>
        <v>97.582366881677203</v>
      </c>
    </row>
    <row r="14" spans="1:106" s="1136" customFormat="1" ht="12">
      <c r="A14" s="1195" t="str">
        <f>'Program Model'!A20</f>
        <v>Auditing Jobs</v>
      </c>
      <c r="B14" s="1195">
        <f>'Program Model'!B20</f>
        <v>6.25</v>
      </c>
      <c r="C14" s="1195">
        <f>'Program Model'!C20</f>
        <v>7.75</v>
      </c>
      <c r="D14" s="1195">
        <f>'Program Model'!D20</f>
        <v>8.06</v>
      </c>
      <c r="E14" s="1195">
        <f>'Program Model'!E20</f>
        <v>9.6324000000000005</v>
      </c>
      <c r="F14" s="1195">
        <f>'Program Model'!F20</f>
        <v>10.017696000000003</v>
      </c>
      <c r="G14" s="1195">
        <f>'Program Model'!G20</f>
        <v>10.418403840000003</v>
      </c>
      <c r="H14" s="1195">
        <f>'Program Model'!H20</f>
        <v>10.835139993600002</v>
      </c>
      <c r="I14" s="1195">
        <f>'Program Model'!I20</f>
        <v>12.518545593344005</v>
      </c>
      <c r="J14" s="1195">
        <f>'Program Model'!J20</f>
        <v>13.019287417077766</v>
      </c>
      <c r="K14" s="1195">
        <f>'Program Model'!K20</f>
        <v>14.790058913760879</v>
      </c>
      <c r="L14" s="1195">
        <f>'Program Model'!L20</f>
        <v>15.381661270311316</v>
      </c>
      <c r="M14" s="1195">
        <f>'Program Model'!M20</f>
        <v>17.246927721123768</v>
      </c>
      <c r="N14" s="1195">
        <f>'Program Model'!N20</f>
        <v>17.936804829968718</v>
      </c>
      <c r="O14" s="1195">
        <f>'Program Model'!O20</f>
        <v>19.904277023167467</v>
      </c>
      <c r="P14" s="1195">
        <f>'Program Model'!P20</f>
        <v>20.700448104094164</v>
      </c>
      <c r="Q14" s="1195">
        <f>'Program Model'!Q20</f>
        <v>21.528466028257935</v>
      </c>
      <c r="R14" s="1195">
        <f>'Program Model'!R20</f>
        <v>23.639604669388252</v>
      </c>
      <c r="S14" s="1195">
        <f>'Program Model'!S20</f>
        <v>24.585188856163786</v>
      </c>
      <c r="T14" s="1195">
        <f>'Program Model'!T20</f>
        <v>25.568596410410336</v>
      </c>
      <c r="U14" s="1195">
        <f>'Program Model'!U20</f>
        <v>27.841340266826752</v>
      </c>
      <c r="V14" s="1195">
        <f>'Program Model'!V20</f>
        <v>28.954993877499824</v>
      </c>
      <c r="W14" s="1195">
        <f>'Program Model'!W20</f>
        <v>31.36319363259982</v>
      </c>
      <c r="X14" s="1195">
        <f>'Program Model'!X20</f>
        <v>32.617721377903813</v>
      </c>
      <c r="Y14" s="1195">
        <f>'Program Model'!Y20</f>
        <v>35.172430233019966</v>
      </c>
      <c r="Z14" s="1195">
        <f>'Program Model'!Z20</f>
        <v>36.579327442340769</v>
      </c>
      <c r="AA14" s="1195">
        <f>'Program Model'!AA20</f>
        <v>39.292500540034396</v>
      </c>
      <c r="AB14" s="1195">
        <f>'Program Model'!AB20</f>
        <v>42.114200561635784</v>
      </c>
      <c r="AC14" s="1195">
        <f>'Program Model'!AC20</f>
        <v>45.048768584101197</v>
      </c>
      <c r="AD14" s="1195">
        <f>'Program Model'!AD20</f>
        <v>48.100719327465256</v>
      </c>
      <c r="AE14" s="1195">
        <f>'Program Model'!AE20</f>
        <v>51.274748100563862</v>
      </c>
      <c r="AF14" s="1195">
        <f>'Program Model'!AF20</f>
        <v>54.575738024586421</v>
      </c>
      <c r="AG14" s="1195">
        <f>'Program Model'!AG20</f>
        <v>56.758767545569896</v>
      </c>
      <c r="AH14" s="1195">
        <f>'Program Model'!AH20</f>
        <v>60.279118247392688</v>
      </c>
      <c r="AI14" s="1195">
        <f>'Program Model'!AI20</f>
        <v>62.690282977288405</v>
      </c>
      <c r="AJ14" s="1195">
        <f>'Program Model'!AJ20</f>
        <v>66.447894296379943</v>
      </c>
      <c r="AK14" s="1195">
        <f>'Program Model'!AK20</f>
        <v>69.105810068235158</v>
      </c>
      <c r="AL14" s="1195">
        <f>'Program Model'!AL20</f>
        <v>73.120042470964535</v>
      </c>
      <c r="AM14" s="1195">
        <f>'Program Model'!AM20</f>
        <v>77.294844169803142</v>
      </c>
      <c r="AN14" s="1195">
        <f>'Program Model'!AN20</f>
        <v>80.386637936595292</v>
      </c>
      <c r="AO14" s="1195">
        <f>'Program Model'!AO20</f>
        <v>84.852103454059105</v>
      </c>
      <c r="AP14" s="1195">
        <f>'Program Model'!AP20</f>
        <v>88.24618759222146</v>
      </c>
      <c r="AQ14" s="1195">
        <f>'Program Model'!AQ20</f>
        <v>93.026035095910316</v>
      </c>
      <c r="AR14" s="1195">
        <f>'Program Model'!AR20</f>
        <v>97.997076499746711</v>
      </c>
      <c r="AS14" s="1195">
        <f>'Program Model'!AS20</f>
        <v>101.9169595597366</v>
      </c>
      <c r="AT14" s="1195">
        <f>'Program Model'!AT20</f>
        <v>107.24363794212609</v>
      </c>
      <c r="AU14" s="1195">
        <f>'Program Model'!AU20</f>
        <v>112.78338345981109</v>
      </c>
      <c r="AV14" s="1195">
        <f>'Program Model'!AV20</f>
        <v>117.29471879820353</v>
      </c>
      <c r="AW14" s="1195">
        <f>'Program Model'!AW20</f>
        <v>123.23650755013171</v>
      </c>
      <c r="AX14" s="1195">
        <f>'Program Model'!AX20</f>
        <v>129.41596785213696</v>
      </c>
      <c r="AY14" s="1195">
        <f>'Program Model'!AY20</f>
        <v>134.59260656622249</v>
      </c>
      <c r="AZ14" s="1195">
        <f>'Program Model'!AZ20</f>
        <v>141.22631082887136</v>
      </c>
      <c r="BA14" s="1195">
        <f>'Program Model'!BA20</f>
        <v>148.12536326202633</v>
      </c>
      <c r="BB14" s="1195">
        <f>'Program Model'!BB20</f>
        <v>154.05037779250733</v>
      </c>
      <c r="BC14" s="1195">
        <f>'Program Model'!BC20</f>
        <v>160.2123929042076</v>
      </c>
      <c r="BD14" s="1195">
        <f>'Program Model'!BD20</f>
        <v>167.87088862037595</v>
      </c>
      <c r="BE14" s="1195">
        <f>'Program Model'!BE20</f>
        <v>174.58572416519101</v>
      </c>
      <c r="BF14" s="1195">
        <f>'Program Model'!BF20</f>
        <v>181.56915313179863</v>
      </c>
      <c r="BG14" s="1195">
        <f>'Program Model'!BG20</f>
        <v>190.08191925707055</v>
      </c>
      <c r="BH14" s="1195">
        <f>'Program Model'!BH20</f>
        <v>197.68519602735341</v>
      </c>
      <c r="BI14" s="1195">
        <f>'Program Model'!BI20</f>
        <v>206.84260386844747</v>
      </c>
    </row>
    <row r="15" spans="1:106" s="1136" customFormat="1" ht="12">
      <c r="A15" s="1195" t="str">
        <f>'Program Model'!A21</f>
        <v>Overhead</v>
      </c>
      <c r="B15" s="1195">
        <f>'Program Model'!B21</f>
        <v>0</v>
      </c>
      <c r="C15" s="1195">
        <f>'Program Model'!C21</f>
        <v>0</v>
      </c>
      <c r="D15" s="1195">
        <f>'Program Model'!D21</f>
        <v>0</v>
      </c>
      <c r="E15" s="1195">
        <f>'Program Model'!E21</f>
        <v>0</v>
      </c>
      <c r="F15" s="1195">
        <f>'Program Model'!F21</f>
        <v>0</v>
      </c>
      <c r="G15" s="1195">
        <f>'Program Model'!G21</f>
        <v>0</v>
      </c>
      <c r="H15" s="1195">
        <f>'Program Model'!H21</f>
        <v>0</v>
      </c>
      <c r="I15" s="1195">
        <f>'Program Model'!I21</f>
        <v>0</v>
      </c>
      <c r="J15" s="1195">
        <f>'Program Model'!J21</f>
        <v>0</v>
      </c>
      <c r="K15" s="1195">
        <f>'Program Model'!K21</f>
        <v>0</v>
      </c>
      <c r="L15" s="1195">
        <f>'Program Model'!L21</f>
        <v>0</v>
      </c>
      <c r="M15" s="1195">
        <f>'Program Model'!M21</f>
        <v>0</v>
      </c>
      <c r="N15" s="1195">
        <f>'Program Model'!N21</f>
        <v>0</v>
      </c>
      <c r="O15" s="1195">
        <f>'Program Model'!O21</f>
        <v>0</v>
      </c>
      <c r="P15" s="1195">
        <f>'Program Model'!P21</f>
        <v>0</v>
      </c>
      <c r="Q15" s="1195">
        <f>'Program Model'!Q21</f>
        <v>0</v>
      </c>
      <c r="R15" s="1195">
        <f>'Program Model'!R21</f>
        <v>0</v>
      </c>
      <c r="S15" s="1195">
        <f>'Program Model'!S21</f>
        <v>0</v>
      </c>
      <c r="T15" s="1195">
        <f>'Program Model'!T21</f>
        <v>0</v>
      </c>
      <c r="U15" s="1195">
        <f>'Program Model'!U21</f>
        <v>0</v>
      </c>
      <c r="V15" s="1195">
        <f>'Program Model'!V21</f>
        <v>0</v>
      </c>
      <c r="W15" s="1195">
        <f>'Program Model'!W21</f>
        <v>0</v>
      </c>
      <c r="X15" s="1195">
        <f>'Program Model'!X21</f>
        <v>0</v>
      </c>
      <c r="Y15" s="1195">
        <f>'Program Model'!Y21</f>
        <v>0</v>
      </c>
      <c r="Z15" s="1195">
        <f>'Program Model'!Z21</f>
        <v>0</v>
      </c>
      <c r="AA15" s="1195">
        <f>'Program Model'!AA21</f>
        <v>0</v>
      </c>
      <c r="AB15" s="1195">
        <f>'Program Model'!AB21</f>
        <v>0</v>
      </c>
      <c r="AC15" s="1195">
        <f>'Program Model'!AC21</f>
        <v>0</v>
      </c>
      <c r="AD15" s="1195">
        <f>'Program Model'!AD21</f>
        <v>0</v>
      </c>
      <c r="AE15" s="1195">
        <f>'Program Model'!AE21</f>
        <v>0</v>
      </c>
      <c r="AF15" s="1195">
        <f>'Program Model'!AF21</f>
        <v>0</v>
      </c>
      <c r="AG15" s="1195">
        <f>'Program Model'!AG21</f>
        <v>0</v>
      </c>
      <c r="AH15" s="1195">
        <f>'Program Model'!AH21</f>
        <v>0</v>
      </c>
      <c r="AI15" s="1195">
        <f>'Program Model'!AI21</f>
        <v>0</v>
      </c>
      <c r="AJ15" s="1195">
        <f>'Program Model'!AJ21</f>
        <v>0</v>
      </c>
      <c r="AK15" s="1195">
        <f>'Program Model'!AK21</f>
        <v>0</v>
      </c>
      <c r="AL15" s="1195">
        <f>'Program Model'!AL21</f>
        <v>0</v>
      </c>
      <c r="AM15" s="1195">
        <f>'Program Model'!AM21</f>
        <v>0</v>
      </c>
      <c r="AN15" s="1195">
        <f>'Program Model'!AN21</f>
        <v>0</v>
      </c>
      <c r="AO15" s="1195">
        <f>'Program Model'!AO21</f>
        <v>0</v>
      </c>
      <c r="AP15" s="1195">
        <f>'Program Model'!AP21</f>
        <v>0</v>
      </c>
      <c r="AQ15" s="1195">
        <f>'Program Model'!AQ21</f>
        <v>0</v>
      </c>
      <c r="AR15" s="1195">
        <f>'Program Model'!AR21</f>
        <v>0</v>
      </c>
      <c r="AS15" s="1195">
        <f>'Program Model'!AS21</f>
        <v>0</v>
      </c>
      <c r="AT15" s="1195">
        <f>'Program Model'!AT21</f>
        <v>0</v>
      </c>
      <c r="AU15" s="1195">
        <f>'Program Model'!AU21</f>
        <v>0</v>
      </c>
      <c r="AV15" s="1195">
        <f>'Program Model'!AV21</f>
        <v>0</v>
      </c>
      <c r="AW15" s="1195">
        <f>'Program Model'!AW21</f>
        <v>0</v>
      </c>
      <c r="AX15" s="1195">
        <f>'Program Model'!AX21</f>
        <v>0</v>
      </c>
      <c r="AY15" s="1195">
        <f>'Program Model'!AY21</f>
        <v>0</v>
      </c>
      <c r="AZ15" s="1195">
        <f>'Program Model'!AZ21</f>
        <v>0</v>
      </c>
      <c r="BA15" s="1195">
        <f>'Program Model'!BA21</f>
        <v>0</v>
      </c>
      <c r="BB15" s="1195">
        <f>'Program Model'!BB21</f>
        <v>0</v>
      </c>
      <c r="BC15" s="1195">
        <f>'Program Model'!BC21</f>
        <v>0</v>
      </c>
      <c r="BD15" s="1195">
        <f>'Program Model'!BD21</f>
        <v>0</v>
      </c>
      <c r="BE15" s="1195">
        <f>'Program Model'!BE21</f>
        <v>0</v>
      </c>
      <c r="BF15" s="1195">
        <f>'Program Model'!BF21</f>
        <v>0</v>
      </c>
      <c r="BG15" s="1195">
        <f>'Program Model'!BG21</f>
        <v>0</v>
      </c>
      <c r="BH15" s="1195">
        <f>'Program Model'!BH21</f>
        <v>0</v>
      </c>
      <c r="BI15" s="1195">
        <f>'Program Model'!BI21</f>
        <v>0</v>
      </c>
    </row>
    <row r="16" spans="1:106" s="1136" customFormat="1" ht="12">
      <c r="A16" s="1195" t="str">
        <f>'Program Model'!A22</f>
        <v>Total Jobs Created</v>
      </c>
      <c r="B16" s="1195">
        <f>'Program Model'!B22</f>
        <v>13.12249601313691</v>
      </c>
      <c r="C16" s="1195">
        <f>'Program Model'!C22</f>
        <v>16.529404827264088</v>
      </c>
      <c r="D16" s="1195">
        <f>'Program Model'!D22</f>
        <v>17.584628336757088</v>
      </c>
      <c r="E16" s="1195">
        <f>'Program Model'!E22</f>
        <v>21.603393308982145</v>
      </c>
      <c r="F16" s="1195">
        <f>'Program Model'!F22</f>
        <v>23.047192838773391</v>
      </c>
      <c r="G16" s="1195">
        <f>'Program Model'!G22</f>
        <v>24.555059559523524</v>
      </c>
      <c r="H16" s="1195">
        <f>'Program Model'!H22</f>
        <v>26.07286446104531</v>
      </c>
      <c r="I16" s="1195">
        <f>'Program Model'!I22</f>
        <v>30.237645546078433</v>
      </c>
      <c r="J16" s="1195">
        <f>'Program Model'!J22</f>
        <v>32.038798925668473</v>
      </c>
      <c r="K16" s="1195">
        <f>'Program Model'!K22</f>
        <v>36.393244501990225</v>
      </c>
      <c r="L16" s="1195">
        <f>'Program Model'!L22</f>
        <v>38.403457247284805</v>
      </c>
      <c r="M16" s="1195">
        <f>'Program Model'!M22</f>
        <v>43.125572988680474</v>
      </c>
      <c r="N16" s="1195">
        <f>'Program Model'!N22</f>
        <v>45.351916573999162</v>
      </c>
      <c r="O16" s="1195">
        <f>'Program Model'!O22</f>
        <v>50.408729844175397</v>
      </c>
      <c r="P16" s="1195">
        <f>'Program Model'!P22</f>
        <v>53.23696498407368</v>
      </c>
      <c r="Q16" s="1195">
        <f>'Program Model'!Q22</f>
        <v>56.144324425039031</v>
      </c>
      <c r="R16" s="1195">
        <f>'Program Model'!R22</f>
        <v>61.912086182710823</v>
      </c>
      <c r="S16" s="1195">
        <f>'Program Model'!S22</f>
        <v>65.332216654586645</v>
      </c>
      <c r="T16" s="1195">
        <f>'Program Model'!T22</f>
        <v>68.947737247987391</v>
      </c>
      <c r="U16" s="1195">
        <f>'Program Model'!U22</f>
        <v>75.402513556514464</v>
      </c>
      <c r="V16" s="1195">
        <f>'Program Model'!V22</f>
        <v>79.577747482640007</v>
      </c>
      <c r="W16" s="1195">
        <f>'Program Model'!W22</f>
        <v>86.616489084208965</v>
      </c>
      <c r="X16" s="1195">
        <f>'Program Model'!X22</f>
        <v>91.482324559906203</v>
      </c>
      <c r="Y16" s="1195">
        <f>'Program Model'!Y22</f>
        <v>99.200353872855814</v>
      </c>
      <c r="Z16" s="1195">
        <f>'Program Model'!Z22</f>
        <v>104.85092059495278</v>
      </c>
      <c r="AA16" s="1195">
        <f>'Program Model'!AA22</f>
        <v>113.24570218689722</v>
      </c>
      <c r="AB16" s="1195">
        <f>'Program Model'!AB22</f>
        <v>122.20981042327419</v>
      </c>
      <c r="AC16" s="1195">
        <f>'Program Model'!AC22</f>
        <v>131.64304719423677</v>
      </c>
      <c r="AD16" s="1195">
        <f>'Program Model'!AD22</f>
        <v>141.613748017364</v>
      </c>
      <c r="AE16" s="1195">
        <f>'Program Model'!AE22</f>
        <v>152.19236427266398</v>
      </c>
      <c r="AF16" s="1195">
        <f>'Program Model'!AF22</f>
        <v>163.37395208721986</v>
      </c>
      <c r="AG16" s="1195">
        <f>'Program Model'!AG22</f>
        <v>172.53775698651808</v>
      </c>
      <c r="AH16" s="1195">
        <f>'Program Model'!AH22</f>
        <v>184.82404960202257</v>
      </c>
      <c r="AI16" s="1195">
        <f>'Program Model'!AI22</f>
        <v>195.13526581357689</v>
      </c>
      <c r="AJ16" s="1195">
        <f>'Program Model'!AJ22</f>
        <v>208.57478141628258</v>
      </c>
      <c r="AK16" s="1195">
        <f>'Program Model'!AK22</f>
        <v>220.10995524070626</v>
      </c>
      <c r="AL16" s="1195">
        <f>'Program Model'!AL22</f>
        <v>234.82960339460993</v>
      </c>
      <c r="AM16" s="1195">
        <f>'Program Model'!AM22</f>
        <v>249.9790031369489</v>
      </c>
      <c r="AN16" s="1195">
        <f>'Program Model'!AN22</f>
        <v>263.14010681304319</v>
      </c>
      <c r="AO16" s="1195">
        <f>'Program Model'!AO22</f>
        <v>279.65645063825502</v>
      </c>
      <c r="AP16" s="1195">
        <f>'Program Model'!AP22</f>
        <v>294.33714353083423</v>
      </c>
      <c r="AQ16" s="1195">
        <f>'Program Model'!AQ22</f>
        <v>312.32484722638844</v>
      </c>
      <c r="AR16" s="1195">
        <f>'Program Model'!AR22</f>
        <v>331.29341303963037</v>
      </c>
      <c r="AS16" s="1195">
        <f>'Program Model'!AS22</f>
        <v>348.57848192779488</v>
      </c>
      <c r="AT16" s="1195">
        <f>'Program Model'!AT22</f>
        <v>369.31987280490307</v>
      </c>
      <c r="AU16" s="1195">
        <f>'Program Model'!AU22</f>
        <v>391.11942838125259</v>
      </c>
      <c r="AV16" s="1195">
        <f>'Program Model'!AV22</f>
        <v>411.23040003107917</v>
      </c>
      <c r="AW16" s="1195">
        <f>'Program Model'!AW22</f>
        <v>435.05411278930137</v>
      </c>
      <c r="AX16" s="1195">
        <f>'Program Model'!AX22</f>
        <v>459.91083517379366</v>
      </c>
      <c r="AY16" s="1195">
        <f>'Program Model'!AY22</f>
        <v>483.55606994742641</v>
      </c>
      <c r="AZ16" s="1195">
        <f>'Program Model'!AZ22</f>
        <v>510.99749980380381</v>
      </c>
      <c r="BA16" s="1195">
        <f>'Program Model'!BA22</f>
        <v>539.72426395077196</v>
      </c>
      <c r="BB16" s="1195">
        <f>'Program Model'!BB22</f>
        <v>567.30013499794632</v>
      </c>
      <c r="BC16" s="1195">
        <f>'Program Model'!BC22</f>
        <v>596.12107244587128</v>
      </c>
      <c r="BD16" s="1195">
        <f>'Program Model'!BD22</f>
        <v>628.90551096669344</v>
      </c>
      <c r="BE16" s="1195">
        <f>'Program Model'!BE22</f>
        <v>660.66447049464034</v>
      </c>
      <c r="BF16" s="1195">
        <f>'Program Model'!BF22</f>
        <v>693.84833418283199</v>
      </c>
      <c r="BG16" s="1195">
        <f>'Program Model'!BG22</f>
        <v>731.23170918095764</v>
      </c>
      <c r="BH16" s="1195">
        <f>'Program Model'!BH22</f>
        <v>767.76479014663266</v>
      </c>
      <c r="BI16" s="1195">
        <f>'Program Model'!BI22</f>
        <v>808.60053297212346</v>
      </c>
    </row>
    <row r="17" spans="1:61" s="1136" customFormat="1" ht="12">
      <c r="A17" s="1195"/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J17" s="1195"/>
      <c r="AK17" s="1195"/>
      <c r="AL17" s="1195"/>
      <c r="AM17" s="1195"/>
      <c r="AN17" s="1195"/>
      <c r="AO17" s="1195"/>
      <c r="AP17" s="1195"/>
      <c r="AQ17" s="1195"/>
      <c r="AR17" s="1195"/>
      <c r="AS17" s="1195"/>
      <c r="AT17" s="1195"/>
      <c r="AU17" s="1195"/>
      <c r="AV17" s="1195"/>
      <c r="AW17" s="1195"/>
      <c r="AX17" s="1195"/>
      <c r="AY17" s="1195"/>
      <c r="AZ17" s="1195"/>
      <c r="BA17" s="1195"/>
      <c r="BB17" s="1195"/>
      <c r="BC17" s="1195"/>
      <c r="BD17" s="1195"/>
      <c r="BE17" s="1195"/>
      <c r="BF17" s="1195"/>
      <c r="BG17" s="1195"/>
      <c r="BH17" s="1195"/>
      <c r="BI17" s="1195"/>
    </row>
    <row r="18" spans="1:61" s="1136" customFormat="1" ht="12">
      <c r="A18" s="1195" t="str">
        <f>'Program Model'!A7</f>
        <v>Leads</v>
      </c>
      <c r="B18" s="1195">
        <f>'Program Model'!B7</f>
        <v>100</v>
      </c>
      <c r="C18" s="1195">
        <f>'Program Model'!C7</f>
        <v>124</v>
      </c>
      <c r="D18" s="1195">
        <f>'Program Model'!D7</f>
        <v>128.96</v>
      </c>
      <c r="E18" s="1195">
        <f>'Program Model'!E7</f>
        <v>154.11840000000001</v>
      </c>
      <c r="F18" s="1195">
        <f>'Program Model'!F7</f>
        <v>160.28313600000004</v>
      </c>
      <c r="G18" s="1195">
        <f>'Program Model'!G7</f>
        <v>166.69446144000005</v>
      </c>
      <c r="H18" s="1195">
        <f>'Program Model'!H7</f>
        <v>173.36223989760003</v>
      </c>
      <c r="I18" s="1195">
        <f>'Program Model'!I7</f>
        <v>200.29672949350407</v>
      </c>
      <c r="J18" s="1195">
        <f>'Program Model'!J7</f>
        <v>208.30859867324426</v>
      </c>
      <c r="K18" s="1195">
        <f>'Program Model'!K7</f>
        <v>236.64094262017406</v>
      </c>
      <c r="L18" s="1195">
        <f>'Program Model'!L7</f>
        <v>246.10658032498105</v>
      </c>
      <c r="M18" s="1195">
        <f>'Program Model'!M7</f>
        <v>275.95084353798029</v>
      </c>
      <c r="N18" s="1195">
        <f>'Program Model'!N7</f>
        <v>286.98887727949949</v>
      </c>
      <c r="O18" s="1195">
        <f>'Program Model'!O7</f>
        <v>318.46843237067947</v>
      </c>
      <c r="P18" s="1195">
        <f>'Program Model'!P7</f>
        <v>331.20716966550663</v>
      </c>
      <c r="Q18" s="1195">
        <f>'Program Model'!Q7</f>
        <v>344.45545645212695</v>
      </c>
      <c r="R18" s="1195">
        <f>'Program Model'!R7</f>
        <v>378.23367471021203</v>
      </c>
      <c r="S18" s="1195">
        <f>'Program Model'!S7</f>
        <v>393.36302169862057</v>
      </c>
      <c r="T18" s="1195">
        <f>'Program Model'!T7</f>
        <v>409.09754256656538</v>
      </c>
      <c r="U18" s="1195">
        <f>'Program Model'!U7</f>
        <v>445.46144426922802</v>
      </c>
      <c r="V18" s="1195">
        <f>'Program Model'!V7</f>
        <v>463.27990203999718</v>
      </c>
      <c r="W18" s="1195">
        <f>'Program Model'!W7</f>
        <v>501.81109812159713</v>
      </c>
      <c r="X18" s="1195">
        <f>'Program Model'!X7</f>
        <v>521.883542046461</v>
      </c>
      <c r="Y18" s="1195">
        <f>'Program Model'!Y7</f>
        <v>562.75888372831946</v>
      </c>
      <c r="Z18" s="1195">
        <f>'Program Model'!Z7</f>
        <v>585.26923907745231</v>
      </c>
      <c r="AA18" s="1195">
        <f>'Program Model'!AA7</f>
        <v>628.68000864055034</v>
      </c>
      <c r="AB18" s="1195">
        <f>'Program Model'!AB7</f>
        <v>673.82720898617254</v>
      </c>
      <c r="AC18" s="1195">
        <f>'Program Model'!AC7</f>
        <v>720.78029734561915</v>
      </c>
      <c r="AD18" s="1195">
        <f>'Program Model'!AD7</f>
        <v>769.6115092394441</v>
      </c>
      <c r="AE18" s="1195">
        <f>'Program Model'!AE7</f>
        <v>820.39596960902179</v>
      </c>
      <c r="AF18" s="1195">
        <f>'Program Model'!AF7</f>
        <v>873.21180839338274</v>
      </c>
      <c r="AG18" s="1195">
        <f>'Program Model'!AG7</f>
        <v>908.14028072911833</v>
      </c>
      <c r="AH18" s="1195">
        <f>'Program Model'!AH7</f>
        <v>964.46589195828301</v>
      </c>
      <c r="AI18" s="1195">
        <f>'Program Model'!AI7</f>
        <v>1003.0445276366145</v>
      </c>
      <c r="AJ18" s="1195">
        <f>'Program Model'!AJ7</f>
        <v>1063.1663087420791</v>
      </c>
      <c r="AK18" s="1195">
        <f>'Program Model'!AK7</f>
        <v>1105.6929610917625</v>
      </c>
      <c r="AL18" s="1195">
        <f>'Program Model'!AL7</f>
        <v>1169.9206795354326</v>
      </c>
      <c r="AM18" s="1195">
        <f>'Program Model'!AM7</f>
        <v>1236.7175067168503</v>
      </c>
      <c r="AN18" s="1195">
        <f>'Program Model'!AN7</f>
        <v>1286.1862069855247</v>
      </c>
      <c r="AO18" s="1195">
        <f>'Program Model'!AO7</f>
        <v>1357.6336552649457</v>
      </c>
      <c r="AP18" s="1195">
        <f>'Program Model'!AP7</f>
        <v>1411.9390014755434</v>
      </c>
      <c r="AQ18" s="1195">
        <f>'Program Model'!AQ7</f>
        <v>1488.4165615345651</v>
      </c>
      <c r="AR18" s="1195">
        <f>'Program Model'!AR7</f>
        <v>1567.9532239959474</v>
      </c>
      <c r="AS18" s="1195">
        <f>'Program Model'!AS7</f>
        <v>1630.6713529557856</v>
      </c>
      <c r="AT18" s="1195">
        <f>'Program Model'!AT7</f>
        <v>1715.8982070740174</v>
      </c>
      <c r="AU18" s="1195">
        <f>'Program Model'!AU7</f>
        <v>1804.5341353569775</v>
      </c>
      <c r="AV18" s="1195">
        <f>'Program Model'!AV7</f>
        <v>1876.7155007712565</v>
      </c>
      <c r="AW18" s="1195">
        <f>'Program Model'!AW7</f>
        <v>1971.7841208021073</v>
      </c>
      <c r="AX18" s="1195">
        <f>'Program Model'!AX7</f>
        <v>2070.6554856341913</v>
      </c>
      <c r="AY18" s="1195">
        <f>'Program Model'!AY7</f>
        <v>2153.4817050595598</v>
      </c>
      <c r="AZ18" s="1195">
        <f>'Program Model'!AZ7</f>
        <v>2259.6209732619418</v>
      </c>
      <c r="BA18" s="1195">
        <f>'Program Model'!BA7</f>
        <v>2370.0058121924212</v>
      </c>
      <c r="BB18" s="1195">
        <f>'Program Model'!BB7</f>
        <v>2464.8060446801173</v>
      </c>
      <c r="BC18" s="1195">
        <f>'Program Model'!BC7</f>
        <v>2563.3982864673217</v>
      </c>
      <c r="BD18" s="1195">
        <f>'Program Model'!BD7</f>
        <v>2685.9342179260152</v>
      </c>
      <c r="BE18" s="1195">
        <f>'Program Model'!BE7</f>
        <v>2793.3715866430562</v>
      </c>
      <c r="BF18" s="1195">
        <f>'Program Model'!BF7</f>
        <v>2905.1064501087781</v>
      </c>
      <c r="BG18" s="1195">
        <f>'Program Model'!BG7</f>
        <v>3041.3107081131288</v>
      </c>
      <c r="BH18" s="1195">
        <f>'Program Model'!BH7</f>
        <v>3162.9631364376546</v>
      </c>
      <c r="BI18" s="1195">
        <f>'Program Model'!BI7</f>
        <v>3309.4816618951595</v>
      </c>
    </row>
    <row r="19" spans="1:61" s="1136" customFormat="1" ht="12">
      <c r="A19" s="1136" t="str">
        <f>'Program Model'!A8</f>
        <v>Audits</v>
      </c>
      <c r="B19" s="1136">
        <f>'Program Model'!B8</f>
        <v>39.233480176211451</v>
      </c>
      <c r="C19" s="1136">
        <f>'Program Model'!C8</f>
        <v>48.749476163876651</v>
      </c>
      <c r="D19" s="1136">
        <f>'Program Model'!D8</f>
        <v>50.961346721143705</v>
      </c>
      <c r="E19" s="1136">
        <f>'Program Model'!E8</f>
        <v>61.164366516446989</v>
      </c>
      <c r="F19" s="1136">
        <f>'Program Model'!F8</f>
        <v>63.98425235253309</v>
      </c>
      <c r="G19" s="1136">
        <f>'Program Model'!G8</f>
        <v>66.983705974122699</v>
      </c>
      <c r="H19" s="1136">
        <f>'Program Model'!H8</f>
        <v>70.150121748829548</v>
      </c>
      <c r="I19" s="1136">
        <f>'Program Model'!I8</f>
        <v>81.340558562679348</v>
      </c>
      <c r="J19" s="1136">
        <f>'Program Model'!J8</f>
        <v>85.206408311568026</v>
      </c>
      <c r="K19" s="1136">
        <f>'Program Model'!K8</f>
        <v>97.160434515080652</v>
      </c>
      <c r="L19" s="1136">
        <f>'Program Model'!L8</f>
        <v>101.83396093841019</v>
      </c>
      <c r="M19" s="1136">
        <f>'Program Model'!M8</f>
        <v>114.64217199220536</v>
      </c>
      <c r="N19" s="1136">
        <f>'Program Model'!N8</f>
        <v>120.22356985381883</v>
      </c>
      <c r="O19" s="1136">
        <f>'Program Model'!O8</f>
        <v>133.98963948325931</v>
      </c>
      <c r="P19" s="1136">
        <f>'Program Model'!P8</f>
        <v>140.58584063450326</v>
      </c>
      <c r="Q19" s="1136">
        <f>'Program Model'!Q8</f>
        <v>147.59031002984477</v>
      </c>
      <c r="R19" s="1136">
        <f>'Program Model'!R8</f>
        <v>162.848780662818</v>
      </c>
      <c r="S19" s="1136">
        <f>'Program Model'!S8</f>
        <v>171.02765454208455</v>
      </c>
      <c r="T19" s="1136">
        <f>'Program Model'!T8</f>
        <v>179.70655761794001</v>
      </c>
      <c r="U19" s="1136">
        <f>'Program Model'!U8</f>
        <v>196.73790095140478</v>
      </c>
      <c r="V19" s="1136">
        <f>'Program Model'!V8</f>
        <v>206.78888437380107</v>
      </c>
      <c r="W19" s="1136">
        <f>'Program Model'!W8</f>
        <v>225.29293704298331</v>
      </c>
      <c r="X19" s="1136">
        <f>'Program Model'!X8</f>
        <v>236.89821986030762</v>
      </c>
      <c r="Y19" s="1136">
        <f>'Program Model'!Y8</f>
        <v>257.04159148939334</v>
      </c>
      <c r="Z19" s="1136">
        <f>'Program Model'!Z8</f>
        <v>270.3821739435806</v>
      </c>
      <c r="AA19" s="1136">
        <f>'Program Model'!AA8</f>
        <v>292.21626786146754</v>
      </c>
      <c r="AB19" s="1136">
        <f>'Program Model'!AB8</f>
        <v>315.14485517399885</v>
      </c>
      <c r="AC19" s="1136">
        <f>'Program Model'!AC8</f>
        <v>339.27861789356575</v>
      </c>
      <c r="AD19" s="1136">
        <f>'Program Model'!AD8</f>
        <v>364.65108932744192</v>
      </c>
      <c r="AE19" s="1136">
        <f>'Program Model'!AE8</f>
        <v>391.35067947314906</v>
      </c>
      <c r="AF19" s="1136">
        <f>'Program Model'!AF8</f>
        <v>419.4462649381021</v>
      </c>
      <c r="AG19" s="1136">
        <f>'Program Model'!AG8</f>
        <v>441.16330796990667</v>
      </c>
      <c r="AH19" s="1136">
        <f>'Program Model'!AH8</f>
        <v>471.90328085049487</v>
      </c>
      <c r="AI19" s="1136">
        <f>'Program Model'!AI8</f>
        <v>496.37042436256797</v>
      </c>
      <c r="AJ19" s="1136">
        <f>'Program Model'!AJ8</f>
        <v>529.99349316477605</v>
      </c>
      <c r="AK19" s="1136">
        <f>'Program Model'!AK8</f>
        <v>557.4817506015745</v>
      </c>
      <c r="AL19" s="1136">
        <f>'Program Model'!AL8</f>
        <v>594.26913704218782</v>
      </c>
      <c r="AM19" s="1136">
        <f>'Program Model'!AM8</f>
        <v>632.31224912595735</v>
      </c>
      <c r="AN19" s="1136">
        <f>'Program Model'!AN8</f>
        <v>664.2775380020679</v>
      </c>
      <c r="AO19" s="1136">
        <f>'Program Model'!AO8</f>
        <v>705.75203897866868</v>
      </c>
      <c r="AP19" s="1136">
        <f>'Program Model'!AP8</f>
        <v>741.30960179361387</v>
      </c>
      <c r="AQ19" s="1136">
        <f>'Program Model'!AQ8</f>
        <v>786.51090713742485</v>
      </c>
      <c r="AR19" s="1136">
        <f>'Program Model'!AR8</f>
        <v>833.92777038751331</v>
      </c>
      <c r="AS19" s="1136">
        <f>'Program Model'!AS8</f>
        <v>875.84005257834951</v>
      </c>
      <c r="AT19" s="1136">
        <f>'Program Model'!AT8</f>
        <v>927.56637444499017</v>
      </c>
      <c r="AU19" s="1136">
        <f>'Program Model'!AU8</f>
        <v>981.7988846029225</v>
      </c>
      <c r="AV19" s="1136">
        <f>'Program Model'!AV8</f>
        <v>1030.6792327403518</v>
      </c>
      <c r="AW19" s="1136">
        <f>'Program Model'!AW8</f>
        <v>1089.8207411583912</v>
      </c>
      <c r="AX19" s="1136">
        <f>'Program Model'!AX8</f>
        <v>1151.6432736437541</v>
      </c>
      <c r="AY19" s="1136">
        <f>'Program Model'!AY8</f>
        <v>1208.8850332505926</v>
      </c>
      <c r="AZ19" s="1136">
        <f>'Program Model'!AZ8</f>
        <v>1276.6878449933438</v>
      </c>
      <c r="BA19" s="1136">
        <f>'Program Model'!BA8</f>
        <v>1347.6944821659349</v>
      </c>
      <c r="BB19" s="1136">
        <f>'Program Model'!BB8</f>
        <v>1414.279212304582</v>
      </c>
      <c r="BC19" s="1136">
        <f>'Program Model'!BC8</f>
        <v>1483.9303839732206</v>
      </c>
      <c r="BD19" s="1136">
        <f>'Program Model'!BD8</f>
        <v>1564.7147500970495</v>
      </c>
      <c r="BE19" s="1136">
        <f>'Program Model'!BE8</f>
        <v>1641.4084681480167</v>
      </c>
      <c r="BF19" s="1136">
        <f>'Program Model'!BF8</f>
        <v>1721.6788685568986</v>
      </c>
      <c r="BG19" s="1136">
        <f>'Program Model'!BG8</f>
        <v>1813.5293245378921</v>
      </c>
      <c r="BH19" s="1136">
        <f>'Program Model'!BH8</f>
        <v>1901.7225085029822</v>
      </c>
      <c r="BI19" s="1136">
        <f>'Program Model'!BI8</f>
        <v>2001.8534026546722</v>
      </c>
    </row>
    <row r="20" spans="1:61">
      <c r="A20" t="str">
        <f>'Program Model'!A9</f>
        <v>Retrofit</v>
      </c>
      <c r="B20">
        <f>'Program Model'!B9</f>
        <v>16.370572687224669</v>
      </c>
      <c r="C20">
        <f>'Program Model'!C9</f>
        <v>20.379829344278942</v>
      </c>
      <c r="D20">
        <f>'Program Model'!D9</f>
        <v>21.466016925733353</v>
      </c>
      <c r="E20">
        <f>'Program Model'!E9</f>
        <v>25.930257138936994</v>
      </c>
      <c r="F20">
        <f>'Program Model'!F9</f>
        <v>27.348053561265552</v>
      </c>
      <c r="G20">
        <f>'Program Model'!G9</f>
        <v>28.893487713243236</v>
      </c>
      <c r="H20">
        <f>'Program Model'!H9</f>
        <v>30.544982625120063</v>
      </c>
      <c r="I20">
        <f>'Program Model'!I9</f>
        <v>35.584639538221197</v>
      </c>
      <c r="J20">
        <f>'Program Model'!J9</f>
        <v>37.619722725835558</v>
      </c>
      <c r="K20">
        <f>'Program Model'!K9</f>
        <v>43.101177192938039</v>
      </c>
      <c r="L20">
        <f>'Program Model'!L9</f>
        <v>45.6090368756646</v>
      </c>
      <c r="M20">
        <f>'Program Model'!M9</f>
        <v>51.596153919487463</v>
      </c>
      <c r="N20">
        <f>'Program Model'!N9</f>
        <v>54.646923189997125</v>
      </c>
      <c r="O20">
        <f>'Program Model'!O9</f>
        <v>61.189605009218042</v>
      </c>
      <c r="P20">
        <f>'Program Model'!P9</f>
        <v>64.832651952850313</v>
      </c>
      <c r="Q20">
        <f>'Program Model'!Q9</f>
        <v>68.766809447498943</v>
      </c>
      <c r="R20">
        <f>'Program Model'!R9</f>
        <v>76.250035771628532</v>
      </c>
      <c r="S20">
        <f>'Program Model'!S9</f>
        <v>80.906237364895006</v>
      </c>
      <c r="T20">
        <f>'Program Model'!T9</f>
        <v>85.923498089212018</v>
      </c>
      <c r="U20">
        <f>'Program Model'!U9</f>
        <v>94.569179281122359</v>
      </c>
      <c r="V20">
        <f>'Program Model'!V9</f>
        <v>100.4592886073746</v>
      </c>
      <c r="W20">
        <f>'Program Model'!W9</f>
        <v>110.06563059145732</v>
      </c>
      <c r="X20">
        <f>'Program Model'!X9</f>
        <v>116.97774981960345</v>
      </c>
      <c r="Y20">
        <f>'Program Model'!Y9</f>
        <v>127.67009073050997</v>
      </c>
      <c r="Z20">
        <f>'Program Model'!Z9</f>
        <v>135.73954414252174</v>
      </c>
      <c r="AA20">
        <f>'Program Model'!AA9</f>
        <v>147.47791762998088</v>
      </c>
      <c r="AB20">
        <f>'Program Model'!AB9</f>
        <v>159.88035473300815</v>
      </c>
      <c r="AC20">
        <f>'Program Model'!AC9</f>
        <v>173.05825745350762</v>
      </c>
      <c r="AD20">
        <f>'Program Model'!AD9</f>
        <v>187.01957148205918</v>
      </c>
      <c r="AE20">
        <f>'Program Model'!AE9</f>
        <v>201.83811782440176</v>
      </c>
      <c r="AF20">
        <f>'Program Model'!AF9</f>
        <v>217.56823833601013</v>
      </c>
      <c r="AG20">
        <f>'Program Model'!AG9</f>
        <v>230.98786433619742</v>
      </c>
      <c r="AH20">
        <f>'Program Model'!AH9</f>
        <v>248.50819824913515</v>
      </c>
      <c r="AI20">
        <f>'Program Model'!AI9</f>
        <v>263.78206290517511</v>
      </c>
      <c r="AJ20">
        <f>'Program Model'!AJ9</f>
        <v>283.25331922339291</v>
      </c>
      <c r="AK20">
        <f>'Program Model'!AK9</f>
        <v>300.57847526978912</v>
      </c>
      <c r="AL20">
        <f>'Program Model'!AL9</f>
        <v>322.20519812364427</v>
      </c>
      <c r="AM20">
        <f>'Program Model'!AM9</f>
        <v>344.30769068010858</v>
      </c>
      <c r="AN20">
        <f>'Program Model'!AN9</f>
        <v>364.20508211924835</v>
      </c>
      <c r="AO20">
        <f>'Program Model'!AO9</f>
        <v>388.53528406259943</v>
      </c>
      <c r="AP20">
        <f>'Program Model'!AP9</f>
        <v>410.77255547415001</v>
      </c>
      <c r="AQ20">
        <f>'Program Model'!AQ9</f>
        <v>437.51816852126984</v>
      </c>
      <c r="AR20">
        <f>'Program Model'!AR9</f>
        <v>465.70871933216193</v>
      </c>
      <c r="AS20">
        <f>'Program Model'!AS9</f>
        <v>492.17347422151244</v>
      </c>
      <c r="AT20">
        <f>'Program Model'!AT9</f>
        <v>523.2066334322335</v>
      </c>
      <c r="AU20">
        <f>'Program Model'!AU9</f>
        <v>555.88641128616223</v>
      </c>
      <c r="AV20">
        <f>'Program Model'!AV9</f>
        <v>586.86546516909311</v>
      </c>
      <c r="AW20">
        <f>'Program Model'!AW9</f>
        <v>622.79591826370427</v>
      </c>
      <c r="AX20">
        <f>'Program Model'!AX9</f>
        <v>660.41343614780089</v>
      </c>
      <c r="AY20">
        <f>'Program Model'!AY9</f>
        <v>697.09917604062866</v>
      </c>
      <c r="AZ20">
        <f>'Program Model'!AZ9</f>
        <v>738.91433926583989</v>
      </c>
      <c r="BA20">
        <f>'Program Model'!BA9</f>
        <v>782.86857743410258</v>
      </c>
      <c r="BB20">
        <f>'Program Model'!BB9</f>
        <v>825.88450661883007</v>
      </c>
      <c r="BC20">
        <f>'Program Model'!BC9</f>
        <v>870.98292503992388</v>
      </c>
      <c r="BD20">
        <f>'Program Model'!BD9</f>
        <v>921.63898269641209</v>
      </c>
      <c r="BE20">
        <f>'Program Model'!BE9</f>
        <v>971.55002654189639</v>
      </c>
      <c r="BF20">
        <f>'Program Model'!BF9</f>
        <v>1023.9520386876646</v>
      </c>
      <c r="BG20">
        <f>'Program Model'!BG9</f>
        <v>1082.233992354264</v>
      </c>
      <c r="BH20">
        <f>'Program Model'!BH9</f>
        <v>1140.0655907900982</v>
      </c>
      <c r="BI20">
        <f>'Program Model'!BI9</f>
        <v>1204.0523084914648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Summary</vt:lpstr>
      <vt:lpstr>Program Model</vt:lpstr>
      <vt:lpstr>Prg. Expenses</vt:lpstr>
      <vt:lpstr>Prg. HR</vt:lpstr>
      <vt:lpstr>Prg. Actuals</vt:lpstr>
      <vt:lpstr>Prg. Costs</vt:lpstr>
      <vt:lpstr>Prg. Mkt. Assumptions</vt:lpstr>
      <vt:lpstr>Prg. Marketing</vt:lpstr>
      <vt:lpstr>Prg. Dashboard</vt:lpstr>
      <vt:lpstr>Marketing Dashboard</vt:lpstr>
      <vt:lpstr>Contractor Model</vt:lpstr>
      <vt:lpstr>HR</vt:lpstr>
      <vt:lpstr>Expenses</vt:lpstr>
      <vt:lpstr>Pro Forma</vt:lpstr>
      <vt:lpstr>Dashboard</vt:lpstr>
      <vt:lpstr>'Pro Forma'!Print_Titles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 Dobbyn</dc:creator>
  <cp:lastModifiedBy>Cynthia Adams</cp:lastModifiedBy>
  <dcterms:created xsi:type="dcterms:W3CDTF">2010-12-02T20:53:30Z</dcterms:created>
  <dcterms:modified xsi:type="dcterms:W3CDTF">2012-07-09T18:15:52Z</dcterms:modified>
</cp:coreProperties>
</file>