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autoCompressPictures="0"/>
  <xr:revisionPtr revIDLastSave="0" documentId="8_{3AC0155F-03C6-4FF3-A946-725EC8E0E30D}" xr6:coauthVersionLast="47" xr6:coauthVersionMax="47" xr10:uidLastSave="{00000000-0000-0000-0000-000000000000}"/>
  <bookViews>
    <workbookView xWindow="62775" yWindow="3810" windowWidth="21600" windowHeight="11295" tabRatio="932" activeTab="1" xr2:uid="{00000000-000D-0000-FFFF-FFFF00000000}"/>
  </bookViews>
  <sheets>
    <sheet name="Instructions" sheetId="19" r:id="rId1"/>
    <sheet name="Material Verification"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Drop-Downs" sheetId="22" r:id="rId9"/>
    <sheet name="Version Control" sheetId="2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0" l="1"/>
  <c r="C7" i="20"/>
  <c r="C7" i="19" s="1"/>
  <c r="C6" i="20"/>
  <c r="C5" i="20"/>
  <c r="C4" i="20"/>
  <c r="D4" i="18" s="1"/>
  <c r="C8" i="22"/>
  <c r="C7" i="22"/>
  <c r="C6" i="22"/>
  <c r="C5" i="22"/>
  <c r="C4" i="22"/>
  <c r="C43" i="15"/>
  <c r="C42" i="15"/>
  <c r="C41" i="15"/>
  <c r="C40" i="15"/>
  <c r="C39" i="15"/>
  <c r="L16" i="15"/>
  <c r="L15" i="15"/>
  <c r="L14" i="15"/>
  <c r="D13" i="15"/>
  <c r="R27" i="14"/>
  <c r="R26" i="14"/>
  <c r="R25" i="14"/>
  <c r="R24" i="14"/>
  <c r="Q24" i="14"/>
  <c r="I24" i="14"/>
  <c r="G24" i="14"/>
  <c r="E24" i="14"/>
  <c r="C24" i="14"/>
  <c r="R23" i="14"/>
  <c r="I23" i="14"/>
  <c r="G23" i="14"/>
  <c r="E23" i="14"/>
  <c r="C23" i="14"/>
  <c r="D22" i="14" s="1"/>
  <c r="R22" i="14"/>
  <c r="I22" i="14"/>
  <c r="J22" i="14" s="1"/>
  <c r="G22" i="14"/>
  <c r="H22" i="14" s="1"/>
  <c r="E22" i="14"/>
  <c r="F22" i="14" s="1"/>
  <c r="C22" i="14"/>
  <c r="R21" i="14"/>
  <c r="I21" i="14"/>
  <c r="G21" i="14"/>
  <c r="E21" i="14"/>
  <c r="C21" i="14"/>
  <c r="R20" i="14"/>
  <c r="I20" i="14"/>
  <c r="G20" i="14"/>
  <c r="E20" i="14"/>
  <c r="C20" i="14"/>
  <c r="R19" i="14"/>
  <c r="I19" i="14"/>
  <c r="J19" i="14" s="1"/>
  <c r="G19" i="14"/>
  <c r="H19" i="14" s="1"/>
  <c r="E19" i="14"/>
  <c r="F19" i="14" s="1"/>
  <c r="C19" i="14"/>
  <c r="D19" i="14" s="1"/>
  <c r="R18" i="14"/>
  <c r="I18" i="14"/>
  <c r="G18" i="14"/>
  <c r="E18" i="14"/>
  <c r="C18" i="14"/>
  <c r="R17" i="14"/>
  <c r="I17" i="14"/>
  <c r="G17" i="14"/>
  <c r="E17" i="14"/>
  <c r="C17" i="14"/>
  <c r="R16" i="14"/>
  <c r="I16" i="14"/>
  <c r="J16" i="14" s="1"/>
  <c r="G16" i="14"/>
  <c r="H16" i="14" s="1"/>
  <c r="E16" i="14"/>
  <c r="F16" i="14" s="1"/>
  <c r="C16" i="14"/>
  <c r="D16" i="14" s="1"/>
  <c r="R15" i="14"/>
  <c r="I15" i="14"/>
  <c r="G15" i="14"/>
  <c r="E15" i="14"/>
  <c r="C15" i="14"/>
  <c r="R14" i="14"/>
  <c r="I14" i="14"/>
  <c r="G14" i="14"/>
  <c r="E14" i="14"/>
  <c r="C14" i="14"/>
  <c r="R13" i="14"/>
  <c r="J13" i="14"/>
  <c r="L32" i="14" s="1"/>
  <c r="I13" i="14"/>
  <c r="G13" i="14"/>
  <c r="H13" i="14" s="1"/>
  <c r="E13" i="14"/>
  <c r="F13" i="14" s="1"/>
  <c r="C13" i="14"/>
  <c r="D13" i="14" s="1"/>
  <c r="R12" i="14"/>
  <c r="I12" i="14"/>
  <c r="G12" i="14"/>
  <c r="E12" i="14"/>
  <c r="C12" i="14"/>
  <c r="R11" i="14"/>
  <c r="I11" i="14"/>
  <c r="G11" i="14"/>
  <c r="H10" i="14" s="1"/>
  <c r="E11" i="14"/>
  <c r="C11" i="14"/>
  <c r="R10" i="14"/>
  <c r="I10" i="14"/>
  <c r="J10" i="14" s="1"/>
  <c r="G10" i="14"/>
  <c r="E10" i="14"/>
  <c r="F10" i="14" s="1"/>
  <c r="C10" i="14"/>
  <c r="D10" i="14" s="1"/>
  <c r="R9" i="14"/>
  <c r="R8" i="14"/>
  <c r="D17" i="21"/>
  <c r="D16" i="21"/>
  <c r="C8" i="21"/>
  <c r="B8" i="21"/>
  <c r="C7" i="21"/>
  <c r="B7" i="21"/>
  <c r="C6" i="21"/>
  <c r="B6" i="21"/>
  <c r="C5" i="21"/>
  <c r="B5" i="21"/>
  <c r="B4" i="21"/>
  <c r="C3" i="21"/>
  <c r="B3" i="21"/>
  <c r="B2" i="21"/>
  <c r="C16" i="12"/>
  <c r="C4" i="15" s="1"/>
  <c r="C14" i="12"/>
  <c r="D8" i="12"/>
  <c r="B8" i="12"/>
  <c r="B7" i="12"/>
  <c r="D6" i="12"/>
  <c r="B6" i="12"/>
  <c r="D5" i="12"/>
  <c r="B5" i="12"/>
  <c r="D4" i="12"/>
  <c r="B4" i="12"/>
  <c r="D3" i="12"/>
  <c r="B3" i="12"/>
  <c r="B2" i="12"/>
  <c r="AG41" i="18"/>
  <c r="AG40" i="18"/>
  <c r="AG39" i="18"/>
  <c r="AH39" i="18" s="1"/>
  <c r="AG38" i="18"/>
  <c r="AG37" i="18"/>
  <c r="AG36" i="18"/>
  <c r="AH36" i="18" s="1"/>
  <c r="AG35" i="18"/>
  <c r="AG34" i="18"/>
  <c r="AG33" i="18"/>
  <c r="AH33" i="18" s="1"/>
  <c r="AG32" i="18"/>
  <c r="AG31" i="18"/>
  <c r="AG30" i="18"/>
  <c r="AH30" i="18" s="1"/>
  <c r="AG29" i="18"/>
  <c r="AG28" i="18"/>
  <c r="AG27" i="18"/>
  <c r="AH27" i="18" s="1"/>
  <c r="AG26" i="18"/>
  <c r="AG25" i="18"/>
  <c r="AG24" i="18"/>
  <c r="AH24" i="18" s="1"/>
  <c r="AG23" i="18"/>
  <c r="AG22" i="18"/>
  <c r="AG21" i="18"/>
  <c r="AH21" i="18" s="1"/>
  <c r="AG20" i="18"/>
  <c r="AG19" i="18"/>
  <c r="AG18" i="18"/>
  <c r="AH18" i="18" s="1"/>
  <c r="AG17" i="18"/>
  <c r="AG16" i="18"/>
  <c r="AG15" i="18"/>
  <c r="AH15" i="18" s="1"/>
  <c r="AI15" i="18" s="1"/>
  <c r="AJ15" i="18" s="1"/>
  <c r="Z15" i="18"/>
  <c r="T15" i="18"/>
  <c r="N15" i="18"/>
  <c r="H15" i="18"/>
  <c r="D8" i="18"/>
  <c r="B8" i="18"/>
  <c r="D7" i="18"/>
  <c r="B7" i="18"/>
  <c r="D6" i="18"/>
  <c r="B6" i="18"/>
  <c r="D5" i="18"/>
  <c r="B5" i="18"/>
  <c r="B4" i="18"/>
  <c r="D3" i="18"/>
  <c r="B3" i="18"/>
  <c r="B2" i="18"/>
  <c r="B7" i="19"/>
  <c r="C6" i="19"/>
  <c r="B6" i="19"/>
  <c r="C5" i="19"/>
  <c r="B5" i="19"/>
  <c r="B4" i="19"/>
  <c r="C3" i="19"/>
  <c r="B3" i="19"/>
  <c r="B2" i="19"/>
  <c r="D9" i="15" l="1"/>
  <c r="Q23" i="14"/>
  <c r="L31" i="14"/>
  <c r="I32" i="14"/>
  <c r="Q9" i="14"/>
  <c r="D16" i="15"/>
  <c r="Q14" i="14"/>
  <c r="D14" i="15"/>
  <c r="D40" i="15" s="1"/>
  <c r="J32" i="14"/>
  <c r="D25" i="15"/>
  <c r="D43" i="15" s="1"/>
  <c r="L35" i="14"/>
  <c r="Q27" i="14"/>
  <c r="K32" i="14"/>
  <c r="Q19" i="14"/>
  <c r="D15" i="15"/>
  <c r="D28" i="15"/>
  <c r="Q12" i="14"/>
  <c r="I35" i="14"/>
  <c r="Q25" i="14"/>
  <c r="D17" i="15"/>
  <c r="L33" i="14"/>
  <c r="D27" i="15"/>
  <c r="Q22" i="14"/>
  <c r="K35" i="14"/>
  <c r="D8" i="15"/>
  <c r="D38" i="15"/>
  <c r="F12" i="15"/>
  <c r="Q18" i="14"/>
  <c r="D11" i="15"/>
  <c r="K31" i="14"/>
  <c r="Q10" i="14"/>
  <c r="D20" i="15"/>
  <c r="I33" i="14"/>
  <c r="D18" i="15"/>
  <c r="J33" i="14"/>
  <c r="Q15" i="14"/>
  <c r="K33" i="14"/>
  <c r="Q20" i="14"/>
  <c r="D19" i="15"/>
  <c r="Q11" i="14"/>
  <c r="D24" i="15"/>
  <c r="I34" i="14"/>
  <c r="C16" i="18"/>
  <c r="Q16" i="14"/>
  <c r="J34" i="14"/>
  <c r="D22" i="15"/>
  <c r="D12" i="15"/>
  <c r="I31" i="14"/>
  <c r="Q8" i="14"/>
  <c r="Q21" i="14"/>
  <c r="K34" i="14"/>
  <c r="D23" i="15"/>
  <c r="J31" i="14"/>
  <c r="D10" i="15"/>
  <c r="Q13" i="14"/>
  <c r="Q26" i="14"/>
  <c r="L34" i="14"/>
  <c r="D21" i="15"/>
  <c r="D42" i="15" s="1"/>
  <c r="J35" i="14"/>
  <c r="D26" i="15"/>
  <c r="Q17" i="14"/>
  <c r="C4" i="19"/>
  <c r="C4" i="14"/>
  <c r="H28" i="14" s="1"/>
  <c r="D7" i="12"/>
  <c r="C4" i="21"/>
  <c r="Q31" i="14" l="1"/>
  <c r="C21" i="12" s="1"/>
  <c r="Q32" i="14"/>
  <c r="C22" i="12" s="1"/>
  <c r="D41" i="15"/>
  <c r="D31" i="15"/>
  <c r="G15" i="15"/>
  <c r="I15" i="15" s="1"/>
  <c r="D39" i="15"/>
  <c r="D34" i="15"/>
  <c r="G14" i="15"/>
  <c r="D33" i="15"/>
  <c r="I10" i="15" s="1"/>
  <c r="J10" i="15" s="1"/>
  <c r="C5" i="15" s="1"/>
  <c r="C17" i="12" s="1"/>
  <c r="D32" i="15"/>
  <c r="G18" i="15"/>
  <c r="I14" i="15" l="1"/>
  <c r="G16" i="15"/>
  <c r="I16" i="15" l="1"/>
  <c r="G17" i="15"/>
  <c r="I17" i="15" s="1"/>
  <c r="J15" i="15" s="1"/>
  <c r="K15" i="15" s="1"/>
  <c r="J14" i="15" l="1"/>
  <c r="K14" i="15" s="1"/>
  <c r="J16" i="15"/>
  <c r="K16" i="15" s="1"/>
  <c r="I9" i="15" s="1"/>
</calcChain>
</file>

<file path=xl/sharedStrings.xml><?xml version="1.0" encoding="utf-8"?>
<sst xmlns="http://schemas.openxmlformats.org/spreadsheetml/2006/main" count="441" uniqueCount="220">
  <si>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</si>
  <si>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</si>
  <si>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</si>
  <si>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</si>
  <si>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</si>
  <si>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</si>
  <si>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</si>
  <si>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</si>
  <si>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</si>
  <si>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</si>
  <si>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</si>
  <si>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</si>
  <si>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</si>
  <si>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</si>
  <si>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</si>
  <si>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</si>
  <si>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</si>
  <si>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Tested by:</t>
  </si>
  <si>
    <t>Date:</t>
  </si>
  <si>
    <t>Lot 3</t>
  </si>
  <si>
    <t>Result</t>
  </si>
  <si>
    <t>Dry Wt</t>
  </si>
  <si>
    <t>Wet Wt</t>
  </si>
  <si>
    <t>4 min</t>
  </si>
  <si>
    <t>15 min</t>
  </si>
  <si>
    <t>Batch #</t>
  </si>
  <si>
    <t>% RMC</t>
  </si>
  <si>
    <t>Condition Point</t>
  </si>
  <si>
    <t>Lot 3 RMC standard</t>
  </si>
  <si>
    <t>Standard Lot 3</t>
  </si>
  <si>
    <t>Note: Please enter data only in the blue shaded cells in this worksheet.</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</si>
  <si>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</si>
  <si>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</si>
  <si>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</si>
  <si>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</si>
  <si>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</si>
  <si>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</si>
  <si>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</si>
  <si>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</si>
  <si>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</si>
  <si>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</si>
  <si>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</si>
  <si>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</si>
  <si>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</si>
  <si>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</si>
  <si>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</si>
  <si>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</si>
  <si>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</si>
  <si>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</si>
  <si>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</si>
  <si>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</si>
  <si>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</si>
  <si>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</si>
  <si>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</si>
  <si>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</si>
  <si>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</si>
  <si>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</si>
  <si>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</si>
  <si>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</si>
  <si>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</si>
  <si>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</si>
  <si>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</si>
  <si>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</si>
  <si>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</si>
  <si>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</si>
  <si>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</si>
  <si>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</si>
  <si>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</si>
  <si>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</si>
  <si>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</si>
  <si>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</si>
  <si>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</si>
  <si>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</si>
  <si>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</si>
  <si>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</si>
  <si>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</si>
  <si>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</si>
  <si>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</si>
  <si>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</si>
  <si>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</si>
  <si>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</si>
  <si>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</si>
  <si>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</si>
  <si>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</si>
  <si>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</si>
  <si>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</si>
  <si>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</si>
  <si>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</si>
  <si>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</si>
  <si>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</si>
  <si>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</si>
  <si>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</si>
  <si>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</si>
  <si>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</si>
  <si>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</si>
  <si>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</si>
  <si>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</si>
  <si>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</si>
  <si>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</si>
  <si>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</si>
  <si>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</si>
  <si>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</si>
  <si>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</si>
  <si>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</si>
  <si>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Statistical Test</t>
  </si>
  <si>
    <t>Test Procedure Reference</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</si>
  <si>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</si>
  <si>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</si>
  <si>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</si>
  <si>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</si>
  <si>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</si>
  <si>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</si>
  <si>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</si>
  <si>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</si>
  <si>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</si>
  <si>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</si>
  <si>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</si>
  <si>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</si>
  <si>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</si>
  <si>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</si>
  <si>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</si>
  <si>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</si>
  <si>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</si>
  <si>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</si>
  <si>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</si>
  <si>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</si>
  <si>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</si>
  <si>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</si>
  <si>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</si>
  <si>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</si>
  <si>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</si>
  <si>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</si>
  <si>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</si>
  <si>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</si>
  <si>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</si>
  <si>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</si>
  <si>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</si>
  <si>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</si>
  <si>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</si>
  <si>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</si>
  <si>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</si>
  <si>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</si>
  <si>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</si>
  <si>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</si>
  <si>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</si>
  <si>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</si>
  <si>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</si>
  <si>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</si>
  <si>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</si>
  <si>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</si>
  <si>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</si>
  <si>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</si>
  <si>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</si>
  <si>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</si>
  <si>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</si>
  <si>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</si>
  <si>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</si>
  <si>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</si>
  <si>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</si>
  <si>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</si>
  <si>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</si>
  <si>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</si>
  <si>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</si>
  <si>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</si>
  <si>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</si>
  <si>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</si>
  <si>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</si>
  <si>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</si>
  <si>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</si>
  <si>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</si>
  <si>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</si>
  <si>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</si>
  <si>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AATCC 79-2010 Absorbency of Textiles</t>
  </si>
  <si>
    <t>Required Size (hemmed)</t>
  </si>
  <si>
    <t>1 cloth from Roll No.</t>
  </si>
  <si>
    <t>Table 3.1  Matrix of Extractor RMC Test Conditions</t>
  </si>
  <si>
    <t>Table 3.1  Matrix of Extractor RMC test conditions</t>
  </si>
  <si>
    <t>Table 6.1 - Standard RMC Values (Lot #3)</t>
  </si>
  <si>
    <t>Variance of Test Load RMC Measurements with 60°F Soak, 15 Min. Spin @ 350g</t>
  </si>
  <si>
    <t>v2.2</t>
  </si>
  <si>
    <t>See 10 CFR 430 Subpart B Appendix J3, section 7.1.2</t>
  </si>
  <si>
    <t>See 10 CFR 430 Subpart B Appendix J3, section 7.1.3</t>
  </si>
  <si>
    <t>See 10 CFR 430 Subpart B Appendix J3, section 7.1.1</t>
  </si>
  <si>
    <t>See 10 CFR 430 Subpart B Appendix J3, section 7.2</t>
  </si>
  <si>
    <t>Batch # corresponds to the 8.4 lb load bundle(s) used for testing. Per section 8.2 of Appendix J3, two test loads may be</t>
  </si>
  <si>
    <t>Test Cloth Material Verification Test Completion</t>
  </si>
  <si>
    <t>Material Verification</t>
  </si>
  <si>
    <t>This spreadsheet calculates the linear least-squares fit to the standard RMC values per section 8.7 of Appendix J3.</t>
  </si>
  <si>
    <t>v2.3</t>
  </si>
  <si>
    <t>Coefficients of the Least Squares Fit</t>
  </si>
  <si>
    <t>Acceptance criteria</t>
  </si>
  <si>
    <t>v2.4</t>
  </si>
  <si>
    <t>Section 8.9 (App J3)</t>
  </si>
  <si>
    <t>Root Mean Square Error</t>
  </si>
  <si>
    <t>RMSE ≤ 0.012</t>
  </si>
  <si>
    <t>Cloth Type:</t>
  </si>
  <si>
    <t>Spin Speed-Lot Interaction (P-value)</t>
  </si>
  <si>
    <t>Statistical Analysis</t>
  </si>
  <si>
    <t>Section 8.8 (2022 App J3)</t>
  </si>
  <si>
    <t>Cloth Type</t>
  </si>
  <si>
    <t>Legacy Momie Cloth</t>
  </si>
  <si>
    <t>Modified AATCC Laundering Ballast Type 3</t>
  </si>
  <si>
    <t>Location:</t>
  </si>
  <si>
    <t>Lot Number:</t>
  </si>
  <si>
    <t>Note: P-value is not used to determine acceptability of lot.</t>
  </si>
  <si>
    <t>v2.5</t>
  </si>
  <si>
    <t>026B</t>
  </si>
  <si>
    <t>UL Verification Services Inc. (Newton) Laboratory</t>
  </si>
  <si>
    <t>TL &amp; LB</t>
  </si>
  <si>
    <t>X</t>
  </si>
  <si>
    <t>4/23/2025-4/25/2025</t>
  </si>
  <si>
    <t>21.9375 x  34.0625</t>
  </si>
  <si>
    <t>22.000 x  34.0625</t>
  </si>
  <si>
    <t>10.000 x 10.000</t>
  </si>
  <si>
    <t>9.875 x 10.000</t>
  </si>
  <si>
    <t>10.125 x 10.000</t>
  </si>
  <si>
    <t>22.000 x 34.125</t>
  </si>
  <si>
    <t>XX</t>
  </si>
  <si>
    <t>ZZ</t>
  </si>
  <si>
    <t>4/28/2025-5/5/25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</si>
</sst>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4"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
      <b/>
      <sz val="10"/>
      <color theme="1"/>
      <name val="Palatino Linotype"/>
      <family val="1"/>
    </font>
    <font>
      <sz val="10"/>
      <color theme="1"/>
      <name val="Palatino Linotype"/>
      <family val="1"/>
    </font>
  </fonts>
  <fills count="1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
      <patternFill patternType="lightUp">
        <bgColor theme="0" tint="-0.14996795556505021"/>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52">
    <xf numFmtId="0" fontId="0" fillId="0" borderId="0" xfId="0"/>
    <xf numFmtId="2" fontId="0" fillId="0" borderId="0" xfId="0" applyNumberFormat="1"/>
    <xf numFmtId="2" fontId="0" fillId="0" borderId="0" xfId="0" applyNumberFormat="1" applyAlignment="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Alignment="1">
      <alignment horizontal="right"/>
    </xf>
    <xf numFmtId="0" fontId="10" fillId="0" borderId="0" xfId="0" applyFont="1"/>
    <xf numFmtId="0" fontId="3" fillId="0" borderId="0" xfId="0" applyFont="1"/>
    <xf numFmtId="164" fontId="4" fillId="0" borderId="0" xfId="0" applyNumberFormat="1" applyFont="1"/>
    <xf numFmtId="0" fontId="13" fillId="0" borderId="0" xfId="2" applyFont="1"/>
    <xf numFmtId="0" fontId="2" fillId="0" borderId="0" xfId="2"/>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Border="1" applyAlignment="1">
      <alignment horizontal="center" vertical="center"/>
    </xf>
    <xf numFmtId="0" fontId="2" fillId="0" borderId="1" xfId="2" applyBorder="1" applyAlignment="1">
      <alignment horizontal="left" vertical="center"/>
    </xf>
    <xf numFmtId="0" fontId="2" fillId="0" borderId="6" xfId="2" applyBorder="1" applyAlignment="1">
      <alignment vertical="center"/>
    </xf>
    <xf numFmtId="0" fontId="2" fillId="0" borderId="2" xfId="2"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ill="1" applyBorder="1" applyAlignment="1">
      <alignment horizontal="centerContinuous"/>
    </xf>
    <xf numFmtId="0" fontId="3" fillId="2" borderId="6" xfId="2" applyFont="1" applyFill="1" applyBorder="1"/>
    <xf numFmtId="0" fontId="2" fillId="0" borderId="8" xfId="2" applyBorder="1" applyAlignment="1">
      <alignment vertical="center"/>
    </xf>
    <xf numFmtId="0" fontId="2" fillId="0" borderId="61" xfId="2" applyBorder="1" applyAlignment="1">
      <alignment horizontal="left" vertical="center"/>
    </xf>
    <xf numFmtId="0" fontId="2" fillId="0" borderId="0" xfId="2" applyAlignment="1">
      <alignment horizontal="center"/>
    </xf>
    <xf numFmtId="0" fontId="2" fillId="0" borderId="61" xfId="2" applyBorder="1" applyAlignment="1">
      <alignment horizontal="center" vertical="center"/>
    </xf>
    <xf numFmtId="166" fontId="2" fillId="0" borderId="0" xfId="1" applyNumberFormat="1" applyFont="1"/>
    <xf numFmtId="0" fontId="2" fillId="0" borderId="0" xfId="2" applyAlignment="1">
      <alignment horizontal="left"/>
    </xf>
    <xf numFmtId="164" fontId="2" fillId="0" borderId="0" xfId="2" applyNumberFormat="1"/>
    <xf numFmtId="0" fontId="2" fillId="0" borderId="22" xfId="2" applyBorder="1" applyAlignment="1">
      <alignment horizontal="center" vertical="center"/>
    </xf>
    <xf numFmtId="166" fontId="2" fillId="0" borderId="61" xfId="1" applyNumberFormat="1" applyFont="1" applyFill="1" applyBorder="1" applyAlignment="1">
      <alignment horizontal="center"/>
    </xf>
    <xf numFmtId="2" fontId="2" fillId="0" borderId="0" xfId="2" applyNumberFormat="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12" fillId="0" borderId="0" xfId="0" applyFont="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lignment horizontal="centerContinuous" wrapText="1"/>
    </xf>
    <xf numFmtId="0" fontId="3" fillId="3" borderId="50" xfId="0" applyFont="1" applyFill="1" applyBorder="1" applyAlignment="1">
      <alignment horizontal="centerContinuous"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xf>
    <xf numFmtId="0" fontId="3" fillId="2" borderId="17" xfId="0" applyFont="1" applyFill="1" applyBorder="1" applyAlignment="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xf numFmtId="166" fontId="0" fillId="0" borderId="9" xfId="0" applyNumberFormat="1" applyBorder="1"/>
    <xf numFmtId="166" fontId="0" fillId="0" borderId="0" xfId="1" applyNumberFormat="1" applyFont="1" applyBorder="1" applyProtection="1"/>
    <xf numFmtId="166" fontId="0" fillId="0" borderId="0" xfId="0" applyNumberFormat="1"/>
    <xf numFmtId="0" fontId="3" fillId="3" borderId="12" xfId="0" applyFont="1" applyFill="1" applyBorder="1" applyAlignment="1">
      <alignment horizontal="center" wrapText="1"/>
    </xf>
    <xf numFmtId="0" fontId="3" fillId="3" borderId="35" xfId="0" applyFont="1" applyFill="1" applyBorder="1" applyAlignment="1">
      <alignment horizontal="center" wrapText="1"/>
    </xf>
    <xf numFmtId="0" fontId="2" fillId="0" borderId="21" xfId="0" applyFont="1" applyBorder="1" applyAlignment="1">
      <alignment horizontal="center"/>
    </xf>
    <xf numFmtId="0" fontId="2" fillId="0" borderId="2" xfId="0" applyFont="1" applyBorder="1" applyAlignment="1">
      <alignment horizontal="center"/>
    </xf>
    <xf numFmtId="0" fontId="2" fillId="0" borderId="22" xfId="0" applyFont="1" applyBorder="1" applyAlignment="1">
      <alignment horizontal="center"/>
    </xf>
    <xf numFmtId="0" fontId="7" fillId="4" borderId="13" xfId="0" applyFont="1" applyFill="1" applyBorder="1" applyAlignment="1">
      <alignment horizontal="right"/>
    </xf>
    <xf numFmtId="165" fontId="7" fillId="4" borderId="36" xfId="0" applyNumberFormat="1" applyFont="1" applyFill="1" applyBorder="1" applyAlignment="1">
      <alignment horizontal="left"/>
    </xf>
    <xf numFmtId="0" fontId="7" fillId="4" borderId="14" xfId="0" applyFont="1" applyFill="1" applyBorder="1" applyAlignment="1">
      <alignment horizontal="right"/>
    </xf>
    <xf numFmtId="165" fontId="7" fillId="4" borderId="39" xfId="0" applyNumberFormat="1" applyFont="1" applyFill="1" applyBorder="1" applyAlignment="1">
      <alignment horizontal="left"/>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Border="1" applyAlignment="1">
      <alignment horizontal="center"/>
    </xf>
    <xf numFmtId="166" fontId="2" fillId="0" borderId="67" xfId="0" quotePrefix="1" applyNumberFormat="1" applyFont="1" applyBorder="1" applyAlignment="1">
      <alignment horizontal="center"/>
    </xf>
    <xf numFmtId="166" fontId="2" fillId="0" borderId="67"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19" fillId="0" borderId="0" xfId="5" applyFont="1"/>
    <xf numFmtId="0" fontId="19" fillId="8" borderId="0" xfId="5" applyFont="1" applyFill="1"/>
    <xf numFmtId="0" fontId="21" fillId="0" borderId="69" xfId="5" applyFont="1" applyBorder="1"/>
    <xf numFmtId="0" fontId="22" fillId="0" borderId="70" xfId="5" applyFont="1" applyBorder="1" applyAlignment="1">
      <alignment horizontal="left"/>
    </xf>
    <xf numFmtId="0" fontId="21" fillId="0" borderId="0" xfId="5" applyFont="1"/>
    <xf numFmtId="0" fontId="21" fillId="8" borderId="0" xfId="5" applyFont="1" applyFill="1"/>
    <xf numFmtId="0" fontId="18" fillId="0" borderId="71" xfId="5" applyBorder="1"/>
    <xf numFmtId="0" fontId="21" fillId="0" borderId="72" xfId="5"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Font="1" applyBorder="1" applyAlignment="1">
      <alignment horizontal="left" vertical="center"/>
    </xf>
    <xf numFmtId="0" fontId="18" fillId="8" borderId="0" xfId="5" applyFill="1"/>
    <xf numFmtId="0" fontId="24" fillId="0" borderId="32" xfId="5" applyFont="1" applyBorder="1" applyAlignment="1">
      <alignment horizontal="center" vertical="center"/>
    </xf>
    <xf numFmtId="0" fontId="24" fillId="0" borderId="52" xfId="5" applyFont="1" applyBorder="1" applyAlignment="1">
      <alignment horizontal="center" vertical="center"/>
    </xf>
    <xf numFmtId="0" fontId="21" fillId="0" borderId="75" xfId="5" applyFont="1" applyBorder="1"/>
    <xf numFmtId="0" fontId="21" fillId="0" borderId="76" xfId="5" applyFont="1" applyBorder="1"/>
    <xf numFmtId="0" fontId="21" fillId="0" borderId="77" xfId="5" applyFont="1" applyBorder="1"/>
    <xf numFmtId="0" fontId="21" fillId="0" borderId="78" xfId="5" applyFont="1" applyBorder="1"/>
    <xf numFmtId="0" fontId="19" fillId="0" borderId="77" xfId="5" applyFont="1" applyBorder="1"/>
    <xf numFmtId="0" fontId="19" fillId="0" borderId="78" xfId="5" applyFont="1" applyBorder="1"/>
    <xf numFmtId="0" fontId="19" fillId="0" borderId="79" xfId="5" applyFont="1" applyBorder="1"/>
    <xf numFmtId="0" fontId="19" fillId="0" borderId="80" xfId="5" applyFont="1" applyBorder="1"/>
    <xf numFmtId="0" fontId="26" fillId="9" borderId="23" xfId="6" applyFont="1" applyBorder="1">
      <alignment horizontal="left" vertical="center"/>
    </xf>
    <xf numFmtId="0" fontId="27" fillId="9" borderId="81" xfId="6" applyFont="1" applyBorder="1">
      <alignment horizontal="left" vertical="center"/>
    </xf>
    <xf numFmtId="0" fontId="27" fillId="5" borderId="13" xfId="6" applyFont="1" applyFill="1" applyBorder="1">
      <alignment horizontal="left" vertical="center"/>
    </xf>
    <xf numFmtId="0" fontId="27" fillId="5" borderId="51" xfId="6" applyFont="1" applyFill="1" applyBorder="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Border="1" applyAlignment="1">
      <alignment vertical="center"/>
    </xf>
    <xf numFmtId="0" fontId="19" fillId="0" borderId="84" xfId="9" applyFont="1" applyBorder="1" applyAlignment="1">
      <alignment vertical="center"/>
    </xf>
    <xf numFmtId="0" fontId="23" fillId="0" borderId="85" xfId="7" applyBorder="1" applyAlignment="1" applyProtection="1">
      <alignment vertical="center"/>
      <protection locked="0"/>
    </xf>
    <xf numFmtId="0" fontId="19" fillId="0" borderId="86" xfId="9" applyFont="1" applyBorder="1" applyAlignment="1">
      <alignment vertical="center"/>
    </xf>
    <xf numFmtId="14" fontId="18" fillId="0" borderId="0" xfId="5" applyNumberFormat="1"/>
    <xf numFmtId="0" fontId="18" fillId="0" borderId="0" xfId="5"/>
    <xf numFmtId="0" fontId="18" fillId="0" borderId="88" xfId="9" applyBorder="1"/>
    <xf numFmtId="0" fontId="29" fillId="0" borderId="89" xfId="9" applyFont="1" applyBorder="1" applyAlignment="1">
      <alignment horizontal="left"/>
    </xf>
    <xf numFmtId="0" fontId="18" fillId="0" borderId="90" xfId="9" applyBorder="1"/>
    <xf numFmtId="0" fontId="18" fillId="0" borderId="91" xfId="9" applyBorder="1" applyAlignment="1">
      <alignment horizontal="left"/>
    </xf>
    <xf numFmtId="14" fontId="18" fillId="0" borderId="91" xfId="9" applyNumberFormat="1" applyBorder="1" applyAlignment="1">
      <alignment horizontal="left"/>
    </xf>
    <xf numFmtId="0" fontId="29" fillId="0" borderId="91" xfId="9" applyFont="1" applyBorder="1" applyAlignment="1">
      <alignment horizontal="left"/>
    </xf>
    <xf numFmtId="0" fontId="18" fillId="0" borderId="92" xfId="9" applyBorder="1" applyAlignment="1">
      <alignment horizontal="left" vertical="center"/>
    </xf>
    <xf numFmtId="0" fontId="18" fillId="0" borderId="93" xfId="9" applyBorder="1" applyAlignment="1">
      <alignment horizontal="left" vertical="center" wrapText="1"/>
    </xf>
    <xf numFmtId="0" fontId="18" fillId="0" borderId="94" xfId="9" applyBorder="1"/>
    <xf numFmtId="14" fontId="18" fillId="0" borderId="95" xfId="9" applyNumberForma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Font="1" applyBorder="1" applyAlignment="1">
      <alignment horizontal="center" vertical="center" wrapText="1"/>
    </xf>
    <xf numFmtId="0" fontId="30" fillId="0" borderId="96" xfId="5"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Font="1" applyBorder="1" applyAlignment="1">
      <alignment horizontal="center" wrapText="1"/>
    </xf>
    <xf numFmtId="0" fontId="30" fillId="0" borderId="96" xfId="5" applyFont="1" applyBorder="1" applyAlignment="1">
      <alignment wrapText="1"/>
    </xf>
    <xf numFmtId="0" fontId="18" fillId="0" borderId="73" xfId="5" applyBorder="1" applyAlignment="1">
      <alignment wrapText="1"/>
    </xf>
    <xf numFmtId="14" fontId="18" fillId="0" borderId="74" xfId="5" applyNumberFormat="1" applyBorder="1" applyAlignment="1">
      <alignment horizontal="center" wrapText="1"/>
    </xf>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24" fillId="0" borderId="41"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ill="1"/>
    <xf numFmtId="0" fontId="4" fillId="8" borderId="0" xfId="0" applyFont="1" applyFill="1"/>
    <xf numFmtId="164" fontId="4" fillId="8" borderId="0" xfId="0" applyNumberFormat="1" applyFont="1" applyFill="1"/>
    <xf numFmtId="164" fontId="2" fillId="8" borderId="0" xfId="2" applyNumberFormat="1" applyFill="1"/>
    <xf numFmtId="2" fontId="2" fillId="8" borderId="0" xfId="2" applyNumberFormat="1" applyFill="1"/>
    <xf numFmtId="14" fontId="30" fillId="4" borderId="1" xfId="10" applyNumberFormat="1" applyFill="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164" fontId="0" fillId="8" borderId="0" xfId="0" applyNumberFormat="1" applyFill="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Alignment="1">
      <alignment vertical="center"/>
    </xf>
    <xf numFmtId="0" fontId="21" fillId="0" borderId="0" xfId="5" applyFont="1" applyAlignment="1">
      <alignment vertical="center"/>
    </xf>
    <xf numFmtId="14" fontId="21" fillId="0" borderId="0" xfId="5" applyNumberFormat="1" applyFont="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Border="1" applyAlignment="1">
      <alignment horizontal="center"/>
    </xf>
    <xf numFmtId="164" fontId="0" fillId="4" borderId="1" xfId="0" applyNumberFormat="1" applyFill="1" applyBorder="1" applyAlignment="1">
      <alignment horizontal="center"/>
    </xf>
    <xf numFmtId="0" fontId="2" fillId="2" borderId="27" xfId="0" applyFont="1" applyFill="1" applyBorder="1"/>
    <xf numFmtId="1" fontId="0" fillId="0" borderId="41" xfId="0" applyNumberFormat="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lignment horizontal="center" vertical="center"/>
    </xf>
    <xf numFmtId="0" fontId="19" fillId="0" borderId="39" xfId="9" applyFont="1" applyBorder="1" applyAlignment="1">
      <alignment horizontal="center" vertical="center"/>
    </xf>
    <xf numFmtId="14" fontId="2" fillId="12" borderId="7" xfId="2" applyNumberFormat="1" applyFill="1" applyBorder="1" applyAlignment="1" applyProtection="1">
      <alignment horizontal="center"/>
      <protection locked="0"/>
    </xf>
    <xf numFmtId="0" fontId="2" fillId="12" borderId="1" xfId="2" applyFill="1" applyBorder="1" applyAlignment="1" applyProtection="1">
      <alignment horizontal="center"/>
      <protection locked="0"/>
    </xf>
    <xf numFmtId="0" fontId="2" fillId="12" borderId="61" xfId="2" applyFill="1" applyBorder="1" applyAlignment="1" applyProtection="1">
      <alignment horizontal="center"/>
      <protection locked="0"/>
    </xf>
    <xf numFmtId="0" fontId="2" fillId="12" borderId="2" xfId="2" applyFill="1" applyBorder="1" applyAlignment="1" applyProtection="1">
      <alignment horizontal="left" vertical="center"/>
      <protection locked="0"/>
    </xf>
    <xf numFmtId="0" fontId="2" fillId="12" borderId="22" xfId="2" applyFill="1" applyBorder="1" applyAlignment="1" applyProtection="1">
      <alignment horizontal="left" vertical="center"/>
      <protection locked="0"/>
    </xf>
    <xf numFmtId="0" fontId="2" fillId="12" borderId="2" xfId="2" applyFill="1" applyBorder="1" applyAlignment="1" applyProtection="1">
      <alignment horizontal="center" vertical="center"/>
      <protection locked="0"/>
    </xf>
    <xf numFmtId="0" fontId="2" fillId="12" borderId="22" xfId="2" applyFill="1" applyBorder="1" applyAlignment="1" applyProtection="1">
      <alignment horizontal="center" vertical="center"/>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Alignment="1">
      <alignment horizontal="center"/>
    </xf>
    <xf numFmtId="0" fontId="0" fillId="2" borderId="0" xfId="0" applyFill="1"/>
    <xf numFmtId="0" fontId="0" fillId="2" borderId="36" xfId="0" applyFill="1" applyBorder="1"/>
    <xf numFmtId="0" fontId="0" fillId="2" borderId="11" xfId="0" applyFill="1" applyBorder="1"/>
    <xf numFmtId="165" fontId="0" fillId="2" borderId="11" xfId="0" applyNumberFormat="1" applyFill="1" applyBorder="1" applyAlignment="1">
      <alignment horizontal="center"/>
    </xf>
    <xf numFmtId="0" fontId="0" fillId="2" borderId="39" xfId="0" applyFill="1" applyBorder="1"/>
    <xf numFmtId="0" fontId="3" fillId="2" borderId="17" xfId="0" applyFont="1" applyFill="1" applyBorder="1"/>
    <xf numFmtId="0" fontId="3" fillId="0" borderId="61" xfId="0" applyFont="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ill="1" applyBorder="1" applyAlignment="1">
      <alignment horizontal="center" vertical="center"/>
    </xf>
    <xf numFmtId="166" fontId="0" fillId="4" borderId="23" xfId="0" applyNumberFormat="1" applyFill="1" applyBorder="1" applyAlignment="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lignment horizontal="right"/>
    </xf>
    <xf numFmtId="166" fontId="0" fillId="4" borderId="26" xfId="0" applyNumberFormat="1" applyFill="1" applyBorder="1" applyAlignment="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xf numFmtId="166" fontId="0" fillId="4" borderId="9" xfId="0" applyNumberFormat="1" applyFill="1" applyBorder="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ill="1" applyBorder="1" applyAlignment="1">
      <alignment horizontal="center" vertic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2" fillId="0" borderId="0" xfId="2" applyAlignment="1">
      <alignment horizontal="center" vertical="center"/>
    </xf>
    <xf numFmtId="166" fontId="2" fillId="0" borderId="0" xfId="1" applyNumberFormat="1" applyFont="1" applyFill="1" applyBorder="1" applyAlignment="1">
      <alignment horizontal="center"/>
    </xf>
    <xf numFmtId="166" fontId="2" fillId="0" borderId="0" xfId="1" applyNumberFormat="1" applyFont="1" applyBorder="1" applyAlignment="1">
      <alignment horizontal="center" vertical="center"/>
    </xf>
    <xf numFmtId="0" fontId="32" fillId="10" borderId="129" xfId="0" applyFont="1" applyFill="1" applyBorder="1"/>
    <xf numFmtId="0" fontId="33" fillId="5" borderId="16" xfId="0" applyFont="1" applyFill="1" applyBorder="1" applyAlignment="1">
      <alignment horizontal="left" wrapText="1"/>
    </xf>
    <xf numFmtId="0" fontId="5" fillId="2" borderId="32" xfId="2" applyFont="1" applyFill="1" applyBorder="1"/>
    <xf numFmtId="0" fontId="2" fillId="12" borderId="52" xfId="2" applyFill="1" applyBorder="1" applyAlignment="1" applyProtection="1">
      <alignment horizontal="center" vertical="center"/>
      <protection locked="0"/>
    </xf>
    <xf numFmtId="166" fontId="12" fillId="4" borderId="9" xfId="2" applyNumberFormat="1" applyFont="1" applyFill="1" applyBorder="1" applyAlignment="1">
      <alignment horizontal="center" wrapText="1"/>
    </xf>
    <xf numFmtId="0" fontId="4" fillId="0" borderId="0" xfId="0" applyFont="1" applyAlignment="1">
      <alignment horizontal="center" wrapText="1"/>
    </xf>
    <xf numFmtId="0" fontId="2" fillId="0" borderId="0" xfId="0" applyFont="1" applyAlignment="1">
      <alignment horizontal="center" wrapText="1"/>
    </xf>
    <xf numFmtId="0" fontId="7" fillId="4" borderId="13" xfId="0" applyFont="1" applyFill="1" applyBorder="1" applyAlignment="1">
      <alignment horizontal="center" wrapText="1"/>
    </xf>
    <xf numFmtId="165" fontId="7" fillId="4" borderId="36" xfId="0" applyNumberFormat="1" applyFont="1" applyFill="1" applyBorder="1" applyAlignment="1">
      <alignment horizontal="center" wrapText="1"/>
    </xf>
    <xf numFmtId="0" fontId="7" fillId="4" borderId="14" xfId="0" applyFont="1" applyFill="1" applyBorder="1" applyAlignment="1">
      <alignment horizontal="center" wrapText="1"/>
    </xf>
    <xf numFmtId="165" fontId="7" fillId="4" borderId="39" xfId="0" applyNumberFormat="1" applyFont="1" applyFill="1" applyBorder="1" applyAlignment="1">
      <alignment horizontal="center" wrapText="1"/>
    </xf>
    <xf numFmtId="0" fontId="2" fillId="12" borderId="7" xfId="2" applyFill="1" applyBorder="1" applyAlignment="1" applyProtection="1">
      <alignment horizontal="center" wrapText="1"/>
      <protection locked="0"/>
    </xf>
    <xf numFmtId="14" fontId="2" fillId="12" borderId="7" xfId="2" applyNumberFormat="1" applyFill="1" applyBorder="1" applyAlignment="1" applyProtection="1">
      <alignment horizontal="center" wrapText="1"/>
      <protection locked="0"/>
    </xf>
    <xf numFmtId="0" fontId="2" fillId="4" borderId="52" xfId="2" applyFill="1" applyBorder="1" applyAlignment="1">
      <alignment horizontal="center" wrapText="1"/>
    </xf>
    <xf numFmtId="0" fontId="2" fillId="0" borderId="47" xfId="0" applyFont="1" applyBorder="1" applyAlignment="1">
      <alignment horizontal="left"/>
    </xf>
    <xf numFmtId="0" fontId="2" fillId="0" borderId="62" xfId="0" applyFont="1" applyBorder="1"/>
    <xf numFmtId="164" fontId="0" fillId="4" borderId="62" xfId="0" applyNumberFormat="1" applyFill="1" applyBorder="1" applyAlignment="1">
      <alignment horizontal="center"/>
    </xf>
    <xf numFmtId="0" fontId="4" fillId="4" borderId="48" xfId="0" applyFont="1" applyFill="1" applyBorder="1" applyAlignment="1">
      <alignment horizontal="center"/>
    </xf>
    <xf numFmtId="0" fontId="2" fillId="0" borderId="53" xfId="0" applyFont="1" applyBorder="1" applyAlignment="1">
      <alignment horizontal="left"/>
    </xf>
    <xf numFmtId="0" fontId="2" fillId="0" borderId="55" xfId="0" applyFont="1" applyBorder="1"/>
    <xf numFmtId="0" fontId="4" fillId="17" borderId="55" xfId="0" applyFont="1" applyFill="1" applyBorder="1" applyAlignment="1">
      <alignment horizontal="center"/>
    </xf>
    <xf numFmtId="164" fontId="0" fillId="4" borderId="98" xfId="0" applyNumberFormat="1" applyFill="1" applyBorder="1" applyAlignment="1">
      <alignment horizontal="center"/>
    </xf>
    <xf numFmtId="0" fontId="4" fillId="17" borderId="54" xfId="0" applyFont="1" applyFill="1" applyBorder="1" applyAlignment="1">
      <alignment horizontal="center"/>
    </xf>
    <xf numFmtId="0" fontId="33" fillId="5" borderId="17" xfId="0" applyFont="1" applyFill="1" applyBorder="1" applyAlignment="1">
      <alignment horizontal="left" wrapText="1"/>
    </xf>
    <xf numFmtId="0" fontId="5" fillId="2" borderId="32" xfId="2" applyFont="1" applyFill="1" applyBorder="1" applyAlignment="1">
      <alignment horizontal="left" wrapText="1"/>
    </xf>
    <xf numFmtId="0" fontId="5" fillId="2" borderId="8" xfId="2" applyFont="1" applyFill="1" applyBorder="1" applyAlignment="1">
      <alignment horizontal="left" wrapText="1"/>
    </xf>
    <xf numFmtId="0" fontId="2" fillId="12" borderId="7" xfId="2" applyFill="1" applyBorder="1" applyAlignment="1" applyProtection="1">
      <alignment horizontal="center"/>
      <protection locked="0"/>
    </xf>
    <xf numFmtId="0" fontId="3" fillId="2" borderId="6" xfId="2" applyFont="1" applyFill="1" applyBorder="1" applyAlignment="1">
      <alignment horizontal="left" wrapText="1"/>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lignment horizontal="left" vertical="center"/>
    </xf>
    <xf numFmtId="0" fontId="20" fillId="9" borderId="50" xfId="6" applyBorder="1">
      <alignment horizontal="left" vertical="center"/>
    </xf>
    <xf numFmtId="0" fontId="20" fillId="9" borderId="49" xfId="6" applyBorder="1" applyProtection="1">
      <alignment horizontal="left" vertical="center"/>
    </xf>
    <xf numFmtId="0" fontId="20" fillId="9" borderId="50" xfId="6" applyBorder="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5" fillId="2" borderId="43" xfId="2" applyFont="1" applyFill="1" applyBorder="1" applyAlignment="1">
      <alignment horizontal="left" vertical="center"/>
    </xf>
    <xf numFmtId="0" fontId="5" fillId="2" borderId="32" xfId="2" applyFont="1" applyFill="1" applyBorder="1" applyAlignment="1">
      <alignment horizontal="left" vertical="center"/>
    </xf>
    <xf numFmtId="0" fontId="2" fillId="12" borderId="58" xfId="2" applyFill="1" applyBorder="1" applyAlignment="1" applyProtection="1">
      <alignment horizontal="center" vertical="center" wrapText="1"/>
      <protection locked="0"/>
    </xf>
    <xf numFmtId="0" fontId="2" fillId="12" borderId="52" xfId="2" applyFill="1" applyBorder="1" applyAlignment="1" applyProtection="1">
      <alignment horizontal="center" vertical="center" wrapText="1"/>
      <protection locked="0"/>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Font="1" applyBorder="1" applyAlignment="1">
      <alignment horizontal="left" vertical="center"/>
    </xf>
    <xf numFmtId="0" fontId="21" fillId="0" borderId="119" xfId="5" applyFont="1" applyBorder="1" applyAlignment="1">
      <alignment horizontal="left" vertical="center"/>
    </xf>
    <xf numFmtId="0" fontId="21" fillId="0" borderId="123" xfId="5"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Border="1" applyAlignment="1">
      <alignment horizontal="left" vertical="center"/>
    </xf>
    <xf numFmtId="0" fontId="18" fillId="0" borderId="105" xfId="5" applyBorder="1" applyAlignment="1">
      <alignment horizontal="left"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1" xfId="2" applyBorder="1" applyAlignment="1">
      <alignment horizontal="center" vertical="center"/>
    </xf>
    <xf numFmtId="0" fontId="2" fillId="0" borderId="32" xfId="2" applyBorder="1" applyAlignment="1">
      <alignment horizontal="center" vertical="center"/>
    </xf>
    <xf numFmtId="0" fontId="2" fillId="0" borderId="3" xfId="2" applyBorder="1" applyAlignment="1">
      <alignment horizontal="center" vertical="center"/>
    </xf>
    <xf numFmtId="0" fontId="2" fillId="0" borderId="10" xfId="2" applyBorder="1" applyAlignment="1">
      <alignment horizontal="center" vertical="center"/>
    </xf>
    <xf numFmtId="0" fontId="2" fillId="0" borderId="41" xfId="2" applyBorder="1" applyAlignment="1">
      <alignment horizontal="center" vertical="center"/>
    </xf>
    <xf numFmtId="166" fontId="2" fillId="0" borderId="1" xfId="2" applyNumberFormat="1" applyBorder="1" applyAlignment="1">
      <alignment horizontal="center" vertical="center"/>
    </xf>
    <xf numFmtId="0" fontId="2" fillId="0" borderId="1" xfId="2" applyBorder="1" applyAlignment="1">
      <alignment horizontal="center" vertical="center"/>
    </xf>
    <xf numFmtId="0" fontId="2" fillId="0" borderId="47" xfId="2"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60" xfId="2" applyBorder="1" applyAlignment="1">
      <alignment horizontal="center" vertical="center"/>
    </xf>
    <xf numFmtId="0" fontId="2" fillId="0" borderId="13" xfId="2" applyBorder="1" applyAlignment="1">
      <alignment horizontal="center" vertical="center"/>
    </xf>
    <xf numFmtId="0" fontId="2" fillId="0" borderId="26" xfId="2" applyBorder="1" applyAlignment="1">
      <alignment horizontal="center" vertical="center"/>
    </xf>
    <xf numFmtId="0" fontId="2" fillId="0" borderId="14" xfId="2" applyBorder="1" applyAlignment="1">
      <alignment horizontal="center" vertical="center"/>
    </xf>
    <xf numFmtId="0" fontId="2" fillId="0" borderId="62" xfId="2" applyBorder="1" applyAlignment="1">
      <alignment horizontal="center" vertical="center"/>
    </xf>
    <xf numFmtId="0" fontId="2" fillId="0" borderId="61" xfId="2" applyBorder="1" applyAlignment="1">
      <alignment horizontal="center" vertical="center"/>
    </xf>
    <xf numFmtId="0" fontId="3" fillId="2" borderId="60" xfId="2" applyFont="1" applyFill="1" applyBorder="1" applyAlignment="1">
      <alignment horizontal="left" vertical="center"/>
    </xf>
    <xf numFmtId="0" fontId="3" fillId="2" borderId="14" xfId="2" applyFont="1" applyFill="1" applyBorder="1" applyAlignment="1">
      <alignment horizontal="left" vertical="center"/>
    </xf>
    <xf numFmtId="0" fontId="2" fillId="12" borderId="34" xfId="2" applyFill="1" applyBorder="1" applyAlignment="1" applyProtection="1">
      <alignment horizontal="left" vertical="center" wrapText="1"/>
      <protection locked="0"/>
    </xf>
    <xf numFmtId="0" fontId="2" fillId="12" borderId="48" xfId="2" applyFill="1" applyBorder="1" applyAlignment="1" applyProtection="1">
      <alignment horizontal="left" vertical="center" wrapText="1"/>
      <protection locked="0"/>
    </xf>
    <xf numFmtId="0" fontId="2" fillId="0" borderId="6" xfId="2"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34" xfId="2" applyFont="1" applyFill="1" applyBorder="1" applyAlignment="1">
      <alignment horizontal="center" vertical="center"/>
    </xf>
    <xf numFmtId="0" fontId="2" fillId="0" borderId="8" xfId="2"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72"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7" fillId="3" borderId="49" xfId="0" applyFont="1" applyFill="1" applyBorder="1" applyAlignment="1">
      <alignment horizontal="center" wrapText="1"/>
    </xf>
    <xf numFmtId="0" fontId="7" fillId="3" borderId="50" xfId="0" applyFont="1" applyFill="1" applyBorder="1" applyAlignment="1">
      <alignment horizontal="center" wrapText="1"/>
    </xf>
    <xf numFmtId="0" fontId="3" fillId="3" borderId="23" xfId="2" applyFont="1" applyFill="1" applyBorder="1" applyAlignment="1">
      <alignment horizontal="center" wrapText="1"/>
    </xf>
    <xf numFmtId="0" fontId="3" fillId="3" borderId="130" xfId="2" applyFont="1" applyFill="1" applyBorder="1" applyAlignment="1">
      <alignment horizontal="center" wrapText="1"/>
    </xf>
    <xf numFmtId="0" fontId="2" fillId="4" borderId="58" xfId="2" applyFill="1" applyBorder="1" applyAlignment="1">
      <alignment horizontal="center" vertical="center" wrapText="1"/>
    </xf>
    <xf numFmtId="0" fontId="2" fillId="4" borderId="52" xfId="2" applyFill="1" applyBorder="1" applyAlignment="1">
      <alignment horizontal="center" vertical="center" wrapText="1"/>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3" fillId="3" borderId="4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026B</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0.60747446522829995</c:v>
                </c:pt>
                <c:pt idx="1">
                  <c:v>0.47018134600835482</c:v>
                </c:pt>
                <c:pt idx="2">
                  <c:v>0.37659186279798329</c:v>
                </c:pt>
                <c:pt idx="3">
                  <c:v>0.32982713135834019</c:v>
                </c:pt>
                <c:pt idx="4">
                  <c:v>0.30121849464241185</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026B</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0.65467505116620572</c:v>
                </c:pt>
                <c:pt idx="1">
                  <c:v>0.62810640465523349</c:v>
                </c:pt>
                <c:pt idx="2">
                  <c:v>0.59056341672661128</c:v>
                </c:pt>
                <c:pt idx="3">
                  <c:v>0.55655298836514933</c:v>
                </c:pt>
                <c:pt idx="4">
                  <c:v>0.5180112788943948</c:v>
                </c:pt>
                <c:pt idx="5">
                  <c:v>0.47964159008252322</c:v>
                </c:pt>
                <c:pt idx="6">
                  <c:v>0.4543587447589596</c:v>
                </c:pt>
                <c:pt idx="7">
                  <c:v>0.4287137702975416</c:v>
                </c:pt>
                <c:pt idx="8">
                  <c:v>0.41925399610710246</c:v>
                </c:pt>
                <c:pt idx="9">
                  <c:v>0.38856612553776798</c:v>
                </c:pt>
                <c:pt idx="10">
                  <c:v>0.35848207624073991</c:v>
                </c:pt>
                <c:pt idx="11">
                  <c:v>0.34006525330632287</c:v>
                </c:pt>
                <c:pt idx="12">
                  <c:v>0.36739992892091894</c:v>
                </c:pt>
                <c:pt idx="13">
                  <c:v>0.34138207517916536</c:v>
                </c:pt>
                <c:pt idx="14">
                  <c:v>0.31346875269036606</c:v>
                </c:pt>
                <c:pt idx="15">
                  <c:v>0.29705776864291039</c:v>
                </c:pt>
                <c:pt idx="16">
                  <c:v>0.33903913885411158</c:v>
                </c:pt>
                <c:pt idx="17">
                  <c:v>0.30639038438101107</c:v>
                </c:pt>
                <c:pt idx="18">
                  <c:v>0.28705427966427116</c:v>
                </c:pt>
                <c:pt idx="19">
                  <c:v>0.27239017567025364</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tabSelected="1" zoomScale="99" workbookViewId="0"/>
  </sheetViews>
  <sheetProtection algorithmName="SHA-512" hashValue="fMxQhrUED1KbfchVC99ND0dHgDayhdQo8GUnR2uX3WdluBzX4jFNic1JFD162P/BXoNh6ATztXf8DrmsUMtwNQ==" saltValue="TxIbedJitTjWEMNX0AXauQ=="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tabSelected="1" zoomScale="99" workbookViewId="0"/>
  </sheetViews>
  <sheetProtection algorithmName="SHA-512" hashValue="//q2brCJYXVp8AUAW9vjwXDdzSzK5toBGJzxCynDuxTNC8Tg6cuMVWtJUYmokqVcygV18XwfkqKs41USHP17tw==" saltValue="XzCwYrBpd9y1wnv1Oyz1fw=="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43"/>
  <sheetViews>
    <sheetView showGridLines="0" tabSelected="1" topLeftCell="A10" zoomScale="96" zoomScaleNormal="96" workbookViewId="0">
      <selection activeCell="D18" sqref="D18"/>
    </sheetView>
  </sheetViews>
  <sheetFormatPr defaultColWidth="9.140625" defaultRowHeight="16.5" x14ac:dyDescent="0.3"/>
  <cols>
    <col min="1" max="1" width="4.85546875" style="103" customWidth="1"/>
    <col min="2" max="2" width="28.85546875" style="103" customWidth="1"/>
    <col min="3" max="3" width="159.28515625" style="103" customWidth="1"/>
    <col min="4" max="4" width="4.42578125" style="103" customWidth="1"/>
    <col min="5" max="5" width="4.140625" style="103" customWidth="1"/>
    <col min="6" max="6" width="25.7109375" style="103" customWidth="1"/>
    <col min="7" max="16384" width="9.140625" style="103"/>
  </cols>
  <sheetData>
    <row r="1" spans="2:6" ht="17.25" thickBot="1" x14ac:dyDescent="0.35">
      <c r="E1" s="104"/>
    </row>
    <row r="2" spans="2:6" ht="18" thickBot="1" x14ac:dyDescent="0.35">
      <c r="B2" s="337" t="str">
        <f>'Version Control'!B2:C2</f>
        <v>Title Block</v>
      </c>
      <c r="C2" s="338"/>
      <c r="E2" s="104"/>
    </row>
    <row r="3" spans="2:6" s="107" customFormat="1" x14ac:dyDescent="0.3">
      <c r="B3" s="105" t="str">
        <f>'Version Control'!B3</f>
        <v>Test Report Template Name:</v>
      </c>
      <c r="C3" s="106" t="str">
        <f>'Version Control'!$C$3</f>
        <v xml:space="preserve">Test Cloth Correction Factors </v>
      </c>
      <c r="E3" s="108"/>
    </row>
    <row r="4" spans="2:6" s="107" customFormat="1" x14ac:dyDescent="0.3">
      <c r="B4" s="109" t="str">
        <f>'Version Control'!B4</f>
        <v>Version Number:</v>
      </c>
      <c r="C4" s="110" t="str">
        <f>'Version Control'!$C$4</f>
        <v>v2.5</v>
      </c>
      <c r="E4" s="108"/>
    </row>
    <row r="5" spans="2:6" s="107" customFormat="1" x14ac:dyDescent="0.3">
      <c r="B5" s="111" t="str">
        <f>'Version Control'!B5</f>
        <v xml:space="preserve">Latest Template Revision: </v>
      </c>
      <c r="C5" s="112">
        <f>'Version Control'!C5</f>
        <v>45673</v>
      </c>
      <c r="E5" s="108"/>
    </row>
    <row r="6" spans="2:6" s="107" customFormat="1" x14ac:dyDescent="0.3">
      <c r="B6" s="186" t="str">
        <f>'Version Control'!B6</f>
        <v>Tab Name:</v>
      </c>
      <c r="C6" s="187" t="e">
        <f ca="1">MID(CELL("filename",A1), FIND("]", CELL("filename", A1))+ 1, 255)</f>
        <v>#VALUE!</v>
      </c>
      <c r="E6" s="108"/>
    </row>
    <row r="7" spans="2:6" ht="17.25" thickBot="1" x14ac:dyDescent="0.35">
      <c r="B7" s="113" t="str">
        <f>'Version Control'!B7</f>
        <v>File Name:</v>
      </c>
      <c r="C7" s="114" t="e">
        <f ca="1">'Version Control'!$C$7</f>
        <v>#VALUE!</v>
      </c>
      <c r="E7" s="115"/>
      <c r="F7" s="107"/>
    </row>
    <row r="8" spans="2:6" x14ac:dyDescent="0.3">
      <c r="E8" s="115"/>
      <c r="F8" s="107"/>
    </row>
    <row r="9" spans="2:6" ht="17.25" thickBot="1" x14ac:dyDescent="0.35">
      <c r="E9" s="115"/>
      <c r="F9" s="107"/>
    </row>
    <row r="10" spans="2:6" ht="18" thickBot="1" x14ac:dyDescent="0.35">
      <c r="B10" s="339" t="s">
        <v>110</v>
      </c>
      <c r="C10" s="340"/>
      <c r="E10" s="115"/>
      <c r="F10" s="107"/>
    </row>
    <row r="11" spans="2:6" ht="24.75" customHeight="1" thickBot="1" x14ac:dyDescent="0.35">
      <c r="B11" s="341" t="s">
        <v>168</v>
      </c>
      <c r="C11" s="342"/>
      <c r="E11" s="115"/>
      <c r="F11" s="107"/>
    </row>
    <row r="12" spans="2:6" ht="17.25" thickBot="1" x14ac:dyDescent="0.35">
      <c r="E12" s="115"/>
      <c r="F12" s="107"/>
    </row>
    <row r="13" spans="2:6" ht="18" thickBot="1" x14ac:dyDescent="0.35">
      <c r="B13" s="339" t="s">
        <v>111</v>
      </c>
      <c r="C13" s="340"/>
      <c r="E13" s="115"/>
      <c r="F13" s="107"/>
    </row>
    <row r="14" spans="2:6" ht="17.25" x14ac:dyDescent="0.3">
      <c r="B14" s="116" t="s">
        <v>112</v>
      </c>
      <c r="C14" s="117" t="s">
        <v>113</v>
      </c>
      <c r="E14" s="115"/>
      <c r="F14" s="107"/>
    </row>
    <row r="15" spans="2:6" x14ac:dyDescent="0.3">
      <c r="B15" s="118" t="s">
        <v>114</v>
      </c>
      <c r="C15" s="119" t="s">
        <v>115</v>
      </c>
      <c r="D15" s="107"/>
      <c r="E15" s="115"/>
      <c r="F15" s="107"/>
    </row>
    <row r="16" spans="2:6" x14ac:dyDescent="0.3">
      <c r="B16" s="120" t="s">
        <v>186</v>
      </c>
      <c r="C16" s="121" t="s">
        <v>144</v>
      </c>
      <c r="D16" s="107"/>
      <c r="E16" s="115"/>
      <c r="F16" s="107"/>
    </row>
    <row r="17" spans="2:6" x14ac:dyDescent="0.3">
      <c r="B17" s="120" t="s">
        <v>145</v>
      </c>
      <c r="C17" s="121" t="s">
        <v>146</v>
      </c>
      <c r="D17" s="107"/>
      <c r="E17" s="115"/>
      <c r="F17" s="107"/>
    </row>
    <row r="18" spans="2:6" x14ac:dyDescent="0.3">
      <c r="B18" s="209" t="s">
        <v>164</v>
      </c>
      <c r="C18" s="210" t="s">
        <v>165</v>
      </c>
      <c r="D18" s="107"/>
      <c r="E18" s="115"/>
      <c r="F18" s="107"/>
    </row>
    <row r="19" spans="2:6" x14ac:dyDescent="0.3">
      <c r="B19" s="122" t="s">
        <v>77</v>
      </c>
      <c r="C19" s="123" t="s">
        <v>147</v>
      </c>
      <c r="D19" s="107"/>
      <c r="E19" s="115"/>
      <c r="F19" s="107"/>
    </row>
    <row r="20" spans="2:6" x14ac:dyDescent="0.3">
      <c r="B20" s="120" t="s">
        <v>148</v>
      </c>
      <c r="C20" s="121" t="s">
        <v>149</v>
      </c>
      <c r="D20" s="107"/>
      <c r="E20" s="115"/>
      <c r="F20" s="107"/>
    </row>
    <row r="21" spans="2:6" x14ac:dyDescent="0.3">
      <c r="B21" s="120" t="s">
        <v>150</v>
      </c>
      <c r="C21" s="123" t="s">
        <v>151</v>
      </c>
      <c r="D21" s="107"/>
      <c r="E21" s="115"/>
      <c r="F21" s="107"/>
    </row>
    <row r="22" spans="2:6" x14ac:dyDescent="0.3">
      <c r="B22" s="120" t="s">
        <v>152</v>
      </c>
      <c r="C22" s="121" t="s">
        <v>153</v>
      </c>
      <c r="D22" s="107"/>
      <c r="E22" s="115"/>
      <c r="F22" s="107"/>
    </row>
    <row r="23" spans="2:6" ht="17.25" thickBot="1" x14ac:dyDescent="0.35">
      <c r="B23" s="124" t="s">
        <v>116</v>
      </c>
      <c r="C23" s="125" t="s">
        <v>117</v>
      </c>
      <c r="E23" s="104"/>
      <c r="F23" s="107"/>
    </row>
    <row r="24" spans="2:6" ht="17.25" thickBot="1" x14ac:dyDescent="0.35">
      <c r="D24" s="107"/>
      <c r="E24" s="108"/>
      <c r="F24" s="107"/>
    </row>
    <row r="25" spans="2:6" ht="18" thickBot="1" x14ac:dyDescent="0.4">
      <c r="B25" s="343" t="s">
        <v>163</v>
      </c>
      <c r="C25" s="344"/>
      <c r="D25" s="107"/>
      <c r="E25" s="108"/>
      <c r="F25" s="107"/>
    </row>
    <row r="26" spans="2:6" ht="16.5" customHeight="1" x14ac:dyDescent="0.3">
      <c r="B26" s="218" t="s">
        <v>118</v>
      </c>
      <c r="C26" s="219" t="s">
        <v>119</v>
      </c>
      <c r="D26" s="107"/>
      <c r="E26" s="108"/>
      <c r="F26" s="107"/>
    </row>
    <row r="27" spans="2:6" ht="16.5" customHeight="1" x14ac:dyDescent="0.3">
      <c r="B27" s="335" t="s">
        <v>120</v>
      </c>
      <c r="C27" s="164" t="s">
        <v>121</v>
      </c>
      <c r="D27" s="107"/>
      <c r="E27" s="108"/>
      <c r="F27" s="107"/>
    </row>
    <row r="28" spans="2:6" ht="16.5" customHeight="1" x14ac:dyDescent="0.3">
      <c r="B28" s="335"/>
      <c r="C28" s="165" t="s">
        <v>122</v>
      </c>
      <c r="D28" s="107"/>
      <c r="E28" s="108"/>
      <c r="F28" s="107"/>
    </row>
    <row r="29" spans="2:6" ht="16.5" customHeight="1" thickBot="1" x14ac:dyDescent="0.35">
      <c r="B29" s="336"/>
      <c r="C29" s="220" t="s">
        <v>123</v>
      </c>
      <c r="D29" s="107"/>
      <c r="E29" s="108"/>
      <c r="F29" s="107"/>
    </row>
    <row r="30" spans="2:6" ht="17.25" thickBot="1" x14ac:dyDescent="0.35">
      <c r="D30" s="107"/>
      <c r="E30" s="108"/>
      <c r="F30" s="107"/>
    </row>
    <row r="31" spans="2:6" ht="18.75" thickBot="1" x14ac:dyDescent="0.35">
      <c r="B31" s="126" t="s">
        <v>124</v>
      </c>
      <c r="C31" s="127"/>
      <c r="D31" s="107"/>
      <c r="E31" s="108"/>
      <c r="F31" s="107"/>
    </row>
    <row r="32" spans="2:6" x14ac:dyDescent="0.3">
      <c r="B32" s="329" t="s">
        <v>125</v>
      </c>
      <c r="C32" s="330"/>
      <c r="D32" s="107"/>
      <c r="E32" s="108"/>
      <c r="F32" s="107"/>
    </row>
    <row r="33" spans="1:6" x14ac:dyDescent="0.3">
      <c r="B33" s="331"/>
      <c r="C33" s="332"/>
      <c r="D33" s="107"/>
      <c r="E33" s="108"/>
      <c r="F33" s="107"/>
    </row>
    <row r="34" spans="1:6" ht="17.25" thickBot="1" x14ac:dyDescent="0.35">
      <c r="B34" s="333"/>
      <c r="C34" s="334"/>
      <c r="D34" s="107"/>
      <c r="E34" s="108"/>
      <c r="F34" s="107"/>
    </row>
    <row r="35" spans="1:6" ht="16.5" customHeight="1" thickBot="1" x14ac:dyDescent="0.35">
      <c r="B35" s="188" t="s">
        <v>162</v>
      </c>
      <c r="C35" s="189"/>
      <c r="D35" s="107"/>
      <c r="E35" s="108"/>
      <c r="F35" s="107"/>
    </row>
    <row r="36" spans="1:6" ht="17.25" x14ac:dyDescent="0.3">
      <c r="B36" s="128"/>
      <c r="C36" s="129"/>
      <c r="D36" s="107"/>
      <c r="E36" s="108"/>
      <c r="F36" s="107"/>
    </row>
    <row r="37" spans="1:6" ht="21" x14ac:dyDescent="0.3">
      <c r="B37" s="130" t="s">
        <v>126</v>
      </c>
      <c r="C37" s="131" t="s">
        <v>127</v>
      </c>
      <c r="D37" s="107"/>
      <c r="E37" s="108"/>
      <c r="F37" s="107"/>
    </row>
    <row r="38" spans="1:6" ht="18" thickBot="1" x14ac:dyDescent="0.35">
      <c r="B38" s="128"/>
      <c r="C38" s="129"/>
      <c r="D38" s="107"/>
      <c r="E38" s="108"/>
      <c r="F38" s="107"/>
    </row>
    <row r="39" spans="1:6" x14ac:dyDescent="0.3">
      <c r="B39" s="132" t="s">
        <v>128</v>
      </c>
      <c r="C39" s="166" t="s">
        <v>186</v>
      </c>
      <c r="D39" s="107"/>
      <c r="E39" s="108"/>
      <c r="F39" s="107"/>
    </row>
    <row r="40" spans="1:6" x14ac:dyDescent="0.3">
      <c r="B40" s="133" t="s">
        <v>129</v>
      </c>
      <c r="C40" s="134" t="s">
        <v>145</v>
      </c>
      <c r="D40" s="107"/>
      <c r="E40" s="108"/>
      <c r="F40" s="107"/>
    </row>
    <row r="41" spans="1:6" ht="17.25" thickBot="1" x14ac:dyDescent="0.35">
      <c r="B41" s="135" t="s">
        <v>130</v>
      </c>
      <c r="C41" s="178" t="s">
        <v>131</v>
      </c>
      <c r="D41" s="107"/>
      <c r="E41" s="108"/>
      <c r="F41" s="107"/>
    </row>
    <row r="42" spans="1:6" x14ac:dyDescent="0.3">
      <c r="D42" s="107"/>
      <c r="E42" s="108"/>
      <c r="F42" s="107"/>
    </row>
    <row r="43" spans="1:6" x14ac:dyDescent="0.3">
      <c r="A43" s="104"/>
      <c r="B43" s="104"/>
      <c r="C43" s="104"/>
      <c r="D43" s="108"/>
      <c r="E43" s="108"/>
      <c r="F43" s="107"/>
    </row>
  </sheetData>
  <sheetProtection algorithmName="SHA-512" hashValue="DYS2GIF/j/GFFDRUMcz9TG/4x+iRq2ArT+WoqeNGw51d5e+ELaN0HJ0vFOvEV9+cTheGKmJlZapXMxUei7e9PA==" saltValue="XmG+wyNaLIYcaVNrre/Mxg=="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Material Verification'!A1" display="Material Verification"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scale="4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AL46"/>
  <sheetViews>
    <sheetView showGridLines="0" tabSelected="1" topLeftCell="R1" zoomScale="96" zoomScaleNormal="96" zoomScalePageLayoutView="90" workbookViewId="0">
      <selection activeCell="D18" sqref="D18"/>
    </sheetView>
  </sheetViews>
  <sheetFormatPr defaultColWidth="9.140625" defaultRowHeight="12.75" x14ac:dyDescent="0.2"/>
  <cols>
    <col min="1" max="1" width="1.85546875" style="11" customWidth="1"/>
    <col min="2" max="2" width="19.7109375" style="11" customWidth="1"/>
    <col min="3" max="3" width="27.85546875" style="11" customWidth="1"/>
    <col min="4" max="4" width="2.42578125" style="11" customWidth="1"/>
    <col min="5" max="5" width="13" style="11" customWidth="1"/>
    <col min="6" max="6" width="13.140625" style="11" customWidth="1"/>
    <col min="7" max="8" width="13.42578125" style="11" customWidth="1"/>
    <col min="9" max="9" width="2.140625" style="11" customWidth="1"/>
    <col min="10" max="10" width="13.42578125" style="11" customWidth="1"/>
    <col min="11" max="11" width="32.5703125" style="11" bestFit="1" customWidth="1"/>
    <col min="12" max="12" width="19.28515625" style="11" customWidth="1"/>
    <col min="13" max="14" width="13.42578125" style="11" customWidth="1"/>
    <col min="15" max="15" width="2.140625" style="11" customWidth="1"/>
    <col min="16" max="16" width="8.140625" style="11" bestFit="1" customWidth="1"/>
    <col min="17" max="17" width="22.28515625" style="11" customWidth="1"/>
    <col min="18" max="18" width="15.7109375" style="11" customWidth="1"/>
    <col min="19" max="19" width="12.7109375" style="11" bestFit="1" customWidth="1"/>
    <col min="20" max="20" width="12.7109375" style="11" customWidth="1"/>
    <col min="21" max="21" width="2.28515625" style="11" customWidth="1"/>
    <col min="22" max="22" width="9.7109375" style="11" customWidth="1"/>
    <col min="23" max="23" width="23.5703125" style="11" customWidth="1"/>
    <col min="24" max="24" width="19.5703125" style="11" customWidth="1"/>
    <col min="25" max="25" width="12.7109375" style="11" bestFit="1" customWidth="1"/>
    <col min="26" max="26" width="12.7109375" style="11" customWidth="1"/>
    <col min="27" max="27" width="2.28515625" style="11" customWidth="1"/>
    <col min="28" max="28" width="12.85546875" style="11" customWidth="1"/>
    <col min="29" max="29" width="16.5703125" style="11" customWidth="1"/>
    <col min="30" max="30" width="12.7109375" style="11" customWidth="1"/>
    <col min="31" max="31" width="13.42578125" style="11" customWidth="1"/>
    <col min="32" max="32" width="12.42578125" style="11" customWidth="1"/>
    <col min="33" max="33" width="11.28515625" style="11" customWidth="1"/>
    <col min="34" max="35" width="12" style="11" customWidth="1"/>
    <col min="36" max="36" width="13.85546875" style="11" customWidth="1"/>
    <col min="37" max="37" width="3" style="11" customWidth="1"/>
    <col min="38" max="38" width="2.7109375" style="11" customWidth="1"/>
    <col min="39" max="16384" width="9.140625" style="11"/>
  </cols>
  <sheetData>
    <row r="1" spans="2:38" ht="13.5" thickBot="1" x14ac:dyDescent="0.25">
      <c r="AL1" s="180"/>
    </row>
    <row r="2" spans="2:38" ht="18" thickBot="1" x14ac:dyDescent="0.25">
      <c r="B2" s="337" t="str">
        <f>'Version Control'!B2:C2</f>
        <v>Title Block</v>
      </c>
      <c r="C2" s="352"/>
      <c r="D2" s="352"/>
      <c r="E2" s="352"/>
      <c r="F2" s="352"/>
      <c r="G2" s="352"/>
      <c r="H2" s="352"/>
      <c r="I2" s="352"/>
      <c r="J2" s="338"/>
      <c r="K2" s="205"/>
      <c r="AL2" s="180"/>
    </row>
    <row r="3" spans="2:38" ht="16.5" x14ac:dyDescent="0.2">
      <c r="B3" s="367" t="str">
        <f>'Version Control'!B3</f>
        <v>Test Report Template Name:</v>
      </c>
      <c r="C3" s="368"/>
      <c r="D3" s="353" t="str">
        <f>'Version Control'!C3</f>
        <v xml:space="preserve">Test Cloth Correction Factors </v>
      </c>
      <c r="E3" s="354"/>
      <c r="F3" s="354"/>
      <c r="G3" s="354"/>
      <c r="H3" s="354"/>
      <c r="I3" s="354"/>
      <c r="J3" s="355"/>
      <c r="K3" s="206"/>
      <c r="AL3" s="180"/>
    </row>
    <row r="4" spans="2:38" ht="16.5" x14ac:dyDescent="0.3">
      <c r="B4" s="369" t="str">
        <f>'Version Control'!B4</f>
        <v>Version Number:</v>
      </c>
      <c r="C4" s="370"/>
      <c r="D4" s="356" t="str">
        <f>'Version Control'!C4</f>
        <v>v2.5</v>
      </c>
      <c r="E4" s="357"/>
      <c r="F4" s="357"/>
      <c r="G4" s="357"/>
      <c r="H4" s="357"/>
      <c r="I4" s="357"/>
      <c r="J4" s="358"/>
      <c r="K4" s="207"/>
      <c r="L4" s="349" t="s">
        <v>154</v>
      </c>
      <c r="M4" s="349"/>
      <c r="AL4" s="180"/>
    </row>
    <row r="5" spans="2:38" ht="16.5" x14ac:dyDescent="0.2">
      <c r="B5" s="365" t="str">
        <f>'Version Control'!B5</f>
        <v xml:space="preserve">Latest Template Revision: </v>
      </c>
      <c r="C5" s="366"/>
      <c r="D5" s="359">
        <f>'Version Control'!C5</f>
        <v>45673</v>
      </c>
      <c r="E5" s="360"/>
      <c r="F5" s="360"/>
      <c r="G5" s="360"/>
      <c r="H5" s="360"/>
      <c r="I5" s="360"/>
      <c r="J5" s="361"/>
      <c r="K5" s="208"/>
      <c r="AL5" s="180"/>
    </row>
    <row r="6" spans="2:38" ht="16.5" x14ac:dyDescent="0.2">
      <c r="B6" s="365" t="str">
        <f>'Version Control'!B6</f>
        <v>Tab Name:</v>
      </c>
      <c r="C6" s="366"/>
      <c r="D6" s="356" t="e">
        <f ca="1">MID(CELL("filename",A1), FIND("]", CELL("filename", A1))+ 1, 255)</f>
        <v>#VALUE!</v>
      </c>
      <c r="E6" s="357"/>
      <c r="F6" s="357"/>
      <c r="G6" s="357"/>
      <c r="H6" s="357"/>
      <c r="I6" s="357"/>
      <c r="J6" s="358"/>
      <c r="K6" s="207"/>
      <c r="AL6" s="180"/>
    </row>
    <row r="7" spans="2:38" ht="16.5" x14ac:dyDescent="0.2">
      <c r="B7" s="365" t="str">
        <f>'Version Control'!B7</f>
        <v>File Name:</v>
      </c>
      <c r="C7" s="366"/>
      <c r="D7" s="356" t="e">
        <f ca="1">'Version Control'!C7</f>
        <v>#VALUE!</v>
      </c>
      <c r="E7" s="357"/>
      <c r="F7" s="357"/>
      <c r="G7" s="357"/>
      <c r="H7" s="357"/>
      <c r="I7" s="357"/>
      <c r="J7" s="358"/>
      <c r="K7" s="207"/>
      <c r="AL7" s="180"/>
    </row>
    <row r="8" spans="2:38" ht="17.25" thickBot="1" x14ac:dyDescent="0.25">
      <c r="B8" s="350" t="str">
        <f>'Version Control'!B8</f>
        <v xml:space="preserve">Test Completion Date: </v>
      </c>
      <c r="C8" s="351"/>
      <c r="D8" s="362" t="str">
        <f>'Version Control'!C8</f>
        <v>4/28/2025-5/5/25</v>
      </c>
      <c r="E8" s="363"/>
      <c r="F8" s="363"/>
      <c r="G8" s="363"/>
      <c r="H8" s="363"/>
      <c r="I8" s="363"/>
      <c r="J8" s="364"/>
      <c r="K8" s="208"/>
      <c r="AL8" s="180"/>
    </row>
    <row r="9" spans="2:38" x14ac:dyDescent="0.2">
      <c r="AL9" s="180"/>
    </row>
    <row r="10" spans="2:38" x14ac:dyDescent="0.2">
      <c r="AL10" s="180"/>
    </row>
    <row r="11" spans="2:38" ht="15.75" x14ac:dyDescent="0.25">
      <c r="B11" s="10" t="s">
        <v>30</v>
      </c>
      <c r="AL11" s="180"/>
    </row>
    <row r="12" spans="2:38" ht="18.399999999999999" customHeight="1" thickBot="1" x14ac:dyDescent="0.25">
      <c r="AL12" s="180"/>
    </row>
    <row r="13" spans="2:38" ht="18.399999999999999" customHeight="1" x14ac:dyDescent="0.2">
      <c r="B13" s="345" t="s">
        <v>195</v>
      </c>
      <c r="C13" s="347" t="s">
        <v>200</v>
      </c>
      <c r="E13" s="13" t="s">
        <v>169</v>
      </c>
      <c r="F13" s="14"/>
      <c r="G13" s="15"/>
      <c r="H13" s="16"/>
      <c r="J13" s="13" t="s">
        <v>170</v>
      </c>
      <c r="K13" s="14"/>
      <c r="L13" s="17"/>
      <c r="M13" s="15"/>
      <c r="N13" s="16"/>
      <c r="P13" s="13" t="s">
        <v>171</v>
      </c>
      <c r="Q13" s="14"/>
      <c r="R13" s="17"/>
      <c r="S13" s="15"/>
      <c r="T13" s="16"/>
      <c r="V13" s="13" t="s">
        <v>172</v>
      </c>
      <c r="W13" s="14"/>
      <c r="X13" s="17"/>
      <c r="Y13" s="15"/>
      <c r="Z13" s="16"/>
      <c r="AB13" s="13" t="s">
        <v>178</v>
      </c>
      <c r="AC13" s="14"/>
      <c r="AD13" s="17"/>
      <c r="AE13" s="17"/>
      <c r="AF13" s="17"/>
      <c r="AG13" s="17"/>
      <c r="AH13" s="18"/>
      <c r="AI13" s="19"/>
      <c r="AJ13" s="16"/>
      <c r="AL13" s="180"/>
    </row>
    <row r="14" spans="2:38" ht="38.25" x14ac:dyDescent="0.2">
      <c r="B14" s="346"/>
      <c r="C14" s="348"/>
      <c r="E14" s="22" t="s">
        <v>32</v>
      </c>
      <c r="F14" s="23" t="s">
        <v>33</v>
      </c>
      <c r="G14" s="24" t="s">
        <v>34</v>
      </c>
      <c r="H14" s="25" t="s">
        <v>35</v>
      </c>
      <c r="J14" s="297" t="s">
        <v>174</v>
      </c>
      <c r="K14" s="23" t="s">
        <v>173</v>
      </c>
      <c r="L14" s="26" t="s">
        <v>36</v>
      </c>
      <c r="M14" s="24" t="s">
        <v>37</v>
      </c>
      <c r="N14" s="25" t="s">
        <v>35</v>
      </c>
      <c r="P14" s="297" t="s">
        <v>174</v>
      </c>
      <c r="Q14" s="24" t="s">
        <v>38</v>
      </c>
      <c r="R14" s="27" t="s">
        <v>39</v>
      </c>
      <c r="S14" s="24" t="s">
        <v>37</v>
      </c>
      <c r="T14" s="25" t="s">
        <v>35</v>
      </c>
      <c r="V14" s="297" t="s">
        <v>174</v>
      </c>
      <c r="W14" s="24" t="s">
        <v>40</v>
      </c>
      <c r="X14" s="27" t="s">
        <v>41</v>
      </c>
      <c r="Y14" s="24" t="s">
        <v>37</v>
      </c>
      <c r="Z14" s="25" t="s">
        <v>35</v>
      </c>
      <c r="AB14" s="22" t="s">
        <v>32</v>
      </c>
      <c r="AC14" s="23" t="s">
        <v>33</v>
      </c>
      <c r="AD14" s="26" t="s">
        <v>42</v>
      </c>
      <c r="AE14" s="27" t="s">
        <v>43</v>
      </c>
      <c r="AF14" s="27" t="s">
        <v>44</v>
      </c>
      <c r="AG14" s="27" t="s">
        <v>45</v>
      </c>
      <c r="AH14" s="24" t="s">
        <v>46</v>
      </c>
      <c r="AI14" s="24" t="s">
        <v>47</v>
      </c>
      <c r="AJ14" s="25" t="s">
        <v>35</v>
      </c>
      <c r="AL14" s="180"/>
    </row>
    <row r="15" spans="2:38" ht="16.5" customHeight="1" x14ac:dyDescent="0.25">
      <c r="B15" s="303" t="s">
        <v>203</v>
      </c>
      <c r="C15" s="304" t="s">
        <v>206</v>
      </c>
      <c r="E15" s="396" t="s">
        <v>48</v>
      </c>
      <c r="F15" s="28" t="s">
        <v>49</v>
      </c>
      <c r="G15" s="222" t="s">
        <v>209</v>
      </c>
      <c r="H15" s="397" t="str">
        <f>IF(COUNTIF(G15:G23,"X")=9,"Yes","")</f>
        <v>Yes</v>
      </c>
      <c r="J15" s="376" t="s">
        <v>48</v>
      </c>
      <c r="K15" s="29" t="s">
        <v>50</v>
      </c>
      <c r="L15" s="224" t="s">
        <v>211</v>
      </c>
      <c r="M15" s="222" t="s">
        <v>209</v>
      </c>
      <c r="N15" s="399" t="str">
        <f>IF(COUNTIF(M15:M20,"X")=6,"Yes","")</f>
        <v>Yes</v>
      </c>
      <c r="P15" s="30" t="s">
        <v>48</v>
      </c>
      <c r="Q15" s="29" t="s">
        <v>51</v>
      </c>
      <c r="R15" s="226">
        <v>0</v>
      </c>
      <c r="S15" s="222" t="s">
        <v>209</v>
      </c>
      <c r="T15" s="399" t="str">
        <f>IF(COUNTIF(S15:S17,"X")=3,"Yes","")</f>
        <v>Yes</v>
      </c>
      <c r="V15" s="30" t="s">
        <v>48</v>
      </c>
      <c r="W15" s="29" t="s">
        <v>52</v>
      </c>
      <c r="X15" s="226">
        <v>1</v>
      </c>
      <c r="Y15" s="222" t="s">
        <v>209</v>
      </c>
      <c r="Z15" s="384" t="str">
        <f>IF(COUNTIF(Y15:Y17,"X")=3,"Yes","")</f>
        <v>Yes</v>
      </c>
      <c r="AB15" s="386" t="s">
        <v>48</v>
      </c>
      <c r="AC15" s="378" t="s">
        <v>49</v>
      </c>
      <c r="AD15" s="31">
        <v>1</v>
      </c>
      <c r="AE15" s="226">
        <v>8.3949999999999996</v>
      </c>
      <c r="AF15" s="226">
        <v>11.432</v>
      </c>
      <c r="AG15" s="32">
        <f>IF(AF15="","",((AF15-AE15)/AE15))</f>
        <v>0.36176295413936876</v>
      </c>
      <c r="AH15" s="381">
        <f>IF(AF15="","",IF(AF16="","",IF(AF17="","",(AVERAGE(AG15:AG17)))))</f>
        <v>0.36335120111177299</v>
      </c>
      <c r="AI15" s="371">
        <f>IF(OR(AH15="",AH18="",AH21="",AH24="",AH27="",AH30="",AH33="",AH36="",AH39=""),"",ROUND(_xlfn.STDEV.S(AH15:AH41)/AVERAGE(AH15:AH41),3))</f>
        <v>6.0000000000000001E-3</v>
      </c>
      <c r="AJ15" s="374" t="str">
        <f>IF(AI15="","",IF(AI15&lt;=0.015,"Yes","No"))</f>
        <v>Yes</v>
      </c>
      <c r="AL15" s="180"/>
    </row>
    <row r="16" spans="2:38" ht="16.899999999999999" customHeight="1" thickBot="1" x14ac:dyDescent="0.25">
      <c r="B16" s="20" t="s">
        <v>31</v>
      </c>
      <c r="C16" s="21" t="str">
        <f>IF((AND(H15="Yes",N15="Yes", T15="Yes", Z15="Yes", AJ15="Yes")),"Yes","")</f>
        <v>Yes</v>
      </c>
      <c r="E16" s="396"/>
      <c r="F16" s="28" t="s">
        <v>54</v>
      </c>
      <c r="G16" s="222" t="s">
        <v>209</v>
      </c>
      <c r="H16" s="397"/>
      <c r="J16" s="377"/>
      <c r="K16" s="29" t="s">
        <v>55</v>
      </c>
      <c r="L16" s="224" t="s">
        <v>214</v>
      </c>
      <c r="M16" s="222" t="s">
        <v>209</v>
      </c>
      <c r="N16" s="384"/>
      <c r="P16" s="30" t="s">
        <v>54</v>
      </c>
      <c r="Q16" s="29" t="s">
        <v>51</v>
      </c>
      <c r="R16" s="226">
        <v>0</v>
      </c>
      <c r="S16" s="222" t="s">
        <v>209</v>
      </c>
      <c r="T16" s="384"/>
      <c r="V16" s="30" t="s">
        <v>54</v>
      </c>
      <c r="W16" s="29" t="s">
        <v>52</v>
      </c>
      <c r="X16" s="226">
        <v>1</v>
      </c>
      <c r="Y16" s="222" t="s">
        <v>209</v>
      </c>
      <c r="Z16" s="384"/>
      <c r="AB16" s="387"/>
      <c r="AC16" s="379"/>
      <c r="AD16" s="31">
        <v>2</v>
      </c>
      <c r="AE16" s="226">
        <v>8.3949999999999996</v>
      </c>
      <c r="AF16" s="226">
        <v>11.46</v>
      </c>
      <c r="AG16" s="32">
        <f t="shared" ref="AG16:AG41" si="0">IF(AF16="","",((AF16-AE16)/AE16))</f>
        <v>0.36509827278141765</v>
      </c>
      <c r="AH16" s="382"/>
      <c r="AI16" s="372"/>
      <c r="AJ16" s="374"/>
      <c r="AL16" s="180"/>
    </row>
    <row r="17" spans="2:38" ht="13.5" customHeight="1" thickBot="1" x14ac:dyDescent="0.25">
      <c r="E17" s="396"/>
      <c r="F17" s="28" t="s">
        <v>56</v>
      </c>
      <c r="G17" s="222" t="s">
        <v>209</v>
      </c>
      <c r="H17" s="397"/>
      <c r="J17" s="376" t="s">
        <v>54</v>
      </c>
      <c r="K17" s="29" t="s">
        <v>50</v>
      </c>
      <c r="L17" s="224" t="s">
        <v>212</v>
      </c>
      <c r="M17" s="222" t="s">
        <v>209</v>
      </c>
      <c r="N17" s="384"/>
      <c r="P17" s="36" t="s">
        <v>57</v>
      </c>
      <c r="Q17" s="37" t="s">
        <v>51</v>
      </c>
      <c r="R17" s="227">
        <v>0</v>
      </c>
      <c r="S17" s="223" t="s">
        <v>209</v>
      </c>
      <c r="T17" s="385"/>
      <c r="V17" s="36" t="s">
        <v>57</v>
      </c>
      <c r="W17" s="37" t="s">
        <v>52</v>
      </c>
      <c r="X17" s="227">
        <v>1</v>
      </c>
      <c r="Y17" s="223" t="s">
        <v>209</v>
      </c>
      <c r="Z17" s="385"/>
      <c r="AB17" s="387"/>
      <c r="AC17" s="380"/>
      <c r="AD17" s="31">
        <v>3</v>
      </c>
      <c r="AE17" s="226">
        <v>8.3949999999999996</v>
      </c>
      <c r="AF17" s="226">
        <v>11.444000000000001</v>
      </c>
      <c r="AG17" s="32">
        <f t="shared" si="0"/>
        <v>0.36319237641453261</v>
      </c>
      <c r="AH17" s="382"/>
      <c r="AI17" s="372"/>
      <c r="AJ17" s="374"/>
      <c r="AL17" s="180"/>
    </row>
    <row r="18" spans="2:38" ht="13.5" customHeight="1" x14ac:dyDescent="0.2">
      <c r="B18" s="33" t="s">
        <v>53</v>
      </c>
      <c r="C18" s="34"/>
      <c r="E18" s="396" t="s">
        <v>54</v>
      </c>
      <c r="F18" s="28" t="s">
        <v>49</v>
      </c>
      <c r="G18" s="222" t="s">
        <v>209</v>
      </c>
      <c r="H18" s="397"/>
      <c r="J18" s="377"/>
      <c r="K18" s="29" t="s">
        <v>55</v>
      </c>
      <c r="L18" s="224" t="s">
        <v>213</v>
      </c>
      <c r="M18" s="222" t="s">
        <v>209</v>
      </c>
      <c r="N18" s="384"/>
      <c r="AB18" s="387"/>
      <c r="AC18" s="378" t="s">
        <v>54</v>
      </c>
      <c r="AD18" s="31">
        <v>1</v>
      </c>
      <c r="AE18" s="226">
        <v>8.4130000000000003</v>
      </c>
      <c r="AF18" s="226">
        <v>11.436</v>
      </c>
      <c r="AG18" s="32">
        <f t="shared" si="0"/>
        <v>0.35932485439201234</v>
      </c>
      <c r="AH18" s="381">
        <f>IF(AF18="","",IF(AF19="","",IF(AF20="","",(AVERAGE(AG18:AG20)))))</f>
        <v>0.36071159713142359</v>
      </c>
      <c r="AI18" s="372"/>
      <c r="AJ18" s="374"/>
      <c r="AL18" s="180"/>
    </row>
    <row r="19" spans="2:38" ht="13.5" customHeight="1" x14ac:dyDescent="0.2">
      <c r="B19" s="35" t="s">
        <v>17</v>
      </c>
      <c r="C19" s="327" t="s">
        <v>208</v>
      </c>
      <c r="E19" s="396"/>
      <c r="F19" s="28" t="s">
        <v>54</v>
      </c>
      <c r="G19" s="222" t="s">
        <v>209</v>
      </c>
      <c r="H19" s="397"/>
      <c r="J19" s="376" t="s">
        <v>57</v>
      </c>
      <c r="K19" s="29" t="s">
        <v>50</v>
      </c>
      <c r="L19" s="224" t="s">
        <v>216</v>
      </c>
      <c r="M19" s="222" t="s">
        <v>209</v>
      </c>
      <c r="N19" s="384"/>
      <c r="P19" s="296" t="s">
        <v>180</v>
      </c>
      <c r="V19" s="296" t="s">
        <v>181</v>
      </c>
      <c r="AB19" s="387"/>
      <c r="AC19" s="379"/>
      <c r="AD19" s="31">
        <v>2</v>
      </c>
      <c r="AE19" s="226">
        <v>8.4130000000000003</v>
      </c>
      <c r="AF19" s="226">
        <v>11.464</v>
      </c>
      <c r="AG19" s="32">
        <f t="shared" si="0"/>
        <v>0.36265303696659934</v>
      </c>
      <c r="AH19" s="382"/>
      <c r="AI19" s="372"/>
      <c r="AJ19" s="374"/>
      <c r="AL19" s="180"/>
    </row>
    <row r="20" spans="2:38" ht="13.5" customHeight="1" thickBot="1" x14ac:dyDescent="0.25">
      <c r="B20" s="35" t="s">
        <v>18</v>
      </c>
      <c r="C20" s="221" t="s">
        <v>210</v>
      </c>
      <c r="E20" s="396"/>
      <c r="F20" s="28" t="s">
        <v>56</v>
      </c>
      <c r="G20" s="222" t="s">
        <v>209</v>
      </c>
      <c r="H20" s="397"/>
      <c r="J20" s="383"/>
      <c r="K20" s="37" t="s">
        <v>55</v>
      </c>
      <c r="L20" s="225" t="s">
        <v>215</v>
      </c>
      <c r="M20" s="223" t="s">
        <v>209</v>
      </c>
      <c r="N20" s="385"/>
      <c r="AB20" s="387"/>
      <c r="AC20" s="380"/>
      <c r="AD20" s="31">
        <v>3</v>
      </c>
      <c r="AE20" s="226">
        <v>8.4130000000000003</v>
      </c>
      <c r="AF20" s="226">
        <v>11.443</v>
      </c>
      <c r="AG20" s="32">
        <f t="shared" si="0"/>
        <v>0.36015690003565903</v>
      </c>
      <c r="AH20" s="382"/>
      <c r="AI20" s="372"/>
      <c r="AJ20" s="374"/>
      <c r="AL20" s="180"/>
    </row>
    <row r="21" spans="2:38" ht="13.5" customHeight="1" x14ac:dyDescent="0.2">
      <c r="B21" s="392" t="s">
        <v>202</v>
      </c>
      <c r="C21" s="394" t="s">
        <v>207</v>
      </c>
      <c r="E21" s="396" t="s">
        <v>57</v>
      </c>
      <c r="F21" s="28" t="s">
        <v>49</v>
      </c>
      <c r="G21" s="222" t="s">
        <v>209</v>
      </c>
      <c r="H21" s="397"/>
      <c r="AB21" s="387"/>
      <c r="AC21" s="378" t="s">
        <v>56</v>
      </c>
      <c r="AD21" s="31">
        <v>1</v>
      </c>
      <c r="AE21" s="226">
        <v>8.4039999999999999</v>
      </c>
      <c r="AF21" s="226">
        <v>11.43</v>
      </c>
      <c r="AG21" s="32">
        <f t="shared" si="0"/>
        <v>0.36006663493574487</v>
      </c>
      <c r="AH21" s="381">
        <f t="shared" ref="AH21" si="1">IF(AF21="","",IF(AF22="","",IF(AF23="","",(AVERAGE(AG21:AG23)))))</f>
        <v>0.36450896398540378</v>
      </c>
      <c r="AI21" s="372"/>
      <c r="AJ21" s="374"/>
      <c r="AL21" s="180"/>
    </row>
    <row r="22" spans="2:38" ht="13.5" customHeight="1" thickBot="1" x14ac:dyDescent="0.25">
      <c r="B22" s="393"/>
      <c r="C22" s="395"/>
      <c r="E22" s="396"/>
      <c r="F22" s="28" t="s">
        <v>54</v>
      </c>
      <c r="G22" s="222" t="s">
        <v>209</v>
      </c>
      <c r="H22" s="397"/>
      <c r="J22" s="296" t="s">
        <v>182</v>
      </c>
      <c r="AB22" s="387"/>
      <c r="AC22" s="379"/>
      <c r="AD22" s="31">
        <v>2</v>
      </c>
      <c r="AE22" s="226">
        <v>8.4039999999999999</v>
      </c>
      <c r="AF22" s="226">
        <v>11.522</v>
      </c>
      <c r="AG22" s="32">
        <f t="shared" si="0"/>
        <v>0.37101380295097575</v>
      </c>
      <c r="AH22" s="382"/>
      <c r="AI22" s="372"/>
      <c r="AJ22" s="374"/>
      <c r="AL22" s="180"/>
    </row>
    <row r="23" spans="2:38" ht="13.5" customHeight="1" thickBot="1" x14ac:dyDescent="0.25">
      <c r="C23" s="38"/>
      <c r="E23" s="400"/>
      <c r="F23" s="39" t="s">
        <v>56</v>
      </c>
      <c r="G23" s="223" t="s">
        <v>209</v>
      </c>
      <c r="H23" s="398"/>
      <c r="AB23" s="388"/>
      <c r="AC23" s="380"/>
      <c r="AD23" s="31">
        <v>3</v>
      </c>
      <c r="AE23" s="226">
        <v>8.4039999999999999</v>
      </c>
      <c r="AF23" s="226">
        <v>11.45</v>
      </c>
      <c r="AG23" s="32">
        <f t="shared" si="0"/>
        <v>0.36244645406949066</v>
      </c>
      <c r="AH23" s="382"/>
      <c r="AI23" s="372"/>
      <c r="AJ23" s="374"/>
      <c r="AL23" s="180"/>
    </row>
    <row r="24" spans="2:38" ht="13.5" customHeight="1" x14ac:dyDescent="0.2">
      <c r="AB24" s="386" t="s">
        <v>54</v>
      </c>
      <c r="AC24" s="378" t="s">
        <v>49</v>
      </c>
      <c r="AD24" s="31">
        <v>1</v>
      </c>
      <c r="AE24" s="226">
        <v>8.3859999999999992</v>
      </c>
      <c r="AF24" s="226">
        <v>11.439</v>
      </c>
      <c r="AG24" s="32">
        <f t="shared" si="0"/>
        <v>0.36405914619604113</v>
      </c>
      <c r="AH24" s="381">
        <f t="shared" ref="AH24" si="2">IF(AF24="","",IF(AF25="","",IF(AF26="","",(AVERAGE(AG24:AG26)))))</f>
        <v>0.36123698227204087</v>
      </c>
      <c r="AI24" s="372"/>
      <c r="AJ24" s="374"/>
      <c r="AL24" s="180"/>
    </row>
    <row r="25" spans="2:38" x14ac:dyDescent="0.2">
      <c r="AB25" s="387"/>
      <c r="AC25" s="379"/>
      <c r="AD25" s="31">
        <v>2</v>
      </c>
      <c r="AE25" s="226">
        <v>8.3859999999999992</v>
      </c>
      <c r="AF25" s="226">
        <v>11.432</v>
      </c>
      <c r="AG25" s="32">
        <f t="shared" si="0"/>
        <v>0.36322442165513968</v>
      </c>
      <c r="AH25" s="382"/>
      <c r="AI25" s="372"/>
      <c r="AJ25" s="374"/>
      <c r="AL25" s="180"/>
    </row>
    <row r="26" spans="2:38" x14ac:dyDescent="0.2">
      <c r="AB26" s="387"/>
      <c r="AC26" s="380"/>
      <c r="AD26" s="31">
        <v>3</v>
      </c>
      <c r="AE26" s="226">
        <v>8.3859999999999992</v>
      </c>
      <c r="AF26" s="226">
        <v>11.375</v>
      </c>
      <c r="AG26" s="32">
        <f t="shared" si="0"/>
        <v>0.3564273789649417</v>
      </c>
      <c r="AH26" s="382"/>
      <c r="AI26" s="372"/>
      <c r="AJ26" s="374"/>
      <c r="AL26" s="180"/>
    </row>
    <row r="27" spans="2:38" x14ac:dyDescent="0.2">
      <c r="H27" s="38"/>
      <c r="AB27" s="387"/>
      <c r="AC27" s="378" t="s">
        <v>54</v>
      </c>
      <c r="AD27" s="31">
        <v>1</v>
      </c>
      <c r="AE27" s="226">
        <v>8.3919999999999995</v>
      </c>
      <c r="AF27" s="226">
        <v>11.382999999999999</v>
      </c>
      <c r="AG27" s="32">
        <f t="shared" si="0"/>
        <v>0.35641086749285034</v>
      </c>
      <c r="AH27" s="381">
        <f t="shared" ref="AH27" si="3">IF(AF27="","",IF(AF28="","",IF(AF29="","",(AVERAGE(AG27:AG29)))))</f>
        <v>0.35835716555449637</v>
      </c>
      <c r="AI27" s="372"/>
      <c r="AJ27" s="374"/>
      <c r="AL27" s="180"/>
    </row>
    <row r="28" spans="2:38" x14ac:dyDescent="0.2">
      <c r="AB28" s="387"/>
      <c r="AC28" s="379"/>
      <c r="AD28" s="31">
        <v>2</v>
      </c>
      <c r="AE28" s="226">
        <v>8.3919999999999995</v>
      </c>
      <c r="AF28" s="226">
        <v>11.404</v>
      </c>
      <c r="AG28" s="32">
        <f t="shared" si="0"/>
        <v>0.35891325071496671</v>
      </c>
      <c r="AH28" s="382"/>
      <c r="AI28" s="372"/>
      <c r="AJ28" s="374"/>
      <c r="AL28" s="180"/>
    </row>
    <row r="29" spans="2:38" x14ac:dyDescent="0.2">
      <c r="AB29" s="387"/>
      <c r="AC29" s="380"/>
      <c r="AD29" s="31">
        <v>3</v>
      </c>
      <c r="AE29" s="226">
        <v>8.3919999999999995</v>
      </c>
      <c r="AF29" s="226">
        <v>11.411</v>
      </c>
      <c r="AG29" s="32">
        <f t="shared" si="0"/>
        <v>0.35974737845567212</v>
      </c>
      <c r="AH29" s="382"/>
      <c r="AI29" s="372"/>
      <c r="AJ29" s="374"/>
      <c r="AL29" s="180"/>
    </row>
    <row r="30" spans="2:38" x14ac:dyDescent="0.2">
      <c r="AB30" s="387"/>
      <c r="AC30" s="378" t="s">
        <v>56</v>
      </c>
      <c r="AD30" s="31">
        <v>1</v>
      </c>
      <c r="AE30" s="226">
        <v>8.4049999999999994</v>
      </c>
      <c r="AF30" s="226">
        <v>11.43</v>
      </c>
      <c r="AG30" s="32">
        <f t="shared" si="0"/>
        <v>0.35990481856038081</v>
      </c>
      <c r="AH30" s="381">
        <f t="shared" ref="AH30" si="4">IF(AF30="","",IF(AF31="","",IF(AF32="","",(AVERAGE(AG30:AG32)))))</f>
        <v>0.36085663295657361</v>
      </c>
      <c r="AI30" s="372"/>
      <c r="AJ30" s="374"/>
      <c r="AK30" s="40"/>
      <c r="AL30" s="180"/>
    </row>
    <row r="31" spans="2:38" x14ac:dyDescent="0.2">
      <c r="AB31" s="387"/>
      <c r="AC31" s="379"/>
      <c r="AD31" s="31">
        <v>2</v>
      </c>
      <c r="AE31" s="226">
        <v>8.4049999999999994</v>
      </c>
      <c r="AF31" s="226">
        <v>11.436</v>
      </c>
      <c r="AG31" s="32">
        <f t="shared" si="0"/>
        <v>0.3606186793575254</v>
      </c>
      <c r="AH31" s="382"/>
      <c r="AI31" s="372"/>
      <c r="AJ31" s="374"/>
      <c r="AL31" s="180"/>
    </row>
    <row r="32" spans="2:38" x14ac:dyDescent="0.2">
      <c r="AB32" s="388"/>
      <c r="AC32" s="380"/>
      <c r="AD32" s="31">
        <v>3</v>
      </c>
      <c r="AE32" s="226">
        <v>8.4049999999999994</v>
      </c>
      <c r="AF32" s="226">
        <v>11.448</v>
      </c>
      <c r="AG32" s="32">
        <f t="shared" si="0"/>
        <v>0.36204640095181456</v>
      </c>
      <c r="AH32" s="382"/>
      <c r="AI32" s="372"/>
      <c r="AJ32" s="374"/>
      <c r="AL32" s="180"/>
    </row>
    <row r="33" spans="1:38" x14ac:dyDescent="0.2">
      <c r="AB33" s="386" t="s">
        <v>57</v>
      </c>
      <c r="AC33" s="378" t="s">
        <v>49</v>
      </c>
      <c r="AD33" s="31">
        <v>1</v>
      </c>
      <c r="AE33" s="226">
        <v>8.4169999999999998</v>
      </c>
      <c r="AF33" s="226">
        <v>11.500999999999999</v>
      </c>
      <c r="AG33" s="32">
        <f t="shared" si="0"/>
        <v>0.36640133064037061</v>
      </c>
      <c r="AH33" s="381">
        <f t="shared" ref="AH33" si="5">IF(AF33="","",IF(AF34="","",IF(AF35="","",(AVERAGE(AG33:AG35)))))</f>
        <v>0.36263910340184546</v>
      </c>
      <c r="AI33" s="372"/>
      <c r="AJ33" s="374"/>
      <c r="AL33" s="180"/>
    </row>
    <row r="34" spans="1:38" x14ac:dyDescent="0.2">
      <c r="AB34" s="387"/>
      <c r="AC34" s="379"/>
      <c r="AD34" s="31">
        <v>2</v>
      </c>
      <c r="AE34" s="226">
        <v>8.4169999999999998</v>
      </c>
      <c r="AF34" s="226">
        <v>11.441000000000001</v>
      </c>
      <c r="AG34" s="32">
        <f t="shared" si="0"/>
        <v>0.35927290008316515</v>
      </c>
      <c r="AH34" s="382"/>
      <c r="AI34" s="372"/>
      <c r="AJ34" s="374"/>
      <c r="AL34" s="180"/>
    </row>
    <row r="35" spans="1:38" x14ac:dyDescent="0.2">
      <c r="E35" s="41"/>
      <c r="F35" s="41"/>
      <c r="G35" s="41"/>
      <c r="H35" s="41"/>
      <c r="AB35" s="387"/>
      <c r="AC35" s="380"/>
      <c r="AD35" s="31">
        <v>3</v>
      </c>
      <c r="AE35" s="226">
        <v>8.4169999999999998</v>
      </c>
      <c r="AF35" s="226">
        <v>11.465999999999999</v>
      </c>
      <c r="AG35" s="32">
        <f t="shared" si="0"/>
        <v>0.36224307948200068</v>
      </c>
      <c r="AH35" s="382"/>
      <c r="AI35" s="372"/>
      <c r="AJ35" s="374"/>
      <c r="AL35" s="183"/>
    </row>
    <row r="36" spans="1:38" x14ac:dyDescent="0.2">
      <c r="I36" s="42"/>
      <c r="J36" s="42"/>
      <c r="K36" s="42"/>
      <c r="L36" s="42"/>
      <c r="M36" s="42"/>
      <c r="N36" s="42"/>
      <c r="O36" s="42"/>
      <c r="P36" s="42"/>
      <c r="Q36" s="42"/>
      <c r="R36" s="42"/>
      <c r="S36" s="42"/>
      <c r="T36" s="42"/>
      <c r="U36" s="42"/>
      <c r="V36" s="42"/>
      <c r="W36" s="42"/>
      <c r="X36" s="42"/>
      <c r="Y36" s="42"/>
      <c r="Z36" s="42"/>
      <c r="AB36" s="387"/>
      <c r="AC36" s="378" t="s">
        <v>54</v>
      </c>
      <c r="AD36" s="31">
        <v>1</v>
      </c>
      <c r="AE36" s="226">
        <v>8.4120000000000008</v>
      </c>
      <c r="AF36" s="226">
        <v>11.45</v>
      </c>
      <c r="AG36" s="32">
        <f t="shared" si="0"/>
        <v>0.36115073704232026</v>
      </c>
      <c r="AH36" s="381">
        <f t="shared" ref="AH36" si="6">IF(AF36="","",IF(AF37="","",IF(AF38="","",(AVERAGE(AG36:AG38)))))</f>
        <v>0.36126961483594849</v>
      </c>
      <c r="AI36" s="372"/>
      <c r="AJ36" s="374"/>
      <c r="AL36" s="183"/>
    </row>
    <row r="37" spans="1:38" x14ac:dyDescent="0.2">
      <c r="I37" s="42"/>
      <c r="J37" s="42"/>
      <c r="K37" s="42"/>
      <c r="L37" s="42"/>
      <c r="M37" s="42"/>
      <c r="N37" s="42"/>
      <c r="O37" s="42"/>
      <c r="P37" s="42"/>
      <c r="Q37" s="42"/>
      <c r="R37" s="42"/>
      <c r="S37" s="42"/>
      <c r="T37" s="42"/>
      <c r="U37" s="42"/>
      <c r="V37" s="42"/>
      <c r="W37" s="42"/>
      <c r="X37" s="42"/>
      <c r="Y37" s="42"/>
      <c r="Z37" s="42"/>
      <c r="AB37" s="387"/>
      <c r="AC37" s="379"/>
      <c r="AD37" s="31">
        <v>2</v>
      </c>
      <c r="AE37" s="226">
        <v>8.4120000000000008</v>
      </c>
      <c r="AF37" s="226">
        <v>11.427</v>
      </c>
      <c r="AG37" s="32">
        <f t="shared" si="0"/>
        <v>0.35841654778887289</v>
      </c>
      <c r="AH37" s="382"/>
      <c r="AI37" s="372"/>
      <c r="AJ37" s="374"/>
      <c r="AL37" s="183"/>
    </row>
    <row r="38" spans="1:38" x14ac:dyDescent="0.2">
      <c r="I38" s="42"/>
      <c r="J38" s="42"/>
      <c r="K38" s="42"/>
      <c r="L38" s="42"/>
      <c r="M38" s="42"/>
      <c r="N38" s="42"/>
      <c r="O38" s="42"/>
      <c r="P38" s="42"/>
      <c r="Q38" s="42"/>
      <c r="R38" s="42"/>
      <c r="S38" s="42"/>
      <c r="T38" s="42"/>
      <c r="U38" s="42"/>
      <c r="V38" s="42"/>
      <c r="W38" s="42"/>
      <c r="X38" s="42"/>
      <c r="Y38" s="42"/>
      <c r="Z38" s="42"/>
      <c r="AA38" s="42"/>
      <c r="AB38" s="387"/>
      <c r="AC38" s="380"/>
      <c r="AD38" s="31">
        <v>3</v>
      </c>
      <c r="AE38" s="226">
        <v>8.4120000000000008</v>
      </c>
      <c r="AF38" s="226">
        <v>11.476000000000001</v>
      </c>
      <c r="AG38" s="32">
        <f t="shared" si="0"/>
        <v>0.36424155967665239</v>
      </c>
      <c r="AH38" s="382"/>
      <c r="AI38" s="372"/>
      <c r="AJ38" s="374"/>
      <c r="AK38" s="42"/>
      <c r="AL38" s="183"/>
    </row>
    <row r="39" spans="1:38" x14ac:dyDescent="0.2">
      <c r="I39" s="42"/>
      <c r="J39" s="42"/>
      <c r="K39" s="42"/>
      <c r="L39" s="42"/>
      <c r="M39" s="42"/>
      <c r="N39" s="42"/>
      <c r="O39" s="42"/>
      <c r="P39" s="42"/>
      <c r="Q39" s="42"/>
      <c r="R39" s="42"/>
      <c r="S39" s="42"/>
      <c r="T39" s="42"/>
      <c r="U39" s="42"/>
      <c r="V39" s="42"/>
      <c r="W39" s="42"/>
      <c r="X39" s="42"/>
      <c r="Y39" s="42"/>
      <c r="Z39" s="42"/>
      <c r="AA39" s="42"/>
      <c r="AB39" s="387"/>
      <c r="AC39" s="378" t="s">
        <v>56</v>
      </c>
      <c r="AD39" s="31">
        <v>1</v>
      </c>
      <c r="AE39" s="226">
        <v>8.3870000000000005</v>
      </c>
      <c r="AF39" s="226">
        <v>11.39</v>
      </c>
      <c r="AG39" s="32">
        <f t="shared" si="0"/>
        <v>0.35805413139382375</v>
      </c>
      <c r="AH39" s="381">
        <f t="shared" ref="AH39" si="7">IF(AF39="","",IF(AF40="","",IF(AF41="","",(AVERAGE(AG39:AG41)))))</f>
        <v>0.35880926831207022</v>
      </c>
      <c r="AI39" s="372"/>
      <c r="AJ39" s="374"/>
      <c r="AK39" s="42"/>
      <c r="AL39" s="183"/>
    </row>
    <row r="40" spans="1:38" x14ac:dyDescent="0.2">
      <c r="I40" s="42"/>
      <c r="J40" s="42"/>
      <c r="K40" s="42"/>
      <c r="L40" s="42"/>
      <c r="M40" s="42"/>
      <c r="N40" s="42"/>
      <c r="O40" s="42"/>
      <c r="P40" s="42"/>
      <c r="Q40" s="42"/>
      <c r="R40" s="42"/>
      <c r="S40" s="42"/>
      <c r="T40" s="42"/>
      <c r="U40" s="42"/>
      <c r="V40" s="42"/>
      <c r="W40" s="42"/>
      <c r="X40" s="42"/>
      <c r="Y40" s="42"/>
      <c r="Z40" s="42"/>
      <c r="AA40" s="42"/>
      <c r="AB40" s="387"/>
      <c r="AC40" s="379"/>
      <c r="AD40" s="31">
        <v>2</v>
      </c>
      <c r="AE40" s="226">
        <v>8.3870000000000005</v>
      </c>
      <c r="AF40" s="226">
        <v>11.369</v>
      </c>
      <c r="AG40" s="32">
        <f t="shared" si="0"/>
        <v>0.35555025634911164</v>
      </c>
      <c r="AH40" s="382"/>
      <c r="AI40" s="372"/>
      <c r="AJ40" s="374"/>
      <c r="AK40" s="42"/>
      <c r="AL40" s="183"/>
    </row>
    <row r="41" spans="1:38" ht="13.5" thickBot="1" x14ac:dyDescent="0.25">
      <c r="U41" s="42"/>
      <c r="AA41" s="42"/>
      <c r="AB41" s="389"/>
      <c r="AC41" s="390"/>
      <c r="AD41" s="43">
        <v>3</v>
      </c>
      <c r="AE41" s="227">
        <v>8.3870000000000005</v>
      </c>
      <c r="AF41" s="227">
        <v>11.43</v>
      </c>
      <c r="AG41" s="44">
        <f t="shared" si="0"/>
        <v>0.36282341719327521</v>
      </c>
      <c r="AH41" s="391"/>
      <c r="AI41" s="373"/>
      <c r="AJ41" s="375"/>
      <c r="AK41" s="42"/>
      <c r="AL41" s="183"/>
    </row>
    <row r="42" spans="1:38" x14ac:dyDescent="0.2">
      <c r="U42" s="42"/>
      <c r="AA42" s="42"/>
      <c r="AB42" s="298"/>
      <c r="AC42" s="298"/>
      <c r="AD42" s="298"/>
      <c r="AE42"/>
      <c r="AF42"/>
      <c r="AG42" s="299"/>
      <c r="AH42" s="298"/>
      <c r="AI42" s="300"/>
      <c r="AJ42"/>
      <c r="AK42" s="42"/>
      <c r="AL42" s="183"/>
    </row>
    <row r="43" spans="1:38" x14ac:dyDescent="0.2">
      <c r="U43" s="42"/>
      <c r="AA43" s="42"/>
      <c r="AB43" s="296" t="s">
        <v>183</v>
      </c>
      <c r="AC43" s="298"/>
      <c r="AD43" s="298"/>
      <c r="AE43"/>
      <c r="AF43"/>
      <c r="AG43" s="299"/>
      <c r="AH43" s="298"/>
      <c r="AI43" s="300"/>
      <c r="AJ43"/>
      <c r="AK43" s="42"/>
      <c r="AL43" s="183"/>
    </row>
    <row r="44" spans="1:38" x14ac:dyDescent="0.2">
      <c r="U44" s="42"/>
      <c r="AA44" s="42"/>
      <c r="AB44" s="42"/>
      <c r="AC44" s="42"/>
      <c r="AD44" s="42"/>
      <c r="AE44"/>
      <c r="AF44"/>
      <c r="AG44" s="42"/>
      <c r="AH44" s="42"/>
      <c r="AI44" s="42"/>
      <c r="AJ44"/>
      <c r="AK44" s="42"/>
      <c r="AL44" s="183"/>
    </row>
    <row r="45" spans="1:38" x14ac:dyDescent="0.2">
      <c r="A45" s="180"/>
      <c r="B45" s="180"/>
      <c r="C45" s="180"/>
      <c r="D45" s="180"/>
      <c r="E45" s="180"/>
      <c r="F45" s="180"/>
      <c r="G45" s="180"/>
      <c r="H45" s="180"/>
      <c r="I45" s="180"/>
      <c r="J45" s="180"/>
      <c r="K45" s="180"/>
      <c r="L45" s="180"/>
      <c r="M45" s="180"/>
      <c r="N45" s="180"/>
      <c r="O45" s="180"/>
      <c r="P45" s="180"/>
      <c r="Q45" s="180"/>
      <c r="R45" s="180"/>
      <c r="S45" s="180"/>
      <c r="T45" s="180"/>
      <c r="U45" s="184"/>
      <c r="V45" s="180"/>
      <c r="W45" s="180"/>
      <c r="X45" s="180"/>
      <c r="Y45" s="180"/>
      <c r="Z45" s="180"/>
      <c r="AA45" s="183"/>
      <c r="AB45" s="183"/>
      <c r="AC45" s="183"/>
      <c r="AD45" s="183"/>
      <c r="AE45" s="183"/>
      <c r="AF45" s="183"/>
      <c r="AG45" s="183"/>
      <c r="AH45" s="183"/>
      <c r="AI45" s="183"/>
      <c r="AJ45" s="183"/>
      <c r="AK45" s="183"/>
      <c r="AL45" s="184"/>
    </row>
    <row r="46" spans="1:38" x14ac:dyDescent="0.2">
      <c r="U46" s="45"/>
      <c r="AA46" s="42"/>
      <c r="AB46" s="42"/>
      <c r="AC46" s="42"/>
      <c r="AD46" s="42"/>
      <c r="AE46" s="42"/>
      <c r="AF46" s="42"/>
      <c r="AG46" s="42"/>
      <c r="AH46" s="42"/>
      <c r="AI46" s="42"/>
      <c r="AJ46" s="42"/>
      <c r="AK46" s="42"/>
      <c r="AL46" s="45"/>
    </row>
  </sheetData>
  <sheetProtection algorithmName="SHA-512" hashValue="SwmjFXNFXlZMasUMHjH83saVIjW7eWmwxGYJny0oz80bEjuAdrxP02GlVh6qZ8b9LxT+KNORjLizwD9vGgcOzw==" saltValue="FWBwSotmxjUQ8iCgKpnSsg==" spinCount="100000" sheet="1" selectLockedCells="1"/>
  <mergeCells count="51">
    <mergeCell ref="B21:B22"/>
    <mergeCell ref="C21:C22"/>
    <mergeCell ref="AB15:AB23"/>
    <mergeCell ref="AC15:AC17"/>
    <mergeCell ref="AH15:AH17"/>
    <mergeCell ref="E15:E17"/>
    <mergeCell ref="H15:H23"/>
    <mergeCell ref="J15:J16"/>
    <mergeCell ref="N15:N20"/>
    <mergeCell ref="T15:T17"/>
    <mergeCell ref="E18:E20"/>
    <mergeCell ref="E21:E23"/>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B13:B14"/>
    <mergeCell ref="C13:C14"/>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xr:uid="{00000000-0004-0000-0100-000000000000}"/>
  </hyperlinks>
  <pageMargins left="0.7" right="0.7" top="0.75" bottom="0.75" header="0.3" footer="0.3"/>
  <pageSetup scale="1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9A284C-D148-41A4-A000-027BBC00DAAC}">
          <x14:formula1>
            <xm:f>'Drop-Downs'!$B$12:$B$13</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Z37"/>
  <sheetViews>
    <sheetView showGridLines="0" tabSelected="1" zoomScale="96" zoomScaleNormal="96" zoomScalePageLayoutView="90" workbookViewId="0">
      <selection activeCell="D18" sqref="D18"/>
    </sheetView>
  </sheetViews>
  <sheetFormatPr defaultColWidth="9.140625" defaultRowHeight="15" customHeight="1" x14ac:dyDescent="0.2"/>
  <cols>
    <col min="1" max="1" width="2.28515625" style="3" customWidth="1"/>
    <col min="2" max="2" width="19.7109375" style="3" customWidth="1"/>
    <col min="3" max="3" width="28.85546875" style="3" customWidth="1"/>
    <col min="4" max="4" width="8.7109375" style="3" customWidth="1"/>
    <col min="5" max="5" width="10.5703125" style="3" customWidth="1"/>
    <col min="6" max="15" width="8.7109375" style="3" customWidth="1"/>
    <col min="16" max="17" width="8.7109375" customWidth="1"/>
    <col min="18" max="18" width="4" customWidth="1"/>
    <col min="19" max="19" width="3.42578125" customWidth="1"/>
    <col min="20" max="24" width="8.85546875" customWidth="1"/>
    <col min="25" max="25" width="4.28515625" style="3" customWidth="1"/>
    <col min="26" max="16384" width="9.140625" style="3"/>
  </cols>
  <sheetData>
    <row r="1" spans="2:26" ht="15" customHeight="1" thickBot="1" x14ac:dyDescent="0.25">
      <c r="S1" s="179"/>
    </row>
    <row r="2" spans="2:26" ht="15" customHeight="1" thickBot="1" x14ac:dyDescent="0.25">
      <c r="B2" s="337" t="str">
        <f>'Version Control'!B2:C2</f>
        <v>Title Block</v>
      </c>
      <c r="C2" s="352"/>
      <c r="D2" s="352"/>
      <c r="E2" s="352"/>
      <c r="F2" s="352"/>
      <c r="G2" s="352"/>
      <c r="H2" s="352"/>
      <c r="I2" s="352"/>
      <c r="J2" s="352"/>
      <c r="K2" s="338"/>
      <c r="S2" s="179"/>
    </row>
    <row r="3" spans="2:26" ht="15" customHeight="1" x14ac:dyDescent="0.2">
      <c r="B3" s="401" t="str">
        <f>'Version Control'!B3</f>
        <v>Test Report Template Name:</v>
      </c>
      <c r="C3" s="402"/>
      <c r="D3" s="403" t="str">
        <f>'Version Control'!C3</f>
        <v xml:space="preserve">Test Cloth Correction Factors </v>
      </c>
      <c r="E3" s="403"/>
      <c r="F3" s="403"/>
      <c r="G3" s="403"/>
      <c r="H3" s="403"/>
      <c r="I3" s="403"/>
      <c r="J3" s="403"/>
      <c r="K3" s="404"/>
      <c r="S3" s="179"/>
    </row>
    <row r="4" spans="2:26" ht="15" customHeight="1" x14ac:dyDescent="0.3">
      <c r="B4" s="369" t="str">
        <f>'Version Control'!B4</f>
        <v>Version Number:</v>
      </c>
      <c r="C4" s="370"/>
      <c r="D4" s="366" t="str">
        <f>'Version Control'!C4</f>
        <v>v2.5</v>
      </c>
      <c r="E4" s="366"/>
      <c r="F4" s="366"/>
      <c r="G4" s="366"/>
      <c r="H4" s="366"/>
      <c r="I4" s="366"/>
      <c r="J4" s="366"/>
      <c r="K4" s="405"/>
      <c r="M4" s="349" t="s">
        <v>154</v>
      </c>
      <c r="N4" s="349"/>
      <c r="O4" s="349"/>
      <c r="S4" s="179"/>
    </row>
    <row r="5" spans="2:26" ht="15" customHeight="1" x14ac:dyDescent="0.2">
      <c r="B5" s="365" t="str">
        <f>'Version Control'!B5</f>
        <v xml:space="preserve">Latest Template Revision: </v>
      </c>
      <c r="C5" s="366"/>
      <c r="D5" s="406">
        <f>'Version Control'!C5</f>
        <v>45673</v>
      </c>
      <c r="E5" s="406"/>
      <c r="F5" s="406"/>
      <c r="G5" s="406"/>
      <c r="H5" s="406"/>
      <c r="I5" s="406"/>
      <c r="J5" s="406"/>
      <c r="K5" s="407"/>
      <c r="S5" s="179"/>
    </row>
    <row r="6" spans="2:26" ht="15" customHeight="1" x14ac:dyDescent="0.2">
      <c r="B6" s="365" t="str">
        <f>'Version Control'!B6</f>
        <v>Tab Name:</v>
      </c>
      <c r="C6" s="366"/>
      <c r="D6" s="366" t="e">
        <f ca="1">MID(CELL("filename",A1), FIND("]", CELL("filename", A1))+ 1, 255)</f>
        <v>#VALUE!</v>
      </c>
      <c r="E6" s="366"/>
      <c r="F6" s="366"/>
      <c r="G6" s="366"/>
      <c r="H6" s="366"/>
      <c r="I6" s="366"/>
      <c r="J6" s="366"/>
      <c r="K6" s="405"/>
      <c r="S6" s="179"/>
    </row>
    <row r="7" spans="2:26" ht="15" customHeight="1" x14ac:dyDescent="0.2">
      <c r="B7" s="365" t="str">
        <f>'Version Control'!B7</f>
        <v>File Name:</v>
      </c>
      <c r="C7" s="366"/>
      <c r="D7" s="366" t="e">
        <f ca="1">'Version Control'!C7</f>
        <v>#VALUE!</v>
      </c>
      <c r="E7" s="366"/>
      <c r="F7" s="366"/>
      <c r="G7" s="366"/>
      <c r="H7" s="366"/>
      <c r="I7" s="366"/>
      <c r="J7" s="366"/>
      <c r="K7" s="405"/>
      <c r="S7" s="179"/>
    </row>
    <row r="8" spans="2:26" ht="15" customHeight="1" thickBot="1" x14ac:dyDescent="0.25">
      <c r="B8" s="350" t="str">
        <f>'Version Control'!B8</f>
        <v xml:space="preserve">Test Completion Date: </v>
      </c>
      <c r="C8" s="351"/>
      <c r="D8" s="414" t="str">
        <f>'Version Control'!C8</f>
        <v>4/28/2025-5/5/25</v>
      </c>
      <c r="E8" s="414"/>
      <c r="F8" s="414"/>
      <c r="G8" s="414"/>
      <c r="H8" s="414"/>
      <c r="I8" s="414"/>
      <c r="J8" s="414"/>
      <c r="K8" s="415"/>
      <c r="S8" s="179"/>
    </row>
    <row r="9" spans="2:26" ht="15" customHeight="1" x14ac:dyDescent="0.2">
      <c r="S9" s="179"/>
    </row>
    <row r="10" spans="2:26" ht="15" customHeight="1" x14ac:dyDescent="0.2">
      <c r="S10" s="179"/>
    </row>
    <row r="11" spans="2:26" s="11" customFormat="1" ht="15" customHeight="1" x14ac:dyDescent="0.25">
      <c r="B11" s="10" t="s">
        <v>30</v>
      </c>
      <c r="S11" s="180"/>
    </row>
    <row r="12" spans="2:26" ht="15" customHeight="1" x14ac:dyDescent="0.2">
      <c r="B12" s="53" t="s">
        <v>60</v>
      </c>
      <c r="L12"/>
      <c r="P12" s="3"/>
      <c r="Q12" s="3"/>
      <c r="R12" s="3"/>
      <c r="S12" s="181"/>
      <c r="Y12"/>
      <c r="Z12"/>
    </row>
    <row r="13" spans="2:26" ht="15" customHeight="1" thickBot="1" x14ac:dyDescent="0.25">
      <c r="E13" s="8" t="s">
        <v>175</v>
      </c>
      <c r="S13" s="179"/>
    </row>
    <row r="14" spans="2:26" ht="15" customHeight="1" thickBot="1" x14ac:dyDescent="0.25">
      <c r="B14" s="345" t="s">
        <v>195</v>
      </c>
      <c r="C14" s="420" t="str">
        <f>'Material Verification'!C13</f>
        <v>Legacy Momie Cloth</v>
      </c>
      <c r="E14" s="411" t="s">
        <v>63</v>
      </c>
      <c r="F14" s="51" t="s">
        <v>61</v>
      </c>
      <c r="G14" s="49"/>
      <c r="H14" s="50"/>
      <c r="I14" s="51"/>
      <c r="J14" s="49"/>
      <c r="K14" s="50"/>
      <c r="L14" s="51" t="s">
        <v>62</v>
      </c>
      <c r="M14" s="49"/>
      <c r="N14" s="50"/>
      <c r="O14" s="51"/>
      <c r="P14" s="49"/>
      <c r="Q14" s="50"/>
      <c r="R14" s="3"/>
      <c r="S14" s="181"/>
      <c r="T14" s="3"/>
      <c r="U14" s="3"/>
      <c r="V14" s="3"/>
      <c r="W14" s="3"/>
    </row>
    <row r="15" spans="2:26" ht="15" customHeight="1" thickBot="1" x14ac:dyDescent="0.25">
      <c r="B15" s="346"/>
      <c r="C15" s="421"/>
      <c r="E15" s="412"/>
      <c r="F15" s="51" t="s">
        <v>24</v>
      </c>
      <c r="G15" s="101"/>
      <c r="H15" s="102"/>
      <c r="I15" s="51" t="s">
        <v>23</v>
      </c>
      <c r="J15" s="101"/>
      <c r="K15" s="102"/>
      <c r="L15" s="51" t="s">
        <v>24</v>
      </c>
      <c r="M15" s="101"/>
      <c r="N15" s="102"/>
      <c r="O15" s="51" t="s">
        <v>23</v>
      </c>
      <c r="P15" s="101"/>
      <c r="Q15" s="102"/>
      <c r="R15" s="3"/>
      <c r="S15" s="181"/>
      <c r="T15" s="3"/>
      <c r="U15" s="3"/>
      <c r="V15" s="3"/>
      <c r="W15" s="3"/>
    </row>
    <row r="16" spans="2:26" ht="17.45" customHeight="1" thickBot="1" x14ac:dyDescent="0.3">
      <c r="B16" s="325" t="s">
        <v>203</v>
      </c>
      <c r="C16" s="314" t="str">
        <f>'Material Verification'!C15</f>
        <v>026B</v>
      </c>
      <c r="E16" s="413"/>
      <c r="F16" s="46" t="s">
        <v>25</v>
      </c>
      <c r="G16" s="47" t="s">
        <v>21</v>
      </c>
      <c r="H16" s="48" t="s">
        <v>22</v>
      </c>
      <c r="I16" s="46" t="s">
        <v>25</v>
      </c>
      <c r="J16" s="47" t="s">
        <v>21</v>
      </c>
      <c r="K16" s="48" t="s">
        <v>22</v>
      </c>
      <c r="L16" s="46" t="s">
        <v>25</v>
      </c>
      <c r="M16" s="47" t="s">
        <v>21</v>
      </c>
      <c r="N16" s="48" t="s">
        <v>22</v>
      </c>
      <c r="O16" s="46" t="s">
        <v>25</v>
      </c>
      <c r="P16" s="47" t="s">
        <v>21</v>
      </c>
      <c r="Q16" s="48" t="s">
        <v>22</v>
      </c>
      <c r="R16" s="3"/>
      <c r="S16" s="181"/>
      <c r="T16" s="3"/>
      <c r="U16" s="3"/>
      <c r="V16" s="3"/>
      <c r="W16" s="3"/>
    </row>
    <row r="17" spans="2:23" ht="17.45" customHeight="1" thickBot="1" x14ac:dyDescent="0.3">
      <c r="B17" s="326" t="s">
        <v>31</v>
      </c>
      <c r="C17" s="305" t="str">
        <f>'Analysis of Variance'!C5</f>
        <v>Yes</v>
      </c>
      <c r="E17" s="408" t="s">
        <v>69</v>
      </c>
      <c r="F17" s="228" t="s">
        <v>217</v>
      </c>
      <c r="G17" s="229">
        <v>8.4019999999999992</v>
      </c>
      <c r="H17" s="230">
        <v>13.003</v>
      </c>
      <c r="I17" s="228" t="s">
        <v>218</v>
      </c>
      <c r="J17" s="229">
        <v>8.3940000000000001</v>
      </c>
      <c r="K17" s="230">
        <v>13.632999999999999</v>
      </c>
      <c r="L17" s="228" t="s">
        <v>217</v>
      </c>
      <c r="M17" s="229">
        <v>8.4019999999999992</v>
      </c>
      <c r="N17" s="230">
        <v>13.333</v>
      </c>
      <c r="O17" s="228" t="s">
        <v>218</v>
      </c>
      <c r="P17" s="229">
        <v>8.3940000000000001</v>
      </c>
      <c r="Q17" s="230">
        <v>13.867000000000001</v>
      </c>
      <c r="R17" s="3"/>
      <c r="S17" s="181"/>
      <c r="T17" s="3"/>
      <c r="U17" s="3"/>
      <c r="V17" s="3"/>
      <c r="W17" s="3"/>
    </row>
    <row r="18" spans="2:23" ht="15" customHeight="1" x14ac:dyDescent="0.2">
      <c r="B18" s="306"/>
      <c r="C18" s="307" t="s">
        <v>76</v>
      </c>
      <c r="E18" s="409"/>
      <c r="F18" s="231" t="s">
        <v>218</v>
      </c>
      <c r="G18" s="232">
        <v>8.3940000000000001</v>
      </c>
      <c r="H18" s="233">
        <v>13.089</v>
      </c>
      <c r="I18" s="231" t="s">
        <v>217</v>
      </c>
      <c r="J18" s="232">
        <v>8.4019999999999992</v>
      </c>
      <c r="K18" s="233">
        <v>13.679</v>
      </c>
      <c r="L18" s="231" t="s">
        <v>218</v>
      </c>
      <c r="M18" s="232">
        <v>8.3940000000000001</v>
      </c>
      <c r="N18" s="233">
        <v>13.369</v>
      </c>
      <c r="O18" s="231" t="s">
        <v>217</v>
      </c>
      <c r="P18" s="232">
        <v>8.3989999999999991</v>
      </c>
      <c r="Q18" s="233">
        <v>13.885999999999999</v>
      </c>
      <c r="R18" s="3"/>
      <c r="S18" s="181"/>
      <c r="T18" s="3"/>
      <c r="U18" s="3"/>
      <c r="V18" s="3"/>
      <c r="W18" s="3"/>
    </row>
    <row r="19" spans="2:23" ht="15" customHeight="1" thickBot="1" x14ac:dyDescent="0.25">
      <c r="B19" s="306"/>
      <c r="C19" s="306"/>
      <c r="E19" s="410"/>
      <c r="F19" s="234" t="s">
        <v>217</v>
      </c>
      <c r="G19" s="235">
        <v>8.4019999999999992</v>
      </c>
      <c r="H19" s="236">
        <v>13.13</v>
      </c>
      <c r="I19" s="234" t="s">
        <v>218</v>
      </c>
      <c r="J19" s="235">
        <v>8.3940000000000001</v>
      </c>
      <c r="K19" s="236">
        <v>13.7</v>
      </c>
      <c r="L19" s="234" t="s">
        <v>217</v>
      </c>
      <c r="M19" s="235">
        <v>8.4019999999999992</v>
      </c>
      <c r="N19" s="236">
        <v>13.377000000000001</v>
      </c>
      <c r="O19" s="234" t="s">
        <v>218</v>
      </c>
      <c r="P19" s="235">
        <v>8.3889999999999993</v>
      </c>
      <c r="Q19" s="236">
        <v>13.914999999999999</v>
      </c>
      <c r="R19" s="3"/>
      <c r="S19" s="181"/>
      <c r="T19" s="3"/>
      <c r="U19" s="3"/>
      <c r="V19" s="3"/>
      <c r="W19" s="3"/>
    </row>
    <row r="20" spans="2:23" ht="15" customHeight="1" thickBot="1" x14ac:dyDescent="0.3">
      <c r="B20" s="416" t="s">
        <v>77</v>
      </c>
      <c r="C20" s="417"/>
      <c r="E20" s="408" t="s">
        <v>70</v>
      </c>
      <c r="F20" s="228" t="s">
        <v>217</v>
      </c>
      <c r="G20" s="229">
        <v>8.3989999999999991</v>
      </c>
      <c r="H20" s="230">
        <v>12.012</v>
      </c>
      <c r="I20" s="228" t="s">
        <v>218</v>
      </c>
      <c r="J20" s="229">
        <v>8.3889999999999993</v>
      </c>
      <c r="K20" s="230">
        <v>12.375</v>
      </c>
      <c r="L20" s="228" t="s">
        <v>217</v>
      </c>
      <c r="M20" s="229">
        <v>8.3989999999999991</v>
      </c>
      <c r="N20" s="230">
        <v>12.237</v>
      </c>
      <c r="O20" s="228" t="s">
        <v>218</v>
      </c>
      <c r="P20" s="229">
        <v>8.3889999999999993</v>
      </c>
      <c r="Q20" s="230">
        <v>12.707000000000001</v>
      </c>
      <c r="R20" s="3"/>
      <c r="S20" s="181"/>
      <c r="T20" s="3"/>
      <c r="U20" s="3"/>
      <c r="V20" s="3"/>
      <c r="W20" s="3"/>
    </row>
    <row r="21" spans="2:23" ht="15" customHeight="1" x14ac:dyDescent="0.25">
      <c r="B21" s="308" t="s">
        <v>79</v>
      </c>
      <c r="C21" s="309">
        <f>'Correction Factors'!Q31</f>
        <v>0.79351729289823247</v>
      </c>
      <c r="E21" s="409"/>
      <c r="F21" s="231" t="s">
        <v>218</v>
      </c>
      <c r="G21" s="232">
        <v>8.3889999999999993</v>
      </c>
      <c r="H21" s="233">
        <v>11.997</v>
      </c>
      <c r="I21" s="231" t="s">
        <v>217</v>
      </c>
      <c r="J21" s="232">
        <v>8.3989999999999991</v>
      </c>
      <c r="K21" s="233">
        <v>12.481</v>
      </c>
      <c r="L21" s="231" t="s">
        <v>218</v>
      </c>
      <c r="M21" s="232">
        <v>8.3889999999999993</v>
      </c>
      <c r="N21" s="233">
        <v>12.145</v>
      </c>
      <c r="O21" s="231" t="s">
        <v>217</v>
      </c>
      <c r="P21" s="232">
        <v>8.3989999999999991</v>
      </c>
      <c r="Q21" s="233">
        <v>12.775</v>
      </c>
      <c r="R21" s="3"/>
      <c r="S21" s="181"/>
      <c r="T21" s="3"/>
      <c r="U21" s="3"/>
      <c r="V21" s="3"/>
      <c r="W21" s="3"/>
    </row>
    <row r="22" spans="2:23" ht="15" customHeight="1" thickBot="1" x14ac:dyDescent="0.3">
      <c r="B22" s="310" t="s">
        <v>80</v>
      </c>
      <c r="C22" s="311">
        <f>'Correction Factors'!Q32</f>
        <v>1.6306741131419E-2</v>
      </c>
      <c r="E22" s="410"/>
      <c r="F22" s="234" t="s">
        <v>217</v>
      </c>
      <c r="G22" s="235">
        <v>8.3989999999999991</v>
      </c>
      <c r="H22" s="236">
        <v>11.976000000000001</v>
      </c>
      <c r="I22" s="234" t="s">
        <v>218</v>
      </c>
      <c r="J22" s="235">
        <v>8.3889999999999993</v>
      </c>
      <c r="K22" s="237">
        <v>12.397</v>
      </c>
      <c r="L22" s="238" t="s">
        <v>217</v>
      </c>
      <c r="M22" s="239">
        <v>8.3989999999999991</v>
      </c>
      <c r="N22" s="237">
        <v>12.249000000000001</v>
      </c>
      <c r="O22" s="238" t="s">
        <v>218</v>
      </c>
      <c r="P22" s="239">
        <v>8.3889999999999993</v>
      </c>
      <c r="Q22" s="236">
        <v>12.737</v>
      </c>
      <c r="R22" s="3"/>
      <c r="S22" s="181"/>
      <c r="T22" s="3"/>
      <c r="U22" s="3"/>
      <c r="V22" s="3"/>
      <c r="W22" s="3"/>
    </row>
    <row r="23" spans="2:23" ht="15" customHeight="1" x14ac:dyDescent="0.2">
      <c r="B23" s="306"/>
      <c r="C23" s="307" t="s">
        <v>78</v>
      </c>
      <c r="E23" s="408" t="s">
        <v>71</v>
      </c>
      <c r="F23" s="228" t="s">
        <v>217</v>
      </c>
      <c r="G23" s="229">
        <v>8.4019999999999992</v>
      </c>
      <c r="H23" s="230">
        <v>11.252000000000001</v>
      </c>
      <c r="I23" s="228" t="s">
        <v>218</v>
      </c>
      <c r="J23" s="229">
        <v>8.3940000000000001</v>
      </c>
      <c r="K23" s="230">
        <v>11.654</v>
      </c>
      <c r="L23" s="228" t="s">
        <v>217</v>
      </c>
      <c r="M23" s="229">
        <v>8.4019999999999992</v>
      </c>
      <c r="N23" s="230">
        <v>11.419</v>
      </c>
      <c r="O23" s="228" t="s">
        <v>218</v>
      </c>
      <c r="P23" s="229">
        <v>8.3940000000000001</v>
      </c>
      <c r="Q23" s="230">
        <v>11.92</v>
      </c>
      <c r="R23" s="3"/>
      <c r="S23" s="181"/>
      <c r="T23" s="3"/>
      <c r="U23" s="3"/>
      <c r="V23" s="3"/>
      <c r="W23" s="3"/>
    </row>
    <row r="24" spans="2:23" ht="15" customHeight="1" thickBot="1" x14ac:dyDescent="0.25">
      <c r="B24" s="306"/>
      <c r="C24" s="306"/>
      <c r="E24" s="409"/>
      <c r="F24" s="231" t="s">
        <v>218</v>
      </c>
      <c r="G24" s="232">
        <v>8.3940000000000001</v>
      </c>
      <c r="H24" s="233">
        <v>11.211</v>
      </c>
      <c r="I24" s="231" t="s">
        <v>217</v>
      </c>
      <c r="J24" s="232">
        <v>8.4019999999999992</v>
      </c>
      <c r="K24" s="233">
        <v>11.686999999999999</v>
      </c>
      <c r="L24" s="231" t="s">
        <v>218</v>
      </c>
      <c r="M24" s="232">
        <v>8.3940000000000001</v>
      </c>
      <c r="N24" s="233">
        <v>11.436</v>
      </c>
      <c r="O24" s="231" t="s">
        <v>217</v>
      </c>
      <c r="P24" s="232">
        <v>8.4019999999999992</v>
      </c>
      <c r="Q24" s="233">
        <v>11.916</v>
      </c>
      <c r="R24" s="3"/>
      <c r="S24" s="181"/>
      <c r="T24" s="3"/>
      <c r="U24" s="3"/>
      <c r="V24" s="3"/>
      <c r="W24" s="3"/>
    </row>
    <row r="25" spans="2:23" ht="15" customHeight="1" thickBot="1" x14ac:dyDescent="0.25">
      <c r="B25" s="418" t="s">
        <v>53</v>
      </c>
      <c r="C25" s="419"/>
      <c r="E25" s="410"/>
      <c r="F25" s="238" t="s">
        <v>217</v>
      </c>
      <c r="G25" s="239">
        <v>8.4019999999999992</v>
      </c>
      <c r="H25" s="237">
        <v>11.304</v>
      </c>
      <c r="I25" s="234" t="s">
        <v>218</v>
      </c>
      <c r="J25" s="235">
        <v>8.3940000000000001</v>
      </c>
      <c r="K25" s="236">
        <v>11.637</v>
      </c>
      <c r="L25" s="234" t="s">
        <v>217</v>
      </c>
      <c r="M25" s="235">
        <v>8.4019999999999992</v>
      </c>
      <c r="N25" s="236">
        <v>11.375999999999999</v>
      </c>
      <c r="O25" s="234" t="s">
        <v>218</v>
      </c>
      <c r="P25" s="235">
        <v>8.3940000000000001</v>
      </c>
      <c r="Q25" s="236">
        <v>11.914999999999999</v>
      </c>
      <c r="R25" s="3"/>
      <c r="S25" s="181"/>
      <c r="T25" s="3"/>
      <c r="U25" s="3"/>
      <c r="V25" s="3"/>
      <c r="W25" s="3"/>
    </row>
    <row r="26" spans="2:23" ht="15" customHeight="1" x14ac:dyDescent="0.2">
      <c r="B26" s="328" t="s">
        <v>17</v>
      </c>
      <c r="C26" s="312" t="s">
        <v>208</v>
      </c>
      <c r="E26" s="408" t="s">
        <v>72</v>
      </c>
      <c r="F26" s="228" t="s">
        <v>217</v>
      </c>
      <c r="G26" s="229">
        <v>8.3989999999999991</v>
      </c>
      <c r="H26" s="230">
        <v>10.885999999999999</v>
      </c>
      <c r="I26" s="228" t="s">
        <v>218</v>
      </c>
      <c r="J26" s="229">
        <v>8.3889999999999993</v>
      </c>
      <c r="K26" s="230">
        <v>11.262</v>
      </c>
      <c r="L26" s="228" t="s">
        <v>218</v>
      </c>
      <c r="M26" s="229">
        <v>8.3889999999999993</v>
      </c>
      <c r="N26" s="230">
        <v>11.039</v>
      </c>
      <c r="O26" s="228" t="s">
        <v>217</v>
      </c>
      <c r="P26" s="229">
        <v>8.3960000000000008</v>
      </c>
      <c r="Q26" s="230">
        <v>11.467000000000001</v>
      </c>
      <c r="R26" s="3"/>
      <c r="S26" s="181"/>
      <c r="T26" s="3"/>
      <c r="U26" s="3"/>
      <c r="V26" s="3"/>
      <c r="W26" s="3"/>
    </row>
    <row r="27" spans="2:23" ht="15" customHeight="1" x14ac:dyDescent="0.2">
      <c r="B27" s="328" t="s">
        <v>18</v>
      </c>
      <c r="C27" s="313" t="s">
        <v>219</v>
      </c>
      <c r="E27" s="409"/>
      <c r="F27" s="231" t="s">
        <v>218</v>
      </c>
      <c r="G27" s="232">
        <v>8.3889999999999993</v>
      </c>
      <c r="H27" s="233">
        <v>10.875999999999999</v>
      </c>
      <c r="I27" s="231" t="s">
        <v>217</v>
      </c>
      <c r="J27" s="232">
        <v>8.3989999999999991</v>
      </c>
      <c r="K27" s="233">
        <v>11.286</v>
      </c>
      <c r="L27" s="231" t="s">
        <v>217</v>
      </c>
      <c r="M27" s="232">
        <v>8.3960000000000008</v>
      </c>
      <c r="N27" s="233">
        <v>11.013999999999999</v>
      </c>
      <c r="O27" s="231" t="s">
        <v>218</v>
      </c>
      <c r="P27" s="232">
        <v>8.3849999999999998</v>
      </c>
      <c r="Q27" s="233">
        <v>11.487</v>
      </c>
      <c r="R27" s="3"/>
      <c r="S27" s="181"/>
      <c r="T27" s="3"/>
      <c r="U27" s="3"/>
      <c r="V27" s="3"/>
      <c r="W27" s="3"/>
    </row>
    <row r="28" spans="2:23" ht="15" customHeight="1" thickBot="1" x14ac:dyDescent="0.25">
      <c r="B28" s="392" t="s">
        <v>202</v>
      </c>
      <c r="C28" s="394" t="s">
        <v>207</v>
      </c>
      <c r="E28" s="410"/>
      <c r="F28" s="238" t="s">
        <v>217</v>
      </c>
      <c r="G28" s="239">
        <v>8.3989999999999991</v>
      </c>
      <c r="H28" s="237">
        <v>10.907</v>
      </c>
      <c r="I28" s="238" t="s">
        <v>218</v>
      </c>
      <c r="J28" s="239">
        <v>8.3889999999999993</v>
      </c>
      <c r="K28" s="236">
        <v>11.224</v>
      </c>
      <c r="L28" s="238" t="s">
        <v>218</v>
      </c>
      <c r="M28" s="239">
        <v>8.3849999999999998</v>
      </c>
      <c r="N28" s="237">
        <v>11.007</v>
      </c>
      <c r="O28" s="234" t="s">
        <v>217</v>
      </c>
      <c r="P28" s="235">
        <v>8.3960000000000008</v>
      </c>
      <c r="Q28" s="236">
        <v>11.473000000000001</v>
      </c>
      <c r="R28" s="3"/>
      <c r="S28" s="181"/>
      <c r="T28" s="3"/>
      <c r="U28" s="3"/>
      <c r="V28" s="3"/>
      <c r="W28" s="3"/>
    </row>
    <row r="29" spans="2:23" ht="15" customHeight="1" thickBot="1" x14ac:dyDescent="0.25">
      <c r="B29" s="393"/>
      <c r="C29" s="395"/>
      <c r="E29" s="408" t="s">
        <v>73</v>
      </c>
      <c r="F29" s="228" t="s">
        <v>218</v>
      </c>
      <c r="G29" s="229">
        <v>8.3849999999999998</v>
      </c>
      <c r="H29" s="230">
        <v>10.663</v>
      </c>
      <c r="I29" s="228" t="s">
        <v>217</v>
      </c>
      <c r="J29" s="229">
        <v>8.3960000000000008</v>
      </c>
      <c r="K29" s="230">
        <v>10.967000000000001</v>
      </c>
      <c r="L29" s="228" t="s">
        <v>218</v>
      </c>
      <c r="M29" s="229">
        <v>8.3849999999999998</v>
      </c>
      <c r="N29" s="230">
        <v>10.78</v>
      </c>
      <c r="O29" s="228" t="s">
        <v>217</v>
      </c>
      <c r="P29" s="229">
        <v>8.3960000000000008</v>
      </c>
      <c r="Q29" s="230">
        <v>11.23</v>
      </c>
      <c r="R29" s="3"/>
      <c r="S29" s="181"/>
      <c r="T29" s="3"/>
      <c r="U29" s="3"/>
      <c r="V29" s="3"/>
      <c r="W29" s="3"/>
    </row>
    <row r="30" spans="2:23" ht="15" customHeight="1" x14ac:dyDescent="0.2">
      <c r="E30" s="409"/>
      <c r="F30" s="231" t="s">
        <v>217</v>
      </c>
      <c r="G30" s="232">
        <v>8.3960000000000008</v>
      </c>
      <c r="H30" s="233">
        <v>10.705</v>
      </c>
      <c r="I30" s="231" t="s">
        <v>218</v>
      </c>
      <c r="J30" s="232">
        <v>8.3849999999999998</v>
      </c>
      <c r="K30" s="233">
        <v>10.946999999999999</v>
      </c>
      <c r="L30" s="231" t="s">
        <v>217</v>
      </c>
      <c r="M30" s="232">
        <v>8.3960000000000008</v>
      </c>
      <c r="N30" s="233">
        <v>10.8</v>
      </c>
      <c r="O30" s="231" t="s">
        <v>218</v>
      </c>
      <c r="P30" s="232">
        <v>8.3849999999999998</v>
      </c>
      <c r="Q30" s="233">
        <v>11.218999999999999</v>
      </c>
      <c r="R30" s="3"/>
      <c r="S30" s="181"/>
      <c r="T30" s="3"/>
      <c r="U30" s="3"/>
      <c r="V30" s="3"/>
      <c r="W30" s="3"/>
    </row>
    <row r="31" spans="2:23" ht="15" customHeight="1" thickBot="1" x14ac:dyDescent="0.25">
      <c r="E31" s="410"/>
      <c r="F31" s="238" t="s">
        <v>218</v>
      </c>
      <c r="G31" s="239">
        <v>8.3849999999999998</v>
      </c>
      <c r="H31" s="237">
        <v>10.653</v>
      </c>
      <c r="I31" s="238" t="s">
        <v>217</v>
      </c>
      <c r="J31" s="239">
        <v>8.3960000000000008</v>
      </c>
      <c r="K31" s="237">
        <v>10.977</v>
      </c>
      <c r="L31" s="238" t="s">
        <v>218</v>
      </c>
      <c r="M31" s="239">
        <v>8.3849999999999998</v>
      </c>
      <c r="N31" s="237">
        <v>10.81</v>
      </c>
      <c r="O31" s="238" t="s">
        <v>217</v>
      </c>
      <c r="P31" s="239">
        <v>8.3960000000000008</v>
      </c>
      <c r="Q31" s="237">
        <v>11.263999999999999</v>
      </c>
      <c r="R31" s="3"/>
      <c r="S31" s="181"/>
      <c r="T31" s="3"/>
      <c r="U31" s="3"/>
      <c r="V31" s="3"/>
      <c r="W31" s="3"/>
    </row>
    <row r="32" spans="2:23" ht="15" customHeight="1" x14ac:dyDescent="0.2">
      <c r="S32" s="179"/>
    </row>
    <row r="33" spans="1:19" ht="15" customHeight="1" x14ac:dyDescent="0.2">
      <c r="F33" s="53" t="s">
        <v>184</v>
      </c>
      <c r="S33" s="179"/>
    </row>
    <row r="34" spans="1:19" ht="15" customHeight="1" x14ac:dyDescent="0.2">
      <c r="F34" s="53" t="s">
        <v>65</v>
      </c>
      <c r="P34" s="3"/>
      <c r="Q34" s="3"/>
      <c r="R34" s="3"/>
      <c r="S34" s="179"/>
    </row>
    <row r="35" spans="1:19" ht="15" customHeight="1" x14ac:dyDescent="0.2">
      <c r="O35" s="9"/>
      <c r="P35" s="9"/>
      <c r="Q35" s="9"/>
      <c r="R35" s="9"/>
      <c r="S35" s="179"/>
    </row>
    <row r="36" spans="1:19" ht="15" customHeight="1" x14ac:dyDescent="0.2">
      <c r="A36" s="181"/>
      <c r="B36" s="181"/>
      <c r="C36" s="181"/>
      <c r="D36" s="181"/>
      <c r="E36" s="181"/>
      <c r="F36" s="181"/>
      <c r="G36" s="181"/>
      <c r="H36" s="181"/>
      <c r="I36" s="181"/>
      <c r="J36" s="181"/>
      <c r="K36" s="181"/>
      <c r="L36" s="181"/>
      <c r="M36" s="181"/>
      <c r="N36" s="181"/>
      <c r="O36" s="182"/>
      <c r="P36" s="182"/>
      <c r="Q36" s="182"/>
      <c r="R36" s="182"/>
      <c r="S36" s="179"/>
    </row>
    <row r="37" spans="1:19" ht="15" customHeight="1" x14ac:dyDescent="0.2">
      <c r="C37" s="4"/>
      <c r="O37" s="9"/>
      <c r="P37" s="9"/>
      <c r="Q37" s="9"/>
      <c r="R37" s="9"/>
    </row>
  </sheetData>
  <sheetProtection algorithmName="SHA-512" hashValue="Dxyt/Gs1m31PcI/KxrpNZeLBNDfgdRuG/aop/WwnIKyCv/+Vx3NoPy2NTAuz1NSFqAbOxNtuzIa/FaM0iYssqg==" saltValue="iby30tvY2rSfgotbYmM3zw==" spinCount="100000" sheet="1" selectLockedCells="1"/>
  <mergeCells count="26">
    <mergeCell ref="B2:K2"/>
    <mergeCell ref="E29:E31"/>
    <mergeCell ref="E14:E16"/>
    <mergeCell ref="E17:E19"/>
    <mergeCell ref="E20:E22"/>
    <mergeCell ref="E23:E25"/>
    <mergeCell ref="E26:E28"/>
    <mergeCell ref="B7:C7"/>
    <mergeCell ref="B8:C8"/>
    <mergeCell ref="D7:K7"/>
    <mergeCell ref="D8:K8"/>
    <mergeCell ref="B20:C20"/>
    <mergeCell ref="B25:C25"/>
    <mergeCell ref="B14:B15"/>
    <mergeCell ref="C14:C15"/>
    <mergeCell ref="B28:B29"/>
    <mergeCell ref="C28:C29"/>
    <mergeCell ref="M4:O4"/>
    <mergeCell ref="B3:C3"/>
    <mergeCell ref="B4:C4"/>
    <mergeCell ref="B5:C5"/>
    <mergeCell ref="B6:C6"/>
    <mergeCell ref="D3:K3"/>
    <mergeCell ref="D4:K4"/>
    <mergeCell ref="D5:K5"/>
    <mergeCell ref="D6:K6"/>
  </mergeCells>
  <hyperlinks>
    <hyperlink ref="M4" location="Instructions!C35" display="Back to Instructions tab" xr:uid="{00000000-0004-0000-0200-000000000000}"/>
  </hyperlinks>
  <pageMargins left="0.7" right="0.7" top="0.75" bottom="0.75" header="0.3" footer="0.3"/>
  <pageSetup scale="50"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G21"/>
  <sheetViews>
    <sheetView showGridLines="0" tabSelected="1" zoomScale="96" zoomScaleNormal="96" workbookViewId="0">
      <selection activeCell="D18" sqref="D18"/>
    </sheetView>
  </sheetViews>
  <sheetFormatPr defaultColWidth="9.140625" defaultRowHeight="16.5" x14ac:dyDescent="0.3"/>
  <cols>
    <col min="1" max="1" width="4.28515625" style="137" customWidth="1"/>
    <col min="2" max="2" width="28.28515625" style="137" customWidth="1"/>
    <col min="3" max="3" width="54.28515625" style="137" customWidth="1"/>
    <col min="4" max="4" width="22.140625" style="137" customWidth="1"/>
    <col min="5" max="5" width="30.140625" style="137" customWidth="1"/>
    <col min="6" max="6" width="3.85546875" style="137" customWidth="1"/>
    <col min="7" max="7" width="4" style="137" customWidth="1"/>
    <col min="8" max="16384" width="9.140625" style="137"/>
  </cols>
  <sheetData>
    <row r="1" spans="2:7" ht="17.25" thickBot="1" x14ac:dyDescent="0.35">
      <c r="G1" s="115"/>
    </row>
    <row r="2" spans="2:7" ht="18" thickBot="1" x14ac:dyDescent="0.35">
      <c r="B2" s="337" t="str">
        <f>'Version Control'!B2:C2</f>
        <v>Title Block</v>
      </c>
      <c r="C2" s="338"/>
      <c r="G2" s="115"/>
    </row>
    <row r="3" spans="2:7" x14ac:dyDescent="0.3">
      <c r="B3" s="105" t="str">
        <f>'Version Control'!B3</f>
        <v>Test Report Template Name:</v>
      </c>
      <c r="C3" s="106" t="str">
        <f>'Version Control'!C3</f>
        <v xml:space="preserve">Test Cloth Correction Factors </v>
      </c>
      <c r="E3" s="167" t="s">
        <v>154</v>
      </c>
      <c r="G3" s="115"/>
    </row>
    <row r="4" spans="2:7" x14ac:dyDescent="0.3">
      <c r="B4" s="109" t="str">
        <f>'Version Control'!B4</f>
        <v>Version Number:</v>
      </c>
      <c r="C4" s="110" t="str">
        <f>'Version Control'!C4</f>
        <v>v2.5</v>
      </c>
      <c r="G4" s="115"/>
    </row>
    <row r="5" spans="2:7" x14ac:dyDescent="0.3">
      <c r="B5" s="111" t="str">
        <f>'Version Control'!B5</f>
        <v xml:space="preserve">Latest Template Revision: </v>
      </c>
      <c r="C5" s="112">
        <f>'Version Control'!C5</f>
        <v>45673</v>
      </c>
      <c r="G5" s="115"/>
    </row>
    <row r="6" spans="2:7" x14ac:dyDescent="0.3">
      <c r="B6" s="111" t="str">
        <f>'Version Control'!B6</f>
        <v>Tab Name:</v>
      </c>
      <c r="C6" s="110" t="e">
        <f ca="1">MID(CELL("filename",A1), FIND("]", CELL("filename", A1))+ 1, 255)</f>
        <v>#VALUE!</v>
      </c>
      <c r="G6" s="115"/>
    </row>
    <row r="7" spans="2:7" ht="30" customHeight="1" x14ac:dyDescent="0.3">
      <c r="B7" s="168" t="str">
        <f>'Version Control'!B7</f>
        <v>File Name:</v>
      </c>
      <c r="C7" s="169" t="e">
        <f ca="1">'Version Control'!C7</f>
        <v>#VALUE!</v>
      </c>
      <c r="G7" s="115"/>
    </row>
    <row r="8" spans="2:7" ht="17.25" thickBot="1" x14ac:dyDescent="0.35">
      <c r="B8" s="170" t="str">
        <f>'Version Control'!B8</f>
        <v xml:space="preserve">Test Completion Date: </v>
      </c>
      <c r="C8" s="171" t="str">
        <f>'Version Control'!C8</f>
        <v>4/28/2025-5/5/25</v>
      </c>
      <c r="G8" s="115"/>
    </row>
    <row r="9" spans="2:7" x14ac:dyDescent="0.3">
      <c r="G9" s="115"/>
    </row>
    <row r="10" spans="2:7" ht="17.25" thickBot="1" x14ac:dyDescent="0.35">
      <c r="G10" s="115"/>
    </row>
    <row r="11" spans="2:7" ht="18" thickBot="1" x14ac:dyDescent="0.35">
      <c r="B11" s="337" t="s">
        <v>155</v>
      </c>
      <c r="C11" s="352"/>
      <c r="D11" s="352"/>
      <c r="E11" s="338"/>
      <c r="G11" s="115"/>
    </row>
    <row r="12" spans="2:7" x14ac:dyDescent="0.3">
      <c r="B12" s="422" t="s">
        <v>156</v>
      </c>
      <c r="C12" s="423"/>
      <c r="D12" s="423"/>
      <c r="E12" s="424"/>
      <c r="G12" s="115"/>
    </row>
    <row r="13" spans="2:7" x14ac:dyDescent="0.3">
      <c r="B13" s="425"/>
      <c r="C13" s="426"/>
      <c r="D13" s="426"/>
      <c r="E13" s="427"/>
      <c r="G13" s="115"/>
    </row>
    <row r="14" spans="2:7" ht="17.25" thickBot="1" x14ac:dyDescent="0.35">
      <c r="B14" s="428"/>
      <c r="C14" s="429"/>
      <c r="D14" s="429"/>
      <c r="E14" s="430"/>
      <c r="G14" s="115"/>
    </row>
    <row r="15" spans="2:7" ht="17.25" x14ac:dyDescent="0.3">
      <c r="B15" s="431" t="s">
        <v>157</v>
      </c>
      <c r="C15" s="432"/>
      <c r="D15" s="172" t="s">
        <v>141</v>
      </c>
      <c r="E15" s="117" t="s">
        <v>158</v>
      </c>
      <c r="G15" s="115"/>
    </row>
    <row r="16" spans="2:7" x14ac:dyDescent="0.3">
      <c r="B16" s="433" t="s">
        <v>185</v>
      </c>
      <c r="C16" s="434"/>
      <c r="D16" s="185" t="str">
        <f>'Material Verification'!C20</f>
        <v>4/23/2025-4/25/2025</v>
      </c>
      <c r="E16" s="173" t="s">
        <v>207</v>
      </c>
      <c r="G16" s="115"/>
    </row>
    <row r="17" spans="1:7" x14ac:dyDescent="0.3">
      <c r="B17" s="174" t="s">
        <v>161</v>
      </c>
      <c r="C17" s="175"/>
      <c r="D17" s="185" t="str">
        <f>'Extractor Tests Raw Data'!C27</f>
        <v>4/28/2025-5/5/25</v>
      </c>
      <c r="E17" s="173" t="s">
        <v>207</v>
      </c>
      <c r="G17" s="115"/>
    </row>
    <row r="18" spans="1:7" x14ac:dyDescent="0.3">
      <c r="B18" s="174" t="s">
        <v>159</v>
      </c>
      <c r="C18" s="175"/>
      <c r="D18" s="176">
        <v>45783</v>
      </c>
      <c r="E18" s="173" t="s">
        <v>207</v>
      </c>
      <c r="G18" s="115"/>
    </row>
    <row r="19" spans="1:7" ht="17.25" thickBot="1" x14ac:dyDescent="0.35">
      <c r="B19" s="293" t="s">
        <v>160</v>
      </c>
      <c r="C19" s="294"/>
      <c r="D19" s="177">
        <v>45783</v>
      </c>
      <c r="E19" s="295" t="s">
        <v>207</v>
      </c>
      <c r="G19" s="115"/>
    </row>
    <row r="20" spans="1:7" x14ac:dyDescent="0.3">
      <c r="G20" s="115"/>
    </row>
    <row r="21" spans="1:7" x14ac:dyDescent="0.3">
      <c r="A21" s="115"/>
      <c r="B21" s="115"/>
      <c r="C21" s="115"/>
      <c r="D21" s="115"/>
      <c r="E21" s="115"/>
      <c r="F21" s="115"/>
      <c r="G21" s="115"/>
    </row>
  </sheetData>
  <sheetProtection algorithmName="SHA-512" hashValue="RpmPc5KRj5nvyLmMqNNdw/499aGZExpbZpaEo8P5gskLHoLBJU63gX5WHCkZhkDfshYu7Afpx3TQe90hmxu1xQ==" saltValue="m45QIEgwvNq09D/CN5QM8w==" spinCount="100000" sheet="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39"/>
  <sheetViews>
    <sheetView showGridLines="0" tabSelected="1" topLeftCell="A2" zoomScale="96" zoomScaleNormal="96" zoomScalePageLayoutView="90" workbookViewId="0">
      <selection activeCell="D18" sqref="D18"/>
    </sheetView>
  </sheetViews>
  <sheetFormatPr defaultColWidth="9.140625" defaultRowHeight="12.75" x14ac:dyDescent="0.2"/>
  <cols>
    <col min="1" max="1" width="2.28515625" style="3" customWidth="1"/>
    <col min="2" max="2" width="11.28515625" style="3" customWidth="1"/>
    <col min="3" max="10" width="9.7109375" style="3" customWidth="1"/>
    <col min="11" max="11" width="9.140625" style="3"/>
    <col min="12" max="13" width="8.85546875" customWidth="1"/>
    <col min="14" max="14" width="7.28515625" style="3" customWidth="1"/>
    <col min="15" max="15" width="5.5703125" style="3" customWidth="1"/>
    <col min="16" max="16" width="7.140625" style="3" customWidth="1"/>
    <col min="17" max="17" width="10.28515625" style="3" customWidth="1"/>
    <col min="18" max="18" width="10.7109375" style="3" customWidth="1"/>
    <col min="19" max="19" width="7.85546875" style="3" customWidth="1"/>
    <col min="20" max="20" width="3.28515625" customWidth="1"/>
    <col min="21" max="26" width="8.85546875" customWidth="1"/>
    <col min="27" max="16384" width="9.140625" style="3"/>
  </cols>
  <sheetData>
    <row r="1" spans="2:24" ht="18" x14ac:dyDescent="0.25">
      <c r="B1" s="54" t="s">
        <v>16</v>
      </c>
      <c r="T1" s="179"/>
    </row>
    <row r="2" spans="2:24" x14ac:dyDescent="0.2">
      <c r="B2" s="53" t="s">
        <v>187</v>
      </c>
      <c r="T2" s="179"/>
    </row>
    <row r="3" spans="2:24" ht="13.5" thickBot="1" x14ac:dyDescent="0.25">
      <c r="T3" s="179"/>
    </row>
    <row r="4" spans="2:24" ht="16.5" thickBot="1" x14ac:dyDescent="0.3">
      <c r="B4" s="52" t="s">
        <v>75</v>
      </c>
      <c r="C4" s="253" t="str">
        <f>'Extractor Tests Raw Data'!C16</f>
        <v>026B</v>
      </c>
      <c r="T4" s="179"/>
    </row>
    <row r="5" spans="2:24" x14ac:dyDescent="0.2">
      <c r="T5" s="179"/>
    </row>
    <row r="6" spans="2:24" ht="13.5" thickBot="1" x14ac:dyDescent="0.25">
      <c r="B6" s="8" t="s">
        <v>176</v>
      </c>
      <c r="T6" s="179"/>
    </row>
    <row r="7" spans="2:24" ht="28.5" customHeight="1" thickBot="1" x14ac:dyDescent="0.25">
      <c r="B7" s="411" t="s">
        <v>63</v>
      </c>
      <c r="C7" s="440" t="s">
        <v>59</v>
      </c>
      <c r="D7" s="441"/>
      <c r="E7" s="441"/>
      <c r="F7" s="442"/>
      <c r="G7" s="440" t="s">
        <v>58</v>
      </c>
      <c r="H7" s="441"/>
      <c r="I7" s="441"/>
      <c r="J7" s="442"/>
      <c r="N7" s="437" t="s">
        <v>27</v>
      </c>
      <c r="O7" s="438"/>
      <c r="P7" s="439"/>
      <c r="Q7" s="80" t="s">
        <v>68</v>
      </c>
      <c r="R7" s="81" t="s">
        <v>28</v>
      </c>
      <c r="T7" s="179"/>
    </row>
    <row r="8" spans="2:24" ht="15" customHeight="1" thickBot="1" x14ac:dyDescent="0.25">
      <c r="B8" s="412"/>
      <c r="C8" s="56" t="s">
        <v>24</v>
      </c>
      <c r="D8" s="57"/>
      <c r="E8" s="56" t="s">
        <v>23</v>
      </c>
      <c r="F8" s="57"/>
      <c r="G8" s="56" t="s">
        <v>24</v>
      </c>
      <c r="H8" s="57"/>
      <c r="I8" s="56" t="s">
        <v>23</v>
      </c>
      <c r="J8" s="58"/>
      <c r="N8" s="443" t="s">
        <v>101</v>
      </c>
      <c r="O8" s="446" t="s">
        <v>24</v>
      </c>
      <c r="P8" s="82" t="s">
        <v>69</v>
      </c>
      <c r="Q8" s="254">
        <f>D10</f>
        <v>0.55655298836514933</v>
      </c>
      <c r="R8" s="255">
        <f>C31</f>
        <v>0.45900000000000002</v>
      </c>
      <c r="T8" s="179"/>
      <c r="U8" s="3"/>
      <c r="V8" s="3"/>
      <c r="W8" s="3"/>
      <c r="X8" s="3"/>
    </row>
    <row r="9" spans="2:24" ht="15" customHeight="1" thickBot="1" x14ac:dyDescent="0.25">
      <c r="B9" s="413"/>
      <c r="C9" s="59" t="s">
        <v>26</v>
      </c>
      <c r="D9" s="60" t="s">
        <v>64</v>
      </c>
      <c r="E9" s="59" t="s">
        <v>26</v>
      </c>
      <c r="F9" s="60" t="s">
        <v>64</v>
      </c>
      <c r="G9" s="64" t="s">
        <v>26</v>
      </c>
      <c r="H9" s="65" t="s">
        <v>64</v>
      </c>
      <c r="I9" s="46" t="s">
        <v>26</v>
      </c>
      <c r="J9" s="65" t="s">
        <v>64</v>
      </c>
      <c r="N9" s="444"/>
      <c r="O9" s="447"/>
      <c r="P9" s="83" t="s">
        <v>70</v>
      </c>
      <c r="Q9" s="256">
        <f>D13</f>
        <v>0.4287137702975416</v>
      </c>
      <c r="R9" s="257">
        <f>C32</f>
        <v>0.35699999999999998</v>
      </c>
      <c r="T9" s="179"/>
      <c r="U9" s="3"/>
      <c r="V9" s="3"/>
      <c r="W9" s="3"/>
      <c r="X9" s="3"/>
    </row>
    <row r="10" spans="2:24" ht="15" customHeight="1" x14ac:dyDescent="0.2">
      <c r="B10" s="61"/>
      <c r="C10" s="248">
        <f>IF('Extractor Tests Raw Data'!H17="","",('Extractor Tests Raw Data'!H17-'Extractor Tests Raw Data'!G17)/'Extractor Tests Raw Data'!G17)</f>
        <v>0.54760771244941697</v>
      </c>
      <c r="D10" s="449">
        <f>IF(C10="","",AVERAGE(C10:C12))</f>
        <v>0.55655298836514933</v>
      </c>
      <c r="E10" s="248">
        <f>IF('Extractor Tests Raw Data'!K17="","",('Extractor Tests Raw Data'!K17-'Extractor Tests Raw Data'!J17)/'Extractor Tests Raw Data'!J17)</f>
        <v>0.62413628782463648</v>
      </c>
      <c r="F10" s="449">
        <f>IF(E10="","",AVERAGE(E10:E12))</f>
        <v>0.62810640465523349</v>
      </c>
      <c r="G10" s="249">
        <f>IF('Extractor Tests Raw Data'!N17="","",('Extractor Tests Raw Data'!N17-'Extractor Tests Raw Data'!M17)/'Extractor Tests Raw Data'!M17)</f>
        <v>0.58688407522018582</v>
      </c>
      <c r="H10" s="449">
        <f>IF(G10="","",AVERAGE(G10:G12))</f>
        <v>0.59056341672661128</v>
      </c>
      <c r="I10" s="250">
        <f>IF('Extractor Tests Raw Data'!Q17="","",('Extractor Tests Raw Data'!Q17-'Extractor Tests Raw Data'!P17)/'Extractor Tests Raw Data'!P17)</f>
        <v>0.65201334286395052</v>
      </c>
      <c r="J10" s="449">
        <f>IF(I10="","",AVERAGE(I10:I12))</f>
        <v>0.65467505116620572</v>
      </c>
      <c r="N10" s="444"/>
      <c r="O10" s="447"/>
      <c r="P10" s="83" t="s">
        <v>71</v>
      </c>
      <c r="Q10" s="256">
        <f>D16</f>
        <v>0.34006525330632287</v>
      </c>
      <c r="R10" s="257">
        <f>C33</f>
        <v>0.29599999999999999</v>
      </c>
      <c r="T10" s="179"/>
      <c r="U10" s="3"/>
      <c r="V10" s="3"/>
      <c r="W10" s="3"/>
      <c r="X10" s="3"/>
    </row>
    <row r="11" spans="2:24" ht="15" customHeight="1" x14ac:dyDescent="0.2">
      <c r="B11" s="62" t="s">
        <v>69</v>
      </c>
      <c r="C11" s="251">
        <f>IF('Extractor Tests Raw Data'!H18="","",('Extractor Tests Raw Data'!H18-'Extractor Tests Raw Data'!G18)/'Extractor Tests Raw Data'!G18)</f>
        <v>0.55932809149392426</v>
      </c>
      <c r="D11" s="450"/>
      <c r="E11" s="251">
        <f>IF('Extractor Tests Raw Data'!K18="","",('Extractor Tests Raw Data'!K18-'Extractor Tests Raw Data'!J18)/'Extractor Tests Raw Data'!J18)</f>
        <v>0.6280647464889314</v>
      </c>
      <c r="F11" s="450"/>
      <c r="G11" s="251">
        <f>IF('Extractor Tests Raw Data'!N18="","",('Extractor Tests Raw Data'!N18-'Extractor Tests Raw Data'!M18)/'Extractor Tests Raw Data'!M18)</f>
        <v>0.59268525137002614</v>
      </c>
      <c r="H11" s="450"/>
      <c r="I11" s="251">
        <f>IF('Extractor Tests Raw Data'!Q18="","",('Extractor Tests Raw Data'!Q18-'Extractor Tests Raw Data'!P18)/'Extractor Tests Raw Data'!P18)</f>
        <v>0.65329205857840222</v>
      </c>
      <c r="J11" s="450"/>
      <c r="N11" s="444"/>
      <c r="O11" s="447"/>
      <c r="P11" s="83" t="s">
        <v>72</v>
      </c>
      <c r="Q11" s="256">
        <f>D19</f>
        <v>0.29705776864291039</v>
      </c>
      <c r="R11" s="257">
        <f>C34</f>
        <v>0.24199999999999999</v>
      </c>
      <c r="T11" s="179"/>
      <c r="U11" s="3"/>
      <c r="V11" s="3"/>
      <c r="W11" s="3"/>
      <c r="X11" s="3"/>
    </row>
    <row r="12" spans="2:24" ht="15" customHeight="1" thickBot="1" x14ac:dyDescent="0.25">
      <c r="B12" s="63"/>
      <c r="C12" s="252">
        <f>IF('Extractor Tests Raw Data'!H19="","",('Extractor Tests Raw Data'!H19-'Extractor Tests Raw Data'!G19)/'Extractor Tests Raw Data'!G19)</f>
        <v>0.56272316115210685</v>
      </c>
      <c r="D12" s="451"/>
      <c r="E12" s="252">
        <f>IF('Extractor Tests Raw Data'!K19="","",('Extractor Tests Raw Data'!K19-'Extractor Tests Raw Data'!J19)/'Extractor Tests Raw Data'!J19)</f>
        <v>0.63211817965213235</v>
      </c>
      <c r="F12" s="451"/>
      <c r="G12" s="252">
        <f>IF('Extractor Tests Raw Data'!N19="","",('Extractor Tests Raw Data'!N19-'Extractor Tests Raw Data'!M19)/'Extractor Tests Raw Data'!M19)</f>
        <v>0.59212092358962176</v>
      </c>
      <c r="H12" s="451"/>
      <c r="I12" s="252">
        <f>IF('Extractor Tests Raw Data'!Q19="","",('Extractor Tests Raw Data'!Q19-'Extractor Tests Raw Data'!P19)/'Extractor Tests Raw Data'!P19)</f>
        <v>0.65871975205626421</v>
      </c>
      <c r="J12" s="451"/>
      <c r="N12" s="444"/>
      <c r="O12" s="448"/>
      <c r="P12" s="84" t="s">
        <v>73</v>
      </c>
      <c r="Q12" s="258">
        <f>D22</f>
        <v>0.27239017567025364</v>
      </c>
      <c r="R12" s="259">
        <f>C35</f>
        <v>0.23</v>
      </c>
      <c r="T12" s="179"/>
      <c r="U12" s="3"/>
      <c r="V12" s="3"/>
      <c r="W12" s="3"/>
      <c r="X12" s="3"/>
    </row>
    <row r="13" spans="2:24" ht="15" customHeight="1" x14ac:dyDescent="0.2">
      <c r="B13" s="61"/>
      <c r="C13" s="248">
        <f>IF('Extractor Tests Raw Data'!H20="","",('Extractor Tests Raw Data'!H20-'Extractor Tests Raw Data'!G20)/'Extractor Tests Raw Data'!G20)</f>
        <v>0.43017025836409117</v>
      </c>
      <c r="D13" s="449">
        <f>IF(C13="","",AVERAGE(C13:C15))</f>
        <v>0.4287137702975416</v>
      </c>
      <c r="E13" s="248">
        <f>IF('Extractor Tests Raw Data'!K20="","",('Extractor Tests Raw Data'!K20-'Extractor Tests Raw Data'!J20)/'Extractor Tests Raw Data'!J20)</f>
        <v>0.47514602455596627</v>
      </c>
      <c r="F13" s="449">
        <f>IF(E13="","",AVERAGE(E13:E15))</f>
        <v>0.47964159008252322</v>
      </c>
      <c r="G13" s="249">
        <f>IF('Extractor Tests Raw Data'!N20="","",('Extractor Tests Raw Data'!N20-'Extractor Tests Raw Data'!M20)/'Extractor Tests Raw Data'!M20)</f>
        <v>0.45695916180497692</v>
      </c>
      <c r="H13" s="449">
        <f>IF(G13="","",AVERAGE(G13:G15))</f>
        <v>0.4543587447589596</v>
      </c>
      <c r="I13" s="249">
        <f>IF('Extractor Tests Raw Data'!Q20="","",('Extractor Tests Raw Data'!Q20-'Extractor Tests Raw Data'!P20)/'Extractor Tests Raw Data'!P20)</f>
        <v>0.51472165931577085</v>
      </c>
      <c r="J13" s="449">
        <f>IF(I13="","",AVERAGE(I13:I15))</f>
        <v>0.5180112788943948</v>
      </c>
      <c r="N13" s="444"/>
      <c r="O13" s="446" t="s">
        <v>23</v>
      </c>
      <c r="P13" s="82" t="s">
        <v>69</v>
      </c>
      <c r="Q13" s="254">
        <f>F10</f>
        <v>0.62810640465523349</v>
      </c>
      <c r="R13" s="255">
        <f>D31</f>
        <v>0.499</v>
      </c>
      <c r="T13" s="179"/>
      <c r="U13" s="3"/>
      <c r="V13" s="3"/>
      <c r="W13" s="3"/>
      <c r="X13" s="3"/>
    </row>
    <row r="14" spans="2:24" ht="15" customHeight="1" x14ac:dyDescent="0.2">
      <c r="B14" s="62" t="s">
        <v>70</v>
      </c>
      <c r="C14" s="251">
        <f>IF('Extractor Tests Raw Data'!H21="","",('Extractor Tests Raw Data'!H21-'Extractor Tests Raw Data'!G21)/'Extractor Tests Raw Data'!G21)</f>
        <v>0.430087018714984</v>
      </c>
      <c r="D14" s="450"/>
      <c r="E14" s="251">
        <f>IF('Extractor Tests Raw Data'!K21="","",('Extractor Tests Raw Data'!K21-'Extractor Tests Raw Data'!J21)/'Extractor Tests Raw Data'!J21)</f>
        <v>0.48601023931420423</v>
      </c>
      <c r="F14" s="450"/>
      <c r="G14" s="251">
        <f>IF('Extractor Tests Raw Data'!N21="","",('Extractor Tests Raw Data'!N21-'Extractor Tests Raw Data'!M21)/'Extractor Tests Raw Data'!M21)</f>
        <v>0.44772916915007754</v>
      </c>
      <c r="H14" s="450"/>
      <c r="I14" s="251">
        <f>IF('Extractor Tests Raw Data'!Q21="","",('Extractor Tests Raw Data'!Q21-'Extractor Tests Raw Data'!P21)/'Extractor Tests Raw Data'!P21)</f>
        <v>0.52101440647696173</v>
      </c>
      <c r="J14" s="450"/>
      <c r="N14" s="444"/>
      <c r="O14" s="447"/>
      <c r="P14" s="83" t="s">
        <v>70</v>
      </c>
      <c r="Q14" s="256">
        <f>F13</f>
        <v>0.47964159008252322</v>
      </c>
      <c r="R14" s="257">
        <f>D32</f>
        <v>0.40400000000000003</v>
      </c>
      <c r="T14" s="179"/>
      <c r="U14" s="3"/>
      <c r="V14" s="3"/>
      <c r="W14" s="3"/>
      <c r="X14" s="3"/>
    </row>
    <row r="15" spans="2:24" ht="15" customHeight="1" thickBot="1" x14ac:dyDescent="0.25">
      <c r="B15" s="63"/>
      <c r="C15" s="252">
        <f>IF('Extractor Tests Raw Data'!H22="","",('Extractor Tests Raw Data'!H22-'Extractor Tests Raw Data'!G22)/'Extractor Tests Raw Data'!G22)</f>
        <v>0.4258840338135495</v>
      </c>
      <c r="D15" s="451"/>
      <c r="E15" s="252">
        <f>IF('Extractor Tests Raw Data'!K22="","",('Extractor Tests Raw Data'!K22-'Extractor Tests Raw Data'!J22)/'Extractor Tests Raw Data'!J22)</f>
        <v>0.47776850637739909</v>
      </c>
      <c r="F15" s="451"/>
      <c r="G15" s="252">
        <f>IF('Extractor Tests Raw Data'!N22="","",('Extractor Tests Raw Data'!N22-'Extractor Tests Raw Data'!M22)/'Extractor Tests Raw Data'!M22)</f>
        <v>0.45838790332182422</v>
      </c>
      <c r="H15" s="451"/>
      <c r="I15" s="252">
        <f>IF('Extractor Tests Raw Data'!Q22="","",('Extractor Tests Raw Data'!Q22-'Extractor Tests Raw Data'!P22)/'Extractor Tests Raw Data'!P22)</f>
        <v>0.51829777089045193</v>
      </c>
      <c r="J15" s="451"/>
      <c r="N15" s="444"/>
      <c r="O15" s="447"/>
      <c r="P15" s="83" t="s">
        <v>71</v>
      </c>
      <c r="Q15" s="256">
        <f>F16</f>
        <v>0.38856612553776798</v>
      </c>
      <c r="R15" s="257">
        <f>D33</f>
        <v>0.33100000000000002</v>
      </c>
      <c r="T15" s="179"/>
      <c r="U15" s="3"/>
      <c r="V15" s="3"/>
      <c r="W15" s="3"/>
      <c r="X15" s="3"/>
    </row>
    <row r="16" spans="2:24" ht="15" customHeight="1" x14ac:dyDescent="0.2">
      <c r="B16" s="61"/>
      <c r="C16" s="248">
        <f>IF('Extractor Tests Raw Data'!H23="","",('Extractor Tests Raw Data'!H23-'Extractor Tests Raw Data'!G23)/'Extractor Tests Raw Data'!G23)</f>
        <v>0.33920495120209493</v>
      </c>
      <c r="D16" s="449">
        <f>IF(C16="","",AVERAGE(C16:C18))</f>
        <v>0.34006525330632287</v>
      </c>
      <c r="E16" s="248">
        <f>IF('Extractor Tests Raw Data'!K23="","",('Extractor Tests Raw Data'!K23-'Extractor Tests Raw Data'!J23)/'Extractor Tests Raw Data'!J23)</f>
        <v>0.38837264712890157</v>
      </c>
      <c r="F16" s="449">
        <f>IF(E16="","",AVERAGE(E16:E18))</f>
        <v>0.38856612553776798</v>
      </c>
      <c r="G16" s="249">
        <f>IF('Extractor Tests Raw Data'!N23="","",('Extractor Tests Raw Data'!N23-'Extractor Tests Raw Data'!M23)/'Extractor Tests Raw Data'!M23)</f>
        <v>0.35908117114972643</v>
      </c>
      <c r="H16" s="449">
        <f>IF(G16="","",AVERAGE(G16:G18))</f>
        <v>0.35848207624073991</v>
      </c>
      <c r="I16" s="249">
        <f>IF('Extractor Tests Raw Data'!Q23="","",('Extractor Tests Raw Data'!Q23-'Extractor Tests Raw Data'!P23)/'Extractor Tests Raw Data'!P23)</f>
        <v>0.42006194901119842</v>
      </c>
      <c r="J16" s="449">
        <f>IF(I16="","",AVERAGE(I16:I18))</f>
        <v>0.41925399610710246</v>
      </c>
      <c r="N16" s="444"/>
      <c r="O16" s="447"/>
      <c r="P16" s="83" t="s">
        <v>72</v>
      </c>
      <c r="Q16" s="256">
        <f>F19</f>
        <v>0.34138207517916536</v>
      </c>
      <c r="R16" s="257">
        <f>D34</f>
        <v>0.28699999999999998</v>
      </c>
      <c r="T16" s="179"/>
      <c r="U16" s="3"/>
      <c r="V16" s="3"/>
      <c r="W16" s="3"/>
      <c r="X16" s="3"/>
    </row>
    <row r="17" spans="2:24" ht="15" customHeight="1" thickBot="1" x14ac:dyDescent="0.25">
      <c r="B17" s="62" t="s">
        <v>71</v>
      </c>
      <c r="C17" s="251">
        <f>IF('Extractor Tests Raw Data'!H24="","",('Extractor Tests Raw Data'!H24-'Extractor Tests Raw Data'!G24)/'Extractor Tests Raw Data'!G24)</f>
        <v>0.33559685489635455</v>
      </c>
      <c r="D17" s="450"/>
      <c r="E17" s="251">
        <f>IF('Extractor Tests Raw Data'!K24="","",('Extractor Tests Raw Data'!K24-'Extractor Tests Raw Data'!J24)/'Extractor Tests Raw Data'!J24)</f>
        <v>0.39097833849083558</v>
      </c>
      <c r="F17" s="450"/>
      <c r="G17" s="251">
        <f>IF('Extractor Tests Raw Data'!N24="","",('Extractor Tests Raw Data'!N24-'Extractor Tests Raw Data'!M24)/'Extractor Tests Raw Data'!M24)</f>
        <v>0.3624017155110793</v>
      </c>
      <c r="H17" s="450"/>
      <c r="I17" s="251">
        <f>IF('Extractor Tests Raw Data'!Q24="","",('Extractor Tests Raw Data'!Q24-'Extractor Tests Raw Data'!P24)/'Extractor Tests Raw Data'!P24)</f>
        <v>0.41823375386812683</v>
      </c>
      <c r="J17" s="450"/>
      <c r="N17" s="445"/>
      <c r="O17" s="448"/>
      <c r="P17" s="84" t="s">
        <v>73</v>
      </c>
      <c r="Q17" s="258">
        <f>F22</f>
        <v>0.30639038438101107</v>
      </c>
      <c r="R17" s="259">
        <f>D35</f>
        <v>0.26400000000000001</v>
      </c>
      <c r="T17" s="179"/>
      <c r="U17" s="3"/>
      <c r="V17" s="3"/>
      <c r="W17" s="3"/>
      <c r="X17" s="3"/>
    </row>
    <row r="18" spans="2:24" ht="15" customHeight="1" thickBot="1" x14ac:dyDescent="0.25">
      <c r="B18" s="63"/>
      <c r="C18" s="252">
        <f>IF('Extractor Tests Raw Data'!H25="","",('Extractor Tests Raw Data'!H25-'Extractor Tests Raw Data'!G25)/'Extractor Tests Raw Data'!G25)</f>
        <v>0.34539395382051907</v>
      </c>
      <c r="D18" s="451"/>
      <c r="E18" s="252">
        <f>IF('Extractor Tests Raw Data'!K25="","",('Extractor Tests Raw Data'!K25-'Extractor Tests Raw Data'!J25)/'Extractor Tests Raw Data'!J25)</f>
        <v>0.38634739099356685</v>
      </c>
      <c r="F18" s="451"/>
      <c r="G18" s="252">
        <f>IF('Extractor Tests Raw Data'!N25="","",('Extractor Tests Raw Data'!N25-'Extractor Tests Raw Data'!M25)/'Extractor Tests Raw Data'!M25)</f>
        <v>0.353963342061414</v>
      </c>
      <c r="H18" s="451"/>
      <c r="I18" s="252">
        <f>IF('Extractor Tests Raw Data'!Q25="","",('Extractor Tests Raw Data'!Q25-'Extractor Tests Raw Data'!P25)/'Extractor Tests Raw Data'!P25)</f>
        <v>0.41946628544198222</v>
      </c>
      <c r="J18" s="451"/>
      <c r="N18" s="443" t="s">
        <v>102</v>
      </c>
      <c r="O18" s="446" t="s">
        <v>24</v>
      </c>
      <c r="P18" s="82" t="s">
        <v>69</v>
      </c>
      <c r="Q18" s="254">
        <f>H10</f>
        <v>0.59056341672661128</v>
      </c>
      <c r="R18" s="255">
        <f>E31</f>
        <v>0.497</v>
      </c>
      <c r="T18" s="179"/>
      <c r="U18" s="3"/>
      <c r="V18" s="3"/>
      <c r="W18" s="3"/>
      <c r="X18" s="3"/>
    </row>
    <row r="19" spans="2:24" ht="15" customHeight="1" x14ac:dyDescent="0.2">
      <c r="B19" s="61"/>
      <c r="C19" s="248">
        <f>IF('Extractor Tests Raw Data'!H26="","",('Extractor Tests Raw Data'!H26-'Extractor Tests Raw Data'!G26)/'Extractor Tests Raw Data'!G26)</f>
        <v>0.2961066793665913</v>
      </c>
      <c r="D19" s="449">
        <f>IF(C19="","",AVERAGE(C19:C21))</f>
        <v>0.29705776864291039</v>
      </c>
      <c r="E19" s="248">
        <f>IF('Extractor Tests Raw Data'!K26="","",('Extractor Tests Raw Data'!K26-'Extractor Tests Raw Data'!J26)/'Extractor Tests Raw Data'!J26)</f>
        <v>0.34247228513529637</v>
      </c>
      <c r="F19" s="449">
        <f>IF(E19="","",AVERAGE(E19:E21))</f>
        <v>0.34138207517916536</v>
      </c>
      <c r="G19" s="249">
        <f>IF('Extractor Tests Raw Data'!N26="","",('Extractor Tests Raw Data'!N26-'Extractor Tests Raw Data'!M26)/'Extractor Tests Raw Data'!M26)</f>
        <v>0.31588985576349987</v>
      </c>
      <c r="H19" s="449">
        <f>IF(G19="","",AVERAGE(G19:G21))</f>
        <v>0.31346875269036606</v>
      </c>
      <c r="I19" s="249">
        <f>IF('Extractor Tests Raw Data'!Q26="","",('Extractor Tests Raw Data'!Q26-'Extractor Tests Raw Data'!P26)/'Extractor Tests Raw Data'!P26)</f>
        <v>0.36576941400666979</v>
      </c>
      <c r="J19" s="449">
        <f>IF(I19="","",AVERAGE(I19:I21))</f>
        <v>0.36739992892091894</v>
      </c>
      <c r="N19" s="444"/>
      <c r="O19" s="447"/>
      <c r="P19" s="83" t="s">
        <v>70</v>
      </c>
      <c r="Q19" s="256">
        <f>H13</f>
        <v>0.4543587447589596</v>
      </c>
      <c r="R19" s="257">
        <f>E32</f>
        <v>0.379</v>
      </c>
      <c r="T19" s="179"/>
      <c r="U19" s="3"/>
      <c r="V19" s="3"/>
      <c r="W19" s="3"/>
      <c r="X19" s="3"/>
    </row>
    <row r="20" spans="2:24" ht="15" customHeight="1" x14ac:dyDescent="0.2">
      <c r="B20" s="62" t="s">
        <v>72</v>
      </c>
      <c r="C20" s="251">
        <f>IF('Extractor Tests Raw Data'!H27="","",('Extractor Tests Raw Data'!H27-'Extractor Tests Raw Data'!G27)/'Extractor Tests Raw Data'!G27)</f>
        <v>0.29645964954106574</v>
      </c>
      <c r="D20" s="450"/>
      <c r="E20" s="251">
        <f>IF('Extractor Tests Raw Data'!K27="","",('Extractor Tests Raw Data'!K27-'Extractor Tests Raw Data'!J27)/'Extractor Tests Raw Data'!J27)</f>
        <v>0.34373139659483282</v>
      </c>
      <c r="F20" s="450"/>
      <c r="G20" s="251">
        <f>IF('Extractor Tests Raw Data'!N27="","",('Extractor Tests Raw Data'!N27-'Extractor Tests Raw Data'!M27)/'Extractor Tests Raw Data'!M27)</f>
        <v>0.31181515007146238</v>
      </c>
      <c r="H20" s="450"/>
      <c r="I20" s="251">
        <f>IF('Extractor Tests Raw Data'!Q27="","",('Extractor Tests Raw Data'!Q27-'Extractor Tests Raw Data'!P27)/'Extractor Tests Raw Data'!P27)</f>
        <v>0.36994633273703048</v>
      </c>
      <c r="J20" s="450"/>
      <c r="N20" s="444"/>
      <c r="O20" s="447"/>
      <c r="P20" s="83" t="s">
        <v>71</v>
      </c>
      <c r="Q20" s="256">
        <f>H16</f>
        <v>0.35848207624073991</v>
      </c>
      <c r="R20" s="257">
        <f>E33</f>
        <v>0.307</v>
      </c>
      <c r="T20" s="179"/>
      <c r="U20" s="3"/>
      <c r="V20" s="3"/>
      <c r="W20" s="3"/>
      <c r="X20" s="3"/>
    </row>
    <row r="21" spans="2:24" ht="15" customHeight="1" thickBot="1" x14ac:dyDescent="0.25">
      <c r="B21" s="63"/>
      <c r="C21" s="252">
        <f>IF('Extractor Tests Raw Data'!H28="","",('Extractor Tests Raw Data'!H28-'Extractor Tests Raw Data'!G28)/'Extractor Tests Raw Data'!G28)</f>
        <v>0.29860697702107408</v>
      </c>
      <c r="D21" s="451"/>
      <c r="E21" s="252">
        <f>IF('Extractor Tests Raw Data'!K28="","",('Extractor Tests Raw Data'!K28-'Extractor Tests Raw Data'!J28)/'Extractor Tests Raw Data'!J28)</f>
        <v>0.33794254380736694</v>
      </c>
      <c r="F21" s="451"/>
      <c r="G21" s="252">
        <f>IF('Extractor Tests Raw Data'!N28="","",('Extractor Tests Raw Data'!N28-'Extractor Tests Raw Data'!M28)/'Extractor Tests Raw Data'!M28)</f>
        <v>0.31270125223613593</v>
      </c>
      <c r="H21" s="451"/>
      <c r="I21" s="252">
        <f>IF('Extractor Tests Raw Data'!Q28="","",('Extractor Tests Raw Data'!Q28-'Extractor Tests Raw Data'!P28)/'Extractor Tests Raw Data'!P28)</f>
        <v>0.36648404001905666</v>
      </c>
      <c r="J21" s="451"/>
      <c r="N21" s="444"/>
      <c r="O21" s="447"/>
      <c r="P21" s="83" t="s">
        <v>72</v>
      </c>
      <c r="Q21" s="260">
        <f>H19</f>
        <v>0.31346875269036606</v>
      </c>
      <c r="R21" s="257">
        <f>E34</f>
        <v>0.255</v>
      </c>
      <c r="T21" s="179"/>
      <c r="U21" s="3"/>
      <c r="V21" s="3"/>
      <c r="W21" s="3"/>
      <c r="X21" s="3"/>
    </row>
    <row r="22" spans="2:24" ht="15" customHeight="1" thickBot="1" x14ac:dyDescent="0.25">
      <c r="B22" s="61"/>
      <c r="C22" s="248">
        <f>IF('Extractor Tests Raw Data'!H29="","",('Extractor Tests Raw Data'!H29-'Extractor Tests Raw Data'!G29)/'Extractor Tests Raw Data'!G29)</f>
        <v>0.27167561121049499</v>
      </c>
      <c r="D22" s="449">
        <f>IF(C22="","",AVERAGE(C22:C24))</f>
        <v>0.27239017567025364</v>
      </c>
      <c r="E22" s="248">
        <f>IF('Extractor Tests Raw Data'!K29="","",('Extractor Tests Raw Data'!K29-'Extractor Tests Raw Data'!J29)/'Extractor Tests Raw Data'!J29)</f>
        <v>0.30621724630776553</v>
      </c>
      <c r="F22" s="449">
        <f>IF(E22="","",AVERAGE(E22:E24))</f>
        <v>0.30639038438101107</v>
      </c>
      <c r="G22" s="249">
        <f>IF('Extractor Tests Raw Data'!N29="","",('Extractor Tests Raw Data'!N29-'Extractor Tests Raw Data'!M29)/'Extractor Tests Raw Data'!M29)</f>
        <v>0.28562909958258792</v>
      </c>
      <c r="H22" s="449">
        <f>IF(G22="","",AVERAGE(G22:G24))</f>
        <v>0.28705427966427116</v>
      </c>
      <c r="I22" s="249">
        <f>IF('Extractor Tests Raw Data'!Q29="","",('Extractor Tests Raw Data'!Q29-'Extractor Tests Raw Data'!P29)/'Extractor Tests Raw Data'!P29)</f>
        <v>0.33754168651738914</v>
      </c>
      <c r="J22" s="449">
        <f>IF(I22="","",AVERAGE(I22:I24))</f>
        <v>0.33903913885411158</v>
      </c>
      <c r="N22" s="444"/>
      <c r="O22" s="448"/>
      <c r="P22" s="84" t="s">
        <v>73</v>
      </c>
      <c r="Q22" s="258">
        <f>H22</f>
        <v>0.28705427966427116</v>
      </c>
      <c r="R22" s="259">
        <f>E35</f>
        <v>0.24099999999999999</v>
      </c>
      <c r="T22" s="179"/>
      <c r="U22" s="3"/>
      <c r="V22" s="3"/>
      <c r="W22" s="3"/>
      <c r="X22" s="3"/>
    </row>
    <row r="23" spans="2:24" ht="15" customHeight="1" x14ac:dyDescent="0.2">
      <c r="B23" s="62" t="s">
        <v>73</v>
      </c>
      <c r="C23" s="251">
        <f>IF('Extractor Tests Raw Data'!H30="","",('Extractor Tests Raw Data'!H30-'Extractor Tests Raw Data'!G30)/'Extractor Tests Raw Data'!G30)</f>
        <v>0.27501191043353967</v>
      </c>
      <c r="D23" s="450"/>
      <c r="E23" s="251">
        <f>IF('Extractor Tests Raw Data'!K30="","",('Extractor Tests Raw Data'!K30-'Extractor Tests Raw Data'!J30)/'Extractor Tests Raw Data'!J30)</f>
        <v>0.30554561717352408</v>
      </c>
      <c r="F23" s="450"/>
      <c r="G23" s="251">
        <f>IF('Extractor Tests Raw Data'!N30="","",('Extractor Tests Raw Data'!N30-'Extractor Tests Raw Data'!M30)/'Extractor Tests Raw Data'!M30)</f>
        <v>0.28632682229633155</v>
      </c>
      <c r="H23" s="450"/>
      <c r="I23" s="251">
        <f>IF('Extractor Tests Raw Data'!Q30="","",('Extractor Tests Raw Data'!Q30-'Extractor Tests Raw Data'!P30)/'Extractor Tests Raw Data'!P30)</f>
        <v>0.33798449612403098</v>
      </c>
      <c r="J23" s="450"/>
      <c r="N23" s="444"/>
      <c r="O23" s="446" t="s">
        <v>23</v>
      </c>
      <c r="P23" s="82" t="s">
        <v>69</v>
      </c>
      <c r="Q23" s="261">
        <f>J10</f>
        <v>0.65467505116620572</v>
      </c>
      <c r="R23" s="262">
        <f>F31</f>
        <v>0.52800000000000002</v>
      </c>
      <c r="T23" s="179"/>
      <c r="U23" s="3"/>
      <c r="V23" s="3"/>
      <c r="W23" s="3"/>
      <c r="X23" s="3"/>
    </row>
    <row r="24" spans="2:24" ht="15" customHeight="1" thickBot="1" x14ac:dyDescent="0.25">
      <c r="B24" s="63"/>
      <c r="C24" s="252">
        <f>IF('Extractor Tests Raw Data'!H31="","",('Extractor Tests Raw Data'!H31-'Extractor Tests Raw Data'!G31)/'Extractor Tests Raw Data'!G31)</f>
        <v>0.27048300536672637</v>
      </c>
      <c r="D24" s="451"/>
      <c r="E24" s="252">
        <f>IF('Extractor Tests Raw Data'!K31="","",('Extractor Tests Raw Data'!K31-'Extractor Tests Raw Data'!J31)/'Extractor Tests Raw Data'!J31)</f>
        <v>0.30740828966174361</v>
      </c>
      <c r="F24" s="451"/>
      <c r="G24" s="252">
        <f>IF('Extractor Tests Raw Data'!N31="","",('Extractor Tests Raw Data'!N31-'Extractor Tests Raw Data'!M31)/'Extractor Tests Raw Data'!M31)</f>
        <v>0.28920691711389396</v>
      </c>
      <c r="H24" s="451"/>
      <c r="I24" s="252">
        <f>IF('Extractor Tests Raw Data'!Q31="","",('Extractor Tests Raw Data'!Q31-'Extractor Tests Raw Data'!P31)/'Extractor Tests Raw Data'!P31)</f>
        <v>0.34159123392091451</v>
      </c>
      <c r="J24" s="451"/>
      <c r="N24" s="444"/>
      <c r="O24" s="447"/>
      <c r="P24" s="83" t="s">
        <v>70</v>
      </c>
      <c r="Q24" s="256">
        <f>J13</f>
        <v>0.5180112788943948</v>
      </c>
      <c r="R24" s="257">
        <f>F32</f>
        <v>0.43099999999999999</v>
      </c>
      <c r="T24" s="179"/>
      <c r="U24" s="3"/>
      <c r="V24" s="3"/>
      <c r="W24" s="3"/>
      <c r="X24" s="3"/>
    </row>
    <row r="25" spans="2:24" ht="15" customHeight="1" x14ac:dyDescent="0.2">
      <c r="N25" s="444"/>
      <c r="O25" s="447"/>
      <c r="P25" s="83" t="s">
        <v>71</v>
      </c>
      <c r="Q25" s="256">
        <f>J16</f>
        <v>0.41925399610710246</v>
      </c>
      <c r="R25" s="257">
        <f>F33</f>
        <v>0.35799999999999998</v>
      </c>
      <c r="T25" s="179"/>
      <c r="U25" s="3"/>
      <c r="V25" s="3"/>
      <c r="W25" s="3"/>
      <c r="X25" s="3"/>
    </row>
    <row r="26" spans="2:24" ht="15" customHeight="1" x14ac:dyDescent="0.2">
      <c r="M26" s="3"/>
      <c r="N26" s="444"/>
      <c r="O26" s="447"/>
      <c r="P26" s="83" t="s">
        <v>72</v>
      </c>
      <c r="Q26" s="256">
        <f>J19</f>
        <v>0.36739992892091894</v>
      </c>
      <c r="R26" s="257">
        <f>F34</f>
        <v>0.3</v>
      </c>
      <c r="T26" s="179"/>
    </row>
    <row r="27" spans="2:24" ht="15" customHeight="1" thickBot="1" x14ac:dyDescent="0.25">
      <c r="L27" s="3"/>
      <c r="N27" s="445"/>
      <c r="O27" s="448"/>
      <c r="P27" s="84" t="s">
        <v>73</v>
      </c>
      <c r="Q27" s="258">
        <f>J22</f>
        <v>0.33903913885411158</v>
      </c>
      <c r="R27" s="259">
        <f>F35</f>
        <v>0.28000000000000003</v>
      </c>
      <c r="T27" s="179"/>
    </row>
    <row r="28" spans="2:24" ht="15" customHeight="1" thickBot="1" x14ac:dyDescent="0.25">
      <c r="B28" s="8" t="s">
        <v>177</v>
      </c>
      <c r="C28"/>
      <c r="D28"/>
      <c r="E28"/>
      <c r="F28"/>
      <c r="H28" s="8" t="str">
        <f>"Table 3.1 - Avg. RMC Values (Lot #"&amp;C4&amp;")"</f>
        <v>Table 3.1 - Avg. RMC Values (Lot #026B)</v>
      </c>
      <c r="I28"/>
      <c r="J28"/>
      <c r="K28"/>
      <c r="P28"/>
      <c r="Q28"/>
      <c r="R28" s="1"/>
      <c r="S28" s="2"/>
      <c r="T28" s="179"/>
    </row>
    <row r="29" spans="2:24" ht="15" customHeight="1" thickBot="1" x14ac:dyDescent="0.25">
      <c r="B29" s="411" t="s">
        <v>63</v>
      </c>
      <c r="C29" s="66" t="s">
        <v>66</v>
      </c>
      <c r="D29" s="67"/>
      <c r="E29" s="66" t="s">
        <v>67</v>
      </c>
      <c r="F29" s="67"/>
      <c r="H29" s="411" t="s">
        <v>63</v>
      </c>
      <c r="I29" s="66" t="s">
        <v>66</v>
      </c>
      <c r="J29" s="67"/>
      <c r="K29" s="66" t="s">
        <v>67</v>
      </c>
      <c r="L29" s="67"/>
      <c r="P29" s="8" t="s">
        <v>189</v>
      </c>
      <c r="T29" s="179"/>
    </row>
    <row r="30" spans="2:24" ht="15" customHeight="1" thickBot="1" x14ac:dyDescent="0.25">
      <c r="B30" s="412"/>
      <c r="C30" s="68" t="s">
        <v>24</v>
      </c>
      <c r="D30" s="69" t="s">
        <v>23</v>
      </c>
      <c r="E30" s="68" t="s">
        <v>24</v>
      </c>
      <c r="F30" s="69" t="s">
        <v>23</v>
      </c>
      <c r="H30" s="412"/>
      <c r="I30" s="68" t="s">
        <v>24</v>
      </c>
      <c r="J30" s="69" t="s">
        <v>23</v>
      </c>
      <c r="K30" s="68" t="s">
        <v>24</v>
      </c>
      <c r="L30" s="69" t="s">
        <v>23</v>
      </c>
      <c r="P30" s="435" t="s">
        <v>74</v>
      </c>
      <c r="Q30" s="436"/>
      <c r="T30" s="179"/>
    </row>
    <row r="31" spans="2:24" ht="15" customHeight="1" x14ac:dyDescent="0.25">
      <c r="B31" s="70">
        <v>100</v>
      </c>
      <c r="C31" s="72">
        <v>0.45900000000000002</v>
      </c>
      <c r="D31" s="73">
        <v>0.499</v>
      </c>
      <c r="E31" s="72">
        <v>0.497</v>
      </c>
      <c r="F31" s="73">
        <v>0.52800000000000002</v>
      </c>
      <c r="H31" s="70">
        <v>100</v>
      </c>
      <c r="I31" s="263">
        <f>D10</f>
        <v>0.55655298836514933</v>
      </c>
      <c r="J31" s="264">
        <f>F10</f>
        <v>0.62810640465523349</v>
      </c>
      <c r="K31" s="263">
        <f>H10</f>
        <v>0.59056341672661128</v>
      </c>
      <c r="L31" s="264">
        <f>J10</f>
        <v>0.65467505116620572</v>
      </c>
      <c r="M31" s="78"/>
      <c r="P31" s="85" t="s">
        <v>79</v>
      </c>
      <c r="Q31" s="86">
        <f>IF(Q8="","",SLOPE(R8:R27,Q8:Q27))</f>
        <v>0.79351729289823247</v>
      </c>
      <c r="T31" s="179"/>
    </row>
    <row r="32" spans="2:24" ht="15" customHeight="1" thickBot="1" x14ac:dyDescent="0.3">
      <c r="B32" s="70">
        <v>200</v>
      </c>
      <c r="C32" s="74">
        <v>0.35699999999999998</v>
      </c>
      <c r="D32" s="75">
        <v>0.40400000000000003</v>
      </c>
      <c r="E32" s="74">
        <v>0.379</v>
      </c>
      <c r="F32" s="75">
        <v>0.43099999999999999</v>
      </c>
      <c r="H32" s="70">
        <v>200</v>
      </c>
      <c r="I32" s="265">
        <f>D13</f>
        <v>0.4287137702975416</v>
      </c>
      <c r="J32" s="266">
        <f>F13</f>
        <v>0.47964159008252322</v>
      </c>
      <c r="K32" s="265">
        <f>H13</f>
        <v>0.4543587447589596</v>
      </c>
      <c r="L32" s="266">
        <f>J13</f>
        <v>0.5180112788943948</v>
      </c>
      <c r="M32" s="78"/>
      <c r="P32" s="87" t="s">
        <v>80</v>
      </c>
      <c r="Q32" s="88">
        <f>IF(Q8="","",INTERCEPT(R8:R27,Q8:Q27))</f>
        <v>1.6306741131419E-2</v>
      </c>
      <c r="T32" s="179"/>
    </row>
    <row r="33" spans="1:20" ht="15" customHeight="1" x14ac:dyDescent="0.2">
      <c r="B33" s="70">
        <v>350</v>
      </c>
      <c r="C33" s="74">
        <v>0.29599999999999999</v>
      </c>
      <c r="D33" s="75">
        <v>0.33100000000000002</v>
      </c>
      <c r="E33" s="74">
        <v>0.307</v>
      </c>
      <c r="F33" s="75">
        <v>0.35799999999999998</v>
      </c>
      <c r="H33" s="70">
        <v>350</v>
      </c>
      <c r="I33" s="265">
        <f>D16</f>
        <v>0.34006525330632287</v>
      </c>
      <c r="J33" s="266">
        <f>F16</f>
        <v>0.38856612553776798</v>
      </c>
      <c r="K33" s="265">
        <f>H16</f>
        <v>0.35848207624073991</v>
      </c>
      <c r="L33" s="266">
        <f>J16</f>
        <v>0.41925399610710246</v>
      </c>
      <c r="M33" s="78"/>
      <c r="T33" s="179"/>
    </row>
    <row r="34" spans="1:20" ht="15" customHeight="1" x14ac:dyDescent="0.2">
      <c r="B34" s="70">
        <v>500</v>
      </c>
      <c r="C34" s="74">
        <v>0.24199999999999999</v>
      </c>
      <c r="D34" s="75">
        <v>0.28699999999999998</v>
      </c>
      <c r="E34" s="74">
        <v>0.255</v>
      </c>
      <c r="F34" s="75">
        <v>0.3</v>
      </c>
      <c r="H34" s="70">
        <v>500</v>
      </c>
      <c r="I34" s="265">
        <f>D19</f>
        <v>0.29705776864291039</v>
      </c>
      <c r="J34" s="266">
        <f>F19</f>
        <v>0.34138207517916536</v>
      </c>
      <c r="K34" s="265">
        <f>H19</f>
        <v>0.31346875269036606</v>
      </c>
      <c r="L34" s="266">
        <f>J19</f>
        <v>0.36739992892091894</v>
      </c>
      <c r="M34" s="79"/>
      <c r="T34" s="179"/>
    </row>
    <row r="35" spans="1:20" ht="15" customHeight="1" thickBot="1" x14ac:dyDescent="0.25">
      <c r="B35" s="71">
        <v>650</v>
      </c>
      <c r="C35" s="76">
        <v>0.23</v>
      </c>
      <c r="D35" s="77">
        <v>0.26400000000000001</v>
      </c>
      <c r="E35" s="76">
        <v>0.24099999999999999</v>
      </c>
      <c r="F35" s="77">
        <v>0.28000000000000003</v>
      </c>
      <c r="H35" s="71">
        <v>650</v>
      </c>
      <c r="I35" s="267">
        <f>D22</f>
        <v>0.27239017567025364</v>
      </c>
      <c r="J35" s="268">
        <f>F22</f>
        <v>0.30639038438101107</v>
      </c>
      <c r="K35" s="267">
        <f>H22</f>
        <v>0.28705427966427116</v>
      </c>
      <c r="L35" s="268">
        <f>J22</f>
        <v>0.33903913885411158</v>
      </c>
      <c r="T35" s="179"/>
    </row>
    <row r="36" spans="1:20" x14ac:dyDescent="0.2">
      <c r="B36"/>
      <c r="C36"/>
      <c r="E36"/>
      <c r="F36"/>
      <c r="H36"/>
      <c r="I36"/>
      <c r="K36"/>
      <c r="M36" s="3"/>
      <c r="T36" s="179"/>
    </row>
    <row r="37" spans="1:20" x14ac:dyDescent="0.2">
      <c r="A37" s="181"/>
      <c r="B37" s="181"/>
      <c r="C37" s="181"/>
      <c r="D37" s="181"/>
      <c r="E37" s="181"/>
      <c r="F37" s="181"/>
      <c r="G37" s="181"/>
      <c r="H37" s="181"/>
      <c r="I37" s="181"/>
      <c r="J37" s="181"/>
      <c r="K37" s="181"/>
      <c r="L37" s="181"/>
      <c r="M37" s="181"/>
      <c r="N37" s="181"/>
      <c r="O37" s="181"/>
      <c r="P37" s="181"/>
      <c r="Q37" s="181"/>
      <c r="R37" s="181"/>
      <c r="S37" s="181"/>
      <c r="T37" s="179"/>
    </row>
    <row r="38" spans="1:20" x14ac:dyDescent="0.2">
      <c r="L38" s="3"/>
      <c r="M38" s="3"/>
    </row>
    <row r="39" spans="1:20" x14ac:dyDescent="0.2">
      <c r="L39" s="3"/>
    </row>
  </sheetData>
  <sheetProtection algorithmName="SHA-512" hashValue="WFqpJDM34f/vR+VbQSW7Hh1c7xf9sMrsEylYbDl96ib+/58kqqHaqQvdzXqeLPTljgKRF1/DmL+X2qV+rIQHbg==" saltValue="12PAHrV/o17y/L7XWb6uHA==" spinCount="100000" sheet="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pageSetup scale="54"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45"/>
  <sheetViews>
    <sheetView showGridLines="0" tabSelected="1" topLeftCell="A3" zoomScale="96" zoomScaleNormal="96" zoomScalePageLayoutView="80" workbookViewId="0">
      <selection activeCell="D18" sqref="D18"/>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9.5703125"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54" t="s">
        <v>16</v>
      </c>
      <c r="P1" s="179"/>
    </row>
    <row r="2" spans="1:16" x14ac:dyDescent="0.2">
      <c r="B2" s="53" t="s">
        <v>103</v>
      </c>
      <c r="P2" s="179"/>
    </row>
    <row r="3" spans="1:16" ht="12.75" customHeight="1" thickBot="1" x14ac:dyDescent="0.3">
      <c r="A3" s="5"/>
      <c r="P3" s="179"/>
    </row>
    <row r="4" spans="1:16" ht="18" x14ac:dyDescent="0.25">
      <c r="A4" s="5"/>
      <c r="B4" s="12" t="s">
        <v>0</v>
      </c>
      <c r="C4" s="275" t="str">
        <f>'Extractor Tests Raw Data'!C16</f>
        <v>026B</v>
      </c>
      <c r="P4" s="179"/>
    </row>
    <row r="5" spans="1:16" ht="18.75" thickBot="1" x14ac:dyDescent="0.3">
      <c r="A5" s="5"/>
      <c r="B5" s="20" t="s">
        <v>31</v>
      </c>
      <c r="C5" s="21" t="str">
        <f>J10</f>
        <v>Yes</v>
      </c>
      <c r="P5" s="179"/>
    </row>
    <row r="6" spans="1:16" ht="13.5" customHeight="1" x14ac:dyDescent="0.25">
      <c r="A6" s="5"/>
      <c r="P6" s="179"/>
    </row>
    <row r="7" spans="1:16" ht="13.5" customHeight="1" thickBot="1" x14ac:dyDescent="0.25">
      <c r="D7" s="8"/>
      <c r="F7" s="8" t="s">
        <v>197</v>
      </c>
      <c r="P7" s="179"/>
    </row>
    <row r="8" spans="1:16" ht="27" customHeight="1" thickBot="1" x14ac:dyDescent="0.25">
      <c r="B8" s="55" t="s">
        <v>107</v>
      </c>
      <c r="C8" s="90" t="s">
        <v>29</v>
      </c>
      <c r="D8" s="89" t="str">
        <f>"Uncorrected Lot "&amp;C4</f>
        <v>Uncorrected Lot 026B</v>
      </c>
      <c r="F8" s="193" t="s">
        <v>105</v>
      </c>
      <c r="G8" s="194" t="s">
        <v>104</v>
      </c>
      <c r="H8" s="195" t="s">
        <v>190</v>
      </c>
      <c r="I8" s="194" t="s">
        <v>20</v>
      </c>
      <c r="J8" s="196" t="s">
        <v>35</v>
      </c>
      <c r="P8" s="179"/>
    </row>
    <row r="9" spans="1:16" ht="13.5" customHeight="1" x14ac:dyDescent="0.2">
      <c r="B9" s="98" t="s">
        <v>81</v>
      </c>
      <c r="C9" s="91">
        <v>0.52800000000000002</v>
      </c>
      <c r="D9" s="269">
        <f>'Correction Factors'!J10</f>
        <v>0.65467505116620572</v>
      </c>
      <c r="F9" s="319" t="s">
        <v>198</v>
      </c>
      <c r="G9" s="320" t="s">
        <v>196</v>
      </c>
      <c r="H9" s="321"/>
      <c r="I9" s="322">
        <f>K16</f>
        <v>0.28011552809244461</v>
      </c>
      <c r="J9" s="323"/>
      <c r="K9" s="53" t="s">
        <v>204</v>
      </c>
      <c r="P9" s="179"/>
    </row>
    <row r="10" spans="1:16" ht="13.5" customHeight="1" thickBot="1" x14ac:dyDescent="0.25">
      <c r="B10" s="99" t="s">
        <v>82</v>
      </c>
      <c r="C10" s="92">
        <v>0.499</v>
      </c>
      <c r="D10" s="270">
        <f>'Correction Factors'!F10</f>
        <v>0.62810640465523349</v>
      </c>
      <c r="F10" s="315" t="s">
        <v>192</v>
      </c>
      <c r="G10" s="316" t="s">
        <v>193</v>
      </c>
      <c r="H10" s="316" t="s">
        <v>194</v>
      </c>
      <c r="I10" s="317">
        <f>D33</f>
        <v>7.8480399987752095E-3</v>
      </c>
      <c r="J10" s="318" t="str">
        <f>IF(I10="","",IF(I10&lt;=0.012,"Yes", "No"))</f>
        <v>Yes</v>
      </c>
      <c r="K10" s="53"/>
      <c r="P10" s="179"/>
    </row>
    <row r="11" spans="1:16" ht="13.5" customHeight="1" x14ac:dyDescent="0.2">
      <c r="B11" s="99" t="s">
        <v>83</v>
      </c>
      <c r="C11" s="93">
        <v>0.497</v>
      </c>
      <c r="D11" s="270">
        <f>'Correction Factors'!H10</f>
        <v>0.59056341672661128</v>
      </c>
      <c r="P11" s="179"/>
    </row>
    <row r="12" spans="1:16" ht="13.5" customHeight="1" thickBot="1" x14ac:dyDescent="0.25">
      <c r="B12" s="100" t="s">
        <v>84</v>
      </c>
      <c r="C12" s="93">
        <v>0.45900000000000002</v>
      </c>
      <c r="D12" s="271">
        <f>'Correction Factors'!D10</f>
        <v>0.55655298836514933</v>
      </c>
      <c r="F12" s="8" t="str">
        <f>"ANOVA calculated from Lot "&amp;$C$4&amp;" data for 100 to 650g"</f>
        <v>ANOVA calculated from Lot 026B data for 100 to 650g</v>
      </c>
      <c r="H12" s="8"/>
      <c r="P12" s="179"/>
    </row>
    <row r="13" spans="1:16" ht="13.5" customHeight="1" thickBot="1" x14ac:dyDescent="0.25">
      <c r="B13" s="98" t="s">
        <v>85</v>
      </c>
      <c r="C13" s="91">
        <v>0.43099999999999999</v>
      </c>
      <c r="D13" s="269">
        <f>'Correction Factors'!J13</f>
        <v>0.5180112788943948</v>
      </c>
      <c r="F13" s="55" t="s">
        <v>9</v>
      </c>
      <c r="G13" s="215" t="s">
        <v>1</v>
      </c>
      <c r="H13" s="216" t="s">
        <v>2</v>
      </c>
      <c r="I13" s="216" t="s">
        <v>3</v>
      </c>
      <c r="J13" s="216" t="s">
        <v>4</v>
      </c>
      <c r="K13" s="216" t="s">
        <v>5</v>
      </c>
      <c r="L13" s="217" t="s">
        <v>6</v>
      </c>
      <c r="O13" s="6"/>
      <c r="P13" s="179"/>
    </row>
    <row r="14" spans="1:16" ht="13.5" customHeight="1" x14ac:dyDescent="0.2">
      <c r="B14" s="99" t="s">
        <v>86</v>
      </c>
      <c r="C14" s="93">
        <v>0.40400000000000003</v>
      </c>
      <c r="D14" s="270">
        <f>'Correction Factors'!F13</f>
        <v>0.47964159008252322</v>
      </c>
      <c r="F14" s="213" t="s">
        <v>106</v>
      </c>
      <c r="G14" s="276">
        <f>SUMSQ(SUM(C9:D12),SUM(C13:D16),SUM(C17:D20),SUM(C21:D24),SUM(C25:D28))/COUNT(C9:D12)-SUM(C9:D28)^2/COUNT(C9:D28)</f>
        <v>0.3986562722161846</v>
      </c>
      <c r="H14" s="214">
        <v>4</v>
      </c>
      <c r="I14" s="279">
        <f>G14/H14</f>
        <v>9.9664068054046151E-2</v>
      </c>
      <c r="J14" s="279">
        <f>I14/$I$17</f>
        <v>98.582876567189501</v>
      </c>
      <c r="K14" s="279">
        <f>FDIST(J14,H14,$H$17)</f>
        <v>8.2333379646257052E-17</v>
      </c>
      <c r="L14" s="281">
        <f>FINV(0.1,H14,$H$17)</f>
        <v>2.1422348562884994</v>
      </c>
      <c r="P14" s="179"/>
    </row>
    <row r="15" spans="1:16" ht="13.5" customHeight="1" x14ac:dyDescent="0.2">
      <c r="B15" s="99" t="s">
        <v>87</v>
      </c>
      <c r="C15" s="93">
        <v>0.379</v>
      </c>
      <c r="D15" s="270">
        <f>'Correction Factors'!H13</f>
        <v>0.4543587447589596</v>
      </c>
      <c r="F15" s="198" t="s">
        <v>14</v>
      </c>
      <c r="G15" s="277">
        <f>SUMSQ(SUM(C9:C28),SUM(D9:D28))/COUNT(C9:C28)-SUM(C9:D28)^2/COUNT(C9:D28)</f>
        <v>4.8732490119837379E-2</v>
      </c>
      <c r="H15" s="211">
        <v>1</v>
      </c>
      <c r="I15" s="280">
        <f>G15/H15</f>
        <v>4.8732490119837379E-2</v>
      </c>
      <c r="J15" s="280">
        <f>I15/$I$17</f>
        <v>48.203822622316387</v>
      </c>
      <c r="K15" s="280">
        <f>FDIST(J15,H15,$H$17)</f>
        <v>1.0354752003074505E-7</v>
      </c>
      <c r="L15" s="282">
        <f>FINV(0.1,H15,$H$17)</f>
        <v>2.8806945171617104</v>
      </c>
      <c r="M15" s="7"/>
      <c r="P15" s="179"/>
    </row>
    <row r="16" spans="1:16" ht="13.5" customHeight="1" thickBot="1" x14ac:dyDescent="0.25">
      <c r="B16" s="100" t="s">
        <v>88</v>
      </c>
      <c r="C16" s="94">
        <v>0.35699999999999998</v>
      </c>
      <c r="D16" s="271">
        <f>'Correction Factors'!D13</f>
        <v>0.4287137702975416</v>
      </c>
      <c r="F16" s="198" t="s">
        <v>7</v>
      </c>
      <c r="G16" s="277">
        <f>SUMSQ(SUM(C9:C12),SUM(D9:D12),SUM(C13:C16),SUM(D13:D16),SUM(C17:C20),SUM(D17:D20),SUM(C21:C24),SUM(D21:D24),SUM(C25:C28),SUM(D25:D28))/COUNT(C9:C12)-SUM(C9:D28)^2/COUNT(C9:D28)-G14-G15</f>
        <v>5.3954030818461618E-3</v>
      </c>
      <c r="H16" s="211">
        <v>4</v>
      </c>
      <c r="I16" s="280">
        <f>G16/H16</f>
        <v>1.3488507704615404E-3</v>
      </c>
      <c r="J16" s="280">
        <f>I16/$I$17</f>
        <v>1.3342179544573591</v>
      </c>
      <c r="K16" s="212">
        <f>IF(G16=0,"",FDIST(J16,H16,$H$17))</f>
        <v>0.28011552809244461</v>
      </c>
      <c r="L16" s="282">
        <f>FINV(0.1,H16,$H$17)</f>
        <v>2.1422348562884994</v>
      </c>
      <c r="P16" s="179"/>
    </row>
    <row r="17" spans="2:16" ht="13.5" customHeight="1" x14ac:dyDescent="0.2">
      <c r="B17" s="99" t="s">
        <v>89</v>
      </c>
      <c r="C17" s="93">
        <v>0.35799999999999998</v>
      </c>
      <c r="D17" s="269">
        <f>'Correction Factors'!J16</f>
        <v>0.41925399610710246</v>
      </c>
      <c r="F17" s="198" t="s">
        <v>10</v>
      </c>
      <c r="G17" s="277">
        <f>G18-G14-G15-G16</f>
        <v>3.0329020066518275E-2</v>
      </c>
      <c r="H17" s="211">
        <v>30</v>
      </c>
      <c r="I17" s="280">
        <f>G17/H17</f>
        <v>1.0109673355506092E-3</v>
      </c>
      <c r="J17" s="240"/>
      <c r="K17" s="241"/>
      <c r="L17" s="242"/>
      <c r="P17" s="179"/>
    </row>
    <row r="18" spans="2:16" ht="13.5" customHeight="1" thickBot="1" x14ac:dyDescent="0.25">
      <c r="B18" s="99" t="s">
        <v>90</v>
      </c>
      <c r="C18" s="93">
        <v>0.33100000000000002</v>
      </c>
      <c r="D18" s="270">
        <f>'Correction Factors'!F16</f>
        <v>0.38856612553776798</v>
      </c>
      <c r="F18" s="246" t="s">
        <v>8</v>
      </c>
      <c r="G18" s="278">
        <f>SUMSQ(C9:D28)-SUM(C9:D28)^2/COUNT(C9:D28)</f>
        <v>0.48311318548438642</v>
      </c>
      <c r="H18" s="247">
        <v>39</v>
      </c>
      <c r="I18" s="243"/>
      <c r="J18" s="244"/>
      <c r="K18" s="243"/>
      <c r="L18" s="245"/>
      <c r="P18" s="179"/>
    </row>
    <row r="19" spans="2:16" ht="13.5" customHeight="1" x14ac:dyDescent="0.2">
      <c r="B19" s="99" t="s">
        <v>91</v>
      </c>
      <c r="C19" s="93">
        <v>0.307</v>
      </c>
      <c r="D19" s="270">
        <f>'Correction Factors'!H16</f>
        <v>0.35848207624073991</v>
      </c>
      <c r="P19" s="179"/>
    </row>
    <row r="20" spans="2:16" ht="13.5" customHeight="1" thickBot="1" x14ac:dyDescent="0.25">
      <c r="B20" s="100" t="s">
        <v>92</v>
      </c>
      <c r="C20" s="94">
        <v>0.29599999999999999</v>
      </c>
      <c r="D20" s="271">
        <f>'Correction Factors'!D16</f>
        <v>0.34006525330632287</v>
      </c>
      <c r="P20" s="179"/>
    </row>
    <row r="21" spans="2:16" ht="13.5" customHeight="1" x14ac:dyDescent="0.2">
      <c r="B21" s="99" t="s">
        <v>93</v>
      </c>
      <c r="C21" s="95">
        <v>0.3</v>
      </c>
      <c r="D21" s="272">
        <f>'Correction Factors'!J19</f>
        <v>0.36739992892091894</v>
      </c>
      <c r="P21" s="179"/>
    </row>
    <row r="22" spans="2:16" ht="13.5" customHeight="1" x14ac:dyDescent="0.2">
      <c r="B22" s="99" t="s">
        <v>94</v>
      </c>
      <c r="C22" s="96">
        <v>0.28699999999999998</v>
      </c>
      <c r="D22" s="273">
        <f>'Correction Factors'!F19</f>
        <v>0.34138207517916536</v>
      </c>
      <c r="P22" s="179"/>
    </row>
    <row r="23" spans="2:16" ht="13.5" customHeight="1" x14ac:dyDescent="0.2">
      <c r="B23" s="99" t="s">
        <v>95</v>
      </c>
      <c r="C23" s="96">
        <v>0.255</v>
      </c>
      <c r="D23" s="273">
        <f>'Correction Factors'!H19</f>
        <v>0.31346875269036606</v>
      </c>
      <c r="P23" s="179"/>
    </row>
    <row r="24" spans="2:16" ht="13.5" customHeight="1" thickBot="1" x14ac:dyDescent="0.25">
      <c r="B24" s="100" t="s">
        <v>96</v>
      </c>
      <c r="C24" s="97">
        <v>0.24199999999999999</v>
      </c>
      <c r="D24" s="274">
        <f>'Correction Factors'!D19</f>
        <v>0.29705776864291039</v>
      </c>
      <c r="P24" s="179"/>
    </row>
    <row r="25" spans="2:16" ht="13.5" customHeight="1" x14ac:dyDescent="0.2">
      <c r="B25" s="99" t="s">
        <v>97</v>
      </c>
      <c r="C25" s="91">
        <v>0.28000000000000003</v>
      </c>
      <c r="D25" s="269">
        <f>'Correction Factors'!J22</f>
        <v>0.33903913885411158</v>
      </c>
      <c r="P25" s="190"/>
    </row>
    <row r="26" spans="2:16" ht="13.5" customHeight="1" x14ac:dyDescent="0.2">
      <c r="B26" s="99" t="s">
        <v>98</v>
      </c>
      <c r="C26" s="93">
        <v>0.26400000000000001</v>
      </c>
      <c r="D26" s="270">
        <f>'Correction Factors'!F22</f>
        <v>0.30639038438101107</v>
      </c>
      <c r="P26" s="190"/>
    </row>
    <row r="27" spans="2:16" ht="13.5" customHeight="1" x14ac:dyDescent="0.2">
      <c r="B27" s="99" t="s">
        <v>99</v>
      </c>
      <c r="C27" s="93">
        <v>0.24099999999999999</v>
      </c>
      <c r="D27" s="270">
        <f>'Correction Factors'!H22</f>
        <v>0.28705427966427116</v>
      </c>
      <c r="P27" s="190"/>
    </row>
    <row r="28" spans="2:16" ht="13.5" customHeight="1" thickBot="1" x14ac:dyDescent="0.25">
      <c r="B28" s="100" t="s">
        <v>100</v>
      </c>
      <c r="C28" s="94">
        <v>0.23</v>
      </c>
      <c r="D28" s="271">
        <f>'Correction Factors'!D22</f>
        <v>0.27239017567025364</v>
      </c>
      <c r="P28" s="190"/>
    </row>
    <row r="29" spans="2:16" ht="13.5" customHeight="1" x14ac:dyDescent="0.2">
      <c r="B29" s="53"/>
      <c r="C29" s="53"/>
      <c r="D29" s="53"/>
      <c r="P29" s="190"/>
    </row>
    <row r="30" spans="2:16" ht="13.5" customHeight="1" thickBot="1" x14ac:dyDescent="0.25">
      <c r="B30" s="53"/>
      <c r="C30" s="53"/>
      <c r="D30" s="53"/>
      <c r="P30" s="190"/>
    </row>
    <row r="31" spans="2:16" ht="13.5" customHeight="1" x14ac:dyDescent="0.2">
      <c r="B31" s="53"/>
      <c r="C31" s="199" t="s">
        <v>11</v>
      </c>
      <c r="D31" s="283">
        <f>SLOPE(C9:C28,D9:D28)</f>
        <v>0.7935172928982327</v>
      </c>
      <c r="P31" s="190"/>
    </row>
    <row r="32" spans="2:16" ht="13.5" customHeight="1" x14ac:dyDescent="0.2">
      <c r="B32" s="53"/>
      <c r="C32" s="200" t="s">
        <v>12</v>
      </c>
      <c r="D32" s="284">
        <f>INTERCEPT(C9:C28,D9:D28)</f>
        <v>1.6306741131419111E-2</v>
      </c>
      <c r="P32" s="190"/>
    </row>
    <row r="33" spans="1:16" ht="13.5" customHeight="1" x14ac:dyDescent="0.2">
      <c r="B33" s="53"/>
      <c r="C33" s="70" t="s">
        <v>13</v>
      </c>
      <c r="D33" s="285">
        <f>STEYX(C9:C28,D9:D28)</f>
        <v>7.8480399987752095E-3</v>
      </c>
      <c r="P33" s="190"/>
    </row>
    <row r="34" spans="1:16" ht="13.5" customHeight="1" thickBot="1" x14ac:dyDescent="0.25">
      <c r="B34" s="53"/>
      <c r="C34" s="201" t="s">
        <v>15</v>
      </c>
      <c r="D34" s="286">
        <f>RSQ(C9:C28,D9:D28)</f>
        <v>0.99342108276049701</v>
      </c>
      <c r="P34" s="190"/>
    </row>
    <row r="35" spans="1:16" ht="13.5" customHeight="1" x14ac:dyDescent="0.2">
      <c r="B35" s="53"/>
      <c r="C35" s="53"/>
      <c r="D35" s="53"/>
      <c r="P35" s="190"/>
    </row>
    <row r="36" spans="1:16" ht="13.5" customHeight="1" x14ac:dyDescent="0.2">
      <c r="E36" s="6"/>
      <c r="P36" s="190"/>
    </row>
    <row r="37" spans="1:16" ht="13.5" customHeight="1" thickBot="1" x14ac:dyDescent="0.25">
      <c r="B37" s="8" t="s">
        <v>108</v>
      </c>
      <c r="P37" s="190"/>
    </row>
    <row r="38" spans="1:16" ht="13.5" customHeight="1" thickBot="1" x14ac:dyDescent="0.25">
      <c r="B38" s="55" t="s">
        <v>109</v>
      </c>
      <c r="C38" s="197" t="s">
        <v>19</v>
      </c>
      <c r="D38" s="192" t="str">
        <f>"Lot "&amp;C4</f>
        <v>Lot 026B</v>
      </c>
      <c r="P38" s="190"/>
    </row>
    <row r="39" spans="1:16" ht="13.5" customHeight="1" x14ac:dyDescent="0.2">
      <c r="B39" s="202">
        <v>100</v>
      </c>
      <c r="C39" s="287">
        <f>AVERAGE(C9:C12)</f>
        <v>0.49575000000000002</v>
      </c>
      <c r="D39" s="288">
        <f>AVERAGE(D9:D12)</f>
        <v>0.60747446522829995</v>
      </c>
      <c r="P39" s="190"/>
    </row>
    <row r="40" spans="1:16" ht="13.5" customHeight="1" x14ac:dyDescent="0.2">
      <c r="B40" s="203">
        <v>200</v>
      </c>
      <c r="C40" s="289">
        <f>AVERAGE(C13:C16)</f>
        <v>0.39274999999999999</v>
      </c>
      <c r="D40" s="290">
        <f>AVERAGE(D13:D16)</f>
        <v>0.47018134600835482</v>
      </c>
      <c r="P40" s="190"/>
    </row>
    <row r="41" spans="1:16" ht="13.5" customHeight="1" x14ac:dyDescent="0.2">
      <c r="B41" s="203">
        <v>350</v>
      </c>
      <c r="C41" s="289">
        <f>AVERAGE(C17:C20)</f>
        <v>0.32300000000000001</v>
      </c>
      <c r="D41" s="290">
        <f>AVERAGE(D17:D20)</f>
        <v>0.37659186279798329</v>
      </c>
      <c r="P41" s="190"/>
    </row>
    <row r="42" spans="1:16" ht="13.5" customHeight="1" x14ac:dyDescent="0.2">
      <c r="B42" s="203">
        <v>500</v>
      </c>
      <c r="C42" s="289">
        <f>AVERAGE(C21:C24)</f>
        <v>0.27100000000000002</v>
      </c>
      <c r="D42" s="290">
        <f>AVERAGE(D21:D24)</f>
        <v>0.32982713135834019</v>
      </c>
      <c r="E42" s="6"/>
      <c r="P42" s="190"/>
    </row>
    <row r="43" spans="1:16" ht="13.5" customHeight="1" thickBot="1" x14ac:dyDescent="0.25">
      <c r="B43" s="204">
        <v>650</v>
      </c>
      <c r="C43" s="291">
        <f>AVERAGE(C25:C28)</f>
        <v>0.25375000000000003</v>
      </c>
      <c r="D43" s="292">
        <f>AVERAGE(D25:D28)</f>
        <v>0.30121849464241185</v>
      </c>
      <c r="P43" s="190"/>
    </row>
    <row r="44" spans="1:16" ht="13.5" customHeight="1" x14ac:dyDescent="0.2">
      <c r="P44" s="190"/>
    </row>
    <row r="45" spans="1:16" ht="13.5" customHeight="1" x14ac:dyDescent="0.2">
      <c r="A45" s="179"/>
      <c r="B45" s="179"/>
      <c r="C45" s="179"/>
      <c r="D45" s="191"/>
      <c r="E45" s="179"/>
      <c r="F45" s="179"/>
      <c r="G45" s="179"/>
      <c r="H45" s="179"/>
      <c r="I45" s="179"/>
      <c r="J45" s="179"/>
      <c r="K45" s="179"/>
      <c r="L45" s="179"/>
      <c r="M45" s="179"/>
      <c r="N45" s="179"/>
      <c r="O45" s="179"/>
      <c r="P45" s="190"/>
    </row>
  </sheetData>
  <sheetProtection algorithmName="SHA-512" hashValue="NKCtt/7KUfDWRYue1+gtlojYUxB38kEs1LitlHBxz0k+14qKu40dFSKLgwmzH/YJ5iU7t2lYowP5secn+nEgEg==" saltValue="7PKSqVrvA8oNTGv4UsThWA==" spinCount="100000" sheet="1" selectLockedCells="1"/>
  <conditionalFormatting sqref="N13 O16">
    <cfRule type="cellIs" dxfId="0" priority="2" stopIfTrue="1" operator="equal">
      <formula>"""Accept the lot"""</formula>
    </cfRule>
  </conditionalFormatting>
  <pageMargins left="0.7" right="0.7" top="0.75" bottom="0.75" header="0.3" footer="0.3"/>
  <pageSetup scale="41"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6C21-55A5-45C0-8235-BDF64EBEA67E}">
  <sheetPr codeName="Sheet10"/>
  <dimension ref="A1:G28"/>
  <sheetViews>
    <sheetView showGridLines="0" zoomScale="80" zoomScaleNormal="80" workbookViewId="0">
      <selection activeCell="C21" sqref="C21"/>
    </sheetView>
  </sheetViews>
  <sheetFormatPr defaultColWidth="9.140625" defaultRowHeight="16.5" x14ac:dyDescent="0.3"/>
  <cols>
    <col min="1" max="1" width="4.5703125" style="137" customWidth="1"/>
    <col min="2" max="2" width="41.5703125" style="137" customWidth="1"/>
    <col min="3" max="3" width="43.140625" style="136" customWidth="1"/>
    <col min="4" max="4" width="4.5703125" style="137" customWidth="1"/>
    <col min="5" max="5" width="3.85546875" style="137" customWidth="1"/>
    <col min="6" max="16384" width="9.140625" style="137"/>
  </cols>
  <sheetData>
    <row r="1" spans="2:7" ht="17.25" thickBot="1" x14ac:dyDescent="0.35">
      <c r="B1" s="136"/>
      <c r="C1" s="137"/>
      <c r="E1" s="115"/>
    </row>
    <row r="2" spans="2:7" ht="18" thickBot="1" x14ac:dyDescent="0.35">
      <c r="B2" s="337" t="s">
        <v>132</v>
      </c>
      <c r="C2" s="338"/>
      <c r="E2" s="115"/>
    </row>
    <row r="3" spans="2:7" x14ac:dyDescent="0.3">
      <c r="B3" s="138" t="s">
        <v>133</v>
      </c>
      <c r="C3" s="139" t="s">
        <v>142</v>
      </c>
      <c r="D3" s="107"/>
      <c r="E3" s="108"/>
      <c r="F3" s="107"/>
      <c r="G3" s="107"/>
    </row>
    <row r="4" spans="2:7" x14ac:dyDescent="0.3">
      <c r="B4" s="140" t="s">
        <v>134</v>
      </c>
      <c r="C4" s="141" t="str">
        <f>INDEX(B13:B56,COUNTA(B13:B56),1)</f>
        <v>Modified AATCC Laundering Ballast Type 3</v>
      </c>
      <c r="D4" s="107"/>
      <c r="E4" s="108"/>
      <c r="F4" s="107"/>
      <c r="G4" s="107"/>
    </row>
    <row r="5" spans="2:7" x14ac:dyDescent="0.3">
      <c r="B5" s="140" t="s">
        <v>135</v>
      </c>
      <c r="C5" s="142" t="str">
        <f>IF(MAX(B13:C98)=0,"No Revisions Dates Entered",MAX(C13:C98))</f>
        <v>No Revisions Dates Entered</v>
      </c>
      <c r="D5" s="107"/>
      <c r="E5" s="108"/>
      <c r="F5" s="107"/>
      <c r="G5" s="107"/>
    </row>
    <row r="6" spans="2:7" x14ac:dyDescent="0.3">
      <c r="B6" s="140" t="s">
        <v>136</v>
      </c>
      <c r="C6" s="143" t="e">
        <f ca="1">MID(CELL("filename",A1), FIND("]", CELL("filename", A1))+ 1, 255)</f>
        <v>#VALUE!</v>
      </c>
      <c r="D6" s="107"/>
      <c r="E6" s="108"/>
      <c r="F6" s="107"/>
      <c r="G6" s="107"/>
    </row>
    <row r="7" spans="2:7" ht="30" customHeight="1" x14ac:dyDescent="0.3">
      <c r="B7" s="144" t="s">
        <v>137</v>
      </c>
      <c r="C7" s="145" t="e">
        <f ca="1">MID(CELL("FILENAME",F16),FIND("[",CELL("FILENAME",F16))+1,FIND("]",CELL("FILENAME",F16))-FIND("[",CELL("FILENAME",F16))-1)</f>
        <v>#VALUE!</v>
      </c>
      <c r="D7" s="107"/>
      <c r="E7" s="108"/>
      <c r="F7" s="107"/>
      <c r="G7" s="107"/>
    </row>
    <row r="8" spans="2:7" ht="17.25" thickBot="1" x14ac:dyDescent="0.35">
      <c r="B8" s="146" t="s">
        <v>138</v>
      </c>
      <c r="C8" s="147" t="str">
        <f>'Extractor Tests Raw Data'!C27</f>
        <v>4/28/2025-5/5/25</v>
      </c>
      <c r="D8" s="107"/>
      <c r="E8" s="108"/>
      <c r="F8" s="107"/>
      <c r="G8" s="107"/>
    </row>
    <row r="9" spans="2:7" x14ac:dyDescent="0.3">
      <c r="B9" s="107"/>
      <c r="C9" s="107"/>
      <c r="D9" s="107"/>
      <c r="E9" s="108"/>
      <c r="F9" s="107"/>
      <c r="G9" s="107"/>
    </row>
    <row r="10" spans="2:7" ht="17.25" thickBot="1" x14ac:dyDescent="0.35">
      <c r="B10" s="107"/>
      <c r="C10" s="107"/>
      <c r="D10" s="107"/>
      <c r="E10" s="108"/>
      <c r="F10" s="107"/>
      <c r="G10" s="107"/>
    </row>
    <row r="11" spans="2:7" x14ac:dyDescent="0.3">
      <c r="B11" s="301" t="s">
        <v>199</v>
      </c>
      <c r="C11" s="107"/>
      <c r="D11" s="107"/>
      <c r="E11" s="108"/>
      <c r="F11" s="107"/>
      <c r="G11" s="107"/>
    </row>
    <row r="12" spans="2:7" x14ac:dyDescent="0.3">
      <c r="B12" s="302" t="s">
        <v>200</v>
      </c>
      <c r="C12" s="107"/>
      <c r="D12" s="107"/>
      <c r="E12" s="108"/>
      <c r="F12" s="107"/>
      <c r="G12" s="107"/>
    </row>
    <row r="13" spans="2:7" ht="17.25" thickBot="1" x14ac:dyDescent="0.35">
      <c r="B13" s="324" t="s">
        <v>201</v>
      </c>
      <c r="C13" s="107"/>
      <c r="D13" s="107"/>
      <c r="E13" s="108"/>
      <c r="F13" s="107"/>
      <c r="G13" s="107"/>
    </row>
    <row r="14" spans="2:7" x14ac:dyDescent="0.3">
      <c r="B14" s="107"/>
      <c r="C14" s="107"/>
      <c r="D14" s="153"/>
      <c r="E14" s="108"/>
      <c r="F14" s="107"/>
      <c r="G14" s="107"/>
    </row>
    <row r="15" spans="2:7" x14ac:dyDescent="0.3">
      <c r="B15" s="107"/>
      <c r="C15" s="107"/>
      <c r="E15" s="115"/>
    </row>
    <row r="16" spans="2:7" x14ac:dyDescent="0.3">
      <c r="B16" s="107"/>
      <c r="C16" s="107"/>
      <c r="E16" s="115"/>
    </row>
    <row r="17" spans="1:5" x14ac:dyDescent="0.3">
      <c r="B17" s="107"/>
      <c r="C17" s="107"/>
      <c r="E17" s="115"/>
    </row>
    <row r="18" spans="1:5" x14ac:dyDescent="0.3">
      <c r="B18" s="107"/>
      <c r="C18" s="107"/>
      <c r="E18" s="115"/>
    </row>
    <row r="19" spans="1:5" x14ac:dyDescent="0.3">
      <c r="B19" s="107"/>
      <c r="C19" s="107"/>
      <c r="E19" s="115"/>
    </row>
    <row r="20" spans="1:5" x14ac:dyDescent="0.3">
      <c r="B20" s="107"/>
      <c r="C20" s="107"/>
      <c r="E20" s="115"/>
    </row>
    <row r="21" spans="1:5" x14ac:dyDescent="0.3">
      <c r="B21" s="107"/>
      <c r="C21" s="107"/>
      <c r="E21" s="115"/>
    </row>
    <row r="22" spans="1:5" x14ac:dyDescent="0.3">
      <c r="B22" s="107"/>
      <c r="C22" s="107"/>
      <c r="E22" s="115"/>
    </row>
    <row r="23" spans="1:5" x14ac:dyDescent="0.3">
      <c r="B23" s="107"/>
      <c r="C23" s="107"/>
      <c r="E23" s="115"/>
    </row>
    <row r="24" spans="1:5" x14ac:dyDescent="0.3">
      <c r="B24" s="107"/>
      <c r="C24" s="107"/>
      <c r="E24" s="115"/>
    </row>
    <row r="25" spans="1:5" x14ac:dyDescent="0.3">
      <c r="B25" s="107"/>
      <c r="C25" s="107"/>
      <c r="E25" s="115"/>
    </row>
    <row r="26" spans="1:5" x14ac:dyDescent="0.3">
      <c r="B26" s="107"/>
      <c r="C26" s="107"/>
      <c r="E26" s="115"/>
    </row>
    <row r="27" spans="1:5" x14ac:dyDescent="0.3">
      <c r="E27" s="115"/>
    </row>
    <row r="28" spans="1:5" x14ac:dyDescent="0.3">
      <c r="A28" s="115"/>
      <c r="B28" s="115"/>
      <c r="C28" s="162"/>
      <c r="D28" s="115"/>
      <c r="E28" s="115"/>
    </row>
  </sheetData>
  <sheetProtection algorithmName="SHA-512" hashValue="iX7OxTWcUgATFi7D0NYlBhFQ6pnVN1tRCwf3E2Trk5tXtDXbYhKIYmNR1wmRuvUxby4C455NCz20reXiKCOy/Q==" saltValue="TaYgjDPNV9TMBuk2zDmemw==" spinCount="100000" sheet="1" selectLockedCells="1"/>
  <mergeCells count="1">
    <mergeCell ref="B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28"/>
  <sheetViews>
    <sheetView showGridLines="0" tabSelected="1" zoomScale="96" zoomScaleNormal="96" workbookViewId="0">
      <selection activeCell="D18" sqref="D18"/>
    </sheetView>
  </sheetViews>
  <sheetFormatPr defaultColWidth="9.140625" defaultRowHeight="16.5" x14ac:dyDescent="0.3"/>
  <cols>
    <col min="1" max="1" width="4.5703125" style="137" customWidth="1"/>
    <col min="2" max="2" width="41.5703125" style="137" customWidth="1"/>
    <col min="3" max="3" width="43.140625" style="136" customWidth="1"/>
    <col min="4" max="4" width="4.5703125" style="137" customWidth="1"/>
    <col min="5" max="5" width="3.85546875" style="137" customWidth="1"/>
    <col min="6" max="16384" width="9.140625" style="137"/>
  </cols>
  <sheetData>
    <row r="1" spans="2:7" ht="17.25" thickBot="1" x14ac:dyDescent="0.35">
      <c r="B1" s="136"/>
      <c r="C1" s="137"/>
      <c r="E1" s="115"/>
    </row>
    <row r="2" spans="2:7" ht="18" thickBot="1" x14ac:dyDescent="0.35">
      <c r="B2" s="337" t="s">
        <v>132</v>
      </c>
      <c r="C2" s="338"/>
      <c r="E2" s="115"/>
    </row>
    <row r="3" spans="2:7" x14ac:dyDescent="0.3">
      <c r="B3" s="138" t="s">
        <v>133</v>
      </c>
      <c r="C3" s="139" t="s">
        <v>142</v>
      </c>
      <c r="D3" s="107"/>
      <c r="E3" s="108"/>
      <c r="F3" s="107"/>
      <c r="G3" s="107"/>
    </row>
    <row r="4" spans="2:7" x14ac:dyDescent="0.3">
      <c r="B4" s="140" t="s">
        <v>134</v>
      </c>
      <c r="C4" s="141" t="str">
        <f>INDEX(B13:B56,COUNTA(B13:B56),1)</f>
        <v>v2.5</v>
      </c>
      <c r="D4" s="107"/>
      <c r="E4" s="108"/>
      <c r="F4" s="107"/>
      <c r="G4" s="107"/>
    </row>
    <row r="5" spans="2:7" x14ac:dyDescent="0.3">
      <c r="B5" s="140" t="s">
        <v>135</v>
      </c>
      <c r="C5" s="142">
        <f>IF(MAX(B13:C98)=0,"No Revisions Dates Entered",MAX(C13:C98))</f>
        <v>45673</v>
      </c>
      <c r="D5" s="107"/>
      <c r="E5" s="108"/>
      <c r="F5" s="107"/>
      <c r="G5" s="107"/>
    </row>
    <row r="6" spans="2:7" x14ac:dyDescent="0.3">
      <c r="B6" s="140" t="s">
        <v>136</v>
      </c>
      <c r="C6" s="143" t="e">
        <f ca="1">MID(CELL("filename",A1), FIND("]", CELL("filename", A1))+ 1, 255)</f>
        <v>#VALUE!</v>
      </c>
      <c r="D6" s="107"/>
      <c r="E6" s="108"/>
      <c r="F6" s="107"/>
      <c r="G6" s="107"/>
    </row>
    <row r="7" spans="2:7" ht="30" customHeight="1" x14ac:dyDescent="0.3">
      <c r="B7" s="144" t="s">
        <v>137</v>
      </c>
      <c r="C7" s="145" t="e">
        <f ca="1">MID(CELL("FILENAME",F16),FIND("[",CELL("FILENAME",F16))+1,FIND("]",CELL("FILENAME",F16))-FIND("[",CELL("FILENAME",F16))-1)</f>
        <v>#VALUE!</v>
      </c>
      <c r="D7" s="107"/>
      <c r="E7" s="108"/>
      <c r="F7" s="107"/>
      <c r="G7" s="107"/>
    </row>
    <row r="8" spans="2:7" ht="17.25" thickBot="1" x14ac:dyDescent="0.35">
      <c r="B8" s="146" t="s">
        <v>138</v>
      </c>
      <c r="C8" s="147" t="str">
        <f>'Extractor Tests Raw Data'!C27</f>
        <v>4/28/2025-5/5/25</v>
      </c>
      <c r="D8" s="107"/>
      <c r="E8" s="108"/>
      <c r="F8" s="107"/>
      <c r="G8" s="107"/>
    </row>
    <row r="9" spans="2:7" x14ac:dyDescent="0.3">
      <c r="B9" s="107"/>
      <c r="C9" s="107"/>
      <c r="D9" s="107"/>
      <c r="E9" s="108"/>
      <c r="F9" s="107"/>
      <c r="G9" s="107"/>
    </row>
    <row r="10" spans="2:7" ht="17.25" thickBot="1" x14ac:dyDescent="0.35">
      <c r="B10" s="107"/>
      <c r="C10" s="107"/>
      <c r="D10" s="107"/>
      <c r="E10" s="108"/>
      <c r="F10" s="107"/>
      <c r="G10" s="107"/>
    </row>
    <row r="11" spans="2:7" ht="18" thickBot="1" x14ac:dyDescent="0.35">
      <c r="B11" s="337" t="s">
        <v>139</v>
      </c>
      <c r="C11" s="338"/>
      <c r="D11" s="107"/>
      <c r="E11" s="108"/>
      <c r="F11" s="107"/>
      <c r="G11" s="107"/>
    </row>
    <row r="12" spans="2:7" ht="17.25" x14ac:dyDescent="0.35">
      <c r="B12" s="148" t="s">
        <v>140</v>
      </c>
      <c r="C12" s="149" t="s">
        <v>141</v>
      </c>
      <c r="D12" s="107"/>
      <c r="E12" s="108"/>
      <c r="F12" s="107"/>
      <c r="G12" s="107"/>
    </row>
    <row r="13" spans="2:7" x14ac:dyDescent="0.3">
      <c r="B13" s="163" t="s">
        <v>143</v>
      </c>
      <c r="C13" s="150">
        <v>42061</v>
      </c>
      <c r="D13" s="107"/>
      <c r="E13" s="108"/>
      <c r="F13" s="107"/>
      <c r="G13" s="107"/>
    </row>
    <row r="14" spans="2:7" x14ac:dyDescent="0.3">
      <c r="B14" s="151" t="s">
        <v>166</v>
      </c>
      <c r="C14" s="152">
        <v>42160</v>
      </c>
      <c r="D14" s="153"/>
      <c r="E14" s="108"/>
      <c r="F14" s="107"/>
      <c r="G14" s="107"/>
    </row>
    <row r="15" spans="2:7" x14ac:dyDescent="0.3">
      <c r="B15" s="151" t="s">
        <v>167</v>
      </c>
      <c r="C15" s="152">
        <v>42923</v>
      </c>
      <c r="E15" s="115"/>
    </row>
    <row r="16" spans="2:7" x14ac:dyDescent="0.3">
      <c r="B16" s="154" t="s">
        <v>179</v>
      </c>
      <c r="C16" s="152">
        <v>43452</v>
      </c>
      <c r="E16" s="115"/>
    </row>
    <row r="17" spans="1:5" x14ac:dyDescent="0.3">
      <c r="B17" s="155" t="s">
        <v>188</v>
      </c>
      <c r="C17" s="152">
        <v>44755</v>
      </c>
      <c r="E17" s="115"/>
    </row>
    <row r="18" spans="1:5" x14ac:dyDescent="0.3">
      <c r="B18" s="156" t="s">
        <v>191</v>
      </c>
      <c r="C18" s="157">
        <v>45212</v>
      </c>
      <c r="E18" s="115"/>
    </row>
    <row r="19" spans="1:5" x14ac:dyDescent="0.3">
      <c r="B19" s="156" t="s">
        <v>205</v>
      </c>
      <c r="C19" s="157">
        <v>45673</v>
      </c>
      <c r="E19" s="115"/>
    </row>
    <row r="20" spans="1:5" x14ac:dyDescent="0.3">
      <c r="B20" s="156"/>
      <c r="C20" s="157"/>
      <c r="E20" s="115"/>
    </row>
    <row r="21" spans="1:5" x14ac:dyDescent="0.3">
      <c r="B21" s="156"/>
      <c r="C21" s="157"/>
      <c r="E21" s="115"/>
    </row>
    <row r="22" spans="1:5" x14ac:dyDescent="0.3">
      <c r="B22" s="156"/>
      <c r="C22" s="157"/>
      <c r="E22" s="115"/>
    </row>
    <row r="23" spans="1:5" x14ac:dyDescent="0.3">
      <c r="B23" s="156"/>
      <c r="C23" s="157"/>
      <c r="E23" s="115"/>
    </row>
    <row r="24" spans="1:5" x14ac:dyDescent="0.3">
      <c r="B24" s="158"/>
      <c r="C24" s="157"/>
      <c r="E24" s="115"/>
    </row>
    <row r="25" spans="1:5" x14ac:dyDescent="0.3">
      <c r="B25" s="159"/>
      <c r="C25" s="157"/>
      <c r="E25" s="115"/>
    </row>
    <row r="26" spans="1:5" ht="17.25" thickBot="1" x14ac:dyDescent="0.35">
      <c r="B26" s="160"/>
      <c r="C26" s="161"/>
      <c r="E26" s="115"/>
    </row>
    <row r="27" spans="1:5" x14ac:dyDescent="0.3">
      <c r="E27" s="115"/>
    </row>
    <row r="28" spans="1:5" x14ac:dyDescent="0.3">
      <c r="A28" s="115"/>
      <c r="B28" s="115"/>
      <c r="C28" s="162"/>
      <c r="D28" s="115"/>
      <c r="E28" s="115"/>
    </row>
  </sheetData>
  <sheetProtection algorithmName="SHA-512" hashValue="coWLLFJxETF0OVgbOsU2DC0VAHcB7OjM+su2hQ+cNsQynogXIbo/hTWOyVgGKoV7RaGHKntI5wEHmMN8zroelQ==" saltValue="7JBxBhqvBm82LSfO0No6HA==" spinCount="100000" sheet="1" selectLockedCells="1"/>
  <mergeCells count="2">
    <mergeCell ref="B2:C2"/>
    <mergeCell ref="B11:C11"/>
  </mergeCells>
  <pageMargins left="0.7" right="0.7" top="0.75" bottom="0.75" header="0.3" footer="0.3"/>
  <pageSetup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F07D2-C988-4EE7-8E43-F5F51A4ACCF3}">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fa504290-48b0-421f-a269-8aa9478176e6"/>
    <ds:schemaRef ds:uri="http://www.w3.org/XML/1998/namespace"/>
    <ds:schemaRef ds:uri="http://purl.org/dc/dcmitype/"/>
  </ds:schemaRefs>
</ds:datastoreItem>
</file>

<file path=customXml/itemProps2.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3.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2</vt:i4>
      </vt:variant>
    </vt:vector>
  </HeadingPairs>
  <TitlesOfParts>
    <vt:vector size="10" baseType="lpstr">
      <vt:lpstr>Instructions</vt:lpstr>
      <vt:lpstr>Material Verification</vt:lpstr>
      <vt:lpstr>Extractor Tests Raw Data</vt:lpstr>
      <vt:lpstr>Report Sign-Off Block</vt:lpstr>
      <vt:lpstr>Correction Factors</vt:lpstr>
      <vt:lpstr>Analysis of Variance</vt:lpstr>
      <vt:lpstr>Drop-Downs</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Perkins, Travis</cp:lastModifiedBy>
  <cp:lastPrinted>2025-05-06T18:01:36Z</cp:lastPrinted>
  <dcterms:created xsi:type="dcterms:W3CDTF">2003-09-16T13:33:14Z</dcterms:created>
  <dcterms:modified xsi:type="dcterms:W3CDTF">2025-06-11T19:20:31Z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