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showInkAnnotation="0" codeName="ThisWorkbook" autoCompressPictures="0"/>
  <xr:revisionPtr revIDLastSave="0" documentId="8_{3AC0155F-03C6-4FF3-A946-725EC8E0E30D}" xr6:coauthVersionLast="47" xr6:coauthVersionMax="47" xr10:uidLastSave="{00000000-0000-0000-0000-000000000000}"/>
  <bookViews>
    <workbookView xWindow="62775" yWindow="3810" windowWidth="21600" windowHeight="11295" tabRatio="932" activeTab="1" xr2:uid="{00000000-000D-0000-FFFF-FFFF00000000}"/>
  </bookViews>
  <sheets>
    <sheet name="Instructions" sheetId="19" r:id="rId1"/>
    <sheet name="Material Verification" sheetId="18" r:id="rId2"/>
    <sheet name="Extractor Tests Raw Data" sheetId="12" r:id="rId3"/>
    <sheet name="Report Sign-Off Block" sheetId="21" r:id="rId4"/>
    <sheet name="Correction Factors" sheetId="14" r:id="rId5"/>
    <sheet name="Analysis of Variance" sheetId="15" r:id="rId6"/>
    <sheet name="Interaction Plot" sheetId="16" r:id="rId7"/>
    <sheet name="Least Squares Plot" sheetId="17" r:id="rId8"/>
    <sheet name="Drop-Downs" sheetId="22" r:id="rId9"/>
    <sheet name="Version Control" sheetId="20"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8" i="20" l="1"/>
  <c r="C7" i="20"/>
  <c r="C7" i="19" s="1"/>
  <c r="C6" i="20"/>
  <c r="C5" i="20"/>
  <c r="C4" i="20"/>
  <c r="D4" i="18" s="1"/>
  <c r="C8" i="22"/>
  <c r="C7" i="22"/>
  <c r="C6" i="22"/>
  <c r="C5" i="22"/>
  <c r="C4" i="22"/>
  <c r="C43" i="15"/>
  <c r="C42" i="15"/>
  <c r="C41" i="15"/>
  <c r="C40" i="15"/>
  <c r="C39" i="15"/>
  <c r="L16" i="15"/>
  <c r="L15" i="15"/>
  <c r="L14" i="15"/>
  <c r="D13" i="15"/>
  <c r="R27" i="14"/>
  <c r="R26" i="14"/>
  <c r="R25" i="14"/>
  <c r="R24" i="14"/>
  <c r="Q24" i="14"/>
  <c r="I24" i="14"/>
  <c r="G24" i="14"/>
  <c r="E24" i="14"/>
  <c r="C24" i="14"/>
  <c r="R23" i="14"/>
  <c r="I23" i="14"/>
  <c r="G23" i="14"/>
  <c r="E23" i="14"/>
  <c r="C23" i="14"/>
  <c r="D22" i="14" s="1"/>
  <c r="R22" i="14"/>
  <c r="I22" i="14"/>
  <c r="J22" i="14" s="1"/>
  <c r="G22" i="14"/>
  <c r="H22" i="14" s="1"/>
  <c r="E22" i="14"/>
  <c r="F22" i="14" s="1"/>
  <c r="C22" i="14"/>
  <c r="R21" i="14"/>
  <c r="I21" i="14"/>
  <c r="G21" i="14"/>
  <c r="E21" i="14"/>
  <c r="C21" i="14"/>
  <c r="R20" i="14"/>
  <c r="I20" i="14"/>
  <c r="G20" i="14"/>
  <c r="E20" i="14"/>
  <c r="C20" i="14"/>
  <c r="R19" i="14"/>
  <c r="I19" i="14"/>
  <c r="J19" i="14" s="1"/>
  <c r="G19" i="14"/>
  <c r="H19" i="14" s="1"/>
  <c r="E19" i="14"/>
  <c r="F19" i="14" s="1"/>
  <c r="C19" i="14"/>
  <c r="D19" i="14" s="1"/>
  <c r="R18" i="14"/>
  <c r="I18" i="14"/>
  <c r="G18" i="14"/>
  <c r="E18" i="14"/>
  <c r="C18" i="14"/>
  <c r="R17" i="14"/>
  <c r="I17" i="14"/>
  <c r="G17" i="14"/>
  <c r="E17" i="14"/>
  <c r="C17" i="14"/>
  <c r="R16" i="14"/>
  <c r="I16" i="14"/>
  <c r="J16" i="14" s="1"/>
  <c r="G16" i="14"/>
  <c r="H16" i="14" s="1"/>
  <c r="E16" i="14"/>
  <c r="F16" i="14" s="1"/>
  <c r="C16" i="14"/>
  <c r="D16" i="14" s="1"/>
  <c r="R15" i="14"/>
  <c r="I15" i="14"/>
  <c r="G15" i="14"/>
  <c r="E15" i="14"/>
  <c r="C15" i="14"/>
  <c r="R14" i="14"/>
  <c r="I14" i="14"/>
  <c r="G14" i="14"/>
  <c r="E14" i="14"/>
  <c r="C14" i="14"/>
  <c r="R13" i="14"/>
  <c r="J13" i="14"/>
  <c r="L32" i="14" s="1"/>
  <c r="I13" i="14"/>
  <c r="G13" i="14"/>
  <c r="H13" i="14" s="1"/>
  <c r="E13" i="14"/>
  <c r="F13" i="14" s="1"/>
  <c r="C13" i="14"/>
  <c r="D13" i="14" s="1"/>
  <c r="R12" i="14"/>
  <c r="I12" i="14"/>
  <c r="G12" i="14"/>
  <c r="E12" i="14"/>
  <c r="C12" i="14"/>
  <c r="R11" i="14"/>
  <c r="I11" i="14"/>
  <c r="G11" i="14"/>
  <c r="H10" i="14" s="1"/>
  <c r="E11" i="14"/>
  <c r="C11" i="14"/>
  <c r="R10" i="14"/>
  <c r="I10" i="14"/>
  <c r="J10" i="14" s="1"/>
  <c r="G10" i="14"/>
  <c r="E10" i="14"/>
  <c r="F10" i="14" s="1"/>
  <c r="C10" i="14"/>
  <c r="D10" i="14" s="1"/>
  <c r="R9" i="14"/>
  <c r="R8" i="14"/>
  <c r="D17" i="21"/>
  <c r="D16" i="21"/>
  <c r="C8" i="21"/>
  <c r="B8" i="21"/>
  <c r="C7" i="21"/>
  <c r="B7" i="21"/>
  <c r="C6" i="21"/>
  <c r="B6" i="21"/>
  <c r="C5" i="21"/>
  <c r="B5" i="21"/>
  <c r="B4" i="21"/>
  <c r="C3" i="21"/>
  <c r="B3" i="21"/>
  <c r="B2" i="21"/>
  <c r="C16" i="12"/>
  <c r="C4" i="15" s="1"/>
  <c r="C14" i="12"/>
  <c r="D8" i="12"/>
  <c r="B8" i="12"/>
  <c r="B7" i="12"/>
  <c r="D6" i="12"/>
  <c r="B6" i="12"/>
  <c r="D5" i="12"/>
  <c r="B5" i="12"/>
  <c r="D4" i="12"/>
  <c r="B4" i="12"/>
  <c r="D3" i="12"/>
  <c r="B3" i="12"/>
  <c r="B2" i="12"/>
  <c r="AG41" i="18"/>
  <c r="AG40" i="18"/>
  <c r="AG39" i="18"/>
  <c r="AH39" i="18" s="1"/>
  <c r="AG38" i="18"/>
  <c r="AG37" i="18"/>
  <c r="AG36" i="18"/>
  <c r="AH36" i="18" s="1"/>
  <c r="AG35" i="18"/>
  <c r="AG34" i="18"/>
  <c r="AG33" i="18"/>
  <c r="AH33" i="18" s="1"/>
  <c r="AG32" i="18"/>
  <c r="AG31" i="18"/>
  <c r="AG30" i="18"/>
  <c r="AH30" i="18" s="1"/>
  <c r="AG29" i="18"/>
  <c r="AG28" i="18"/>
  <c r="AG27" i="18"/>
  <c r="AH27" i="18" s="1"/>
  <c r="AG26" i="18"/>
  <c r="AG25" i="18"/>
  <c r="AG24" i="18"/>
  <c r="AH24" i="18" s="1"/>
  <c r="AG23" i="18"/>
  <c r="AG22" i="18"/>
  <c r="AG21" i="18"/>
  <c r="AH21" i="18" s="1"/>
  <c r="AG20" i="18"/>
  <c r="AG19" i="18"/>
  <c r="AG18" i="18"/>
  <c r="AH18" i="18" s="1"/>
  <c r="AG17" i="18"/>
  <c r="AG16" i="18"/>
  <c r="AG15" i="18"/>
  <c r="AH15" i="18" s="1"/>
  <c r="AI15" i="18" s="1"/>
  <c r="AJ15" i="18" s="1"/>
  <c r="Z15" i="18"/>
  <c r="T15" i="18"/>
  <c r="N15" i="18"/>
  <c r="H15" i="18"/>
  <c r="D8" i="18"/>
  <c r="B8" i="18"/>
  <c r="D7" i="18"/>
  <c r="B7" i="18"/>
  <c r="D6" i="18"/>
  <c r="B6" i="18"/>
  <c r="D5" i="18"/>
  <c r="B5" i="18"/>
  <c r="B4" i="18"/>
  <c r="D3" i="18"/>
  <c r="B3" i="18"/>
  <c r="B2" i="18"/>
  <c r="B7" i="19"/>
  <c r="C6" i="19"/>
  <c r="B6" i="19"/>
  <c r="C5" i="19"/>
  <c r="B5" i="19"/>
  <c r="B4" i="19"/>
  <c r="C3" i="19"/>
  <c r="B3" i="19"/>
  <c r="B2" i="19"/>
  <c r="D9" i="15" l="1"/>
  <c r="Q23" i="14"/>
  <c r="L31" i="14"/>
  <c r="I32" i="14"/>
  <c r="Q9" i="14"/>
  <c r="D16" i="15"/>
  <c r="Q14" i="14"/>
  <c r="D14" i="15"/>
  <c r="D40" i="15" s="1"/>
  <c r="J32" i="14"/>
  <c r="D25" i="15"/>
  <c r="D43" i="15" s="1"/>
  <c r="L35" i="14"/>
  <c r="Q27" i="14"/>
  <c r="K32" i="14"/>
  <c r="Q19" i="14"/>
  <c r="D15" i="15"/>
  <c r="D28" i="15"/>
  <c r="Q12" i="14"/>
  <c r="I35" i="14"/>
  <c r="Q25" i="14"/>
  <c r="D17" i="15"/>
  <c r="L33" i="14"/>
  <c r="D27" i="15"/>
  <c r="Q22" i="14"/>
  <c r="K35" i="14"/>
  <c r="D8" i="15"/>
  <c r="D38" i="15"/>
  <c r="F12" i="15"/>
  <c r="Q18" i="14"/>
  <c r="D11" i="15"/>
  <c r="K31" i="14"/>
  <c r="Q10" i="14"/>
  <c r="D20" i="15"/>
  <c r="I33" i="14"/>
  <c r="D18" i="15"/>
  <c r="J33" i="14"/>
  <c r="Q15" i="14"/>
  <c r="K33" i="14"/>
  <c r="Q20" i="14"/>
  <c r="D19" i="15"/>
  <c r="Q11" i="14"/>
  <c r="D24" i="15"/>
  <c r="I34" i="14"/>
  <c r="C16" i="18"/>
  <c r="Q16" i="14"/>
  <c r="J34" i="14"/>
  <c r="D22" i="15"/>
  <c r="D12" i="15"/>
  <c r="I31" i="14"/>
  <c r="Q8" i="14"/>
  <c r="Q21" i="14"/>
  <c r="K34" i="14"/>
  <c r="D23" i="15"/>
  <c r="J31" i="14"/>
  <c r="D10" i="15"/>
  <c r="Q13" i="14"/>
  <c r="Q26" i="14"/>
  <c r="L34" i="14"/>
  <c r="D21" i="15"/>
  <c r="D42" i="15" s="1"/>
  <c r="J35" i="14"/>
  <c r="D26" i="15"/>
  <c r="Q17" i="14"/>
  <c r="C4" i="19"/>
  <c r="C4" i="14"/>
  <c r="H28" i="14" s="1"/>
  <c r="D7" i="12"/>
  <c r="C4" i="21"/>
  <c r="Q31" i="14" l="1"/>
  <c r="C21" i="12" s="1"/>
  <c r="Q32" i="14"/>
  <c r="C22" i="12" s="1"/>
  <c r="D41" i="15"/>
  <c r="D31" i="15"/>
  <c r="G15" i="15"/>
  <c r="I15" i="15" s="1"/>
  <c r="D39" i="15"/>
  <c r="D34" i="15"/>
  <c r="G14" i="15"/>
  <c r="D33" i="15"/>
  <c r="I10" i="15" s="1"/>
  <c r="J10" i="15" s="1"/>
  <c r="C5" i="15" s="1"/>
  <c r="C17" i="12" s="1"/>
  <c r="D32" i="15"/>
  <c r="G18" i="15"/>
  <c r="I14" i="15" l="1"/>
  <c r="G16" i="15"/>
  <c r="I16" i="15" l="1"/>
  <c r="G17" i="15"/>
  <c r="I17" i="15" s="1"/>
  <c r="J15" i="15" s="1"/>
  <c r="K15" i="15" s="1"/>
  <c r="J14" i="15" l="1"/>
  <c r="K14" i="15" s="1"/>
  <c r="J16" i="15"/>
  <c r="K16" i="15" s="1"/>
  <c r="I9" i="15" s="1"/>
</calcChain>
</file>

<file path=xl/sharedStrings.xml><?xml version="1.0" encoding="utf-8"?>
<sst xmlns="http://schemas.openxmlformats.org/spreadsheetml/2006/main" count="441" uniqueCount="220">
  <si>
    <t>Lot number</t>
  </si>
  <si>
    <t>SS</t>
  </si>
  <si>
    <t>df</t>
  </si>
  <si>
    <t>MS</t>
  </si>
  <si>
    <t>F</t>
  </si>
  <si>
    <t>P-value</t>
  </si>
  <si>
    <t>F crit</t>
  </si>
  <si>
    <t>Interaction</t>
  </si>
  <si>
    <t>Total</t>
  </si>
  <si>
    <t>Source of Variation</t>
  </si>
  <si>
    <t>Within (error)</t>
  </si>
  <si>
    <t>Slope</t>
  </si>
  <si>
    <t>Intercept</t>
  </si>
  <si>
    <t>RMS Error</t>
  </si>
  <si>
    <t>Lot</t>
  </si>
  <si>
    <t>R square</t>
  </si>
  <si>
    <t>Note: Please do not alter any cells in this worksheet.</t>
  </si>
  <si>
    <t>Tested by:</t>
  </si>
  <si>
    <t>Date:</t>
  </si>
  <si>
    <t>Lot 3</t>
  </si>
  <si>
    <t>Result</t>
  </si>
  <si>
    <t>Dry Wt</t>
  </si>
  <si>
    <t>Wet Wt</t>
  </si>
  <si>
    <t>4 min</t>
  </si>
  <si>
    <t>15 min</t>
  </si>
  <si>
    <t>Batch #</t>
  </si>
  <si>
    <t>% RMC</t>
  </si>
  <si>
    <t>Condition Point</t>
  </si>
  <si>
    <t>Lot 3 RMC standard</t>
  </si>
  <si>
    <t>Standard Lot 3</t>
  </si>
  <si>
    <t>Note: Please enter data only in the blue shaded cells in this worksheet.</t>
  </si>
  <si>
    <t>Lot Acceptable?</t>
  </si>
  <si>
    <t>Roll No.</t>
  </si>
  <si>
    <t>Roll Location</t>
  </si>
  <si>
    <t>Mark "X" if Confirmed</t>
  </si>
  <si>
    <t>Acceptable?</t>
  </si>
  <si>
    <t>Measured Size</t>
  </si>
  <si>
    <t>Mark "X" if Meets Requirement</t>
  </si>
  <si>
    <t>Required Oil Repellency Grade</t>
  </si>
  <si>
    <t>Measured Oil Repellency Grade</t>
  </si>
  <si>
    <t>Maximum Time to Absorb One Drop</t>
  </si>
  <si>
    <t>Measured Time to Absorb One Drop</t>
  </si>
  <si>
    <t>Run No.</t>
  </si>
  <si>
    <t>Bone Dry Weight of Test Load</t>
  </si>
  <si>
    <t>Wet Weight of Test Load</t>
  </si>
  <si>
    <t>RMC% of Each Run</t>
  </si>
  <si>
    <t>Average RMC%</t>
  </si>
  <si>
    <t>Coefficient of Variation</t>
  </si>
  <si>
    <t>First</t>
  </si>
  <si>
    <t>Beginning</t>
  </si>
  <si>
    <t>Test cloth: 22 ± ½ in. by 34 ± ½ in.</t>
  </si>
  <si>
    <t>Grade 0 (Fails Kaydol)</t>
  </si>
  <si>
    <t>On the order of 1 second</t>
  </si>
  <si>
    <t>Laboratory Information</t>
  </si>
  <si>
    <t>Middle</t>
  </si>
  <si>
    <t>Stuffer cloth: 10 ± ¼ in. by 10 ± ¼ in.</t>
  </si>
  <si>
    <t>End</t>
  </si>
  <si>
    <t>Last</t>
  </si>
  <si>
    <r>
      <t>60</t>
    </r>
    <r>
      <rPr>
        <b/>
        <sz val="10"/>
        <color indexed="8"/>
        <rFont val="Arial"/>
        <family val="2"/>
      </rPr>
      <t>⁰F - Cold Bath</t>
    </r>
  </si>
  <si>
    <r>
      <t>100</t>
    </r>
    <r>
      <rPr>
        <b/>
        <sz val="10"/>
        <color indexed="8"/>
        <rFont val="Arial"/>
        <family val="2"/>
      </rPr>
      <t>⁰F - Warm Bath</t>
    </r>
  </si>
  <si>
    <t>Test using 8.4 +/- 0.1 lb of pre-conditioned test cloth.</t>
  </si>
  <si>
    <r>
      <t>100</t>
    </r>
    <r>
      <rPr>
        <b/>
        <sz val="10"/>
        <color indexed="8"/>
        <rFont val="Arial"/>
        <family val="2"/>
      </rPr>
      <t>⁰F - Warm Soak</t>
    </r>
  </si>
  <si>
    <r>
      <t>60</t>
    </r>
    <r>
      <rPr>
        <b/>
        <sz val="10"/>
        <color indexed="8"/>
        <rFont val="Arial"/>
        <family val="2"/>
      </rPr>
      <t>⁰F - Cold Soak</t>
    </r>
  </si>
  <si>
    <t>"g Force"</t>
  </si>
  <si>
    <t>Avg. RMC</t>
  </si>
  <si>
    <t>used for the standard extractor tests, with each load used for half of the total number of required tests in this matrix.</t>
  </si>
  <si>
    <t>Warm Soak</t>
  </si>
  <si>
    <t>Cold Soak</t>
  </si>
  <si>
    <t>Avg. RMC measured</t>
  </si>
  <si>
    <t>100 g</t>
  </si>
  <si>
    <t>200 g</t>
  </si>
  <si>
    <t>350 g</t>
  </si>
  <si>
    <t>500 g</t>
  </si>
  <si>
    <t>650 g</t>
  </si>
  <si>
    <t>Coefficients</t>
  </si>
  <si>
    <t>Lot #</t>
  </si>
  <si>
    <t>(from Analysis of Variance tab)</t>
  </si>
  <si>
    <t>Correction Factors</t>
  </si>
  <si>
    <t>(from Correction Factors tab)</t>
  </si>
  <si>
    <t>A =</t>
  </si>
  <si>
    <t>B =</t>
  </si>
  <si>
    <t>Cold - 4 min - 100g</t>
  </si>
  <si>
    <t>Warm - 4 min - 100g</t>
  </si>
  <si>
    <t>Cold - 15 min - 100g</t>
  </si>
  <si>
    <t>Warm - 15 min - 100g</t>
  </si>
  <si>
    <t>Cold - 4 min - 200g</t>
  </si>
  <si>
    <t>Warm - 4 min - 200g</t>
  </si>
  <si>
    <t>Cold - 15 min - 200g</t>
  </si>
  <si>
    <t>Warm - 15 min - 200g</t>
  </si>
  <si>
    <t>Cold - 4 min - 350g</t>
  </si>
  <si>
    <t>Warm - 4 min - 350g</t>
  </si>
  <si>
    <t>Cold - 15 min - 350g</t>
  </si>
  <si>
    <t>Warm - 15 min - 350g</t>
  </si>
  <si>
    <t>Cold - 4 min - 500g</t>
  </si>
  <si>
    <t>Warm - 4 min - 500g</t>
  </si>
  <si>
    <t>Cold - 15 min - 500g</t>
  </si>
  <si>
    <t>Warm - 15 min - 500g</t>
  </si>
  <si>
    <t>Cold - 4 min - 650g</t>
  </si>
  <si>
    <t>Warm - 4 min - 650g</t>
  </si>
  <si>
    <t>Cold - 15 min - 650g</t>
  </si>
  <si>
    <t>Warm - 15 min - 650g</t>
  </si>
  <si>
    <r>
      <t>Warm 100</t>
    </r>
    <r>
      <rPr>
        <b/>
        <sz val="10"/>
        <rFont val="Calibri"/>
        <family val="2"/>
      </rPr>
      <t>°</t>
    </r>
    <r>
      <rPr>
        <b/>
        <sz val="10"/>
        <rFont val="Arial"/>
        <family val="2"/>
      </rPr>
      <t xml:space="preserve"> F</t>
    </r>
  </si>
  <si>
    <r>
      <t>Cold 60</t>
    </r>
    <r>
      <rPr>
        <b/>
        <sz val="10"/>
        <rFont val="Calibri"/>
        <family val="2"/>
      </rPr>
      <t>°</t>
    </r>
    <r>
      <rPr>
        <b/>
        <sz val="10"/>
        <rFont val="Arial"/>
        <family val="2"/>
      </rPr>
      <t xml:space="preserve"> F</t>
    </r>
  </si>
  <si>
    <t>This spreadsheet checks the interaction of spin speed and lot through an analysis of variance with replication test.</t>
  </si>
  <si>
    <t>Statistical Test</t>
  </si>
  <si>
    <t>Test Procedure Reference</t>
  </si>
  <si>
    <t>Spin speed</t>
  </si>
  <si>
    <t>Conditions</t>
  </si>
  <si>
    <t>RMC averages by spin speed</t>
  </si>
  <si>
    <t>Spin Speed</t>
  </si>
  <si>
    <t>Reference Test Procedure</t>
  </si>
  <si>
    <t>Table of Contents</t>
  </si>
  <si>
    <t>Tab</t>
  </si>
  <si>
    <t>Contents</t>
  </si>
  <si>
    <t>Instructions</t>
  </si>
  <si>
    <t>Instructions and summary of template contents</t>
  </si>
  <si>
    <t>Version Control</t>
  </si>
  <si>
    <t>Revision history</t>
  </si>
  <si>
    <t>Tabs</t>
  </si>
  <si>
    <t>Tabs with input cells</t>
  </si>
  <si>
    <t>Cells</t>
  </si>
  <si>
    <t>Input cell</t>
  </si>
  <si>
    <t>Auto-populated cell</t>
  </si>
  <si>
    <t>Provided data</t>
  </si>
  <si>
    <t>Instructions for Completing this Template</t>
  </si>
  <si>
    <t xml:space="preserve">Follow the steps below, filling in all input cells (shaded light blue) in each tab you are instructed to complete. Using TAB to "hop" from input cell to input cell is useful, but does not ensure that all input cells are reached. To guarantee that you enter all required information, you must visually scan for light blue cells in the entire area bounded by yellow-shaded cells. </t>
  </si>
  <si>
    <t>STEP:</t>
  </si>
  <si>
    <t>FILL IN INPUT CELLS IN THIS TAB:</t>
  </si>
  <si>
    <t>Step 1</t>
  </si>
  <si>
    <t>Step 2</t>
  </si>
  <si>
    <t>Step 3</t>
  </si>
  <si>
    <t>Report Sign-off Block</t>
  </si>
  <si>
    <t>Title Block</t>
  </si>
  <si>
    <t>Test Report Template Name:</t>
  </si>
  <si>
    <t>Version Number:</t>
  </si>
  <si>
    <t xml:space="preserve">Latest Template Revision: </t>
  </si>
  <si>
    <t>Tab Name:</t>
  </si>
  <si>
    <t>File Name:</t>
  </si>
  <si>
    <t xml:space="preserve">Test Completion Date: </t>
  </si>
  <si>
    <t>Revisions List</t>
  </si>
  <si>
    <t>Version</t>
  </si>
  <si>
    <t>Date</t>
  </si>
  <si>
    <t xml:space="preserve">Test Cloth Correction Factors </t>
  </si>
  <si>
    <t>v1.0</t>
  </si>
  <si>
    <t>Lab information, lot number, test results from pre-qualification tests</t>
  </si>
  <si>
    <t>Extractor Tests Raw Data</t>
  </si>
  <si>
    <t>Lab information, lot number, test results from extractor tests</t>
  </si>
  <si>
    <t>Calculates A and B correlation coefficients</t>
  </si>
  <si>
    <t>Analysis of Variance</t>
  </si>
  <si>
    <t>Determines acceptability of test cloth lot based on statistical analysis of results</t>
  </si>
  <si>
    <t>Interaction Plot</t>
  </si>
  <si>
    <t>Plots RMC vs. g-Force for standard lot 3 and the lot under test</t>
  </si>
  <si>
    <t>Least Squares Plot</t>
  </si>
  <si>
    <t>Plots RMC values of standard lot 3 vs. lot under test</t>
  </si>
  <si>
    <t>Back to Instructions tab</t>
  </si>
  <si>
    <t>Test Report Sign-Off Block</t>
  </si>
  <si>
    <t xml:space="preserve">By signing in the space below, 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</si>
  <si>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Role</t>
  </si>
  <si>
    <t>Entity</t>
  </si>
  <si>
    <t>Template Population</t>
  </si>
  <si>
    <t>Report Review by Test Lab</t>
  </si>
  <si>
    <t>Extractor Test Completion</t>
  </si>
  <si>
    <r>
      <rPr>
        <b/>
        <sz val="11"/>
        <rFont val="Palatino Linotype"/>
        <family val="1"/>
      </rPr>
      <t xml:space="preserve">Important: </t>
    </r>
    <r>
      <rPr>
        <sz val="11"/>
        <rFont val="Palatino Linotype"/>
        <family val="1"/>
      </rPr>
      <t>Start with a clean (unused) template copy for each new report. Enter only data and information that are unique to the new lot under test.</t>
    </r>
  </si>
  <si>
    <t>Legend</t>
  </si>
  <si>
    <t>Report Sign-Off Block</t>
  </si>
  <si>
    <t>Report review history</t>
  </si>
  <si>
    <t>v2.0</t>
  </si>
  <si>
    <t>v2.1</t>
  </si>
  <si>
    <t>10 CFR 430 Subpart B Appendix J3:  Uniform Test Method for Measuring the Moisture Absorption and Retention Characteristics of New Energy Test Cloth Lots</t>
  </si>
  <si>
    <t>Distribution of Sample Loads</t>
  </si>
  <si>
    <t>Size Specifications</t>
  </si>
  <si>
    <t>AATCC 118-2007 Oil Repellency</t>
  </si>
  <si>
    <t>AATCC 79-2010 Absorbency of Textiles</t>
  </si>
  <si>
    <t>Required Size (hemmed)</t>
  </si>
  <si>
    <t>1 cloth from Roll No.</t>
  </si>
  <si>
    <t>Table 3.1  Matrix of Extractor RMC Test Conditions</t>
  </si>
  <si>
    <t>Table 3.1  Matrix of Extractor RMC test conditions</t>
  </si>
  <si>
    <t>Table 6.1 - Standard RMC Values (Lot #3)</t>
  </si>
  <si>
    <t>Variance of Test Load RMC Measurements with 60°F Soak, 15 Min. Spin @ 350g</t>
  </si>
  <si>
    <t>v2.2</t>
  </si>
  <si>
    <t>See 10 CFR 430 Subpart B Appendix J3, section 7.1.2</t>
  </si>
  <si>
    <t>See 10 CFR 430 Subpart B Appendix J3, section 7.1.3</t>
  </si>
  <si>
    <t>See 10 CFR 430 Subpart B Appendix J3, section 7.1.1</t>
  </si>
  <si>
    <t>See 10 CFR 430 Subpart B Appendix J3, section 7.2</t>
  </si>
  <si>
    <t>Batch # corresponds to the 8.4 lb load bundle(s) used for testing. Per section 8.2 of Appendix J3, two test loads may be</t>
  </si>
  <si>
    <t>Test Cloth Material Verification Test Completion</t>
  </si>
  <si>
    <t>Material Verification</t>
  </si>
  <si>
    <t>This spreadsheet calculates the linear least-squares fit to the standard RMC values per section 8.7 of Appendix J3.</t>
  </si>
  <si>
    <t>v2.3</t>
  </si>
  <si>
    <t>Coefficients of the Least Squares Fit</t>
  </si>
  <si>
    <t>Acceptance criteria</t>
  </si>
  <si>
    <t>v2.4</t>
  </si>
  <si>
    <t>Section 8.9 (App J3)</t>
  </si>
  <si>
    <t>Root Mean Square Error</t>
  </si>
  <si>
    <t>RMSE ≤ 0.012</t>
  </si>
  <si>
    <t>Cloth Type:</t>
  </si>
  <si>
    <t>Spin Speed-Lot Interaction (P-value)</t>
  </si>
  <si>
    <t>Statistical Analysis</t>
  </si>
  <si>
    <t>Section 8.8 (2022 App J3)</t>
  </si>
  <si>
    <t>Cloth Type</t>
  </si>
  <si>
    <t>Legacy Momie Cloth</t>
  </si>
  <si>
    <t>Modified AATCC Laundering Ballast Type 3</t>
  </si>
  <si>
    <t>Location:</t>
  </si>
  <si>
    <t>Lot Number:</t>
  </si>
  <si>
    <t>Note: P-value is not used to determine acceptability of lot.</t>
  </si>
  <si>
    <t>v2.5</t>
  </si>
  <si>
    <t>026B</t>
  </si>
  <si>
    <t>UL Verification Services Inc. (Newton) Laboratory</t>
  </si>
  <si>
    <t>TL &amp; LB</t>
  </si>
  <si>
    <t>X</t>
  </si>
  <si>
    <t>4/23/2025-4/25/2025</t>
  </si>
  <si>
    <t>21.9375 x  34.0625</t>
  </si>
  <si>
    <t>22.000 x  34.0625</t>
  </si>
  <si>
    <t>10.000 x 10.000</t>
  </si>
  <si>
    <t>9.875 x 10.000</t>
  </si>
  <si>
    <t>10.125 x 10.000</t>
  </si>
  <si>
    <t>22.000 x 34.125</t>
  </si>
  <si>
    <t>XX</t>
  </si>
  <si>
    <t>ZZ</t>
  </si>
  <si>
    <t>4/28/2025-5/5/25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</si>
</sst>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0"/>
    <numFmt numFmtId="166" formatCode="0.0%"/>
    <numFmt numFmtId="167" formatCode="0.0"/>
  </numFmts>
  <fonts count="34" x14ac:knownFonts="1">
    <font>
      <sz val="10"/>
      <name val="Arial"/>
    </font>
    <font>
      <sz val="11"/>
      <color theme="1"/>
      <name val="Calibri"/>
      <family val="2"/>
      <scheme val="minor"/>
    </font>
    <font>
      <sz val="10"/>
      <name val="Arial"/>
      <family val="2"/>
    </font>
    <font>
      <b/>
      <sz val="10"/>
      <name val="Arial"/>
      <family val="2"/>
    </font>
    <font>
      <sz val="10"/>
      <name val="Arial"/>
      <family val="2"/>
    </font>
    <font>
      <b/>
      <sz val="12"/>
      <name val="Arial"/>
      <family val="2"/>
    </font>
    <font>
      <sz val="12"/>
      <name val="Arial"/>
      <family val="2"/>
    </font>
    <font>
      <b/>
      <sz val="11"/>
      <name val="Arial"/>
      <family val="2"/>
    </font>
    <font>
      <b/>
      <sz val="14"/>
      <name val="Arial"/>
      <family val="2"/>
    </font>
    <font>
      <i/>
      <sz val="9"/>
      <name val="Arial"/>
      <family val="2"/>
    </font>
    <font>
      <sz val="10"/>
      <color indexed="9"/>
      <name val="Arial"/>
      <family val="2"/>
    </font>
    <font>
      <sz val="10"/>
      <color theme="1"/>
      <name val="Arial"/>
      <family val="2"/>
    </font>
    <font>
      <b/>
      <sz val="14"/>
      <color rgb="FFFF0000"/>
      <name val="Arial"/>
      <family val="2"/>
    </font>
    <font>
      <b/>
      <sz val="12"/>
      <color rgb="FFFF0000"/>
      <name val="Arial"/>
      <family val="2"/>
    </font>
    <font>
      <b/>
      <sz val="10"/>
      <color rgb="FFFF0000"/>
      <name val="Arial"/>
      <family val="2"/>
    </font>
    <font>
      <b/>
      <sz val="10"/>
      <color indexed="8"/>
      <name val="Arial"/>
      <family val="2"/>
    </font>
    <font>
      <b/>
      <sz val="10"/>
      <name val="Calibri"/>
      <family val="2"/>
    </font>
    <font>
      <sz val="11"/>
      <color theme="0"/>
      <name val="Calibri"/>
      <family val="2"/>
      <scheme val="minor"/>
    </font>
    <font>
      <sz val="11"/>
      <color theme="1"/>
      <name val="Palatino Linotype"/>
      <family val="2"/>
    </font>
    <font>
      <sz val="11"/>
      <name val="Palatino Linotype"/>
      <family val="1"/>
    </font>
    <font>
      <b/>
      <sz val="11"/>
      <name val="Palatino Linotype"/>
      <family val="2"/>
    </font>
    <font>
      <sz val="11"/>
      <color theme="1"/>
      <name val="Palatino Linotype"/>
      <family val="1"/>
    </font>
    <font>
      <sz val="11"/>
      <color rgb="FF000000"/>
      <name val="Palatino Linotype"/>
      <family val="1"/>
    </font>
    <font>
      <u/>
      <sz val="11"/>
      <color theme="10"/>
      <name val="Palatino Linotype"/>
      <family val="2"/>
    </font>
    <font>
      <b/>
      <sz val="11"/>
      <color theme="1"/>
      <name val="Palatino Linotype"/>
      <family val="1"/>
    </font>
    <font>
      <sz val="11"/>
      <color theme="0"/>
      <name val="Palatino Linotype"/>
      <family val="1"/>
    </font>
    <font>
      <b/>
      <sz val="12"/>
      <name val="Palatino Linotype"/>
      <family val="1"/>
    </font>
    <font>
      <b/>
      <sz val="11"/>
      <name val="Palatino Linotype"/>
      <family val="1"/>
    </font>
    <font>
      <b/>
      <sz val="14"/>
      <name val="Palatino Linotype"/>
      <family val="1"/>
    </font>
    <font>
      <sz val="11"/>
      <color rgb="FF000000"/>
      <name val="Palatino Linotype"/>
      <family val="2"/>
    </font>
    <font>
      <sz val="11"/>
      <name val="Palatino Linotype"/>
      <family val="2"/>
    </font>
    <font>
      <i/>
      <sz val="10"/>
      <name val="Arial"/>
      <family val="2"/>
    </font>
    <font>
      <b/>
      <sz val="10"/>
      <color theme="1"/>
      <name val="Palatino Linotype"/>
      <family val="1"/>
    </font>
    <font>
      <sz val="10"/>
      <color theme="1"/>
      <name val="Palatino Linotype"/>
      <family val="1"/>
    </font>
  </fonts>
  <fills count="18">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5" tint="0.79998168889431442"/>
        <bgColor indexed="64"/>
      </patternFill>
    </fill>
    <fill>
      <patternFill patternType="solid">
        <fgColor theme="0"/>
        <bgColor indexed="64"/>
      </patternFill>
    </fill>
    <fill>
      <patternFill patternType="solid">
        <fgColor theme="4" tint="0.59999389629810485"/>
        <bgColor indexed="65"/>
      </patternFill>
    </fill>
    <fill>
      <patternFill patternType="solid">
        <fgColor theme="5" tint="0.39997558519241921"/>
        <bgColor indexed="65"/>
      </patternFill>
    </fill>
    <fill>
      <patternFill patternType="solid">
        <fgColor rgb="FFFFFF00"/>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rgb="FF0066CC"/>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5" tint="0.59999389629810485"/>
        <bgColor indexed="64"/>
      </patternFill>
    </fill>
    <fill>
      <patternFill patternType="solid">
        <fgColor rgb="FFFFFFCC"/>
        <bgColor indexed="64"/>
      </patternFill>
    </fill>
    <fill>
      <patternFill patternType="solid">
        <fgColor theme="4" tint="0.59996337778862885"/>
        <bgColor indexed="64"/>
      </patternFill>
    </fill>
    <fill>
      <patternFill patternType="lightUp">
        <bgColor theme="0" tint="-0.14996795556505021"/>
      </patternFill>
    </fill>
  </fills>
  <borders count="13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diagonal/>
    </border>
    <border>
      <left/>
      <right/>
      <top/>
      <bottom style="medium">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top/>
      <bottom style="thin">
        <color auto="1"/>
      </bottom>
      <diagonal/>
    </border>
    <border>
      <left style="medium">
        <color auto="1"/>
      </left>
      <right style="medium">
        <color auto="1"/>
      </right>
      <top/>
      <bottom style="thin">
        <color auto="1"/>
      </bottom>
      <diagonal/>
    </border>
    <border>
      <left/>
      <right/>
      <top style="medium">
        <color auto="1"/>
      </top>
      <bottom style="thin">
        <color auto="1"/>
      </bottom>
      <diagonal/>
    </border>
    <border>
      <left/>
      <right/>
      <top style="thin">
        <color auto="1"/>
      </top>
      <bottom style="thin">
        <color auto="1"/>
      </bottom>
      <diagonal/>
    </border>
    <border>
      <left/>
      <right/>
      <top style="thin">
        <color auto="1"/>
      </top>
      <bottom style="medium">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right/>
      <top style="thin">
        <color auto="1"/>
      </top>
      <bottom/>
      <diagonal/>
    </border>
    <border>
      <left style="thin">
        <color auto="1"/>
      </left>
      <right style="medium">
        <color auto="1"/>
      </right>
      <top style="thin">
        <color auto="1"/>
      </top>
      <bottom/>
      <diagonal/>
    </border>
    <border>
      <left style="medium">
        <color auto="1"/>
      </left>
      <right style="medium">
        <color auto="1"/>
      </right>
      <top style="medium">
        <color auto="1"/>
      </top>
      <bottom/>
      <diagonal/>
    </border>
    <border>
      <left/>
      <right style="medium">
        <color auto="1"/>
      </right>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top style="medium">
        <color auto="1"/>
      </top>
      <bottom/>
      <diagonal/>
    </border>
    <border>
      <left style="thin">
        <color auto="1"/>
      </left>
      <right style="thin">
        <color auto="1"/>
      </right>
      <top/>
      <bottom style="thin">
        <color auto="1"/>
      </bottom>
      <diagonal/>
    </border>
    <border>
      <left/>
      <right style="thin">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medium">
        <color auto="1"/>
      </right>
      <top/>
      <bottom/>
      <diagonal/>
    </border>
    <border>
      <left style="thin">
        <color auto="1"/>
      </left>
      <right style="medium">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thin">
        <color auto="1"/>
      </right>
      <top style="medium">
        <color indexed="64"/>
      </top>
      <bottom style="thin">
        <color auto="1"/>
      </bottom>
      <diagonal/>
    </border>
    <border>
      <left/>
      <right style="medium">
        <color indexed="64"/>
      </right>
      <top style="medium">
        <color indexed="64"/>
      </top>
      <bottom/>
      <diagonal/>
    </border>
    <border>
      <left style="thin">
        <color auto="1"/>
      </left>
      <right/>
      <top style="medium">
        <color indexed="64"/>
      </top>
      <bottom style="thin">
        <color auto="1"/>
      </bottom>
      <diagonal/>
    </border>
    <border>
      <left style="thin">
        <color auto="1"/>
      </left>
      <right style="medium">
        <color indexed="64"/>
      </right>
      <top style="medium">
        <color indexed="64"/>
      </top>
      <bottom/>
      <diagonal/>
    </border>
    <border>
      <left/>
      <right/>
      <top style="medium">
        <color indexed="64"/>
      </top>
      <bottom/>
      <diagonal/>
    </border>
    <border>
      <left style="medium">
        <color indexed="64"/>
      </left>
      <right/>
      <top style="thin">
        <color auto="1"/>
      </top>
      <bottom/>
      <diagonal/>
    </border>
    <border>
      <left style="thin">
        <color auto="1"/>
      </left>
      <right style="thin">
        <color auto="1"/>
      </right>
      <top style="thin">
        <color auto="1"/>
      </top>
      <bottom style="medium">
        <color indexed="64"/>
      </bottom>
      <diagonal/>
    </border>
    <border>
      <left style="thin">
        <color auto="1"/>
      </left>
      <right style="thin">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auto="1"/>
      </right>
      <top/>
      <bottom/>
      <diagonal/>
    </border>
    <border>
      <left/>
      <right style="thin">
        <color auto="1"/>
      </right>
      <top/>
      <bottom style="medium">
        <color indexed="64"/>
      </bottom>
      <diagonal/>
    </border>
    <border>
      <left style="medium">
        <color indexed="64"/>
      </left>
      <right style="thin">
        <color theme="0" tint="-0.249977111117893"/>
      </right>
      <top/>
      <bottom style="thin">
        <color theme="0" tint="-0.249977111117893"/>
      </bottom>
      <diagonal/>
    </border>
    <border>
      <left style="thin">
        <color theme="0" tint="-0.249977111117893"/>
      </left>
      <right style="medium">
        <color indexed="64"/>
      </right>
      <top/>
      <bottom style="thin">
        <color theme="0" tint="-0.249977111117893"/>
      </bottom>
      <diagonal/>
    </border>
    <border>
      <left style="medium">
        <color indexed="64"/>
      </left>
      <right style="thin">
        <color theme="0" tint="-0.249977111117893"/>
      </right>
      <top style="thin">
        <color theme="0" tint="-0.249977111117893"/>
      </top>
      <bottom style="thin">
        <color theme="0" tint="-0.249977111117893"/>
      </bottom>
      <diagonal/>
    </border>
    <border>
      <left style="thin">
        <color theme="0" tint="-0.249977111117893"/>
      </left>
      <right style="medium">
        <color indexed="64"/>
      </right>
      <top style="thin">
        <color theme="0" tint="-0.249977111117893"/>
      </top>
      <bottom style="thin">
        <color theme="0" tint="-0.249977111117893"/>
      </bottom>
      <diagonal/>
    </border>
    <border>
      <left style="medium">
        <color indexed="64"/>
      </left>
      <right style="thin">
        <color theme="0" tint="-0.249977111117893"/>
      </right>
      <top style="thin">
        <color theme="0" tint="-0.249977111117893"/>
      </top>
      <bottom style="medium">
        <color indexed="64"/>
      </bottom>
      <diagonal/>
    </border>
    <border>
      <left style="thin">
        <color theme="0" tint="-0.249977111117893"/>
      </left>
      <right style="medium">
        <color indexed="64"/>
      </right>
      <top style="thin">
        <color theme="0" tint="-0.249977111117893"/>
      </top>
      <bottom style="medium">
        <color indexed="64"/>
      </bottom>
      <diagonal/>
    </border>
    <border>
      <left style="medium">
        <color indexed="64"/>
      </left>
      <right style="thin">
        <color indexed="64"/>
      </right>
      <top/>
      <bottom style="thin">
        <color theme="0" tint="-0.249977111117893"/>
      </bottom>
      <diagonal/>
    </border>
    <border>
      <left style="thin">
        <color indexed="64"/>
      </left>
      <right style="medium">
        <color indexed="64"/>
      </right>
      <top/>
      <bottom style="thin">
        <color theme="0" tint="-0.249977111117893"/>
      </bottom>
      <diagonal/>
    </border>
    <border>
      <left style="medium">
        <color indexed="64"/>
      </left>
      <right style="thin">
        <color indexed="64"/>
      </right>
      <top style="thin">
        <color theme="0" tint="-0.249977111117893"/>
      </top>
      <bottom style="thin">
        <color theme="0" tint="-0.249977111117893"/>
      </bottom>
      <diagonal/>
    </border>
    <border>
      <left style="thin">
        <color indexed="64"/>
      </left>
      <right style="medium">
        <color indexed="64"/>
      </right>
      <top style="thin">
        <color theme="0" tint="-0.249977111117893"/>
      </top>
      <bottom style="thin">
        <color theme="0" tint="-0.249977111117893"/>
      </bottom>
      <diagonal/>
    </border>
    <border>
      <left style="medium">
        <color indexed="64"/>
      </left>
      <right style="thin">
        <color indexed="64"/>
      </right>
      <top style="thin">
        <color theme="0" tint="-0.249977111117893"/>
      </top>
      <bottom style="medium">
        <color indexed="64"/>
      </bottom>
      <diagonal/>
    </border>
    <border>
      <left style="thin">
        <color indexed="64"/>
      </left>
      <right style="medium">
        <color indexed="64"/>
      </right>
      <top style="thin">
        <color theme="0" tint="-0.249977111117893"/>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theme="0" tint="-0.14996795556505021"/>
      </bottom>
      <diagonal/>
    </border>
    <border>
      <left style="thin">
        <color indexed="64"/>
      </left>
      <right style="medium">
        <color indexed="64"/>
      </right>
      <top style="medium">
        <color indexed="64"/>
      </top>
      <bottom style="thin">
        <color theme="0" tint="-0.14996795556505021"/>
      </bottom>
      <diagonal/>
    </border>
    <border>
      <left style="medium">
        <color indexed="64"/>
      </left>
      <right/>
      <top style="thin">
        <color theme="0" tint="-0.14996795556505021"/>
      </top>
      <bottom style="thin">
        <color theme="0" tint="-0.14996795556505021"/>
      </bottom>
      <diagonal/>
    </border>
    <border>
      <left style="thin">
        <color indexed="64"/>
      </left>
      <right style="medium">
        <color indexed="64"/>
      </right>
      <top style="thin">
        <color theme="0" tint="-0.14996795556505021"/>
      </top>
      <bottom style="thin">
        <color theme="0" tint="-0.14996795556505021"/>
      </bottom>
      <diagonal/>
    </border>
    <border>
      <left style="medium">
        <color indexed="64"/>
      </left>
      <right/>
      <top style="thin">
        <color theme="0" tint="-0.14996795556505021"/>
      </top>
      <bottom style="medium">
        <color indexed="64"/>
      </bottom>
      <diagonal/>
    </border>
    <border>
      <left style="thin">
        <color indexed="64"/>
      </left>
      <right style="medium">
        <color indexed="64"/>
      </right>
      <top style="thin">
        <color theme="0" tint="-0.14996795556505021"/>
      </top>
      <bottom style="medium">
        <color indexed="64"/>
      </bottom>
      <diagonal/>
    </border>
    <border>
      <left style="medium">
        <color indexed="64"/>
      </left>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diagonal/>
    </border>
    <border>
      <left style="thin">
        <color theme="0" tint="-0.24994659260841701"/>
      </left>
      <right style="medium">
        <color indexed="64"/>
      </right>
      <top style="thin">
        <color theme="0" tint="-0.24994659260841701"/>
      </top>
      <bottom/>
      <diagonal/>
    </border>
    <border>
      <left style="medium">
        <color indexed="64"/>
      </left>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style="thin">
        <color theme="0" tint="-0.249977111117893"/>
      </right>
      <top style="thin">
        <color theme="0" tint="-0.249977111117893"/>
      </top>
      <bottom/>
      <diagonal/>
    </border>
    <border>
      <left style="thin">
        <color theme="0" tint="-0.249977111117893"/>
      </left>
      <right style="medium">
        <color indexed="64"/>
      </right>
      <top style="thin">
        <color theme="0" tint="-0.249977111117893"/>
      </top>
      <bottom/>
      <diagonal/>
    </border>
    <border>
      <left/>
      <right style="thin">
        <color indexed="64"/>
      </right>
      <top style="medium">
        <color indexed="64"/>
      </top>
      <bottom style="thin">
        <color indexed="64"/>
      </bottom>
      <diagonal/>
    </border>
    <border>
      <left style="medium">
        <color indexed="64"/>
      </left>
      <right/>
      <top style="thin">
        <color indexed="64"/>
      </top>
      <bottom style="thin">
        <color theme="0" tint="-0.249977111117893"/>
      </bottom>
      <diagonal/>
    </border>
    <border>
      <left/>
      <right style="thin">
        <color indexed="64"/>
      </right>
      <top style="thin">
        <color indexed="64"/>
      </top>
      <bottom style="thin">
        <color theme="0" tint="-0.249977111117893"/>
      </bottom>
      <diagonal/>
    </border>
    <border>
      <left style="medium">
        <color indexed="64"/>
      </left>
      <right/>
      <top style="thin">
        <color theme="0" tint="-0.249977111117893"/>
      </top>
      <bottom style="thin">
        <color theme="0" tint="-0.249977111117893"/>
      </bottom>
      <diagonal/>
    </border>
    <border>
      <left/>
      <right style="thin">
        <color indexed="64"/>
      </right>
      <top style="thin">
        <color theme="0" tint="-0.249977111117893"/>
      </top>
      <bottom style="thin">
        <color theme="0" tint="-0.249977111117893"/>
      </bottom>
      <diagonal/>
    </border>
    <border>
      <left style="medium">
        <color indexed="64"/>
      </left>
      <right/>
      <top style="thin">
        <color theme="0" tint="-0.249977111117893"/>
      </top>
      <bottom style="medium">
        <color indexed="64"/>
      </bottom>
      <diagonal/>
    </border>
    <border>
      <left/>
      <right style="thin">
        <color indexed="64"/>
      </right>
      <top style="thin">
        <color theme="0" tint="-0.249977111117893"/>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medium">
        <color indexed="64"/>
      </bottom>
      <diagonal/>
    </border>
    <border>
      <left style="thin">
        <color auto="1"/>
      </left>
      <right style="thin">
        <color auto="1"/>
      </right>
      <top style="medium">
        <color indexed="64"/>
      </top>
      <bottom style="medium">
        <color indexed="64"/>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indexed="64"/>
      </bottom>
      <diagonal/>
    </border>
    <border>
      <left style="medium">
        <color indexed="64"/>
      </left>
      <right/>
      <top style="medium">
        <color auto="1"/>
      </top>
      <bottom style="thin">
        <color theme="0" tint="-0.249977111117893"/>
      </bottom>
      <diagonal/>
    </border>
    <border>
      <left/>
      <right style="thin">
        <color theme="0" tint="-0.249977111117893"/>
      </right>
      <top style="medium">
        <color auto="1"/>
      </top>
      <bottom style="thin">
        <color theme="0" tint="-0.249977111117893"/>
      </bottom>
      <diagonal/>
    </border>
    <border>
      <left style="thin">
        <color theme="0" tint="-0.249977111117893"/>
      </left>
      <right/>
      <top style="medium">
        <color auto="1"/>
      </top>
      <bottom style="thin">
        <color theme="0" tint="-0.249977111117893"/>
      </bottom>
      <diagonal/>
    </border>
    <border>
      <left/>
      <right/>
      <top style="medium">
        <color auto="1"/>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medium">
        <color indexed="64"/>
      </bottom>
      <diagonal/>
    </border>
    <border>
      <left/>
      <right/>
      <top style="thin">
        <color theme="0" tint="-0.249977111117893"/>
      </top>
      <bottom style="medium">
        <color indexed="64"/>
      </bottom>
      <diagonal/>
    </border>
    <border>
      <left/>
      <right style="medium">
        <color indexed="64"/>
      </right>
      <top style="medium">
        <color auto="1"/>
      </top>
      <bottom style="thin">
        <color theme="0" tint="-0.249977111117893"/>
      </bottom>
      <diagonal/>
    </border>
    <border>
      <left/>
      <right style="medium">
        <color indexed="64"/>
      </right>
      <top style="thin">
        <color theme="0" tint="-0.249977111117893"/>
      </top>
      <bottom style="thin">
        <color theme="0" tint="-0.249977111117893"/>
      </bottom>
      <diagonal/>
    </border>
    <border>
      <left/>
      <right style="medium">
        <color indexed="64"/>
      </right>
      <top style="thin">
        <color theme="0" tint="-0.249977111117893"/>
      </top>
      <bottom style="medium">
        <color indexed="64"/>
      </bottom>
      <diagonal/>
    </border>
    <border>
      <left style="thin">
        <color indexed="64"/>
      </left>
      <right style="medium">
        <color indexed="64"/>
      </right>
      <top style="thin">
        <color theme="0" tint="-0.24994659260841701"/>
      </top>
      <bottom style="thin">
        <color theme="0" tint="-0.24994659260841701"/>
      </bottom>
      <diagonal/>
    </border>
    <border>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medium">
        <color auto="1"/>
      </right>
      <top style="medium">
        <color indexed="64"/>
      </top>
      <bottom style="thin">
        <color auto="1"/>
      </bottom>
      <diagonal/>
    </border>
    <border>
      <left/>
      <right style="medium">
        <color indexed="64"/>
      </right>
      <top style="medium">
        <color indexed="64"/>
      </top>
      <bottom style="thin">
        <color auto="1"/>
      </bottom>
      <diagonal/>
    </border>
  </borders>
  <cellStyleXfs count="11">
    <xf numFmtId="0" fontId="0" fillId="0" borderId="0"/>
    <xf numFmtId="9" fontId="2" fillId="0" borderId="0" applyFont="0" applyFill="0" applyBorder="0" applyAlignment="0" applyProtection="0"/>
    <xf numFmtId="0" fontId="2" fillId="0" borderId="0"/>
    <xf numFmtId="0" fontId="1" fillId="6" borderId="0" applyNumberFormat="0" applyBorder="0" applyAlignment="0" applyProtection="0"/>
    <xf numFmtId="0" fontId="17" fillId="7" borderId="0" applyNumberFormat="0" applyBorder="0" applyAlignment="0" applyProtection="0"/>
    <xf numFmtId="0" fontId="18" fillId="0" borderId="0"/>
    <xf numFmtId="0" fontId="20" fillId="9" borderId="0" applyNumberFormat="0" applyBorder="0" applyProtection="0">
      <alignment horizontal="left" vertical="center"/>
    </xf>
    <xf numFmtId="0" fontId="23" fillId="0" borderId="0" applyNumberFormat="0" applyFill="0" applyBorder="0" applyAlignment="0" applyProtection="0">
      <alignment vertical="top"/>
      <protection locked="0"/>
    </xf>
    <xf numFmtId="0" fontId="1" fillId="0" borderId="0"/>
    <xf numFmtId="0" fontId="18" fillId="0" borderId="0"/>
    <xf numFmtId="0" fontId="30" fillId="16" borderId="1" applyNumberFormat="0" applyProtection="0">
      <alignment horizontal="center" vertical="center"/>
    </xf>
  </cellStyleXfs>
  <cellXfs count="452">
    <xf numFmtId="0" fontId="0" fillId="0" borderId="0" xfId="0"/>
    <xf numFmtId="2" fontId="0" fillId="0" borderId="0" xfId="0" applyNumberFormat="1"/>
    <xf numFmtId="2" fontId="0" fillId="0" borderId="0" xfId="0" applyNumberFormat="1" applyAlignment="1">
      <alignment horizontal="right"/>
    </xf>
    <xf numFmtId="0" fontId="4" fillId="0" borderId="0" xfId="0" applyFont="1"/>
    <xf numFmtId="0" fontId="4" fillId="0" borderId="0" xfId="0" applyFont="1" applyAlignment="1">
      <alignment horizontal="left"/>
    </xf>
    <xf numFmtId="0" fontId="8" fillId="0" borderId="0" xfId="0" applyFont="1"/>
    <xf numFmtId="0" fontId="9" fillId="0" borderId="0" xfId="0" applyFont="1" applyAlignment="1">
      <alignment horizontal="right"/>
    </xf>
    <xf numFmtId="0" fontId="10" fillId="0" borderId="0" xfId="0" applyFont="1"/>
    <xf numFmtId="0" fontId="3" fillId="0" borderId="0" xfId="0" applyFont="1"/>
    <xf numFmtId="164" fontId="4" fillId="0" borderId="0" xfId="0" applyNumberFormat="1" applyFont="1"/>
    <xf numFmtId="0" fontId="13" fillId="0" borderId="0" xfId="2" applyFont="1"/>
    <xf numFmtId="0" fontId="2" fillId="0" borderId="0" xfId="2"/>
    <xf numFmtId="0" fontId="5" fillId="2" borderId="53" xfId="2" applyFont="1" applyFill="1" applyBorder="1"/>
    <xf numFmtId="0" fontId="5" fillId="3" borderId="53" xfId="2" applyFont="1" applyFill="1" applyBorder="1" applyAlignment="1">
      <alignment horizontal="centerContinuous" vertical="center"/>
    </xf>
    <xf numFmtId="0" fontId="6" fillId="3" borderId="55" xfId="2" applyFont="1" applyFill="1" applyBorder="1" applyAlignment="1">
      <alignment horizontal="centerContinuous" vertical="center"/>
    </xf>
    <xf numFmtId="0" fontId="6" fillId="3" borderId="54" xfId="2" applyFont="1" applyFill="1" applyBorder="1" applyAlignment="1">
      <alignment horizontal="centerContinuous" vertical="center"/>
    </xf>
    <xf numFmtId="0" fontId="6" fillId="3" borderId="56" xfId="2" applyFont="1" applyFill="1" applyBorder="1" applyAlignment="1">
      <alignment horizontal="centerContinuous" vertical="center"/>
    </xf>
    <xf numFmtId="0" fontId="6" fillId="3" borderId="57" xfId="2" applyFont="1" applyFill="1" applyBorder="1" applyAlignment="1">
      <alignment horizontal="centerContinuous" vertical="center"/>
    </xf>
    <xf numFmtId="0" fontId="6" fillId="3" borderId="58" xfId="2" applyFont="1" applyFill="1" applyBorder="1" applyAlignment="1">
      <alignment horizontal="centerContinuous" vertical="center"/>
    </xf>
    <xf numFmtId="0" fontId="6" fillId="3" borderId="59" xfId="2" applyFont="1" applyFill="1" applyBorder="1" applyAlignment="1">
      <alignment horizontal="centerContinuous" vertical="center"/>
    </xf>
    <xf numFmtId="0" fontId="5" fillId="2" borderId="8" xfId="2" applyFont="1" applyFill="1" applyBorder="1" applyAlignment="1">
      <alignment vertical="center"/>
    </xf>
    <xf numFmtId="166" fontId="12" fillId="4" borderId="9" xfId="2" applyNumberFormat="1" applyFont="1" applyFill="1" applyBorder="1" applyAlignment="1">
      <alignment horizontal="center" vertical="center"/>
    </xf>
    <xf numFmtId="0" fontId="3" fillId="2" borderId="6" xfId="2" applyFont="1" applyFill="1" applyBorder="1" applyAlignment="1">
      <alignment horizontal="center" vertical="center"/>
    </xf>
    <xf numFmtId="0" fontId="3" fillId="2" borderId="1" xfId="2" applyFont="1" applyFill="1" applyBorder="1" applyAlignment="1">
      <alignment horizontal="center" vertical="center"/>
    </xf>
    <xf numFmtId="0" fontId="3" fillId="2" borderId="1" xfId="2" applyFont="1" applyFill="1" applyBorder="1" applyAlignment="1">
      <alignment horizontal="center" vertical="center" wrapText="1"/>
    </xf>
    <xf numFmtId="0" fontId="3" fillId="2" borderId="7" xfId="2" applyFont="1" applyFill="1" applyBorder="1" applyAlignment="1">
      <alignment horizontal="center" vertical="center" wrapText="1"/>
    </xf>
    <xf numFmtId="0" fontId="3" fillId="2" borderId="2" xfId="2" applyFont="1" applyFill="1" applyBorder="1" applyAlignment="1">
      <alignment horizontal="center" vertical="center"/>
    </xf>
    <xf numFmtId="0" fontId="3" fillId="2" borderId="2" xfId="2" applyFont="1" applyFill="1" applyBorder="1" applyAlignment="1">
      <alignment horizontal="center" vertical="center" wrapText="1"/>
    </xf>
    <xf numFmtId="0" fontId="2" fillId="0" borderId="1" xfId="2" applyBorder="1" applyAlignment="1">
      <alignment horizontal="center" vertical="center"/>
    </xf>
    <xf numFmtId="0" fontId="2" fillId="0" borderId="1" xfId="2" applyBorder="1" applyAlignment="1">
      <alignment horizontal="left" vertical="center"/>
    </xf>
    <xf numFmtId="0" fontId="2" fillId="0" borderId="6" xfId="2" applyBorder="1" applyAlignment="1">
      <alignment vertical="center"/>
    </xf>
    <xf numFmtId="0" fontId="2" fillId="0" borderId="2" xfId="2" applyBorder="1" applyAlignment="1">
      <alignment horizontal="center" vertical="center"/>
    </xf>
    <xf numFmtId="166" fontId="2" fillId="0" borderId="1" xfId="1" applyNumberFormat="1" applyFont="1" applyFill="1" applyBorder="1" applyAlignment="1">
      <alignment horizontal="center"/>
    </xf>
    <xf numFmtId="0" fontId="3" fillId="3" borderId="53" xfId="2" applyFont="1" applyFill="1" applyBorder="1" applyAlignment="1">
      <alignment horizontal="centerContinuous"/>
    </xf>
    <xf numFmtId="0" fontId="2" fillId="3" borderId="54" xfId="2" applyFill="1" applyBorder="1" applyAlignment="1">
      <alignment horizontal="centerContinuous"/>
    </xf>
    <xf numFmtId="0" fontId="3" fillId="2" borderId="6" xfId="2" applyFont="1" applyFill="1" applyBorder="1"/>
    <xf numFmtId="0" fontId="2" fillId="0" borderId="8" xfId="2" applyBorder="1" applyAlignment="1">
      <alignment vertical="center"/>
    </xf>
    <xf numFmtId="0" fontId="2" fillId="0" borderId="61" xfId="2" applyBorder="1" applyAlignment="1">
      <alignment horizontal="left" vertical="center"/>
    </xf>
    <xf numFmtId="0" fontId="2" fillId="0" borderId="0" xfId="2" applyAlignment="1">
      <alignment horizontal="center"/>
    </xf>
    <xf numFmtId="0" fontId="2" fillId="0" borderId="61" xfId="2" applyBorder="1" applyAlignment="1">
      <alignment horizontal="center" vertical="center"/>
    </xf>
    <xf numFmtId="166" fontId="2" fillId="0" borderId="0" xfId="1" applyNumberFormat="1" applyFont="1"/>
    <xf numFmtId="0" fontId="2" fillId="0" borderId="0" xfId="2" applyAlignment="1">
      <alignment horizontal="left"/>
    </xf>
    <xf numFmtId="164" fontId="2" fillId="0" borderId="0" xfId="2" applyNumberFormat="1"/>
    <xf numFmtId="0" fontId="2" fillId="0" borderId="22" xfId="2" applyBorder="1" applyAlignment="1">
      <alignment horizontal="center" vertical="center"/>
    </xf>
    <xf numFmtId="166" fontId="2" fillId="0" borderId="61" xfId="1" applyNumberFormat="1" applyFont="1" applyFill="1" applyBorder="1" applyAlignment="1">
      <alignment horizontal="center"/>
    </xf>
    <xf numFmtId="2" fontId="2" fillId="0" borderId="0" xfId="2" applyNumberFormat="1"/>
    <xf numFmtId="0" fontId="3" fillId="2" borderId="18" xfId="0" applyFont="1" applyFill="1" applyBorder="1" applyAlignment="1">
      <alignment horizontal="center"/>
    </xf>
    <xf numFmtId="0" fontId="3" fillId="2" borderId="19" xfId="0" applyFont="1" applyFill="1" applyBorder="1" applyAlignment="1">
      <alignment horizontal="center"/>
    </xf>
    <xf numFmtId="0" fontId="3" fillId="2" borderId="20" xfId="0" applyFont="1" applyFill="1" applyBorder="1" applyAlignment="1">
      <alignment horizontal="center"/>
    </xf>
    <xf numFmtId="0" fontId="3" fillId="3" borderId="40" xfId="0" applyFont="1" applyFill="1" applyBorder="1" applyAlignment="1">
      <alignment horizontal="centerContinuous"/>
    </xf>
    <xf numFmtId="0" fontId="3" fillId="3" borderId="44" xfId="0" applyFont="1" applyFill="1" applyBorder="1" applyAlignment="1">
      <alignment horizontal="centerContinuous"/>
    </xf>
    <xf numFmtId="0" fontId="3" fillId="3" borderId="43" xfId="0" applyFont="1" applyFill="1" applyBorder="1" applyAlignment="1">
      <alignment horizontal="centerContinuous" vertical="center"/>
    </xf>
    <xf numFmtId="0" fontId="5" fillId="2" borderId="64" xfId="2" applyFont="1" applyFill="1" applyBorder="1"/>
    <xf numFmtId="0" fontId="2" fillId="0" borderId="0" xfId="0" applyFont="1"/>
    <xf numFmtId="0" fontId="12" fillId="0" borderId="0" xfId="0" applyFont="1"/>
    <xf numFmtId="0" fontId="3" fillId="3" borderId="63" xfId="0" applyFont="1" applyFill="1" applyBorder="1" applyAlignment="1">
      <alignment horizontal="center"/>
    </xf>
    <xf numFmtId="0" fontId="3" fillId="3" borderId="49" xfId="0" applyFont="1" applyFill="1" applyBorder="1" applyAlignment="1">
      <alignment horizontal="centerContinuous"/>
    </xf>
    <xf numFmtId="0" fontId="3" fillId="3" borderId="19" xfId="0" applyFont="1" applyFill="1" applyBorder="1" applyAlignment="1">
      <alignment horizontal="centerContinuous"/>
    </xf>
    <xf numFmtId="0" fontId="3" fillId="3" borderId="50" xfId="0" applyFont="1" applyFill="1" applyBorder="1" applyAlignment="1">
      <alignment horizontal="centerContinuous"/>
    </xf>
    <xf numFmtId="0" fontId="3" fillId="2" borderId="4" xfId="0" applyFont="1" applyFill="1" applyBorder="1" applyAlignment="1">
      <alignment horizontal="center"/>
    </xf>
    <xf numFmtId="0" fontId="3" fillId="2" borderId="44" xfId="0" applyFont="1" applyFill="1" applyBorder="1" applyAlignment="1">
      <alignment horizontal="center" wrapText="1"/>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53" xfId="0" applyFont="1" applyFill="1" applyBorder="1" applyAlignment="1">
      <alignment horizontal="center"/>
    </xf>
    <xf numFmtId="0" fontId="3" fillId="2" borderId="58" xfId="0" applyFont="1" applyFill="1" applyBorder="1" applyAlignment="1">
      <alignment horizontal="center" wrapText="1"/>
    </xf>
    <xf numFmtId="0" fontId="3" fillId="3" borderId="49" xfId="0" applyFont="1" applyFill="1" applyBorder="1" applyAlignment="1">
      <alignment horizontal="centerContinuous" wrapText="1"/>
    </xf>
    <xf numFmtId="0" fontId="3" fillId="3" borderId="50" xfId="0" applyFont="1" applyFill="1" applyBorder="1" applyAlignment="1">
      <alignment horizontal="centerContinuous" wrapText="1"/>
    </xf>
    <xf numFmtId="0" fontId="3" fillId="2" borderId="18"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16" xfId="0" applyFont="1" applyFill="1" applyBorder="1" applyAlignment="1">
      <alignment horizontal="center"/>
    </xf>
    <xf numFmtId="0" fontId="3" fillId="2" borderId="17" xfId="0" applyFont="1" applyFill="1" applyBorder="1" applyAlignment="1">
      <alignment horizontal="center"/>
    </xf>
    <xf numFmtId="166" fontId="0" fillId="0" borderId="32" xfId="1" applyNumberFormat="1" applyFont="1" applyBorder="1" applyProtection="1"/>
    <xf numFmtId="166" fontId="0" fillId="0" borderId="52" xfId="1" applyNumberFormat="1" applyFont="1" applyBorder="1" applyProtection="1"/>
    <xf numFmtId="166" fontId="0" fillId="0" borderId="6" xfId="1" applyNumberFormat="1" applyFont="1" applyBorder="1" applyProtection="1"/>
    <xf numFmtId="166" fontId="0" fillId="0" borderId="7" xfId="1" applyNumberFormat="1" applyFont="1" applyBorder="1" applyProtection="1"/>
    <xf numFmtId="166" fontId="0" fillId="0" borderId="8" xfId="0" applyNumberFormat="1" applyBorder="1"/>
    <xf numFmtId="166" fontId="0" fillId="0" borderId="9" xfId="0" applyNumberFormat="1" applyBorder="1"/>
    <xf numFmtId="166" fontId="0" fillId="0" borderId="0" xfId="1" applyNumberFormat="1" applyFont="1" applyBorder="1" applyProtection="1"/>
    <xf numFmtId="166" fontId="0" fillId="0" borderId="0" xfId="0" applyNumberFormat="1"/>
    <xf numFmtId="0" fontId="3" fillId="3" borderId="12" xfId="0" applyFont="1" applyFill="1" applyBorder="1" applyAlignment="1">
      <alignment horizontal="center" wrapText="1"/>
    </xf>
    <xf numFmtId="0" fontId="3" fillId="3" borderId="35" xfId="0" applyFont="1" applyFill="1" applyBorder="1" applyAlignment="1">
      <alignment horizontal="center" wrapText="1"/>
    </xf>
    <xf numFmtId="0" fontId="2" fillId="0" borderId="21" xfId="0" applyFont="1" applyBorder="1" applyAlignment="1">
      <alignment horizontal="center"/>
    </xf>
    <xf numFmtId="0" fontId="2" fillId="0" borderId="2" xfId="0" applyFont="1" applyBorder="1" applyAlignment="1">
      <alignment horizontal="center"/>
    </xf>
    <xf numFmtId="0" fontId="2" fillId="0" borderId="22" xfId="0" applyFont="1" applyBorder="1" applyAlignment="1">
      <alignment horizontal="center"/>
    </xf>
    <xf numFmtId="0" fontId="7" fillId="4" borderId="13" xfId="0" applyFont="1" applyFill="1" applyBorder="1" applyAlignment="1">
      <alignment horizontal="right"/>
    </xf>
    <xf numFmtId="165" fontId="7" fillId="4" borderId="36" xfId="0" applyNumberFormat="1" applyFont="1" applyFill="1" applyBorder="1" applyAlignment="1">
      <alignment horizontal="left"/>
    </xf>
    <xf numFmtId="0" fontId="7" fillId="4" borderId="14" xfId="0" applyFont="1" applyFill="1" applyBorder="1" applyAlignment="1">
      <alignment horizontal="right"/>
    </xf>
    <xf numFmtId="165" fontId="7" fillId="4" borderId="39" xfId="0" applyNumberFormat="1" applyFont="1" applyFill="1" applyBorder="1" applyAlignment="1">
      <alignment horizontal="left"/>
    </xf>
    <xf numFmtId="0" fontId="3" fillId="3" borderId="50" xfId="0" applyFont="1" applyFill="1" applyBorder="1" applyAlignment="1">
      <alignment horizontal="center" wrapText="1"/>
    </xf>
    <xf numFmtId="0" fontId="3" fillId="3" borderId="42" xfId="0" applyFont="1" applyFill="1" applyBorder="1" applyAlignment="1">
      <alignment horizontal="center" wrapText="1"/>
    </xf>
    <xf numFmtId="166" fontId="2" fillId="0" borderId="45" xfId="0" applyNumberFormat="1" applyFont="1" applyBorder="1" applyAlignment="1">
      <alignment horizontal="center"/>
    </xf>
    <xf numFmtId="166" fontId="2" fillId="0" borderId="67" xfId="0" quotePrefix="1" applyNumberFormat="1" applyFont="1" applyBorder="1" applyAlignment="1">
      <alignment horizontal="center"/>
    </xf>
    <xf numFmtId="166" fontId="2" fillId="0" borderId="67" xfId="0" applyNumberFormat="1" applyFont="1" applyBorder="1" applyAlignment="1">
      <alignment horizontal="center"/>
    </xf>
    <xf numFmtId="166" fontId="2" fillId="0" borderId="68" xfId="0" applyNumberFormat="1" applyFont="1" applyBorder="1" applyAlignment="1">
      <alignment horizontal="center"/>
    </xf>
    <xf numFmtId="166" fontId="2" fillId="0" borderId="45" xfId="0" applyNumberFormat="1" applyFont="1" applyBorder="1" applyAlignment="1">
      <alignment horizontal="center" vertical="center"/>
    </xf>
    <xf numFmtId="166" fontId="2" fillId="0" borderId="67" xfId="0" applyNumberFormat="1" applyFont="1" applyBorder="1" applyAlignment="1">
      <alignment horizontal="center" vertical="center"/>
    </xf>
    <xf numFmtId="166" fontId="2" fillId="0" borderId="68" xfId="0" applyNumberFormat="1" applyFont="1" applyBorder="1" applyAlignment="1">
      <alignment horizontal="center" vertical="center"/>
    </xf>
    <xf numFmtId="0" fontId="2" fillId="2" borderId="35" xfId="0" applyFont="1" applyFill="1" applyBorder="1" applyAlignment="1">
      <alignment horizontal="right"/>
    </xf>
    <xf numFmtId="0" fontId="2" fillId="2" borderId="37" xfId="0" applyFont="1" applyFill="1" applyBorder="1" applyAlignment="1">
      <alignment horizontal="right"/>
    </xf>
    <xf numFmtId="0" fontId="2" fillId="2" borderId="66" xfId="0" applyFont="1" applyFill="1" applyBorder="1" applyAlignment="1">
      <alignment horizontal="right"/>
    </xf>
    <xf numFmtId="0" fontId="3" fillId="3" borderId="40" xfId="0" applyFont="1" applyFill="1" applyBorder="1" applyAlignment="1">
      <alignment horizontal="centerContinuous" vertical="center"/>
    </xf>
    <xf numFmtId="0" fontId="3" fillId="3" borderId="44" xfId="0" applyFont="1" applyFill="1" applyBorder="1" applyAlignment="1">
      <alignment horizontal="centerContinuous" vertical="center"/>
    </xf>
    <xf numFmtId="0" fontId="19" fillId="0" borderId="0" xfId="5" applyFont="1"/>
    <xf numFmtId="0" fontId="19" fillId="8" borderId="0" xfId="5" applyFont="1" applyFill="1"/>
    <xf numFmtId="0" fontId="21" fillId="0" borderId="69" xfId="5" applyFont="1" applyBorder="1"/>
    <xf numFmtId="0" fontId="22" fillId="0" borderId="70" xfId="5" applyFont="1" applyBorder="1" applyAlignment="1">
      <alignment horizontal="left"/>
    </xf>
    <xf numFmtId="0" fontId="21" fillId="0" borderId="0" xfId="5" applyFont="1"/>
    <xf numFmtId="0" fontId="21" fillId="8" borderId="0" xfId="5" applyFont="1" applyFill="1"/>
    <xf numFmtId="0" fontId="18" fillId="0" borderId="71" xfId="5" applyBorder="1"/>
    <xf numFmtId="0" fontId="21" fillId="0" borderId="72" xfId="5" applyFont="1" applyBorder="1" applyAlignment="1">
      <alignment horizontal="left"/>
    </xf>
    <xf numFmtId="0" fontId="21" fillId="0" borderId="71" xfId="5" applyFont="1" applyBorder="1"/>
    <xf numFmtId="14" fontId="21" fillId="0" borderId="72" xfId="5" applyNumberFormat="1" applyFont="1" applyBorder="1" applyAlignment="1">
      <alignment horizontal="left"/>
    </xf>
    <xf numFmtId="0" fontId="21" fillId="0" borderId="73" xfId="5" applyFont="1" applyBorder="1" applyAlignment="1">
      <alignment vertical="center"/>
    </xf>
    <xf numFmtId="0" fontId="21" fillId="0" borderId="74" xfId="5" applyFont="1" applyBorder="1" applyAlignment="1">
      <alignment horizontal="left" vertical="center"/>
    </xf>
    <xf numFmtId="0" fontId="18" fillId="8" borderId="0" xfId="5" applyFill="1"/>
    <xf numFmtId="0" fontId="24" fillId="0" borderId="32" xfId="5" applyFont="1" applyBorder="1" applyAlignment="1">
      <alignment horizontal="center" vertical="center"/>
    </xf>
    <xf numFmtId="0" fontId="24" fillId="0" borderId="52" xfId="5" applyFont="1" applyBorder="1" applyAlignment="1">
      <alignment horizontal="center" vertical="center"/>
    </xf>
    <xf numFmtId="0" fontId="21" fillId="0" borderId="75" xfId="5" applyFont="1" applyBorder="1"/>
    <xf numFmtId="0" fontId="21" fillId="0" borderId="76" xfId="5" applyFont="1" applyBorder="1"/>
    <xf numFmtId="0" fontId="21" fillId="0" borderId="77" xfId="5" applyFont="1" applyBorder="1"/>
    <xf numFmtId="0" fontId="21" fillId="0" borderId="78" xfId="5" applyFont="1" applyBorder="1"/>
    <xf numFmtId="0" fontId="19" fillId="0" borderId="77" xfId="5" applyFont="1" applyBorder="1"/>
    <xf numFmtId="0" fontId="19" fillId="0" borderId="78" xfId="5" applyFont="1" applyBorder="1"/>
    <xf numFmtId="0" fontId="19" fillId="0" borderId="79" xfId="5" applyFont="1" applyBorder="1"/>
    <xf numFmtId="0" fontId="19" fillId="0" borderId="80" xfId="5" applyFont="1" applyBorder="1"/>
    <xf numFmtId="0" fontId="26" fillId="9" borderId="23" xfId="6" applyFont="1" applyBorder="1">
      <alignment horizontal="left" vertical="center"/>
    </xf>
    <xf numFmtId="0" fontId="27" fillId="9" borderId="81" xfId="6" applyFont="1" applyBorder="1">
      <alignment horizontal="left" vertical="center"/>
    </xf>
    <xf numFmtId="0" fontId="27" fillId="5" borderId="13" xfId="6" applyFont="1" applyFill="1" applyBorder="1">
      <alignment horizontal="left" vertical="center"/>
    </xf>
    <xf numFmtId="0" fontId="27" fillId="5" borderId="51" xfId="6" applyFont="1" applyFill="1" applyBorder="1">
      <alignment horizontal="left" vertical="center"/>
    </xf>
    <xf numFmtId="0" fontId="28" fillId="5" borderId="13" xfId="6" applyFont="1" applyFill="1" applyBorder="1" applyAlignment="1">
      <alignment horizontal="center" vertical="center"/>
    </xf>
    <xf numFmtId="0" fontId="28" fillId="5" borderId="51" xfId="6" applyFont="1" applyFill="1" applyBorder="1" applyAlignment="1">
      <alignment horizontal="center" vertical="center"/>
    </xf>
    <xf numFmtId="0" fontId="19" fillId="0" borderId="82" xfId="9" applyFont="1" applyBorder="1" applyAlignment="1">
      <alignment vertical="center"/>
    </xf>
    <xf numFmtId="0" fontId="19" fillId="0" borderId="84" xfId="9" applyFont="1" applyBorder="1" applyAlignment="1">
      <alignment vertical="center"/>
    </xf>
    <xf numFmtId="0" fontId="23" fillId="0" borderId="85" xfId="7" applyBorder="1" applyAlignment="1" applyProtection="1">
      <alignment vertical="center"/>
      <protection locked="0"/>
    </xf>
    <xf numFmtId="0" fontId="19" fillId="0" borderId="86" xfId="9" applyFont="1" applyBorder="1" applyAlignment="1">
      <alignment vertical="center"/>
    </xf>
    <xf numFmtId="14" fontId="18" fillId="0" borderId="0" xfId="5" applyNumberFormat="1"/>
    <xf numFmtId="0" fontId="18" fillId="0" borderId="0" xfId="5"/>
    <xf numFmtId="0" fontId="18" fillId="0" borderId="88" xfId="9" applyBorder="1"/>
    <xf numFmtId="0" fontId="29" fillId="0" borderId="89" xfId="9" applyFont="1" applyBorder="1" applyAlignment="1">
      <alignment horizontal="left"/>
    </xf>
    <xf numFmtId="0" fontId="18" fillId="0" borderId="90" xfId="9" applyBorder="1"/>
    <xf numFmtId="0" fontId="18" fillId="0" borderId="91" xfId="9" applyBorder="1" applyAlignment="1">
      <alignment horizontal="left"/>
    </xf>
    <xf numFmtId="14" fontId="18" fillId="0" borderId="91" xfId="9" applyNumberFormat="1" applyBorder="1" applyAlignment="1">
      <alignment horizontal="left"/>
    </xf>
    <xf numFmtId="0" fontId="29" fillId="0" borderId="91" xfId="9" applyFont="1" applyBorder="1" applyAlignment="1">
      <alignment horizontal="left"/>
    </xf>
    <xf numFmtId="0" fontId="18" fillId="0" borderId="92" xfId="9" applyBorder="1" applyAlignment="1">
      <alignment horizontal="left" vertical="center"/>
    </xf>
    <xf numFmtId="0" fontId="18" fillId="0" borderId="93" xfId="9" applyBorder="1" applyAlignment="1">
      <alignment horizontal="left" vertical="center" wrapText="1"/>
    </xf>
    <xf numFmtId="0" fontId="18" fillId="0" borderId="94" xfId="9" applyBorder="1"/>
    <xf numFmtId="14" fontId="18" fillId="0" borderId="95" xfId="9" applyNumberFormat="1" applyBorder="1" applyAlignment="1">
      <alignment horizontal="left"/>
    </xf>
    <xf numFmtId="0" fontId="24" fillId="0" borderId="32" xfId="5" applyFont="1" applyBorder="1" applyAlignment="1">
      <alignment horizontal="center"/>
    </xf>
    <xf numFmtId="0" fontId="24" fillId="0" borderId="52" xfId="5" applyFont="1" applyBorder="1" applyAlignment="1">
      <alignment horizontal="center"/>
    </xf>
    <xf numFmtId="14" fontId="18" fillId="0" borderId="70" xfId="5" applyNumberFormat="1" applyBorder="1" applyAlignment="1">
      <alignment horizontal="center" wrapText="1"/>
    </xf>
    <xf numFmtId="0" fontId="18" fillId="0" borderId="71" xfId="5" applyBorder="1" applyAlignment="1">
      <alignment horizontal="center" vertical="center" wrapText="1"/>
    </xf>
    <xf numFmtId="14" fontId="18" fillId="0" borderId="72" xfId="5" applyNumberFormat="1" applyBorder="1" applyAlignment="1">
      <alignment horizontal="center" wrapText="1"/>
    </xf>
    <xf numFmtId="0" fontId="21" fillId="0" borderId="0" xfId="5" applyFont="1" applyAlignment="1">
      <alignment horizontal="center"/>
    </xf>
    <xf numFmtId="167" fontId="18" fillId="0" borderId="71" xfId="5" applyNumberFormat="1" applyBorder="1" applyAlignment="1">
      <alignment horizontal="center" vertical="center" wrapText="1"/>
    </xf>
    <xf numFmtId="0" fontId="30" fillId="0" borderId="71" xfId="5" applyFont="1" applyBorder="1" applyAlignment="1">
      <alignment horizontal="center" vertical="center" wrapText="1"/>
    </xf>
    <xf numFmtId="0" fontId="30" fillId="0" borderId="96" xfId="5" applyFont="1" applyBorder="1" applyAlignment="1">
      <alignment horizontal="center" vertical="center" wrapText="1"/>
    </xf>
    <xf numFmtId="14" fontId="18" fillId="0" borderId="97" xfId="5" applyNumberFormat="1" applyBorder="1" applyAlignment="1">
      <alignment horizontal="center" wrapText="1"/>
    </xf>
    <xf numFmtId="0" fontId="30" fillId="0" borderId="96" xfId="5" applyFont="1" applyBorder="1" applyAlignment="1">
      <alignment horizontal="center" wrapText="1"/>
    </xf>
    <xf numFmtId="0" fontId="30" fillId="0" borderId="96" xfId="5" applyFont="1" applyBorder="1" applyAlignment="1">
      <alignment wrapText="1"/>
    </xf>
    <xf numFmtId="0" fontId="18" fillId="0" borderId="73" xfId="5" applyBorder="1" applyAlignment="1">
      <alignment wrapText="1"/>
    </xf>
    <xf numFmtId="14" fontId="18" fillId="0" borderId="74" xfId="5" applyNumberFormat="1" applyBorder="1" applyAlignment="1">
      <alignment horizontal="center" wrapText="1"/>
    </xf>
    <xf numFmtId="14" fontId="18" fillId="8" borderId="0" xfId="5" applyNumberFormat="1" applyFill="1"/>
    <xf numFmtId="167" fontId="18" fillId="0" borderId="69" xfId="5" applyNumberFormat="1" applyBorder="1" applyAlignment="1">
      <alignment horizontal="center" vertical="center" wrapText="1"/>
    </xf>
    <xf numFmtId="164" fontId="21" fillId="12" borderId="36" xfId="3" applyNumberFormat="1" applyFont="1" applyFill="1" applyBorder="1" applyAlignment="1" applyProtection="1">
      <alignment horizontal="center" vertical="center"/>
    </xf>
    <xf numFmtId="0" fontId="19" fillId="14" borderId="36" xfId="4" applyFont="1" applyFill="1" applyBorder="1" applyAlignment="1" applyProtection="1">
      <alignment horizontal="center" vertical="center"/>
    </xf>
    <xf numFmtId="0" fontId="23" fillId="0" borderId="83" xfId="7" applyBorder="1" applyAlignment="1" applyProtection="1">
      <alignment vertical="center"/>
      <protection locked="0"/>
    </xf>
    <xf numFmtId="0" fontId="23" fillId="0" borderId="0" xfId="7" applyAlignment="1" applyProtection="1">
      <protection locked="0"/>
    </xf>
    <xf numFmtId="0" fontId="21" fillId="0" borderId="71" xfId="5" applyFont="1" applyBorder="1" applyAlignment="1">
      <alignment vertical="center"/>
    </xf>
    <xf numFmtId="0" fontId="21" fillId="0" borderId="72" xfId="5" applyFont="1" applyBorder="1" applyAlignment="1">
      <alignment horizontal="left" vertical="center" wrapText="1"/>
    </xf>
    <xf numFmtId="0" fontId="21" fillId="0" borderId="73" xfId="5" applyFont="1" applyBorder="1"/>
    <xf numFmtId="14" fontId="21" fillId="0" borderId="74" xfId="5" applyNumberFormat="1" applyFont="1" applyBorder="1" applyAlignment="1">
      <alignment horizontal="left"/>
    </xf>
    <xf numFmtId="0" fontId="24" fillId="0" borderId="41" xfId="5" applyFont="1" applyBorder="1" applyAlignment="1">
      <alignment horizontal="center" vertical="center"/>
    </xf>
    <xf numFmtId="0" fontId="30" fillId="13" borderId="7" xfId="10" applyFill="1" applyBorder="1" applyProtection="1">
      <alignment horizontal="center" vertical="center"/>
      <protection locked="0"/>
    </xf>
    <xf numFmtId="0" fontId="18" fillId="0" borderId="101" xfId="5" applyBorder="1" applyAlignment="1">
      <alignment horizontal="left"/>
    </xf>
    <xf numFmtId="0" fontId="18" fillId="0" borderId="102" xfId="5" applyBorder="1" applyAlignment="1">
      <alignment horizontal="left"/>
    </xf>
    <xf numFmtId="14" fontId="30" fillId="13" borderId="1" xfId="10" applyNumberFormat="1" applyFill="1" applyProtection="1">
      <alignment horizontal="center" vertical="center"/>
      <protection locked="0"/>
    </xf>
    <xf numFmtId="14" fontId="30" fillId="13" borderId="61" xfId="10" applyNumberFormat="1" applyFill="1" applyBorder="1" applyProtection="1">
      <alignment horizontal="center" vertical="center"/>
      <protection locked="0"/>
    </xf>
    <xf numFmtId="0" fontId="23" fillId="0" borderId="87" xfId="7" applyBorder="1" applyAlignment="1" applyProtection="1">
      <alignment vertical="center"/>
      <protection locked="0"/>
    </xf>
    <xf numFmtId="0" fontId="0" fillId="8" borderId="0" xfId="0" applyFill="1"/>
    <xf numFmtId="0" fontId="2" fillId="8" borderId="0" xfId="2" applyFill="1"/>
    <xf numFmtId="0" fontId="4" fillId="8" borderId="0" xfId="0" applyFont="1" applyFill="1"/>
    <xf numFmtId="164" fontId="4" fillId="8" borderId="0" xfId="0" applyNumberFormat="1" applyFont="1" applyFill="1"/>
    <xf numFmtId="164" fontId="2" fillId="8" borderId="0" xfId="2" applyNumberFormat="1" applyFill="1"/>
    <xf numFmtId="2" fontId="2" fillId="8" borderId="0" xfId="2" applyNumberFormat="1" applyFill="1"/>
    <xf numFmtId="14" fontId="30" fillId="4" borderId="1" xfId="10" applyNumberFormat="1" applyFill="1" applyProtection="1">
      <alignment horizontal="center" vertical="center"/>
    </xf>
    <xf numFmtId="0" fontId="21" fillId="0" borderId="96" xfId="5" applyFont="1" applyBorder="1"/>
    <xf numFmtId="14" fontId="21" fillId="0" borderId="97" xfId="5" applyNumberFormat="1" applyFont="1" applyBorder="1" applyAlignment="1">
      <alignment horizontal="left"/>
    </xf>
    <xf numFmtId="0" fontId="19" fillId="15" borderId="49" xfId="6" applyFont="1" applyFill="1" applyBorder="1" applyAlignment="1" applyProtection="1">
      <alignment vertical="center"/>
    </xf>
    <xf numFmtId="0" fontId="19" fillId="15" borderId="50" xfId="6" applyFont="1" applyFill="1" applyBorder="1" applyAlignment="1" applyProtection="1">
      <alignment vertical="center" wrapText="1"/>
    </xf>
    <xf numFmtId="0" fontId="0" fillId="8" borderId="0" xfId="0" applyFill="1" applyAlignment="1">
      <alignment horizontal="center"/>
    </xf>
    <xf numFmtId="164" fontId="0" fillId="8" borderId="0" xfId="0" applyNumberFormat="1" applyFill="1"/>
    <xf numFmtId="0" fontId="3" fillId="3" borderId="65" xfId="0" applyFont="1" applyFill="1" applyBorder="1" applyAlignment="1">
      <alignment horizontal="center"/>
    </xf>
    <xf numFmtId="0" fontId="3" fillId="3" borderId="64" xfId="0" applyFont="1" applyFill="1" applyBorder="1" applyAlignment="1">
      <alignment horizontal="center" vertical="center" wrapText="1"/>
    </xf>
    <xf numFmtId="0" fontId="3" fillId="3" borderId="108" xfId="0" applyFont="1" applyFill="1" applyBorder="1" applyAlignment="1">
      <alignment horizontal="center" vertical="center"/>
    </xf>
    <xf numFmtId="0" fontId="3" fillId="3" borderId="108" xfId="0" applyFont="1" applyFill="1" applyBorder="1" applyAlignment="1">
      <alignment horizontal="center" vertical="center" wrapText="1"/>
    </xf>
    <xf numFmtId="0" fontId="3" fillId="3" borderId="65" xfId="0" applyFont="1" applyFill="1" applyBorder="1" applyAlignment="1">
      <alignment horizontal="center" vertical="center"/>
    </xf>
    <xf numFmtId="0" fontId="3" fillId="3" borderId="42" xfId="0" applyFont="1" applyFill="1" applyBorder="1" applyAlignment="1">
      <alignment horizontal="center"/>
    </xf>
    <xf numFmtId="0" fontId="2" fillId="2" borderId="16" xfId="0" applyFont="1" applyFill="1" applyBorder="1"/>
    <xf numFmtId="0" fontId="2" fillId="2" borderId="15" xfId="0" applyFont="1" applyFill="1" applyBorder="1" applyAlignment="1">
      <alignment horizontal="center"/>
    </xf>
    <xf numFmtId="0" fontId="2" fillId="2" borderId="16" xfId="0" applyFont="1" applyFill="1" applyBorder="1" applyAlignment="1">
      <alignment horizontal="center"/>
    </xf>
    <xf numFmtId="0" fontId="2" fillId="2" borderId="17" xfId="0" applyFont="1" applyFill="1" applyBorder="1" applyAlignment="1">
      <alignment horizontal="center"/>
    </xf>
    <xf numFmtId="0" fontId="0" fillId="2" borderId="15" xfId="0" applyFill="1" applyBorder="1" applyAlignment="1">
      <alignment horizontal="center"/>
    </xf>
    <xf numFmtId="0" fontId="0" fillId="2" borderId="16" xfId="0" applyFill="1" applyBorder="1" applyAlignment="1">
      <alignment horizontal="center"/>
    </xf>
    <xf numFmtId="0" fontId="0" fillId="2" borderId="17" xfId="0" applyFill="1" applyBorder="1" applyAlignment="1">
      <alignment horizontal="center"/>
    </xf>
    <xf numFmtId="0" fontId="20" fillId="0" borderId="0" xfId="6" applyFill="1" applyBorder="1" applyAlignment="1">
      <alignment vertical="center"/>
    </xf>
    <xf numFmtId="0" fontId="22" fillId="0" borderId="0" xfId="5" applyFont="1" applyAlignment="1">
      <alignment vertical="center"/>
    </xf>
    <xf numFmtId="0" fontId="21" fillId="0" borderId="0" xfId="5" applyFont="1" applyAlignment="1">
      <alignment vertical="center"/>
    </xf>
    <xf numFmtId="14" fontId="21" fillId="0" borderId="0" xfId="5" applyNumberFormat="1" applyFont="1" applyAlignment="1">
      <alignment vertical="center"/>
    </xf>
    <xf numFmtId="0" fontId="21" fillId="0" borderId="90" xfId="9" applyFont="1" applyBorder="1" applyAlignment="1">
      <alignment vertical="center"/>
    </xf>
    <xf numFmtId="0" fontId="21" fillId="0" borderId="125" xfId="9" applyFont="1" applyBorder="1" applyAlignment="1">
      <alignment vertical="center"/>
    </xf>
    <xf numFmtId="1" fontId="0" fillId="0" borderId="1" xfId="0" applyNumberFormat="1" applyBorder="1" applyAlignment="1">
      <alignment horizontal="center"/>
    </xf>
    <xf numFmtId="164" fontId="0" fillId="4" borderId="1" xfId="0" applyNumberFormat="1" applyFill="1" applyBorder="1" applyAlignment="1">
      <alignment horizontal="center"/>
    </xf>
    <xf numFmtId="0" fontId="2" fillId="2" borderId="27" xfId="0" applyFont="1" applyFill="1" applyBorder="1"/>
    <xf numFmtId="1" fontId="0" fillId="0" borderId="41" xfId="0" applyNumberFormat="1" applyBorder="1" applyAlignment="1">
      <alignment horizontal="center"/>
    </xf>
    <xf numFmtId="0" fontId="3" fillId="3" borderId="126" xfId="0" applyFont="1" applyFill="1" applyBorder="1" applyAlignment="1">
      <alignment horizontal="center"/>
    </xf>
    <xf numFmtId="0" fontId="3" fillId="3" borderId="127" xfId="0" applyFont="1" applyFill="1" applyBorder="1" applyAlignment="1">
      <alignment horizontal="center"/>
    </xf>
    <xf numFmtId="0" fontId="3" fillId="3" borderId="128" xfId="0" applyFont="1" applyFill="1" applyBorder="1" applyAlignment="1">
      <alignment horizontal="center"/>
    </xf>
    <xf numFmtId="0" fontId="24" fillId="10" borderId="129" xfId="8" applyFont="1" applyFill="1" applyBorder="1" applyAlignment="1">
      <alignment horizontal="center" vertical="center"/>
    </xf>
    <xf numFmtId="0" fontId="25" fillId="11" borderId="130" xfId="9" applyFont="1" applyFill="1" applyBorder="1" applyAlignment="1">
      <alignment horizontal="center" vertical="center"/>
    </xf>
    <xf numFmtId="0" fontId="19" fillId="0" borderId="39" xfId="9" applyFont="1" applyBorder="1" applyAlignment="1">
      <alignment horizontal="center" vertical="center"/>
    </xf>
    <xf numFmtId="14" fontId="2" fillId="12" borderId="7" xfId="2" applyNumberFormat="1" applyFill="1" applyBorder="1" applyAlignment="1" applyProtection="1">
      <alignment horizontal="center"/>
      <protection locked="0"/>
    </xf>
    <xf numFmtId="0" fontId="2" fillId="12" borderId="1" xfId="2" applyFill="1" applyBorder="1" applyAlignment="1" applyProtection="1">
      <alignment horizontal="center"/>
      <protection locked="0"/>
    </xf>
    <xf numFmtId="0" fontId="2" fillId="12" borderId="61" xfId="2" applyFill="1" applyBorder="1" applyAlignment="1" applyProtection="1">
      <alignment horizontal="center"/>
      <protection locked="0"/>
    </xf>
    <xf numFmtId="0" fontId="2" fillId="12" borderId="2" xfId="2" applyFill="1" applyBorder="1" applyAlignment="1" applyProtection="1">
      <alignment horizontal="left" vertical="center"/>
      <protection locked="0"/>
    </xf>
    <xf numFmtId="0" fontId="2" fillId="12" borderId="22" xfId="2" applyFill="1" applyBorder="1" applyAlignment="1" applyProtection="1">
      <alignment horizontal="left" vertical="center"/>
      <protection locked="0"/>
    </xf>
    <xf numFmtId="0" fontId="2" fillId="12" borderId="2" xfId="2" applyFill="1" applyBorder="1" applyAlignment="1" applyProtection="1">
      <alignment horizontal="center" vertical="center"/>
      <protection locked="0"/>
    </xf>
    <xf numFmtId="0" fontId="2" fillId="12" borderId="22" xfId="2" applyFill="1" applyBorder="1" applyAlignment="1" applyProtection="1">
      <alignment horizontal="center" vertical="center"/>
      <protection locked="0"/>
    </xf>
    <xf numFmtId="0" fontId="11" fillId="12" borderId="4" xfId="0" applyFont="1" applyFill="1" applyBorder="1" applyAlignment="1" applyProtection="1">
      <alignment horizontal="center"/>
      <protection locked="0"/>
    </xf>
    <xf numFmtId="164" fontId="11" fillId="12" borderId="28" xfId="0" applyNumberFormat="1" applyFont="1" applyFill="1" applyBorder="1" applyAlignment="1" applyProtection="1">
      <alignment horizontal="center"/>
      <protection locked="0"/>
    </xf>
    <xf numFmtId="164" fontId="11" fillId="12" borderId="5" xfId="0" applyNumberFormat="1" applyFont="1" applyFill="1" applyBorder="1" applyAlignment="1" applyProtection="1">
      <alignment horizontal="center"/>
      <protection locked="0"/>
    </xf>
    <xf numFmtId="0" fontId="11" fillId="12" borderId="6" xfId="0" applyFont="1" applyFill="1" applyBorder="1" applyAlignment="1" applyProtection="1">
      <alignment horizontal="center"/>
      <protection locked="0"/>
    </xf>
    <xf numFmtId="164" fontId="11" fillId="12" borderId="29" xfId="0" applyNumberFormat="1" applyFont="1" applyFill="1" applyBorder="1" applyAlignment="1" applyProtection="1">
      <alignment horizontal="center"/>
      <protection locked="0"/>
    </xf>
    <xf numFmtId="164" fontId="11" fillId="12" borderId="7" xfId="0" applyNumberFormat="1" applyFont="1" applyFill="1" applyBorder="1" applyAlignment="1" applyProtection="1">
      <alignment horizontal="center"/>
      <protection locked="0"/>
    </xf>
    <xf numFmtId="0" fontId="11" fillId="12" borderId="31" xfId="0" applyFont="1" applyFill="1" applyBorder="1" applyAlignment="1" applyProtection="1">
      <alignment horizontal="center"/>
      <protection locked="0"/>
    </xf>
    <xf numFmtId="164" fontId="11" fillId="12" borderId="33" xfId="0" applyNumberFormat="1" applyFont="1" applyFill="1" applyBorder="1" applyAlignment="1" applyProtection="1">
      <alignment horizontal="center"/>
      <protection locked="0"/>
    </xf>
    <xf numFmtId="164" fontId="11" fillId="12" borderId="34" xfId="0" applyNumberFormat="1" applyFont="1" applyFill="1" applyBorder="1" applyAlignment="1" applyProtection="1">
      <alignment horizontal="center"/>
      <protection locked="0"/>
    </xf>
    <xf numFmtId="164" fontId="11" fillId="12" borderId="9" xfId="0" applyNumberFormat="1" applyFont="1" applyFill="1" applyBorder="1" applyAlignment="1" applyProtection="1">
      <alignment horizontal="center"/>
      <protection locked="0"/>
    </xf>
    <xf numFmtId="0" fontId="11" fillId="12" borderId="8" xfId="0" applyFont="1" applyFill="1" applyBorder="1" applyAlignment="1" applyProtection="1">
      <alignment horizontal="center"/>
      <protection locked="0"/>
    </xf>
    <xf numFmtId="164" fontId="11" fillId="12" borderId="30" xfId="0" applyNumberFormat="1" applyFont="1" applyFill="1" applyBorder="1" applyAlignment="1" applyProtection="1">
      <alignment horizontal="center"/>
      <protection locked="0"/>
    </xf>
    <xf numFmtId="165" fontId="0" fillId="2" borderId="0" xfId="0" applyNumberFormat="1" applyFill="1" applyAlignment="1">
      <alignment horizontal="center"/>
    </xf>
    <xf numFmtId="0" fontId="0" fillId="2" borderId="0" xfId="0" applyFill="1"/>
    <xf numFmtId="0" fontId="0" fillId="2" borderId="36" xfId="0" applyFill="1" applyBorder="1"/>
    <xf numFmtId="0" fontId="0" fillId="2" borderId="11" xfId="0" applyFill="1" applyBorder="1"/>
    <xf numFmtId="165" fontId="0" fillId="2" borderId="11" xfId="0" applyNumberFormat="1" applyFill="1" applyBorder="1" applyAlignment="1">
      <alignment horizontal="center"/>
    </xf>
    <xf numFmtId="0" fontId="0" fillId="2" borderId="39" xfId="0" applyFill="1" applyBorder="1"/>
    <xf numFmtId="0" fontId="3" fillId="2" borderId="17" xfId="0" applyFont="1" applyFill="1" applyBorder="1"/>
    <xf numFmtId="0" fontId="3" fillId="0" borderId="61" xfId="0" applyFont="1" applyBorder="1" applyAlignment="1">
      <alignment horizontal="center"/>
    </xf>
    <xf numFmtId="166" fontId="11" fillId="4" borderId="4" xfId="0" applyNumberFormat="1" applyFont="1" applyFill="1" applyBorder="1" applyAlignment="1">
      <alignment horizontal="center"/>
    </xf>
    <xf numFmtId="166" fontId="11" fillId="4" borderId="53" xfId="0" applyNumberFormat="1" applyFont="1" applyFill="1" applyBorder="1" applyAlignment="1">
      <alignment horizontal="center"/>
    </xf>
    <xf numFmtId="166" fontId="11" fillId="4" borderId="32" xfId="0" applyNumberFormat="1" applyFont="1" applyFill="1" applyBorder="1" applyAlignment="1">
      <alignment horizontal="center"/>
    </xf>
    <xf numFmtId="166" fontId="11" fillId="4" borderId="6" xfId="0" applyNumberFormat="1" applyFont="1" applyFill="1" applyBorder="1" applyAlignment="1">
      <alignment horizontal="center"/>
    </xf>
    <xf numFmtId="166" fontId="11" fillId="4" borderId="8" xfId="0" applyNumberFormat="1" applyFont="1" applyFill="1" applyBorder="1" applyAlignment="1">
      <alignment horizontal="center"/>
    </xf>
    <xf numFmtId="0" fontId="2" fillId="4" borderId="65" xfId="2" applyFill="1" applyBorder="1" applyAlignment="1">
      <alignment horizontal="center" vertical="center"/>
    </xf>
    <xf numFmtId="166" fontId="0" fillId="4" borderId="23" xfId="0" applyNumberFormat="1" applyFill="1" applyBorder="1" applyAlignment="1">
      <alignment horizontal="right"/>
    </xf>
    <xf numFmtId="166" fontId="0" fillId="4" borderId="15" xfId="1" applyNumberFormat="1" applyFont="1" applyFill="1" applyBorder="1" applyAlignment="1" applyProtection="1">
      <alignment horizontal="right"/>
    </xf>
    <xf numFmtId="166" fontId="0" fillId="4" borderId="24" xfId="0" applyNumberFormat="1" applyFill="1" applyBorder="1" applyAlignment="1">
      <alignment horizontal="right"/>
    </xf>
    <xf numFmtId="166" fontId="0" fillId="4" borderId="16" xfId="1" applyNumberFormat="1" applyFont="1" applyFill="1" applyBorder="1" applyAlignment="1" applyProtection="1">
      <alignment horizontal="right"/>
    </xf>
    <xf numFmtId="166" fontId="0" fillId="4" borderId="25" xfId="0" applyNumberFormat="1" applyFill="1" applyBorder="1" applyAlignment="1">
      <alignment horizontal="right"/>
    </xf>
    <xf numFmtId="166" fontId="0" fillId="4" borderId="17" xfId="1" applyNumberFormat="1" applyFont="1" applyFill="1" applyBorder="1" applyAlignment="1" applyProtection="1">
      <alignment horizontal="right"/>
    </xf>
    <xf numFmtId="166" fontId="4" fillId="4" borderId="24" xfId="0" applyNumberFormat="1" applyFont="1" applyFill="1" applyBorder="1" applyAlignment="1">
      <alignment horizontal="right"/>
    </xf>
    <xf numFmtId="166" fontId="0" fillId="4" borderId="26" xfId="0" applyNumberFormat="1" applyFill="1" applyBorder="1" applyAlignment="1">
      <alignment horizontal="right"/>
    </xf>
    <xf numFmtId="166" fontId="0" fillId="4" borderId="27" xfId="1" applyNumberFormat="1" applyFont="1" applyFill="1" applyBorder="1" applyAlignment="1" applyProtection="1">
      <alignment horizontal="right"/>
    </xf>
    <xf numFmtId="166" fontId="0" fillId="4" borderId="32" xfId="1" applyNumberFormat="1" applyFont="1" applyFill="1" applyBorder="1" applyProtection="1"/>
    <xf numFmtId="166" fontId="0" fillId="4" borderId="52" xfId="1" applyNumberFormat="1" applyFont="1" applyFill="1" applyBorder="1" applyProtection="1"/>
    <xf numFmtId="166" fontId="0" fillId="4" borderId="6" xfId="1" applyNumberFormat="1" applyFont="1" applyFill="1" applyBorder="1" applyProtection="1"/>
    <xf numFmtId="166" fontId="0" fillId="4" borderId="7" xfId="1" applyNumberFormat="1" applyFont="1" applyFill="1" applyBorder="1" applyProtection="1"/>
    <xf numFmtId="166" fontId="0" fillId="4" borderId="8" xfId="0" applyNumberFormat="1" applyFill="1" applyBorder="1"/>
    <xf numFmtId="166" fontId="0" fillId="4" borderId="9" xfId="0" applyNumberFormat="1" applyFill="1" applyBorder="1"/>
    <xf numFmtId="166" fontId="2" fillId="4" borderId="56" xfId="0" applyNumberFormat="1" applyFont="1" applyFill="1" applyBorder="1" applyAlignment="1">
      <alignment horizontal="center"/>
    </xf>
    <xf numFmtId="166" fontId="2" fillId="4" borderId="36" xfId="0" applyNumberFormat="1" applyFont="1" applyFill="1" applyBorder="1" applyAlignment="1">
      <alignment horizontal="center"/>
    </xf>
    <xf numFmtId="166" fontId="2" fillId="4" borderId="39" xfId="0" applyNumberFormat="1" applyFont="1" applyFill="1" applyBorder="1" applyAlignment="1">
      <alignment horizontal="center"/>
    </xf>
    <xf numFmtId="166" fontId="2" fillId="4" borderId="56" xfId="0" applyNumberFormat="1" applyFont="1" applyFill="1" applyBorder="1" applyAlignment="1">
      <alignment horizontal="center" vertical="center"/>
    </xf>
    <xf numFmtId="166" fontId="2" fillId="4" borderId="36" xfId="0" applyNumberFormat="1" applyFont="1" applyFill="1" applyBorder="1" applyAlignment="1">
      <alignment horizontal="center" vertical="center"/>
    </xf>
    <xf numFmtId="166" fontId="2" fillId="4" borderId="39" xfId="0" applyNumberFormat="1" applyFont="1" applyFill="1" applyBorder="1" applyAlignment="1">
      <alignment horizontal="center" vertical="center"/>
    </xf>
    <xf numFmtId="0" fontId="2" fillId="4" borderId="54" xfId="2" applyFill="1" applyBorder="1" applyAlignment="1">
      <alignment horizontal="center" vertical="center"/>
    </xf>
    <xf numFmtId="165" fontId="0" fillId="4" borderId="111" xfId="0" applyNumberFormat="1" applyFill="1" applyBorder="1" applyAlignment="1">
      <alignment horizontal="center"/>
    </xf>
    <xf numFmtId="165" fontId="0" fillId="4" borderId="112" xfId="0" applyNumberFormat="1" applyFill="1" applyBorder="1" applyAlignment="1">
      <alignment horizontal="center"/>
    </xf>
    <xf numFmtId="165" fontId="3" fillId="4" borderId="113" xfId="0" applyNumberFormat="1" applyFont="1" applyFill="1" applyBorder="1" applyAlignment="1">
      <alignment horizontal="center"/>
    </xf>
    <xf numFmtId="165" fontId="0" fillId="4" borderId="41" xfId="0" applyNumberFormat="1" applyFill="1" applyBorder="1" applyAlignment="1">
      <alignment horizontal="center"/>
    </xf>
    <xf numFmtId="165" fontId="0" fillId="4" borderId="1" xfId="0" applyNumberFormat="1" applyFill="1" applyBorder="1" applyAlignment="1">
      <alignment horizontal="center"/>
    </xf>
    <xf numFmtId="165" fontId="0" fillId="4" borderId="52" xfId="0" applyNumberFormat="1" applyFill="1" applyBorder="1" applyAlignment="1">
      <alignment horizontal="center"/>
    </xf>
    <xf numFmtId="165" fontId="0" fillId="4" borderId="7" xfId="0" applyNumberFormat="1" applyFill="1" applyBorder="1" applyAlignment="1">
      <alignment horizontal="center"/>
    </xf>
    <xf numFmtId="165" fontId="2" fillId="4" borderId="81" xfId="0" applyNumberFormat="1" applyFont="1" applyFill="1" applyBorder="1" applyAlignment="1">
      <alignment horizontal="center"/>
    </xf>
    <xf numFmtId="165" fontId="2" fillId="4" borderId="109" xfId="0" applyNumberFormat="1" applyFont="1" applyFill="1" applyBorder="1" applyAlignment="1">
      <alignment horizontal="center"/>
    </xf>
    <xf numFmtId="10" fontId="3" fillId="4" borderId="109" xfId="0" applyNumberFormat="1" applyFont="1" applyFill="1" applyBorder="1" applyAlignment="1">
      <alignment horizontal="center"/>
    </xf>
    <xf numFmtId="10" fontId="2" fillId="4" borderId="110" xfId="0" applyNumberFormat="1" applyFont="1" applyFill="1" applyBorder="1" applyAlignment="1">
      <alignment horizontal="center"/>
    </xf>
    <xf numFmtId="166" fontId="0" fillId="4" borderId="111" xfId="1" applyNumberFormat="1" applyFont="1" applyFill="1" applyBorder="1" applyAlignment="1">
      <alignment horizontal="center"/>
    </xf>
    <xf numFmtId="166" fontId="0" fillId="4" borderId="52" xfId="1" applyNumberFormat="1" applyFont="1" applyFill="1" applyBorder="1" applyAlignment="1">
      <alignment horizontal="center"/>
    </xf>
    <xf numFmtId="166" fontId="0" fillId="4" borderId="112" xfId="1" applyNumberFormat="1" applyFont="1" applyFill="1" applyBorder="1" applyAlignment="1">
      <alignment horizontal="center"/>
    </xf>
    <xf numFmtId="166" fontId="0" fillId="4" borderId="7" xfId="1" applyNumberFormat="1" applyFont="1" applyFill="1" applyBorder="1" applyAlignment="1">
      <alignment horizontal="center"/>
    </xf>
    <xf numFmtId="166" fontId="0" fillId="4" borderId="113" xfId="1" applyNumberFormat="1" applyFont="1" applyFill="1" applyBorder="1" applyAlignment="1">
      <alignment horizontal="center"/>
    </xf>
    <xf numFmtId="166" fontId="0" fillId="4" borderId="9" xfId="1" applyNumberFormat="1" applyFont="1" applyFill="1" applyBorder="1" applyAlignment="1">
      <alignment horizontal="center"/>
    </xf>
    <xf numFmtId="0" fontId="18" fillId="0" borderId="103" xfId="5" applyBorder="1" applyAlignment="1">
      <alignment horizontal="left"/>
    </xf>
    <xf numFmtId="0" fontId="18" fillId="0" borderId="104" xfId="5" applyBorder="1" applyAlignment="1">
      <alignment horizontal="left"/>
    </xf>
    <xf numFmtId="0" fontId="30" fillId="13" borderId="9" xfId="10" applyFill="1" applyBorder="1" applyProtection="1">
      <alignment horizontal="center" vertical="center"/>
      <protection locked="0"/>
    </xf>
    <xf numFmtId="0" fontId="31" fillId="0" borderId="0" xfId="2" applyFont="1"/>
    <xf numFmtId="0" fontId="3" fillId="2" borderId="6" xfId="2" applyFont="1" applyFill="1" applyBorder="1" applyAlignment="1">
      <alignment horizontal="center" vertical="center" wrapText="1"/>
    </xf>
    <xf numFmtId="0" fontId="2" fillId="0" borderId="0" xfId="2" applyAlignment="1">
      <alignment horizontal="center" vertical="center"/>
    </xf>
    <xf numFmtId="166" fontId="2" fillId="0" borderId="0" xfId="1" applyNumberFormat="1" applyFont="1" applyFill="1" applyBorder="1" applyAlignment="1">
      <alignment horizontal="center"/>
    </xf>
    <xf numFmtId="166" fontId="2" fillId="0" borderId="0" xfId="1" applyNumberFormat="1" applyFont="1" applyBorder="1" applyAlignment="1">
      <alignment horizontal="center" vertical="center"/>
    </xf>
    <xf numFmtId="0" fontId="32" fillId="10" borderId="129" xfId="0" applyFont="1" applyFill="1" applyBorder="1"/>
    <xf numFmtId="0" fontId="33" fillId="5" borderId="16" xfId="0" applyFont="1" applyFill="1" applyBorder="1" applyAlignment="1">
      <alignment horizontal="left" wrapText="1"/>
    </xf>
    <xf numFmtId="0" fontId="5" fillId="2" borderId="32" xfId="2" applyFont="1" applyFill="1" applyBorder="1"/>
    <xf numFmtId="0" fontId="2" fillId="12" borderId="52" xfId="2" applyFill="1" applyBorder="1" applyAlignment="1" applyProtection="1">
      <alignment horizontal="center" vertical="center"/>
      <protection locked="0"/>
    </xf>
    <xf numFmtId="166" fontId="12" fillId="4" borderId="9" xfId="2" applyNumberFormat="1" applyFont="1" applyFill="1" applyBorder="1" applyAlignment="1">
      <alignment horizontal="center" wrapText="1"/>
    </xf>
    <xf numFmtId="0" fontId="4" fillId="0" borderId="0" xfId="0" applyFont="1" applyAlignment="1">
      <alignment horizontal="center" wrapText="1"/>
    </xf>
    <xf numFmtId="0" fontId="2" fillId="0" borderId="0" xfId="0" applyFont="1" applyAlignment="1">
      <alignment horizontal="center" wrapText="1"/>
    </xf>
    <xf numFmtId="0" fontId="7" fillId="4" borderId="13" xfId="0" applyFont="1" applyFill="1" applyBorder="1" applyAlignment="1">
      <alignment horizontal="center" wrapText="1"/>
    </xf>
    <xf numFmtId="165" fontId="7" fillId="4" borderId="36" xfId="0" applyNumberFormat="1" applyFont="1" applyFill="1" applyBorder="1" applyAlignment="1">
      <alignment horizontal="center" wrapText="1"/>
    </xf>
    <xf numFmtId="0" fontId="7" fillId="4" borderId="14" xfId="0" applyFont="1" applyFill="1" applyBorder="1" applyAlignment="1">
      <alignment horizontal="center" wrapText="1"/>
    </xf>
    <xf numFmtId="165" fontId="7" fillId="4" borderId="39" xfId="0" applyNumberFormat="1" applyFont="1" applyFill="1" applyBorder="1" applyAlignment="1">
      <alignment horizontal="center" wrapText="1"/>
    </xf>
    <xf numFmtId="0" fontId="2" fillId="12" borderId="7" xfId="2" applyFill="1" applyBorder="1" applyAlignment="1" applyProtection="1">
      <alignment horizontal="center" wrapText="1"/>
      <protection locked="0"/>
    </xf>
    <xf numFmtId="14" fontId="2" fillId="12" borderId="7" xfId="2" applyNumberFormat="1" applyFill="1" applyBorder="1" applyAlignment="1" applyProtection="1">
      <alignment horizontal="center" wrapText="1"/>
      <protection locked="0"/>
    </xf>
    <xf numFmtId="0" fontId="2" fillId="4" borderId="52" xfId="2" applyFill="1" applyBorder="1" applyAlignment="1">
      <alignment horizontal="center" wrapText="1"/>
    </xf>
    <xf numFmtId="0" fontId="2" fillId="0" borderId="47" xfId="0" applyFont="1" applyBorder="1" applyAlignment="1">
      <alignment horizontal="left"/>
    </xf>
    <xf numFmtId="0" fontId="2" fillId="0" borderId="62" xfId="0" applyFont="1" applyBorder="1"/>
    <xf numFmtId="164" fontId="0" fillId="4" borderId="62" xfId="0" applyNumberFormat="1" applyFill="1" applyBorder="1" applyAlignment="1">
      <alignment horizontal="center"/>
    </xf>
    <xf numFmtId="0" fontId="4" fillId="4" borderId="48" xfId="0" applyFont="1" applyFill="1" applyBorder="1" applyAlignment="1">
      <alignment horizontal="center"/>
    </xf>
    <xf numFmtId="0" fontId="2" fillId="0" borderId="53" xfId="0" applyFont="1" applyBorder="1" applyAlignment="1">
      <alignment horizontal="left"/>
    </xf>
    <xf numFmtId="0" fontId="2" fillId="0" borderId="55" xfId="0" applyFont="1" applyBorder="1"/>
    <xf numFmtId="0" fontId="4" fillId="17" borderId="55" xfId="0" applyFont="1" applyFill="1" applyBorder="1" applyAlignment="1">
      <alignment horizontal="center"/>
    </xf>
    <xf numFmtId="164" fontId="0" fillId="4" borderId="98" xfId="0" applyNumberFormat="1" applyFill="1" applyBorder="1" applyAlignment="1">
      <alignment horizontal="center"/>
    </xf>
    <xf numFmtId="0" fontId="4" fillId="17" borderId="54" xfId="0" applyFont="1" applyFill="1" applyBorder="1" applyAlignment="1">
      <alignment horizontal="center"/>
    </xf>
    <xf numFmtId="0" fontId="33" fillId="5" borderId="17" xfId="0" applyFont="1" applyFill="1" applyBorder="1" applyAlignment="1">
      <alignment horizontal="left" wrapText="1"/>
    </xf>
    <xf numFmtId="0" fontId="5" fillId="2" borderId="32" xfId="2" applyFont="1" applyFill="1" applyBorder="1" applyAlignment="1">
      <alignment horizontal="left" wrapText="1"/>
    </xf>
    <xf numFmtId="0" fontId="5" fillId="2" borderId="8" xfId="2" applyFont="1" applyFill="1" applyBorder="1" applyAlignment="1">
      <alignment horizontal="left" wrapText="1"/>
    </xf>
    <xf numFmtId="0" fontId="2" fillId="12" borderId="7" xfId="2" applyFill="1" applyBorder="1" applyAlignment="1" applyProtection="1">
      <alignment horizontal="center"/>
      <protection locked="0"/>
    </xf>
    <xf numFmtId="0" fontId="3" fillId="2" borderId="6" xfId="2" applyFont="1" applyFill="1" applyBorder="1" applyAlignment="1">
      <alignment horizontal="left" wrapText="1"/>
    </xf>
    <xf numFmtId="0" fontId="19" fillId="15" borderId="12" xfId="6" applyFont="1" applyFill="1" applyBorder="1" applyAlignment="1">
      <alignment horizontal="left" vertical="center" wrapText="1"/>
    </xf>
    <xf numFmtId="0" fontId="19" fillId="15" borderId="56" xfId="6" applyFont="1" applyFill="1" applyBorder="1" applyAlignment="1">
      <alignment horizontal="left" vertical="center" wrapText="1"/>
    </xf>
    <xf numFmtId="0" fontId="19" fillId="15" borderId="13" xfId="6" applyFont="1" applyFill="1" applyBorder="1" applyAlignment="1">
      <alignment horizontal="left" vertical="center" wrapText="1"/>
    </xf>
    <xf numFmtId="0" fontId="19" fillId="15" borderId="36" xfId="6" applyFont="1" applyFill="1" applyBorder="1" applyAlignment="1">
      <alignment horizontal="left" vertical="center" wrapText="1"/>
    </xf>
    <xf numFmtId="0" fontId="19" fillId="15" borderId="14" xfId="6" applyFont="1" applyFill="1" applyBorder="1" applyAlignment="1">
      <alignment horizontal="left" vertical="center" wrapText="1"/>
    </xf>
    <xf numFmtId="0" fontId="19" fillId="15" borderId="39" xfId="6" applyFont="1" applyFill="1" applyBorder="1" applyAlignment="1">
      <alignment horizontal="left" vertical="center" wrapText="1"/>
    </xf>
    <xf numFmtId="0" fontId="24" fillId="10" borderId="16" xfId="8" applyFont="1" applyFill="1" applyBorder="1" applyAlignment="1">
      <alignment horizontal="center" vertical="center"/>
    </xf>
    <xf numFmtId="0" fontId="24" fillId="10" borderId="17" xfId="8" applyFont="1" applyFill="1" applyBorder="1" applyAlignment="1">
      <alignment horizontal="center" vertical="center"/>
    </xf>
    <xf numFmtId="0" fontId="20" fillId="9" borderId="49" xfId="6" applyBorder="1">
      <alignment horizontal="left" vertical="center"/>
    </xf>
    <xf numFmtId="0" fontId="20" fillId="9" borderId="50" xfId="6" applyBorder="1">
      <alignment horizontal="left" vertical="center"/>
    </xf>
    <xf numFmtId="0" fontId="20" fillId="9" borderId="49" xfId="6" applyBorder="1" applyProtection="1">
      <alignment horizontal="left" vertical="center"/>
    </xf>
    <xf numFmtId="0" fontId="20" fillId="9" borderId="50" xfId="6" applyBorder="1" applyProtection="1">
      <alignment horizontal="left" vertical="center"/>
    </xf>
    <xf numFmtId="0" fontId="23" fillId="0" borderId="14" xfId="7" applyBorder="1" applyAlignment="1" applyProtection="1">
      <alignment horizontal="left" vertical="center" wrapText="1"/>
      <protection locked="0"/>
    </xf>
    <xf numFmtId="0" fontId="23" fillId="0" borderId="39" xfId="7" applyBorder="1" applyAlignment="1" applyProtection="1">
      <alignment horizontal="left" vertical="center" wrapText="1"/>
      <protection locked="0"/>
    </xf>
    <xf numFmtId="0" fontId="24" fillId="10" borderId="49" xfId="8" applyFont="1" applyFill="1" applyBorder="1" applyAlignment="1">
      <alignment horizontal="left"/>
    </xf>
    <xf numFmtId="0" fontId="24" fillId="10" borderId="50" xfId="8" applyFont="1" applyFill="1" applyBorder="1" applyAlignment="1">
      <alignment horizontal="left"/>
    </xf>
    <xf numFmtId="0" fontId="5" fillId="2" borderId="43" xfId="2" applyFont="1" applyFill="1" applyBorder="1" applyAlignment="1">
      <alignment horizontal="left" vertical="center"/>
    </xf>
    <xf numFmtId="0" fontId="5" fillId="2" borderId="32" xfId="2" applyFont="1" applyFill="1" applyBorder="1" applyAlignment="1">
      <alignment horizontal="left" vertical="center"/>
    </xf>
    <xf numFmtId="0" fontId="2" fillId="12" borderId="58" xfId="2" applyFill="1" applyBorder="1" applyAlignment="1" applyProtection="1">
      <alignment horizontal="center" vertical="center" wrapText="1"/>
      <protection locked="0"/>
    </xf>
    <xf numFmtId="0" fontId="2" fillId="12" borderId="52" xfId="2" applyFill="1" applyBorder="1" applyAlignment="1" applyProtection="1">
      <alignment horizontal="center" vertical="center" wrapText="1"/>
      <protection locked="0"/>
    </xf>
    <xf numFmtId="0" fontId="23" fillId="0" borderId="0" xfId="7" applyAlignment="1" applyProtection="1">
      <alignment horizontal="left"/>
      <protection locked="0"/>
    </xf>
    <xf numFmtId="0" fontId="21" fillId="0" borderId="73" xfId="5" applyFont="1" applyBorder="1" applyAlignment="1">
      <alignment horizontal="left" vertical="center"/>
    </xf>
    <xf numFmtId="0" fontId="21" fillId="0" borderId="107" xfId="5" applyFont="1" applyBorder="1" applyAlignment="1">
      <alignment horizontal="left" vertical="center"/>
    </xf>
    <xf numFmtId="0" fontId="20" fillId="9" borderId="19" xfId="6" applyBorder="1">
      <alignment horizontal="left" vertical="center"/>
    </xf>
    <xf numFmtId="0" fontId="22" fillId="0" borderId="116" xfId="5" applyFont="1" applyBorder="1" applyAlignment="1">
      <alignment horizontal="left" vertical="center"/>
    </xf>
    <xf numFmtId="0" fontId="22" fillId="0" borderId="117" xfId="5" applyFont="1" applyBorder="1" applyAlignment="1">
      <alignment horizontal="left" vertical="center"/>
    </xf>
    <xf numFmtId="0" fontId="22" fillId="0" borderId="122" xfId="5" applyFont="1" applyBorder="1" applyAlignment="1">
      <alignment horizontal="left" vertical="center"/>
    </xf>
    <xf numFmtId="0" fontId="21" fillId="0" borderId="118" xfId="5" applyFont="1" applyBorder="1" applyAlignment="1">
      <alignment horizontal="left" vertical="center"/>
    </xf>
    <xf numFmtId="0" fontId="21" fillId="0" borderId="119" xfId="5" applyFont="1" applyBorder="1" applyAlignment="1">
      <alignment horizontal="left" vertical="center"/>
    </xf>
    <xf numFmtId="0" fontId="21" fillId="0" borderId="123" xfId="5" applyFont="1" applyBorder="1" applyAlignment="1">
      <alignment horizontal="left" vertical="center"/>
    </xf>
    <xf numFmtId="14" fontId="21" fillId="0" borderId="118" xfId="5" applyNumberFormat="1" applyFont="1" applyBorder="1" applyAlignment="1">
      <alignment horizontal="left" vertical="center"/>
    </xf>
    <xf numFmtId="14" fontId="21" fillId="0" borderId="119" xfId="5" applyNumberFormat="1" applyFont="1" applyBorder="1" applyAlignment="1">
      <alignment horizontal="left" vertical="center"/>
    </xf>
    <xf numFmtId="14" fontId="21" fillId="0" borderId="123" xfId="5" applyNumberFormat="1" applyFont="1" applyBorder="1" applyAlignment="1">
      <alignment horizontal="left" vertical="center"/>
    </xf>
    <xf numFmtId="14" fontId="21" fillId="0" borderId="120" xfId="5" applyNumberFormat="1" applyFont="1" applyBorder="1" applyAlignment="1">
      <alignment horizontal="left" vertical="center"/>
    </xf>
    <xf numFmtId="14" fontId="21" fillId="0" borderId="121" xfId="5" applyNumberFormat="1" applyFont="1" applyBorder="1" applyAlignment="1">
      <alignment horizontal="left" vertical="center"/>
    </xf>
    <xf numFmtId="14" fontId="21" fillId="0" borderId="124" xfId="5" applyNumberFormat="1" applyFont="1" applyBorder="1" applyAlignment="1">
      <alignment horizontal="left" vertical="center"/>
    </xf>
    <xf numFmtId="0" fontId="21" fillId="0" borderId="71" xfId="5" applyFont="1" applyBorder="1" applyAlignment="1">
      <alignment horizontal="left" vertical="center"/>
    </xf>
    <xf numFmtId="0" fontId="21" fillId="0" borderId="105" xfId="5" applyFont="1" applyBorder="1" applyAlignment="1">
      <alignment horizontal="left" vertical="center"/>
    </xf>
    <xf numFmtId="0" fontId="21" fillId="0" borderId="114" xfId="5" applyFont="1" applyBorder="1" applyAlignment="1">
      <alignment horizontal="left" vertical="center"/>
    </xf>
    <xf numFmtId="0" fontId="21" fillId="0" borderId="115" xfId="5" applyFont="1" applyBorder="1" applyAlignment="1">
      <alignment horizontal="left" vertical="center"/>
    </xf>
    <xf numFmtId="0" fontId="18" fillId="0" borderId="71" xfId="5" applyBorder="1" applyAlignment="1">
      <alignment horizontal="left" vertical="center"/>
    </xf>
    <xf numFmtId="0" fontId="18" fillId="0" borderId="105" xfId="5" applyBorder="1" applyAlignment="1">
      <alignment horizontal="left" vertical="center"/>
    </xf>
    <xf numFmtId="166" fontId="2" fillId="0" borderId="3" xfId="1" applyNumberFormat="1" applyFont="1" applyBorder="1" applyAlignment="1">
      <alignment horizontal="center" vertical="center"/>
    </xf>
    <xf numFmtId="166" fontId="2" fillId="0" borderId="10" xfId="1" applyNumberFormat="1" applyFont="1" applyBorder="1" applyAlignment="1">
      <alignment horizontal="center" vertical="center"/>
    </xf>
    <xf numFmtId="166" fontId="2" fillId="0" borderId="62" xfId="1" applyNumberFormat="1" applyFont="1" applyBorder="1" applyAlignment="1">
      <alignment horizontal="center" vertical="center"/>
    </xf>
    <xf numFmtId="166" fontId="14" fillId="4" borderId="7" xfId="1" applyNumberFormat="1" applyFont="1" applyFill="1" applyBorder="1" applyAlignment="1">
      <alignment horizontal="center" vertical="center"/>
    </xf>
    <xf numFmtId="166" fontId="14" fillId="4" borderId="9" xfId="1" applyNumberFormat="1" applyFont="1" applyFill="1" applyBorder="1" applyAlignment="1">
      <alignment horizontal="center" vertical="center"/>
    </xf>
    <xf numFmtId="0" fontId="2" fillId="0" borderId="31" xfId="2" applyBorder="1" applyAlignment="1">
      <alignment horizontal="center" vertical="center"/>
    </xf>
    <xf numFmtId="0" fontId="2" fillId="0" borderId="32" xfId="2" applyBorder="1" applyAlignment="1">
      <alignment horizontal="center" vertical="center"/>
    </xf>
    <xf numFmtId="0" fontId="2" fillId="0" borderId="3" xfId="2" applyBorder="1" applyAlignment="1">
      <alignment horizontal="center" vertical="center"/>
    </xf>
    <xf numFmtId="0" fontId="2" fillId="0" borderId="10" xfId="2" applyBorder="1" applyAlignment="1">
      <alignment horizontal="center" vertical="center"/>
    </xf>
    <xf numFmtId="0" fontId="2" fillId="0" borderId="41" xfId="2" applyBorder="1" applyAlignment="1">
      <alignment horizontal="center" vertical="center"/>
    </xf>
    <xf numFmtId="166" fontId="2" fillId="0" borderId="1" xfId="2" applyNumberFormat="1" applyBorder="1" applyAlignment="1">
      <alignment horizontal="center" vertical="center"/>
    </xf>
    <xf numFmtId="0" fontId="2" fillId="0" borderId="1" xfId="2" applyBorder="1" applyAlignment="1">
      <alignment horizontal="center" vertical="center"/>
    </xf>
    <xf numFmtId="0" fontId="2" fillId="0" borderId="47" xfId="2" applyBorder="1" applyAlignment="1">
      <alignment horizontal="center" vertical="center"/>
    </xf>
    <xf numFmtId="0" fontId="14" fillId="4" borderId="51" xfId="2" applyFont="1" applyFill="1" applyBorder="1" applyAlignment="1">
      <alignment horizontal="center" vertical="center"/>
    </xf>
    <xf numFmtId="0" fontId="14" fillId="4" borderId="48" xfId="2" applyFont="1" applyFill="1" applyBorder="1" applyAlignment="1">
      <alignment horizontal="center" vertical="center"/>
    </xf>
    <xf numFmtId="0" fontId="2" fillId="0" borderId="60" xfId="2" applyBorder="1" applyAlignment="1">
      <alignment horizontal="center" vertical="center"/>
    </xf>
    <xf numFmtId="0" fontId="2" fillId="0" borderId="13" xfId="2" applyBorder="1" applyAlignment="1">
      <alignment horizontal="center" vertical="center"/>
    </xf>
    <xf numFmtId="0" fontId="2" fillId="0" borderId="26" xfId="2" applyBorder="1" applyAlignment="1">
      <alignment horizontal="center" vertical="center"/>
    </xf>
    <xf numFmtId="0" fontId="2" fillId="0" borderId="14" xfId="2" applyBorder="1" applyAlignment="1">
      <alignment horizontal="center" vertical="center"/>
    </xf>
    <xf numFmtId="0" fontId="2" fillId="0" borderId="62" xfId="2" applyBorder="1" applyAlignment="1">
      <alignment horizontal="center" vertical="center"/>
    </xf>
    <xf numFmtId="0" fontId="2" fillId="0" borderId="61" xfId="2" applyBorder="1" applyAlignment="1">
      <alignment horizontal="center" vertical="center"/>
    </xf>
    <xf numFmtId="0" fontId="3" fillId="2" borderId="60" xfId="2" applyFont="1" applyFill="1" applyBorder="1" applyAlignment="1">
      <alignment horizontal="left" vertical="center"/>
    </xf>
    <xf numFmtId="0" fontId="3" fillId="2" borderId="14" xfId="2" applyFont="1" applyFill="1" applyBorder="1" applyAlignment="1">
      <alignment horizontal="left" vertical="center"/>
    </xf>
    <xf numFmtId="0" fontId="2" fillId="12" borderId="34" xfId="2" applyFill="1" applyBorder="1" applyAlignment="1" applyProtection="1">
      <alignment horizontal="left" vertical="center" wrapText="1"/>
      <protection locked="0"/>
    </xf>
    <xf numFmtId="0" fontId="2" fillId="12" borderId="48" xfId="2" applyFill="1" applyBorder="1" applyAlignment="1" applyProtection="1">
      <alignment horizontal="left" vertical="center" wrapText="1"/>
      <protection locked="0"/>
    </xf>
    <xf numFmtId="0" fontId="2" fillId="0" borderId="6" xfId="2" applyBorder="1" applyAlignment="1">
      <alignment horizontal="center" vertical="center"/>
    </xf>
    <xf numFmtId="0" fontId="14" fillId="4" borderId="7" xfId="2" applyFont="1" applyFill="1" applyBorder="1" applyAlignment="1">
      <alignment horizontal="center" vertical="center"/>
    </xf>
    <xf numFmtId="0" fontId="14" fillId="4" borderId="9" xfId="2" applyFont="1" applyFill="1" applyBorder="1" applyAlignment="1">
      <alignment horizontal="center" vertical="center"/>
    </xf>
    <xf numFmtId="0" fontId="14" fillId="4" borderId="34" xfId="2" applyFont="1" applyFill="1" applyBorder="1" applyAlignment="1">
      <alignment horizontal="center" vertical="center"/>
    </xf>
    <xf numFmtId="0" fontId="2" fillId="0" borderId="8" xfId="2" applyBorder="1" applyAlignment="1">
      <alignment horizontal="center" vertical="center"/>
    </xf>
    <xf numFmtId="0" fontId="21" fillId="0" borderId="69" xfId="5" applyFont="1" applyBorder="1" applyAlignment="1">
      <alignment horizontal="left" vertical="center"/>
    </xf>
    <xf numFmtId="0" fontId="21" fillId="0" borderId="106" xfId="5" applyFont="1" applyBorder="1" applyAlignment="1">
      <alignment horizontal="left" vertical="center"/>
    </xf>
    <xf numFmtId="0" fontId="22" fillId="0" borderId="106" xfId="5" applyFont="1" applyBorder="1" applyAlignment="1">
      <alignment horizontal="left" vertical="center"/>
    </xf>
    <xf numFmtId="0" fontId="22" fillId="0" borderId="70" xfId="5" applyFont="1" applyBorder="1" applyAlignment="1">
      <alignment horizontal="left" vertical="center"/>
    </xf>
    <xf numFmtId="0" fontId="21" fillId="0" borderId="72" xfId="5" applyFont="1" applyBorder="1" applyAlignment="1">
      <alignment horizontal="left" vertical="center"/>
    </xf>
    <xf numFmtId="14" fontId="21" fillId="0" borderId="105" xfId="5" applyNumberFormat="1" applyFont="1" applyBorder="1" applyAlignment="1">
      <alignment horizontal="left" vertical="center"/>
    </xf>
    <xf numFmtId="14" fontId="21" fillId="0" borderId="72" xfId="5" applyNumberFormat="1" applyFont="1" applyBorder="1" applyAlignment="1">
      <alignment horizontal="left" vertical="center"/>
    </xf>
    <xf numFmtId="0" fontId="3" fillId="2" borderId="35" xfId="0" applyFont="1" applyFill="1" applyBorder="1" applyAlignment="1">
      <alignment horizontal="center" vertical="center"/>
    </xf>
    <xf numFmtId="0" fontId="3" fillId="2" borderId="37" xfId="0" applyFont="1" applyFill="1" applyBorder="1" applyAlignment="1">
      <alignment horizontal="center" vertical="center"/>
    </xf>
    <xf numFmtId="0" fontId="3" fillId="2" borderId="38" xfId="0" applyFont="1" applyFill="1" applyBorder="1" applyAlignment="1">
      <alignment horizontal="center" vertical="center"/>
    </xf>
    <xf numFmtId="0" fontId="3" fillId="3" borderId="35" xfId="0" applyFont="1" applyFill="1" applyBorder="1" applyAlignment="1">
      <alignment horizontal="center" vertical="center"/>
    </xf>
    <xf numFmtId="0" fontId="3" fillId="3" borderId="37" xfId="0" applyFont="1" applyFill="1" applyBorder="1" applyAlignment="1">
      <alignment horizontal="center" vertical="center"/>
    </xf>
    <xf numFmtId="0" fontId="3" fillId="3" borderId="66" xfId="0" applyFont="1" applyFill="1" applyBorder="1" applyAlignment="1">
      <alignment horizontal="center" vertical="center"/>
    </xf>
    <xf numFmtId="14" fontId="21" fillId="0" borderId="107" xfId="5" applyNumberFormat="1" applyFont="1" applyBorder="1" applyAlignment="1">
      <alignment horizontal="left" vertical="center"/>
    </xf>
    <xf numFmtId="14" fontId="21" fillId="0" borderId="74" xfId="5" applyNumberFormat="1" applyFont="1" applyBorder="1" applyAlignment="1">
      <alignment horizontal="left" vertical="center"/>
    </xf>
    <xf numFmtId="0" fontId="7" fillId="3" borderId="49" xfId="0" applyFont="1" applyFill="1" applyBorder="1" applyAlignment="1">
      <alignment horizontal="center" wrapText="1"/>
    </xf>
    <xf numFmtId="0" fontId="7" fillId="3" borderId="50" xfId="0" applyFont="1" applyFill="1" applyBorder="1" applyAlignment="1">
      <alignment horizontal="center" wrapText="1"/>
    </xf>
    <xf numFmtId="0" fontId="3" fillId="3" borderId="23" xfId="2" applyFont="1" applyFill="1" applyBorder="1" applyAlignment="1">
      <alignment horizontal="center" wrapText="1"/>
    </xf>
    <xf numFmtId="0" fontId="3" fillId="3" borderId="130" xfId="2" applyFont="1" applyFill="1" applyBorder="1" applyAlignment="1">
      <alignment horizontal="center" wrapText="1"/>
    </xf>
    <xf numFmtId="0" fontId="2" fillId="4" borderId="58" xfId="2" applyFill="1" applyBorder="1" applyAlignment="1">
      <alignment horizontal="center" vertical="center" wrapText="1"/>
    </xf>
    <xf numFmtId="0" fontId="2" fillId="4" borderId="52" xfId="2" applyFill="1" applyBorder="1" applyAlignment="1">
      <alignment horizontal="center" vertical="center" wrapText="1"/>
    </xf>
    <xf numFmtId="0" fontId="19" fillId="15" borderId="53" xfId="6" applyFont="1" applyFill="1" applyBorder="1" applyAlignment="1" applyProtection="1">
      <alignment horizontal="left" vertical="center" wrapText="1"/>
    </xf>
    <xf numFmtId="0" fontId="19" fillId="15" borderId="55" xfId="6" applyFont="1" applyFill="1" applyBorder="1" applyAlignment="1" applyProtection="1">
      <alignment horizontal="left" vertical="center" wrapText="1"/>
    </xf>
    <xf numFmtId="0" fontId="19" fillId="15" borderId="54" xfId="6" applyFont="1" applyFill="1" applyBorder="1" applyAlignment="1" applyProtection="1">
      <alignment horizontal="left" vertical="center" wrapText="1"/>
    </xf>
    <xf numFmtId="0" fontId="19" fillId="15" borderId="32" xfId="6" applyFont="1" applyFill="1" applyBorder="1" applyAlignment="1" applyProtection="1">
      <alignment horizontal="left" vertical="center" wrapText="1"/>
    </xf>
    <xf numFmtId="0" fontId="19" fillId="15" borderId="41" xfId="6" applyFont="1" applyFill="1" applyBorder="1" applyAlignment="1" applyProtection="1">
      <alignment horizontal="left" vertical="center" wrapText="1"/>
    </xf>
    <xf numFmtId="0" fontId="19" fillId="15" borderId="52" xfId="6" applyFont="1" applyFill="1" applyBorder="1" applyAlignment="1" applyProtection="1">
      <alignment horizontal="left" vertical="center" wrapText="1"/>
    </xf>
    <xf numFmtId="0" fontId="19" fillId="15" borderId="8" xfId="6" applyFont="1" applyFill="1" applyBorder="1" applyAlignment="1" applyProtection="1">
      <alignment horizontal="left" vertical="center" wrapText="1"/>
    </xf>
    <xf numFmtId="0" fontId="19" fillId="15" borderId="61" xfId="6" applyFont="1" applyFill="1" applyBorder="1" applyAlignment="1" applyProtection="1">
      <alignment horizontal="left" vertical="center" wrapText="1"/>
    </xf>
    <xf numFmtId="0" fontId="19" fillId="15" borderId="9" xfId="6" applyFont="1" applyFill="1" applyBorder="1" applyAlignment="1" applyProtection="1">
      <alignment horizontal="left" vertical="center" wrapText="1"/>
    </xf>
    <xf numFmtId="0" fontId="24" fillId="0" borderId="23" xfId="5" applyFont="1" applyBorder="1" applyAlignment="1">
      <alignment horizontal="center" vertical="center"/>
    </xf>
    <xf numFmtId="0" fontId="24" fillId="0" borderId="98" xfId="5" applyFont="1" applyBorder="1" applyAlignment="1">
      <alignment horizontal="center" vertical="center"/>
    </xf>
    <xf numFmtId="0" fontId="18" fillId="0" borderId="99" xfId="5" applyBorder="1" applyAlignment="1">
      <alignment horizontal="left"/>
    </xf>
    <xf numFmtId="0" fontId="18" fillId="0" borderId="100" xfId="5" applyBorder="1" applyAlignment="1">
      <alignment horizontal="left"/>
    </xf>
    <xf numFmtId="0" fontId="7" fillId="3" borderId="49" xfId="0" applyFont="1" applyFill="1" applyBorder="1" applyAlignment="1">
      <alignment horizontal="center" vertical="center"/>
    </xf>
    <xf numFmtId="0" fontId="7" fillId="3" borderId="50" xfId="0" applyFont="1" applyFill="1" applyBorder="1" applyAlignment="1">
      <alignment horizontal="center" vertical="center"/>
    </xf>
    <xf numFmtId="0" fontId="3" fillId="3" borderId="49"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3" borderId="50" xfId="0" applyFont="1" applyFill="1" applyBorder="1" applyAlignment="1">
      <alignment horizontal="center" vertical="center" wrapText="1"/>
    </xf>
    <xf numFmtId="0" fontId="3" fillId="3" borderId="49"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50" xfId="0" applyFont="1" applyFill="1" applyBorder="1" applyAlignment="1">
      <alignment horizontal="center" vertical="center"/>
    </xf>
    <xf numFmtId="0" fontId="3" fillId="2" borderId="35"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2" borderId="66" xfId="0" applyFont="1" applyFill="1" applyBorder="1" applyAlignment="1">
      <alignment horizontal="center" vertical="center" wrapText="1"/>
    </xf>
    <xf numFmtId="0" fontId="3" fillId="2" borderId="43" xfId="0" applyFont="1" applyFill="1" applyBorder="1" applyAlignment="1">
      <alignment horizontal="center" vertical="center" wrapText="1"/>
    </xf>
    <xf numFmtId="0" fontId="3" fillId="2" borderId="46" xfId="0" applyFont="1" applyFill="1" applyBorder="1" applyAlignment="1">
      <alignment horizontal="center" vertical="center" wrapText="1"/>
    </xf>
    <xf numFmtId="0" fontId="3" fillId="2" borderId="47" xfId="0" applyFont="1" applyFill="1" applyBorder="1" applyAlignment="1">
      <alignment horizontal="center" vertical="center" wrapText="1"/>
    </xf>
    <xf numFmtId="166" fontId="11" fillId="4" borderId="58" xfId="0" applyNumberFormat="1" applyFont="1" applyFill="1" applyBorder="1" applyAlignment="1">
      <alignment horizontal="center" vertical="center"/>
    </xf>
    <xf numFmtId="166" fontId="11" fillId="4" borderId="51" xfId="0" applyNumberFormat="1" applyFont="1" applyFill="1" applyBorder="1" applyAlignment="1">
      <alignment horizontal="center" vertical="center"/>
    </xf>
    <xf numFmtId="166" fontId="11" fillId="4" borderId="48" xfId="0" applyNumberFormat="1" applyFont="1" applyFill="1" applyBorder="1" applyAlignment="1">
      <alignment horizontal="center" vertical="center"/>
    </xf>
  </cellXfs>
  <cellStyles count="11">
    <cellStyle name="40% - Accent1" xfId="3" builtinId="31"/>
    <cellStyle name="60% - Accent2" xfId="4" builtinId="36"/>
    <cellStyle name="Heading 4 2" xfId="6" xr:uid="{00000000-0005-0000-0000-000002000000}"/>
    <cellStyle name="Hyperlink" xfId="7" builtinId="8"/>
    <cellStyle name="Input 3" xfId="10" xr:uid="{00000000-0005-0000-0000-000004000000}"/>
    <cellStyle name="Normal" xfId="0" builtinId="0"/>
    <cellStyle name="Normal 2" xfId="2" xr:uid="{00000000-0005-0000-0000-000006000000}"/>
    <cellStyle name="Normal 2 2" xfId="5" xr:uid="{00000000-0005-0000-0000-000007000000}"/>
    <cellStyle name="Normal 3" xfId="8" xr:uid="{00000000-0005-0000-0000-000008000000}"/>
    <cellStyle name="Normal 4" xfId="9" xr:uid="{00000000-0005-0000-0000-000009000000}"/>
    <cellStyle name="Percent" xfId="1" builtinId="5"/>
  </cellStyles>
  <dxfs count="1">
    <dxf>
      <fill>
        <patternFill>
          <bgColor indexed="57"/>
        </patternFill>
      </fill>
    </dxf>
  </dxfs>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57B7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chartsheet" Target="chartsheets/sheet1.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8.xml"/><Relationship Id="rId4" Type="http://schemas.openxmlformats.org/officeDocument/2006/relationships/worksheet" Target="worksheets/sheet4.xml"/><Relationship Id="rId9" Type="http://schemas.openxmlformats.org/officeDocument/2006/relationships/worksheet" Target="worksheets/sheet7.xml"/><Relationship Id="rId14" Type="http://schemas.openxmlformats.org/officeDocument/2006/relationships/calcChain" Target="calcChain.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Arial"/>
                <a:ea typeface="Arial"/>
                <a:cs typeface="Arial"/>
              </a:defRPr>
            </a:pPr>
            <a:r>
              <a:rPr lang="en-US" sz="1800"/>
              <a:t>RMC vs.</a:t>
            </a:r>
            <a:r>
              <a:rPr lang="en-US" sz="1800" baseline="0"/>
              <a:t> g-Force</a:t>
            </a:r>
            <a:r>
              <a:rPr lang="en-US" sz="1800"/>
              <a:t> </a:t>
            </a:r>
          </a:p>
        </c:rich>
      </c:tx>
      <c:layout>
        <c:manualLayout>
          <c:xMode val="edge"/>
          <c:yMode val="edge"/>
          <c:x val="0.36291100684853761"/>
          <c:y val="0.13113258118330212"/>
        </c:manualLayout>
      </c:layout>
      <c:overlay val="0"/>
      <c:spPr>
        <a:noFill/>
        <a:ln w="25400">
          <a:noFill/>
        </a:ln>
      </c:spPr>
    </c:title>
    <c:autoTitleDeleted val="0"/>
    <c:plotArea>
      <c:layout>
        <c:manualLayout>
          <c:layoutTarget val="inner"/>
          <c:xMode val="edge"/>
          <c:yMode val="edge"/>
          <c:x val="0.112737920937042"/>
          <c:y val="0.22112282488534199"/>
          <c:w val="0.67935578330893098"/>
          <c:h val="0.55115689187839001"/>
        </c:manualLayout>
      </c:layout>
      <c:scatterChart>
        <c:scatterStyle val="lineMarker"/>
        <c:varyColors val="0"/>
        <c:ser>
          <c:idx val="1"/>
          <c:order val="0"/>
          <c:tx>
            <c:strRef>
              <c:f>'Analysis of Variance'!$D$8</c:f>
              <c:strCache>
                <c:ptCount val="1"/>
                <c:pt idx="0">
                  <c:v>Uncorrected Lot 026B</c:v>
                </c:pt>
              </c:strCache>
            </c:strRef>
          </c:tx>
          <c:spPr>
            <a:ln w="38100">
              <a:solidFill>
                <a:schemeClr val="accent1">
                  <a:lumMod val="75000"/>
                </a:schemeClr>
              </a:solidFill>
              <a:prstDash val="solid"/>
            </a:ln>
          </c:spPr>
          <c:marker>
            <c:symbol val="square"/>
            <c:size val="8"/>
            <c:spPr>
              <a:solidFill>
                <a:schemeClr val="accent1">
                  <a:lumMod val="60000"/>
                  <a:lumOff val="40000"/>
                </a:schemeClr>
              </a:solidFill>
              <a:ln w="31750">
                <a:solidFill>
                  <a:schemeClr val="accent1">
                    <a:lumMod val="75000"/>
                  </a:schemeClr>
                </a:solidFill>
                <a:prstDash val="solid"/>
              </a:ln>
            </c:spPr>
          </c:marker>
          <c:xVal>
            <c:numRef>
              <c:f>'Analysis of Variance'!$B$39:$B$43</c:f>
              <c:numCache>
                <c:formatCode>General</c:formatCode>
                <c:ptCount val="5"/>
                <c:pt idx="0">
                  <c:v>100</c:v>
                </c:pt>
                <c:pt idx="1">
                  <c:v>200</c:v>
                </c:pt>
                <c:pt idx="2">
                  <c:v>350</c:v>
                </c:pt>
                <c:pt idx="3">
                  <c:v>500</c:v>
                </c:pt>
                <c:pt idx="4">
                  <c:v>650</c:v>
                </c:pt>
              </c:numCache>
            </c:numRef>
          </c:xVal>
          <c:yVal>
            <c:numRef>
              <c:f>'Analysis of Variance'!$D$39:$D$43</c:f>
              <c:numCache>
                <c:formatCode>0.0%</c:formatCode>
                <c:ptCount val="5"/>
                <c:pt idx="0">
                  <c:v>0.60747446522829995</c:v>
                </c:pt>
                <c:pt idx="1">
                  <c:v>0.47018134600835482</c:v>
                </c:pt>
                <c:pt idx="2">
                  <c:v>0.37659186279798329</c:v>
                </c:pt>
                <c:pt idx="3">
                  <c:v>0.32982713135834019</c:v>
                </c:pt>
                <c:pt idx="4">
                  <c:v>0.30121849464241185</c:v>
                </c:pt>
              </c:numCache>
            </c:numRef>
          </c:yVal>
          <c:smooth val="0"/>
          <c:extLst>
            <c:ext xmlns:c16="http://schemas.microsoft.com/office/drawing/2014/chart" uri="{C3380CC4-5D6E-409C-BE32-E72D297353CC}">
              <c16:uniqueId val="{00000000-B9B9-4DE5-B126-6B5D9ADADB98}"/>
            </c:ext>
          </c:extLst>
        </c:ser>
        <c:ser>
          <c:idx val="0"/>
          <c:order val="1"/>
          <c:tx>
            <c:strRef>
              <c:f>'Analysis of Variance'!$C$8</c:f>
              <c:strCache>
                <c:ptCount val="1"/>
                <c:pt idx="0">
                  <c:v>Standard Lot 3</c:v>
                </c:pt>
              </c:strCache>
            </c:strRef>
          </c:tx>
          <c:spPr>
            <a:ln w="38100">
              <a:solidFill>
                <a:schemeClr val="tx1">
                  <a:lumMod val="85000"/>
                  <a:lumOff val="15000"/>
                </a:schemeClr>
              </a:solidFill>
              <a:prstDash val="solid"/>
            </a:ln>
          </c:spPr>
          <c:marker>
            <c:symbol val="circle"/>
            <c:size val="9"/>
            <c:spPr>
              <a:solidFill>
                <a:schemeClr val="tx1">
                  <a:lumMod val="65000"/>
                  <a:lumOff val="35000"/>
                </a:schemeClr>
              </a:solidFill>
              <a:ln w="31750">
                <a:solidFill>
                  <a:schemeClr val="tx1">
                    <a:lumMod val="85000"/>
                    <a:lumOff val="15000"/>
                  </a:schemeClr>
                </a:solidFill>
                <a:prstDash val="solid"/>
              </a:ln>
            </c:spPr>
          </c:marker>
          <c:xVal>
            <c:numRef>
              <c:f>'Analysis of Variance'!$B$39:$B$43</c:f>
              <c:numCache>
                <c:formatCode>General</c:formatCode>
                <c:ptCount val="5"/>
                <c:pt idx="0">
                  <c:v>100</c:v>
                </c:pt>
                <c:pt idx="1">
                  <c:v>200</c:v>
                </c:pt>
                <c:pt idx="2">
                  <c:v>350</c:v>
                </c:pt>
                <c:pt idx="3">
                  <c:v>500</c:v>
                </c:pt>
                <c:pt idx="4">
                  <c:v>650</c:v>
                </c:pt>
              </c:numCache>
            </c:numRef>
          </c:xVal>
          <c:yVal>
            <c:numRef>
              <c:f>'Analysis of Variance'!$C$39:$C$43</c:f>
              <c:numCache>
                <c:formatCode>0.0%</c:formatCode>
                <c:ptCount val="5"/>
                <c:pt idx="0">
                  <c:v>0.49575000000000002</c:v>
                </c:pt>
                <c:pt idx="1">
                  <c:v>0.39274999999999999</c:v>
                </c:pt>
                <c:pt idx="2">
                  <c:v>0.32300000000000001</c:v>
                </c:pt>
                <c:pt idx="3">
                  <c:v>0.27100000000000002</c:v>
                </c:pt>
                <c:pt idx="4">
                  <c:v>0.25375000000000003</c:v>
                </c:pt>
              </c:numCache>
            </c:numRef>
          </c:yVal>
          <c:smooth val="0"/>
          <c:extLst>
            <c:ext xmlns:c16="http://schemas.microsoft.com/office/drawing/2014/chart" uri="{C3380CC4-5D6E-409C-BE32-E72D297353CC}">
              <c16:uniqueId val="{00000001-B9B9-4DE5-B126-6B5D9ADADB98}"/>
            </c:ext>
          </c:extLst>
        </c:ser>
        <c:dLbls>
          <c:showLegendKey val="0"/>
          <c:showVal val="0"/>
          <c:showCatName val="0"/>
          <c:showSerName val="0"/>
          <c:showPercent val="0"/>
          <c:showBubbleSize val="0"/>
        </c:dLbls>
        <c:axId val="430794048"/>
        <c:axId val="430792480"/>
      </c:scatterChart>
      <c:valAx>
        <c:axId val="430794048"/>
        <c:scaling>
          <c:orientation val="minMax"/>
          <c:max val="700"/>
          <c:min val="0"/>
        </c:scaling>
        <c:delete val="0"/>
        <c:axPos val="b"/>
        <c:title>
          <c:tx>
            <c:rich>
              <a:bodyPr/>
              <a:lstStyle/>
              <a:p>
                <a:pPr>
                  <a:defRPr sz="1400" b="1" i="0" u="none" strike="noStrike" baseline="0">
                    <a:solidFill>
                      <a:srgbClr val="000000"/>
                    </a:solidFill>
                    <a:latin typeface="Arial"/>
                    <a:ea typeface="Arial"/>
                    <a:cs typeface="Arial"/>
                  </a:defRPr>
                </a:pPr>
                <a:r>
                  <a:rPr lang="en-US" sz="1400"/>
                  <a:t>Spin</a:t>
                </a:r>
                <a:r>
                  <a:rPr lang="en-US" sz="1400" baseline="0"/>
                  <a:t> S</a:t>
                </a:r>
                <a:r>
                  <a:rPr lang="en-US" sz="1400"/>
                  <a:t>peed (g-Force)</a:t>
                </a:r>
              </a:p>
            </c:rich>
          </c:tx>
          <c:layout>
            <c:manualLayout>
              <c:xMode val="edge"/>
              <c:yMode val="edge"/>
              <c:x val="0.34568041942101663"/>
              <c:y val="0.868535106471063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30792480"/>
        <c:crosses val="autoZero"/>
        <c:crossBetween val="midCat"/>
      </c:valAx>
      <c:valAx>
        <c:axId val="430792480"/>
        <c:scaling>
          <c:orientation val="minMax"/>
          <c:min val="0.2"/>
        </c:scaling>
        <c:delete val="0"/>
        <c:axPos val="l"/>
        <c:majorGridlines>
          <c:spPr>
            <a:ln w="3175">
              <a:solidFill>
                <a:srgbClr val="00000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sz="1400"/>
                  <a:t>RMC %</a:t>
                </a:r>
              </a:p>
            </c:rich>
          </c:tx>
          <c:layout>
            <c:manualLayout>
              <c:xMode val="edge"/>
              <c:yMode val="edge"/>
              <c:x val="2.8391876440237024E-2"/>
              <c:y val="0.4422455923320555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30794048"/>
        <c:crosses val="autoZero"/>
        <c:crossBetween val="midCat"/>
      </c:valAx>
      <c:spPr>
        <a:solidFill>
          <a:schemeClr val="bg1">
            <a:lumMod val="85000"/>
          </a:schemeClr>
        </a:solidFill>
        <a:ln w="12700">
          <a:solidFill>
            <a:srgbClr val="808080"/>
          </a:solidFill>
          <a:prstDash val="solid"/>
        </a:ln>
      </c:spPr>
    </c:plotArea>
    <c:legend>
      <c:legendPos val="r"/>
      <c:layout>
        <c:manualLayout>
          <c:xMode val="edge"/>
          <c:yMode val="edge"/>
          <c:x val="0.81482231731772825"/>
          <c:y val="0.39592755590707501"/>
          <c:w val="0.16897331460544543"/>
          <c:h val="0.13439483633338858"/>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Arial" panose="020B0604020202020204" pitchFamily="34" charset="0"/>
                <a:ea typeface="Calibri"/>
                <a:cs typeface="Arial" panose="020B0604020202020204" pitchFamily="34" charset="0"/>
              </a:defRPr>
            </a:pPr>
            <a:r>
              <a:rPr lang="en-US">
                <a:latin typeface="Arial" panose="020B0604020202020204" pitchFamily="34" charset="0"/>
                <a:cs typeface="Arial" panose="020B0604020202020204" pitchFamily="34" charset="0"/>
              </a:rPr>
              <a:t>RMC Least Squares Fit</a:t>
            </a:r>
          </a:p>
        </c:rich>
      </c:tx>
      <c:layout>
        <c:manualLayout>
          <c:xMode val="edge"/>
          <c:yMode val="edge"/>
          <c:x val="0.35933054414542781"/>
          <c:y val="2.4220182436458175E-2"/>
        </c:manualLayout>
      </c:layout>
      <c:overlay val="0"/>
      <c:spPr>
        <a:noFill/>
        <a:ln w="25400">
          <a:noFill/>
        </a:ln>
      </c:spPr>
    </c:title>
    <c:autoTitleDeleted val="0"/>
    <c:plotArea>
      <c:layout>
        <c:manualLayout>
          <c:layoutTarget val="inner"/>
          <c:xMode val="edge"/>
          <c:yMode val="edge"/>
          <c:x val="0.11012085763144512"/>
          <c:y val="0.10511066509669877"/>
          <c:w val="0.83472781192869239"/>
          <c:h val="0.71495022545906706"/>
        </c:manualLayout>
      </c:layout>
      <c:scatterChart>
        <c:scatterStyle val="lineMarker"/>
        <c:varyColors val="0"/>
        <c:ser>
          <c:idx val="0"/>
          <c:order val="0"/>
          <c:tx>
            <c:strRef>
              <c:f>'Analysis of Variance'!$D$8</c:f>
              <c:strCache>
                <c:ptCount val="1"/>
                <c:pt idx="0">
                  <c:v>Uncorrected Lot 026B</c:v>
                </c:pt>
              </c:strCache>
            </c:strRef>
          </c:tx>
          <c:spPr>
            <a:ln w="28575">
              <a:noFill/>
            </a:ln>
          </c:spPr>
          <c:marker>
            <c:symbol val="circle"/>
            <c:size val="9"/>
            <c:spPr>
              <a:solidFill>
                <a:schemeClr val="accent1">
                  <a:lumMod val="60000"/>
                  <a:lumOff val="40000"/>
                </a:schemeClr>
              </a:solidFill>
              <a:ln w="31750">
                <a:solidFill>
                  <a:schemeClr val="accent1">
                    <a:lumMod val="75000"/>
                  </a:schemeClr>
                </a:solidFill>
                <a:prstDash val="solid"/>
              </a:ln>
            </c:spPr>
          </c:marker>
          <c:trendline>
            <c:spPr>
              <a:ln w="38100">
                <a:solidFill>
                  <a:schemeClr val="tx1">
                    <a:lumMod val="85000"/>
                    <a:lumOff val="15000"/>
                  </a:schemeClr>
                </a:solidFill>
                <a:prstDash val="sysDash"/>
              </a:ln>
            </c:spPr>
            <c:trendlineType val="linear"/>
            <c:dispRSqr val="1"/>
            <c:dispEq val="0"/>
            <c:trendlineLbl>
              <c:layout>
                <c:manualLayout>
                  <c:x val="-4.5125158154983115E-2"/>
                  <c:y val="7.9238456436966417E-3"/>
                </c:manualLayout>
              </c:layout>
              <c:numFmt formatCode="General" sourceLinked="0"/>
              <c:txPr>
                <a:bodyPr/>
                <a:lstStyle/>
                <a:p>
                  <a:pPr>
                    <a:defRPr sz="1200" b="1">
                      <a:latin typeface="Arial" panose="020B0604020202020204" pitchFamily="34" charset="0"/>
                      <a:cs typeface="Arial" panose="020B0604020202020204" pitchFamily="34" charset="0"/>
                    </a:defRPr>
                  </a:pPr>
                  <a:endParaRPr lang="en-US"/>
                </a:p>
              </c:txPr>
            </c:trendlineLbl>
          </c:trendline>
          <c:xVal>
            <c:numRef>
              <c:f>'Analysis of Variance'!$D$9:$D$28</c:f>
              <c:numCache>
                <c:formatCode>0.0%</c:formatCode>
                <c:ptCount val="20"/>
                <c:pt idx="0">
                  <c:v>0.65467505116620572</c:v>
                </c:pt>
                <c:pt idx="1">
                  <c:v>0.62810640465523349</c:v>
                </c:pt>
                <c:pt idx="2">
                  <c:v>0.59056341672661128</c:v>
                </c:pt>
                <c:pt idx="3">
                  <c:v>0.55655298836514933</c:v>
                </c:pt>
                <c:pt idx="4">
                  <c:v>0.5180112788943948</c:v>
                </c:pt>
                <c:pt idx="5">
                  <c:v>0.47964159008252322</c:v>
                </c:pt>
                <c:pt idx="6">
                  <c:v>0.4543587447589596</c:v>
                </c:pt>
                <c:pt idx="7">
                  <c:v>0.4287137702975416</c:v>
                </c:pt>
                <c:pt idx="8">
                  <c:v>0.41925399610710246</c:v>
                </c:pt>
                <c:pt idx="9">
                  <c:v>0.38856612553776798</c:v>
                </c:pt>
                <c:pt idx="10">
                  <c:v>0.35848207624073991</c:v>
                </c:pt>
                <c:pt idx="11">
                  <c:v>0.34006525330632287</c:v>
                </c:pt>
                <c:pt idx="12">
                  <c:v>0.36739992892091894</c:v>
                </c:pt>
                <c:pt idx="13">
                  <c:v>0.34138207517916536</c:v>
                </c:pt>
                <c:pt idx="14">
                  <c:v>0.31346875269036606</c:v>
                </c:pt>
                <c:pt idx="15">
                  <c:v>0.29705776864291039</c:v>
                </c:pt>
                <c:pt idx="16">
                  <c:v>0.33903913885411158</c:v>
                </c:pt>
                <c:pt idx="17">
                  <c:v>0.30639038438101107</c:v>
                </c:pt>
                <c:pt idx="18">
                  <c:v>0.28705427966427116</c:v>
                </c:pt>
                <c:pt idx="19">
                  <c:v>0.27239017567025364</c:v>
                </c:pt>
              </c:numCache>
            </c:numRef>
          </c:xVal>
          <c:yVal>
            <c:numRef>
              <c:f>'Analysis of Variance'!$C$9:$C$28</c:f>
              <c:numCache>
                <c:formatCode>0.0%</c:formatCode>
                <c:ptCount val="20"/>
                <c:pt idx="0">
                  <c:v>0.52800000000000002</c:v>
                </c:pt>
                <c:pt idx="1">
                  <c:v>0.499</c:v>
                </c:pt>
                <c:pt idx="2">
                  <c:v>0.497</c:v>
                </c:pt>
                <c:pt idx="3">
                  <c:v>0.45900000000000002</c:v>
                </c:pt>
                <c:pt idx="4">
                  <c:v>0.43099999999999999</c:v>
                </c:pt>
                <c:pt idx="5">
                  <c:v>0.40400000000000003</c:v>
                </c:pt>
                <c:pt idx="6">
                  <c:v>0.379</c:v>
                </c:pt>
                <c:pt idx="7">
                  <c:v>0.35699999999999998</c:v>
                </c:pt>
                <c:pt idx="8">
                  <c:v>0.35799999999999998</c:v>
                </c:pt>
                <c:pt idx="9">
                  <c:v>0.33100000000000002</c:v>
                </c:pt>
                <c:pt idx="10">
                  <c:v>0.307</c:v>
                </c:pt>
                <c:pt idx="11">
                  <c:v>0.29599999999999999</c:v>
                </c:pt>
                <c:pt idx="12">
                  <c:v>0.3</c:v>
                </c:pt>
                <c:pt idx="13">
                  <c:v>0.28699999999999998</c:v>
                </c:pt>
                <c:pt idx="14">
                  <c:v>0.255</c:v>
                </c:pt>
                <c:pt idx="15">
                  <c:v>0.24199999999999999</c:v>
                </c:pt>
                <c:pt idx="16">
                  <c:v>0.28000000000000003</c:v>
                </c:pt>
                <c:pt idx="17">
                  <c:v>0.26400000000000001</c:v>
                </c:pt>
                <c:pt idx="18">
                  <c:v>0.24099999999999999</c:v>
                </c:pt>
                <c:pt idx="19">
                  <c:v>0.23</c:v>
                </c:pt>
              </c:numCache>
            </c:numRef>
          </c:yVal>
          <c:smooth val="0"/>
          <c:extLst>
            <c:ext xmlns:c16="http://schemas.microsoft.com/office/drawing/2014/chart" uri="{C3380CC4-5D6E-409C-BE32-E72D297353CC}">
              <c16:uniqueId val="{00000001-263F-40CA-A8F5-580EA61A4401}"/>
            </c:ext>
          </c:extLst>
        </c:ser>
        <c:dLbls>
          <c:showLegendKey val="0"/>
          <c:showVal val="0"/>
          <c:showCatName val="0"/>
          <c:showSerName val="0"/>
          <c:showPercent val="0"/>
          <c:showBubbleSize val="0"/>
        </c:dLbls>
        <c:axId val="430793656"/>
        <c:axId val="430792088"/>
      </c:scatterChart>
      <c:valAx>
        <c:axId val="430793656"/>
        <c:scaling>
          <c:orientation val="minMax"/>
          <c:min val="0.2"/>
        </c:scaling>
        <c:delete val="0"/>
        <c:axPos val="b"/>
        <c:title>
          <c:tx>
            <c:rich>
              <a:bodyPr/>
              <a:lstStyle/>
              <a:p>
                <a:pPr>
                  <a:defRPr sz="1400" b="1" i="0" u="none" strike="noStrike" baseline="0">
                    <a:solidFill>
                      <a:srgbClr val="000000"/>
                    </a:solidFill>
                    <a:latin typeface="Arial"/>
                    <a:ea typeface="Arial"/>
                    <a:cs typeface="Arial"/>
                  </a:defRPr>
                </a:pPr>
                <a:r>
                  <a:rPr lang="en-US"/>
                  <a:t>Measured RMC</a:t>
                </a:r>
              </a:p>
            </c:rich>
          </c:tx>
          <c:layout>
            <c:manualLayout>
              <c:xMode val="edge"/>
              <c:yMode val="edge"/>
              <c:x val="0.40726361655572368"/>
              <c:y val="0.89888073832778714"/>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Arial" panose="020B0604020202020204" pitchFamily="34" charset="0"/>
                <a:ea typeface="Calibri"/>
                <a:cs typeface="Arial" panose="020B0604020202020204" pitchFamily="34" charset="0"/>
              </a:defRPr>
            </a:pPr>
            <a:endParaRPr lang="en-US"/>
          </a:p>
        </c:txPr>
        <c:crossAx val="430792088"/>
        <c:crosses val="autoZero"/>
        <c:crossBetween val="midCat"/>
      </c:valAx>
      <c:valAx>
        <c:axId val="430792088"/>
        <c:scaling>
          <c:orientation val="minMax"/>
          <c:max val="0.6"/>
          <c:min val="0.2"/>
        </c:scaling>
        <c:delete val="0"/>
        <c:axPos val="l"/>
        <c:majorGridlines>
          <c:spPr>
            <a:ln w="3175">
              <a:solidFill>
                <a:srgbClr val="80808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a:t>RMC Standard Lot 3</a:t>
                </a:r>
              </a:p>
            </c:rich>
          </c:tx>
          <c:layout>
            <c:manualLayout>
              <c:xMode val="edge"/>
              <c:yMode val="edge"/>
              <c:x val="1.758046639454627E-2"/>
              <c:y val="0.32052932223379371"/>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Arial" panose="020B0604020202020204" pitchFamily="34" charset="0"/>
                <a:ea typeface="Calibri"/>
                <a:cs typeface="Arial" panose="020B0604020202020204" pitchFamily="34" charset="0"/>
              </a:defRPr>
            </a:pPr>
            <a:endParaRPr lang="en-US"/>
          </a:p>
        </c:txPr>
        <c:crossAx val="430793656"/>
        <c:crosses val="autoZero"/>
        <c:crossBetween val="midCat"/>
      </c:valAx>
      <c:spPr>
        <a:solidFill>
          <a:schemeClr val="bg1">
            <a:lumMod val="85000"/>
          </a:schemeClr>
        </a:solidFill>
        <a:ln w="25400">
          <a:noFill/>
        </a:ln>
      </c:spPr>
    </c:plotArea>
    <c:legend>
      <c:legendPos val="r"/>
      <c:legendEntry>
        <c:idx val="1"/>
        <c:delete val="1"/>
      </c:legendEntry>
      <c:layout>
        <c:manualLayout>
          <c:xMode val="edge"/>
          <c:yMode val="edge"/>
          <c:x val="0.76252089122351729"/>
          <c:y val="0.75091783207753382"/>
          <c:w val="0.15836701000102438"/>
          <c:h val="4.0494587567958353E-2"/>
        </c:manualLayout>
      </c:layout>
      <c:overlay val="0"/>
      <c:spPr>
        <a:solidFill>
          <a:srgbClr val="FFFFFF"/>
        </a:solidFill>
        <a:ln>
          <a:solidFill>
            <a:srgbClr val="808080"/>
          </a:solidFill>
        </a:ln>
      </c:spPr>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codeName="Chart7"/>
  <sheetViews>
    <sheetView tabSelected="1" zoomScale="99" workbookViewId="0"/>
  </sheetViews>
  <sheetProtection algorithmName="SHA-512" hashValue="fMxQhrUED1KbfchVC99ND0dHgDayhdQo8GUnR2uX3WdluBzX4jFNic1JFD162P/BXoNh6ATztXf8DrmsUMtwNQ==" saltValue="TxIbedJitTjWEMNX0AXauQ==" spinCount="100000" content="1" objects="1"/>
  <pageMargins left="0.7" right="0.7" top="0.75" bottom="0.75"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codeName="Chart8"/>
  <sheetViews>
    <sheetView tabSelected="1" zoomScale="99" workbookViewId="0"/>
  </sheetViews>
  <sheetProtection algorithmName="SHA-512" hashValue="//q2brCJYXVp8AUAW9vjwXDdzSzK5toBGJzxCynDuxTNC8Tg6cuMVWtJUYmokqVcygV18XwfkqKs41USHP17tw==" saltValue="XzCwYrBpd9y1wnv1Oyz1fw==" spinCount="100000" content="1" objects="1"/>
  <pageMargins left="0.7" right="0.7" top="0.75" bottom="0.75" header="0.3" footer="0.3"/>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8668712" cy="6292273"/>
    <xdr:graphicFrame macro="">
      <xdr:nvGraphicFramePr>
        <xdr:cNvPr id="2" name="Diagramm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68712" cy="6292273"/>
    <xdr:graphicFrame macro="">
      <xdr:nvGraphicFramePr>
        <xdr:cNvPr id="2" name="Diagramm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0.74119</cdr:x>
      <cdr:y>0.03988</cdr:y>
    </cdr:from>
    <cdr:to>
      <cdr:x>0.9718</cdr:x>
      <cdr:y>0.11358</cdr:y>
    </cdr:to>
    <cdr:sp macro="" textlink="'Analysis of Variance'!#REF!">
      <cdr:nvSpPr>
        <cdr:cNvPr id="5" name="TextBox 4">
          <a:extLst xmlns:a="http://schemas.openxmlformats.org/drawingml/2006/main">
            <a:ext uri="{FF2B5EF4-FFF2-40B4-BE49-F238E27FC236}">
              <a16:creationId xmlns:a16="http://schemas.microsoft.com/office/drawing/2014/main" id="{DA0D0624-19AB-4C79-B504-8807AE5AE3A6}"/>
            </a:ext>
          </a:extLst>
        </cdr:cNvPr>
        <cdr:cNvSpPr txBox="1"/>
      </cdr:nvSpPr>
      <cdr:spPr>
        <a:xfrm xmlns:a="http://schemas.openxmlformats.org/drawingml/2006/main">
          <a:off x="6417349" y="250151"/>
          <a:ext cx="2001212" cy="4714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1886EEF-A1E8-4D5B-BCB5-11A1263E02C7}" type="TxLink">
            <a:rPr lang="en-US" sz="1800" b="0" i="0" u="none" strike="noStrike">
              <a:solidFill>
                <a:srgbClr val="000000"/>
              </a:solidFill>
              <a:latin typeface="Arial"/>
              <a:cs typeface="Arial"/>
            </a:rPr>
            <a:pPr/>
            <a:t> </a:t>
          </a:fld>
          <a:endParaRPr lang="en-US" sz="1800"/>
        </a:p>
      </cdr:txBody>
    </cdr:sp>
  </cdr:relSizeAnchor>
  <cdr:relSizeAnchor xmlns:cdr="http://schemas.openxmlformats.org/drawingml/2006/chartDrawing">
    <cdr:from>
      <cdr:x>0.83882</cdr:x>
      <cdr:y>0.08639</cdr:y>
    </cdr:from>
    <cdr:to>
      <cdr:x>0.95289</cdr:x>
      <cdr:y>0.14764</cdr:y>
    </cdr:to>
    <cdr:sp macro="" textlink="'Analysis of Variance'!#REF!">
      <cdr:nvSpPr>
        <cdr:cNvPr id="6" name="TextBox 1">
          <a:extLst xmlns:a="http://schemas.openxmlformats.org/drawingml/2006/main">
            <a:ext uri="{FF2B5EF4-FFF2-40B4-BE49-F238E27FC236}">
              <a16:creationId xmlns:a16="http://schemas.microsoft.com/office/drawing/2014/main" id="{32F8CE8D-2D8D-4B3C-9735-4B0CDD70756C}"/>
            </a:ext>
          </a:extLst>
        </cdr:cNvPr>
        <cdr:cNvSpPr txBox="1"/>
      </cdr:nvSpPr>
      <cdr:spPr>
        <a:xfrm xmlns:a="http://schemas.openxmlformats.org/drawingml/2006/main">
          <a:off x="7264015" y="548409"/>
          <a:ext cx="990985" cy="3944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6B95C01-1C87-45B0-BDC6-59B2260D748E}" type="TxLink">
            <a:rPr lang="en-US" sz="1800" b="0" i="0" u="none" strike="noStrike">
              <a:solidFill>
                <a:srgbClr val="000000"/>
              </a:solidFill>
              <a:latin typeface="Arial"/>
              <a:cs typeface="Arial"/>
            </a:rPr>
            <a:pPr/>
            <a:t> </a:t>
          </a:fld>
          <a:endParaRPr lang="en-US" sz="180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cfr.gov/cgi-bin/text-idx?SID=2f44a8e09a427f65ec5478f6ad1ed315&amp;node=pt10.3.430&amp;rgn=div5" TargetMode="External"/><Relationship Id="rId1" Type="http://schemas.openxmlformats.org/officeDocument/2006/relationships/hyperlink" Target="http://www.energy.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F43"/>
  <sheetViews>
    <sheetView showGridLines="0" tabSelected="1" topLeftCell="A10" zoomScale="96" zoomScaleNormal="96" workbookViewId="0">
      <selection activeCell="D18" sqref="D18"/>
    </sheetView>
  </sheetViews>
  <sheetFormatPr defaultColWidth="9.140625" defaultRowHeight="16.5" x14ac:dyDescent="0.3"/>
  <cols>
    <col min="1" max="1" width="4.85546875" style="103" customWidth="1"/>
    <col min="2" max="2" width="28.85546875" style="103" customWidth="1"/>
    <col min="3" max="3" width="159.28515625" style="103" customWidth="1"/>
    <col min="4" max="4" width="4.42578125" style="103" customWidth="1"/>
    <col min="5" max="5" width="4.140625" style="103" customWidth="1"/>
    <col min="6" max="6" width="25.7109375" style="103" customWidth="1"/>
    <col min="7" max="16384" width="9.140625" style="103"/>
  </cols>
  <sheetData>
    <row r="1" spans="2:6" ht="17.25" thickBot="1" x14ac:dyDescent="0.35">
      <c r="E1" s="104"/>
    </row>
    <row r="2" spans="2:6" ht="18" thickBot="1" x14ac:dyDescent="0.35">
      <c r="B2" s="337" t="str">
        <f>'Version Control'!B2:C2</f>
        <v>Title Block</v>
      </c>
      <c r="C2" s="338"/>
      <c r="E2" s="104"/>
    </row>
    <row r="3" spans="2:6" s="107" customFormat="1" x14ac:dyDescent="0.3">
      <c r="B3" s="105" t="str">
        <f>'Version Control'!B3</f>
        <v>Test Report Template Name:</v>
      </c>
      <c r="C3" s="106" t="str">
        <f>'Version Control'!$C$3</f>
        <v xml:space="preserve">Test Cloth Correction Factors </v>
      </c>
      <c r="E3" s="108"/>
    </row>
    <row r="4" spans="2:6" s="107" customFormat="1" x14ac:dyDescent="0.3">
      <c r="B4" s="109" t="str">
        <f>'Version Control'!B4</f>
        <v>Version Number:</v>
      </c>
      <c r="C4" s="110" t="str">
        <f>'Version Control'!$C$4</f>
        <v>v2.5</v>
      </c>
      <c r="E4" s="108"/>
    </row>
    <row r="5" spans="2:6" s="107" customFormat="1" x14ac:dyDescent="0.3">
      <c r="B5" s="111" t="str">
        <f>'Version Control'!B5</f>
        <v xml:space="preserve">Latest Template Revision: </v>
      </c>
      <c r="C5" s="112">
        <f>'Version Control'!C5</f>
        <v>45673</v>
      </c>
      <c r="E5" s="108"/>
    </row>
    <row r="6" spans="2:6" s="107" customFormat="1" x14ac:dyDescent="0.3">
      <c r="B6" s="186" t="str">
        <f>'Version Control'!B6</f>
        <v>Tab Name:</v>
      </c>
      <c r="C6" s="187" t="e">
        <f ca="1">MID(CELL("filename",A1), FIND("]", CELL("filename", A1))+ 1, 255)</f>
        <v>#VALUE!</v>
      </c>
      <c r="E6" s="108"/>
    </row>
    <row r="7" spans="2:6" ht="17.25" thickBot="1" x14ac:dyDescent="0.35">
      <c r="B7" s="113" t="str">
        <f>'Version Control'!B7</f>
        <v>File Name:</v>
      </c>
      <c r="C7" s="114" t="e">
        <f ca="1">'Version Control'!$C$7</f>
        <v>#VALUE!</v>
      </c>
      <c r="E7" s="115"/>
      <c r="F7" s="107"/>
    </row>
    <row r="8" spans="2:6" x14ac:dyDescent="0.3">
      <c r="E8" s="115"/>
      <c r="F8" s="107"/>
    </row>
    <row r="9" spans="2:6" ht="17.25" thickBot="1" x14ac:dyDescent="0.35">
      <c r="E9" s="115"/>
      <c r="F9" s="107"/>
    </row>
    <row r="10" spans="2:6" ht="18" thickBot="1" x14ac:dyDescent="0.35">
      <c r="B10" s="339" t="s">
        <v>110</v>
      </c>
      <c r="C10" s="340"/>
      <c r="E10" s="115"/>
      <c r="F10" s="107"/>
    </row>
    <row r="11" spans="2:6" ht="24.75" customHeight="1" thickBot="1" x14ac:dyDescent="0.35">
      <c r="B11" s="341" t="s">
        <v>168</v>
      </c>
      <c r="C11" s="342"/>
      <c r="E11" s="115"/>
      <c r="F11" s="107"/>
    </row>
    <row r="12" spans="2:6" ht="17.25" thickBot="1" x14ac:dyDescent="0.35">
      <c r="E12" s="115"/>
      <c r="F12" s="107"/>
    </row>
    <row r="13" spans="2:6" ht="18" thickBot="1" x14ac:dyDescent="0.35">
      <c r="B13" s="339" t="s">
        <v>111</v>
      </c>
      <c r="C13" s="340"/>
      <c r="E13" s="115"/>
      <c r="F13" s="107"/>
    </row>
    <row r="14" spans="2:6" ht="17.25" x14ac:dyDescent="0.3">
      <c r="B14" s="116" t="s">
        <v>112</v>
      </c>
      <c r="C14" s="117" t="s">
        <v>113</v>
      </c>
      <c r="E14" s="115"/>
      <c r="F14" s="107"/>
    </row>
    <row r="15" spans="2:6" x14ac:dyDescent="0.3">
      <c r="B15" s="118" t="s">
        <v>114</v>
      </c>
      <c r="C15" s="119" t="s">
        <v>115</v>
      </c>
      <c r="D15" s="107"/>
      <c r="E15" s="115"/>
      <c r="F15" s="107"/>
    </row>
    <row r="16" spans="2:6" x14ac:dyDescent="0.3">
      <c r="B16" s="120" t="s">
        <v>186</v>
      </c>
      <c r="C16" s="121" t="s">
        <v>144</v>
      </c>
      <c r="D16" s="107"/>
      <c r="E16" s="115"/>
      <c r="F16" s="107"/>
    </row>
    <row r="17" spans="2:6" x14ac:dyDescent="0.3">
      <c r="B17" s="120" t="s">
        <v>145</v>
      </c>
      <c r="C17" s="121" t="s">
        <v>146</v>
      </c>
      <c r="D17" s="107"/>
      <c r="E17" s="115"/>
      <c r="F17" s="107"/>
    </row>
    <row r="18" spans="2:6" x14ac:dyDescent="0.3">
      <c r="B18" s="209" t="s">
        <v>164</v>
      </c>
      <c r="C18" s="210" t="s">
        <v>165</v>
      </c>
      <c r="D18" s="107"/>
      <c r="E18" s="115"/>
      <c r="F18" s="107"/>
    </row>
    <row r="19" spans="2:6" x14ac:dyDescent="0.3">
      <c r="B19" s="122" t="s">
        <v>77</v>
      </c>
      <c r="C19" s="123" t="s">
        <v>147</v>
      </c>
      <c r="D19" s="107"/>
      <c r="E19" s="115"/>
      <c r="F19" s="107"/>
    </row>
    <row r="20" spans="2:6" x14ac:dyDescent="0.3">
      <c r="B20" s="120" t="s">
        <v>148</v>
      </c>
      <c r="C20" s="121" t="s">
        <v>149</v>
      </c>
      <c r="D20" s="107"/>
      <c r="E20" s="115"/>
      <c r="F20" s="107"/>
    </row>
    <row r="21" spans="2:6" x14ac:dyDescent="0.3">
      <c r="B21" s="120" t="s">
        <v>150</v>
      </c>
      <c r="C21" s="123" t="s">
        <v>151</v>
      </c>
      <c r="D21" s="107"/>
      <c r="E21" s="115"/>
      <c r="F21" s="107"/>
    </row>
    <row r="22" spans="2:6" x14ac:dyDescent="0.3">
      <c r="B22" s="120" t="s">
        <v>152</v>
      </c>
      <c r="C22" s="121" t="s">
        <v>153</v>
      </c>
      <c r="D22" s="107"/>
      <c r="E22" s="115"/>
      <c r="F22" s="107"/>
    </row>
    <row r="23" spans="2:6" ht="17.25" thickBot="1" x14ac:dyDescent="0.35">
      <c r="B23" s="124" t="s">
        <v>116</v>
      </c>
      <c r="C23" s="125" t="s">
        <v>117</v>
      </c>
      <c r="E23" s="104"/>
      <c r="F23" s="107"/>
    </row>
    <row r="24" spans="2:6" ht="17.25" thickBot="1" x14ac:dyDescent="0.35">
      <c r="D24" s="107"/>
      <c r="E24" s="108"/>
      <c r="F24" s="107"/>
    </row>
    <row r="25" spans="2:6" ht="18" thickBot="1" x14ac:dyDescent="0.4">
      <c r="B25" s="343" t="s">
        <v>163</v>
      </c>
      <c r="C25" s="344"/>
      <c r="D25" s="107"/>
      <c r="E25" s="108"/>
      <c r="F25" s="107"/>
    </row>
    <row r="26" spans="2:6" ht="16.5" customHeight="1" x14ac:dyDescent="0.3">
      <c r="B26" s="218" t="s">
        <v>118</v>
      </c>
      <c r="C26" s="219" t="s">
        <v>119</v>
      </c>
      <c r="D26" s="107"/>
      <c r="E26" s="108"/>
      <c r="F26" s="107"/>
    </row>
    <row r="27" spans="2:6" ht="16.5" customHeight="1" x14ac:dyDescent="0.3">
      <c r="B27" s="335" t="s">
        <v>120</v>
      </c>
      <c r="C27" s="164" t="s">
        <v>121</v>
      </c>
      <c r="D27" s="107"/>
      <c r="E27" s="108"/>
      <c r="F27" s="107"/>
    </row>
    <row r="28" spans="2:6" ht="16.5" customHeight="1" x14ac:dyDescent="0.3">
      <c r="B28" s="335"/>
      <c r="C28" s="165" t="s">
        <v>122</v>
      </c>
      <c r="D28" s="107"/>
      <c r="E28" s="108"/>
      <c r="F28" s="107"/>
    </row>
    <row r="29" spans="2:6" ht="16.5" customHeight="1" thickBot="1" x14ac:dyDescent="0.35">
      <c r="B29" s="336"/>
      <c r="C29" s="220" t="s">
        <v>123</v>
      </c>
      <c r="D29" s="107"/>
      <c r="E29" s="108"/>
      <c r="F29" s="107"/>
    </row>
    <row r="30" spans="2:6" ht="17.25" thickBot="1" x14ac:dyDescent="0.35">
      <c r="D30" s="107"/>
      <c r="E30" s="108"/>
      <c r="F30" s="107"/>
    </row>
    <row r="31" spans="2:6" ht="18.75" thickBot="1" x14ac:dyDescent="0.35">
      <c r="B31" s="126" t="s">
        <v>124</v>
      </c>
      <c r="C31" s="127"/>
      <c r="D31" s="107"/>
      <c r="E31" s="108"/>
      <c r="F31" s="107"/>
    </row>
    <row r="32" spans="2:6" x14ac:dyDescent="0.3">
      <c r="B32" s="329" t="s">
        <v>125</v>
      </c>
      <c r="C32" s="330"/>
      <c r="D32" s="107"/>
      <c r="E32" s="108"/>
      <c r="F32" s="107"/>
    </row>
    <row r="33" spans="1:6" x14ac:dyDescent="0.3">
      <c r="B33" s="331"/>
      <c r="C33" s="332"/>
      <c r="D33" s="107"/>
      <c r="E33" s="108"/>
      <c r="F33" s="107"/>
    </row>
    <row r="34" spans="1:6" ht="17.25" thickBot="1" x14ac:dyDescent="0.35">
      <c r="B34" s="333"/>
      <c r="C34" s="334"/>
      <c r="D34" s="107"/>
      <c r="E34" s="108"/>
      <c r="F34" s="107"/>
    </row>
    <row r="35" spans="1:6" ht="16.5" customHeight="1" thickBot="1" x14ac:dyDescent="0.35">
      <c r="B35" s="188" t="s">
        <v>162</v>
      </c>
      <c r="C35" s="189"/>
      <c r="D35" s="107"/>
      <c r="E35" s="108"/>
      <c r="F35" s="107"/>
    </row>
    <row r="36" spans="1:6" ht="17.25" x14ac:dyDescent="0.3">
      <c r="B36" s="128"/>
      <c r="C36" s="129"/>
      <c r="D36" s="107"/>
      <c r="E36" s="108"/>
      <c r="F36" s="107"/>
    </row>
    <row r="37" spans="1:6" ht="21" x14ac:dyDescent="0.3">
      <c r="B37" s="130" t="s">
        <v>126</v>
      </c>
      <c r="C37" s="131" t="s">
        <v>127</v>
      </c>
      <c r="D37" s="107"/>
      <c r="E37" s="108"/>
      <c r="F37" s="107"/>
    </row>
    <row r="38" spans="1:6" ht="18" thickBot="1" x14ac:dyDescent="0.35">
      <c r="B38" s="128"/>
      <c r="C38" s="129"/>
      <c r="D38" s="107"/>
      <c r="E38" s="108"/>
      <c r="F38" s="107"/>
    </row>
    <row r="39" spans="1:6" x14ac:dyDescent="0.3">
      <c r="B39" s="132" t="s">
        <v>128</v>
      </c>
      <c r="C39" s="166" t="s">
        <v>186</v>
      </c>
      <c r="D39" s="107"/>
      <c r="E39" s="108"/>
      <c r="F39" s="107"/>
    </row>
    <row r="40" spans="1:6" x14ac:dyDescent="0.3">
      <c r="B40" s="133" t="s">
        <v>129</v>
      </c>
      <c r="C40" s="134" t="s">
        <v>145</v>
      </c>
      <c r="D40" s="107"/>
      <c r="E40" s="108"/>
      <c r="F40" s="107"/>
    </row>
    <row r="41" spans="1:6" ht="17.25" thickBot="1" x14ac:dyDescent="0.35">
      <c r="B41" s="135" t="s">
        <v>130</v>
      </c>
      <c r="C41" s="178" t="s">
        <v>131</v>
      </c>
      <c r="D41" s="107"/>
      <c r="E41" s="108"/>
      <c r="F41" s="107"/>
    </row>
    <row r="42" spans="1:6" x14ac:dyDescent="0.3">
      <c r="D42" s="107"/>
      <c r="E42" s="108"/>
      <c r="F42" s="107"/>
    </row>
    <row r="43" spans="1:6" x14ac:dyDescent="0.3">
      <c r="A43" s="104"/>
      <c r="B43" s="104"/>
      <c r="C43" s="104"/>
      <c r="D43" s="108"/>
      <c r="E43" s="108"/>
      <c r="F43" s="107"/>
    </row>
  </sheetData>
  <sheetProtection algorithmName="SHA-512" hashValue="DYS2GIF/j/GFFDRUMcz9TG/4x+iRq2ArT+WoqeNGw51d5e+ELaN0HJ0vFOvEV9+cTheGKmJlZapXMxUei7e9PA==" saltValue="XmG+wyNaLIYcaVNrre/Mxg==" spinCount="100000" sheet="1" selectLockedCells="1"/>
  <mergeCells count="7">
    <mergeCell ref="B32:C34"/>
    <mergeCell ref="B27:B29"/>
    <mergeCell ref="B2:C2"/>
    <mergeCell ref="B10:C10"/>
    <mergeCell ref="B11:C11"/>
    <mergeCell ref="B13:C13"/>
    <mergeCell ref="B25:C25"/>
  </mergeCells>
  <hyperlinks>
    <hyperlink ref="C41" location="'Report Sign-Off Block'!A1" display="Report Sign-off Block" xr:uid="{00000000-0004-0000-0000-000000000000}"/>
    <hyperlink ref="C40" location="'Extractor Tests Raw Data'!A1" display="Setup &amp; Instrumentation" xr:uid="{00000000-0004-0000-0000-000001000000}"/>
    <hyperlink ref="C39" location="'Material Verification'!A1" display="Material Verification" xr:uid="{00000000-0004-0000-0000-000002000000}"/>
    <hyperlink ref="B11" r:id="rId1" display="[Enter Full Name of Test Procedure, Be Sure to change Hyperlink so acurate test procedure is referenced]" xr:uid="{00000000-0004-0000-0000-000003000000}"/>
    <hyperlink ref="B11:C11" r:id="rId2" display="10 CFR 430 Subpart B Appendix J2:  Uniform Test Method for Measuring the Energy Consumption of Automatic and Semi-Automatic Clothes Washers [77 FR 13939, Mar. 7, 2012]" xr:uid="{00000000-0004-0000-0000-000004000000}"/>
  </hyperlinks>
  <pageMargins left="0.7" right="0.7" top="0.75" bottom="0.75" header="0.3" footer="0.3"/>
  <pageSetup scale="45"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70C0"/>
    <pageSetUpPr fitToPage="1"/>
  </sheetPr>
  <dimension ref="A1:AL46"/>
  <sheetViews>
    <sheetView showGridLines="0" tabSelected="1" topLeftCell="R1" zoomScale="96" zoomScaleNormal="96" zoomScalePageLayoutView="90" workbookViewId="0">
      <selection activeCell="D18" sqref="D18"/>
    </sheetView>
  </sheetViews>
  <sheetFormatPr defaultColWidth="9.140625" defaultRowHeight="12.75" x14ac:dyDescent="0.2"/>
  <cols>
    <col min="1" max="1" width="1.85546875" style="11" customWidth="1"/>
    <col min="2" max="2" width="19.7109375" style="11" customWidth="1"/>
    <col min="3" max="3" width="27.85546875" style="11" customWidth="1"/>
    <col min="4" max="4" width="2.42578125" style="11" customWidth="1"/>
    <col min="5" max="5" width="13" style="11" customWidth="1"/>
    <col min="6" max="6" width="13.140625" style="11" customWidth="1"/>
    <col min="7" max="8" width="13.42578125" style="11" customWidth="1"/>
    <col min="9" max="9" width="2.140625" style="11" customWidth="1"/>
    <col min="10" max="10" width="13.42578125" style="11" customWidth="1"/>
    <col min="11" max="11" width="32.5703125" style="11" bestFit="1" customWidth="1"/>
    <col min="12" max="12" width="19.28515625" style="11" customWidth="1"/>
    <col min="13" max="14" width="13.42578125" style="11" customWidth="1"/>
    <col min="15" max="15" width="2.140625" style="11" customWidth="1"/>
    <col min="16" max="16" width="8.140625" style="11" bestFit="1" customWidth="1"/>
    <col min="17" max="17" width="22.28515625" style="11" customWidth="1"/>
    <col min="18" max="18" width="15.7109375" style="11" customWidth="1"/>
    <col min="19" max="19" width="12.7109375" style="11" bestFit="1" customWidth="1"/>
    <col min="20" max="20" width="12.7109375" style="11" customWidth="1"/>
    <col min="21" max="21" width="2.28515625" style="11" customWidth="1"/>
    <col min="22" max="22" width="9.7109375" style="11" customWidth="1"/>
    <col min="23" max="23" width="23.5703125" style="11" customWidth="1"/>
    <col min="24" max="24" width="19.5703125" style="11" customWidth="1"/>
    <col min="25" max="25" width="12.7109375" style="11" bestFit="1" customWidth="1"/>
    <col min="26" max="26" width="12.7109375" style="11" customWidth="1"/>
    <col min="27" max="27" width="2.28515625" style="11" customWidth="1"/>
    <col min="28" max="28" width="12.85546875" style="11" customWidth="1"/>
    <col min="29" max="29" width="16.5703125" style="11" customWidth="1"/>
    <col min="30" max="30" width="12.7109375" style="11" customWidth="1"/>
    <col min="31" max="31" width="13.42578125" style="11" customWidth="1"/>
    <col min="32" max="32" width="12.42578125" style="11" customWidth="1"/>
    <col min="33" max="33" width="11.28515625" style="11" customWidth="1"/>
    <col min="34" max="35" width="12" style="11" customWidth="1"/>
    <col min="36" max="36" width="13.85546875" style="11" customWidth="1"/>
    <col min="37" max="37" width="3" style="11" customWidth="1"/>
    <col min="38" max="38" width="2.7109375" style="11" customWidth="1"/>
    <col min="39" max="16384" width="9.140625" style="11"/>
  </cols>
  <sheetData>
    <row r="1" spans="2:38" ht="13.5" thickBot="1" x14ac:dyDescent="0.25">
      <c r="AL1" s="180"/>
    </row>
    <row r="2" spans="2:38" ht="18" thickBot="1" x14ac:dyDescent="0.25">
      <c r="B2" s="337" t="str">
        <f>'Version Control'!B2:C2</f>
        <v>Title Block</v>
      </c>
      <c r="C2" s="352"/>
      <c r="D2" s="352"/>
      <c r="E2" s="352"/>
      <c r="F2" s="352"/>
      <c r="G2" s="352"/>
      <c r="H2" s="352"/>
      <c r="I2" s="352"/>
      <c r="J2" s="338"/>
      <c r="K2" s="205"/>
      <c r="AL2" s="180"/>
    </row>
    <row r="3" spans="2:38" ht="16.5" x14ac:dyDescent="0.2">
      <c r="B3" s="367" t="str">
        <f>'Version Control'!B3</f>
        <v>Test Report Template Name:</v>
      </c>
      <c r="C3" s="368"/>
      <c r="D3" s="353" t="str">
        <f>'Version Control'!C3</f>
        <v xml:space="preserve">Test Cloth Correction Factors </v>
      </c>
      <c r="E3" s="354"/>
      <c r="F3" s="354"/>
      <c r="G3" s="354"/>
      <c r="H3" s="354"/>
      <c r="I3" s="354"/>
      <c r="J3" s="355"/>
      <c r="K3" s="206"/>
      <c r="AL3" s="180"/>
    </row>
    <row r="4" spans="2:38" ht="16.5" x14ac:dyDescent="0.3">
      <c r="B4" s="369" t="str">
        <f>'Version Control'!B4</f>
        <v>Version Number:</v>
      </c>
      <c r="C4" s="370"/>
      <c r="D4" s="356" t="str">
        <f>'Version Control'!C4</f>
        <v>v2.5</v>
      </c>
      <c r="E4" s="357"/>
      <c r="F4" s="357"/>
      <c r="G4" s="357"/>
      <c r="H4" s="357"/>
      <c r="I4" s="357"/>
      <c r="J4" s="358"/>
      <c r="K4" s="207"/>
      <c r="L4" s="349" t="s">
        <v>154</v>
      </c>
      <c r="M4" s="349"/>
      <c r="AL4" s="180"/>
    </row>
    <row r="5" spans="2:38" ht="16.5" x14ac:dyDescent="0.2">
      <c r="B5" s="365" t="str">
        <f>'Version Control'!B5</f>
        <v xml:space="preserve">Latest Template Revision: </v>
      </c>
      <c r="C5" s="366"/>
      <c r="D5" s="359">
        <f>'Version Control'!C5</f>
        <v>45673</v>
      </c>
      <c r="E5" s="360"/>
      <c r="F5" s="360"/>
      <c r="G5" s="360"/>
      <c r="H5" s="360"/>
      <c r="I5" s="360"/>
      <c r="J5" s="361"/>
      <c r="K5" s="208"/>
      <c r="AL5" s="180"/>
    </row>
    <row r="6" spans="2:38" ht="16.5" x14ac:dyDescent="0.2">
      <c r="B6" s="365" t="str">
        <f>'Version Control'!B6</f>
        <v>Tab Name:</v>
      </c>
      <c r="C6" s="366"/>
      <c r="D6" s="356" t="e">
        <f ca="1">MID(CELL("filename",A1), FIND("]", CELL("filename", A1))+ 1, 255)</f>
        <v>#VALUE!</v>
      </c>
      <c r="E6" s="357"/>
      <c r="F6" s="357"/>
      <c r="G6" s="357"/>
      <c r="H6" s="357"/>
      <c r="I6" s="357"/>
      <c r="J6" s="358"/>
      <c r="K6" s="207"/>
      <c r="AL6" s="180"/>
    </row>
    <row r="7" spans="2:38" ht="16.5" x14ac:dyDescent="0.2">
      <c r="B7" s="365" t="str">
        <f>'Version Control'!B7</f>
        <v>File Name:</v>
      </c>
      <c r="C7" s="366"/>
      <c r="D7" s="356" t="e">
        <f ca="1">'Version Control'!C7</f>
        <v>#VALUE!</v>
      </c>
      <c r="E7" s="357"/>
      <c r="F7" s="357"/>
      <c r="G7" s="357"/>
      <c r="H7" s="357"/>
      <c r="I7" s="357"/>
      <c r="J7" s="358"/>
      <c r="K7" s="207"/>
      <c r="AL7" s="180"/>
    </row>
    <row r="8" spans="2:38" ht="17.25" thickBot="1" x14ac:dyDescent="0.25">
      <c r="B8" s="350" t="str">
        <f>'Version Control'!B8</f>
        <v xml:space="preserve">Test Completion Date: </v>
      </c>
      <c r="C8" s="351"/>
      <c r="D8" s="362" t="str">
        <f>'Version Control'!C8</f>
        <v>4/28/2025-5/5/25</v>
      </c>
      <c r="E8" s="363"/>
      <c r="F8" s="363"/>
      <c r="G8" s="363"/>
      <c r="H8" s="363"/>
      <c r="I8" s="363"/>
      <c r="J8" s="364"/>
      <c r="K8" s="208"/>
      <c r="AL8" s="180"/>
    </row>
    <row r="9" spans="2:38" x14ac:dyDescent="0.2">
      <c r="AL9" s="180"/>
    </row>
    <row r="10" spans="2:38" x14ac:dyDescent="0.2">
      <c r="AL10" s="180"/>
    </row>
    <row r="11" spans="2:38" ht="15.75" x14ac:dyDescent="0.25">
      <c r="B11" s="10" t="s">
        <v>30</v>
      </c>
      <c r="AL11" s="180"/>
    </row>
    <row r="12" spans="2:38" ht="18.399999999999999" customHeight="1" thickBot="1" x14ac:dyDescent="0.25">
      <c r="AL12" s="180"/>
    </row>
    <row r="13" spans="2:38" ht="18.399999999999999" customHeight="1" x14ac:dyDescent="0.2">
      <c r="B13" s="345" t="s">
        <v>195</v>
      </c>
      <c r="C13" s="347" t="s">
        <v>200</v>
      </c>
      <c r="E13" s="13" t="s">
        <v>169</v>
      </c>
      <c r="F13" s="14"/>
      <c r="G13" s="15"/>
      <c r="H13" s="16"/>
      <c r="J13" s="13" t="s">
        <v>170</v>
      </c>
      <c r="K13" s="14"/>
      <c r="L13" s="17"/>
      <c r="M13" s="15"/>
      <c r="N13" s="16"/>
      <c r="P13" s="13" t="s">
        <v>171</v>
      </c>
      <c r="Q13" s="14"/>
      <c r="R13" s="17"/>
      <c r="S13" s="15"/>
      <c r="T13" s="16"/>
      <c r="V13" s="13" t="s">
        <v>172</v>
      </c>
      <c r="W13" s="14"/>
      <c r="X13" s="17"/>
      <c r="Y13" s="15"/>
      <c r="Z13" s="16"/>
      <c r="AB13" s="13" t="s">
        <v>178</v>
      </c>
      <c r="AC13" s="14"/>
      <c r="AD13" s="17"/>
      <c r="AE13" s="17"/>
      <c r="AF13" s="17"/>
      <c r="AG13" s="17"/>
      <c r="AH13" s="18"/>
      <c r="AI13" s="19"/>
      <c r="AJ13" s="16"/>
      <c r="AL13" s="180"/>
    </row>
    <row r="14" spans="2:38" ht="38.25" x14ac:dyDescent="0.2">
      <c r="B14" s="346"/>
      <c r="C14" s="348"/>
      <c r="E14" s="22" t="s">
        <v>32</v>
      </c>
      <c r="F14" s="23" t="s">
        <v>33</v>
      </c>
      <c r="G14" s="24" t="s">
        <v>34</v>
      </c>
      <c r="H14" s="25" t="s">
        <v>35</v>
      </c>
      <c r="J14" s="297" t="s">
        <v>174</v>
      </c>
      <c r="K14" s="23" t="s">
        <v>173</v>
      </c>
      <c r="L14" s="26" t="s">
        <v>36</v>
      </c>
      <c r="M14" s="24" t="s">
        <v>37</v>
      </c>
      <c r="N14" s="25" t="s">
        <v>35</v>
      </c>
      <c r="P14" s="297" t="s">
        <v>174</v>
      </c>
      <c r="Q14" s="24" t="s">
        <v>38</v>
      </c>
      <c r="R14" s="27" t="s">
        <v>39</v>
      </c>
      <c r="S14" s="24" t="s">
        <v>37</v>
      </c>
      <c r="T14" s="25" t="s">
        <v>35</v>
      </c>
      <c r="V14" s="297" t="s">
        <v>174</v>
      </c>
      <c r="W14" s="24" t="s">
        <v>40</v>
      </c>
      <c r="X14" s="27" t="s">
        <v>41</v>
      </c>
      <c r="Y14" s="24" t="s">
        <v>37</v>
      </c>
      <c r="Z14" s="25" t="s">
        <v>35</v>
      </c>
      <c r="AB14" s="22" t="s">
        <v>32</v>
      </c>
      <c r="AC14" s="23" t="s">
        <v>33</v>
      </c>
      <c r="AD14" s="26" t="s">
        <v>42</v>
      </c>
      <c r="AE14" s="27" t="s">
        <v>43</v>
      </c>
      <c r="AF14" s="27" t="s">
        <v>44</v>
      </c>
      <c r="AG14" s="27" t="s">
        <v>45</v>
      </c>
      <c r="AH14" s="24" t="s">
        <v>46</v>
      </c>
      <c r="AI14" s="24" t="s">
        <v>47</v>
      </c>
      <c r="AJ14" s="25" t="s">
        <v>35</v>
      </c>
      <c r="AL14" s="180"/>
    </row>
    <row r="15" spans="2:38" ht="16.5" customHeight="1" x14ac:dyDescent="0.25">
      <c r="B15" s="303" t="s">
        <v>203</v>
      </c>
      <c r="C15" s="304" t="s">
        <v>206</v>
      </c>
      <c r="E15" s="396" t="s">
        <v>48</v>
      </c>
      <c r="F15" s="28" t="s">
        <v>49</v>
      </c>
      <c r="G15" s="222" t="s">
        <v>209</v>
      </c>
      <c r="H15" s="397" t="str">
        <f>IF(COUNTIF(G15:G23,"X")=9,"Yes","")</f>
        <v>Yes</v>
      </c>
      <c r="J15" s="376" t="s">
        <v>48</v>
      </c>
      <c r="K15" s="29" t="s">
        <v>50</v>
      </c>
      <c r="L15" s="224" t="s">
        <v>211</v>
      </c>
      <c r="M15" s="222" t="s">
        <v>209</v>
      </c>
      <c r="N15" s="399" t="str">
        <f>IF(COUNTIF(M15:M20,"X")=6,"Yes","")</f>
        <v>Yes</v>
      </c>
      <c r="P15" s="30" t="s">
        <v>48</v>
      </c>
      <c r="Q15" s="29" t="s">
        <v>51</v>
      </c>
      <c r="R15" s="226">
        <v>0</v>
      </c>
      <c r="S15" s="222" t="s">
        <v>209</v>
      </c>
      <c r="T15" s="399" t="str">
        <f>IF(COUNTIF(S15:S17,"X")=3,"Yes","")</f>
        <v>Yes</v>
      </c>
      <c r="V15" s="30" t="s">
        <v>48</v>
      </c>
      <c r="W15" s="29" t="s">
        <v>52</v>
      </c>
      <c r="X15" s="226">
        <v>1</v>
      </c>
      <c r="Y15" s="222" t="s">
        <v>209</v>
      </c>
      <c r="Z15" s="384" t="str">
        <f>IF(COUNTIF(Y15:Y17,"X")=3,"Yes","")</f>
        <v>Yes</v>
      </c>
      <c r="AB15" s="386" t="s">
        <v>48</v>
      </c>
      <c r="AC15" s="378" t="s">
        <v>49</v>
      </c>
      <c r="AD15" s="31">
        <v>1</v>
      </c>
      <c r="AE15" s="226">
        <v>8.3949999999999996</v>
      </c>
      <c r="AF15" s="226">
        <v>11.432</v>
      </c>
      <c r="AG15" s="32">
        <f>IF(AF15="","",((AF15-AE15)/AE15))</f>
        <v>0.36176295413936876</v>
      </c>
      <c r="AH15" s="381">
        <f>IF(AF15="","",IF(AF16="","",IF(AF17="","",(AVERAGE(AG15:AG17)))))</f>
        <v>0.36335120111177299</v>
      </c>
      <c r="AI15" s="371">
        <f>IF(OR(AH15="",AH18="",AH21="",AH24="",AH27="",AH30="",AH33="",AH36="",AH39=""),"",ROUND(_xlfn.STDEV.S(AH15:AH41)/AVERAGE(AH15:AH41),3))</f>
        <v>6.0000000000000001E-3</v>
      </c>
      <c r="AJ15" s="374" t="str">
        <f>IF(AI15="","",IF(AI15&lt;=0.015,"Yes","No"))</f>
        <v>Yes</v>
      </c>
      <c r="AL15" s="180"/>
    </row>
    <row r="16" spans="2:38" ht="16.899999999999999" customHeight="1" thickBot="1" x14ac:dyDescent="0.25">
      <c r="B16" s="20" t="s">
        <v>31</v>
      </c>
      <c r="C16" s="21" t="str">
        <f>IF((AND(H15="Yes",N15="Yes", T15="Yes", Z15="Yes", AJ15="Yes")),"Yes","")</f>
        <v>Yes</v>
      </c>
      <c r="E16" s="396"/>
      <c r="F16" s="28" t="s">
        <v>54</v>
      </c>
      <c r="G16" s="222" t="s">
        <v>209</v>
      </c>
      <c r="H16" s="397"/>
      <c r="J16" s="377"/>
      <c r="K16" s="29" t="s">
        <v>55</v>
      </c>
      <c r="L16" s="224" t="s">
        <v>214</v>
      </c>
      <c r="M16" s="222" t="s">
        <v>209</v>
      </c>
      <c r="N16" s="384"/>
      <c r="P16" s="30" t="s">
        <v>54</v>
      </c>
      <c r="Q16" s="29" t="s">
        <v>51</v>
      </c>
      <c r="R16" s="226">
        <v>0</v>
      </c>
      <c r="S16" s="222" t="s">
        <v>209</v>
      </c>
      <c r="T16" s="384"/>
      <c r="V16" s="30" t="s">
        <v>54</v>
      </c>
      <c r="W16" s="29" t="s">
        <v>52</v>
      </c>
      <c r="X16" s="226">
        <v>1</v>
      </c>
      <c r="Y16" s="222" t="s">
        <v>209</v>
      </c>
      <c r="Z16" s="384"/>
      <c r="AB16" s="387"/>
      <c r="AC16" s="379"/>
      <c r="AD16" s="31">
        <v>2</v>
      </c>
      <c r="AE16" s="226">
        <v>8.3949999999999996</v>
      </c>
      <c r="AF16" s="226">
        <v>11.46</v>
      </c>
      <c r="AG16" s="32">
        <f t="shared" ref="AG16:AG41" si="0">IF(AF16="","",((AF16-AE16)/AE16))</f>
        <v>0.36509827278141765</v>
      </c>
      <c r="AH16" s="382"/>
      <c r="AI16" s="372"/>
      <c r="AJ16" s="374"/>
      <c r="AL16" s="180"/>
    </row>
    <row r="17" spans="2:38" ht="13.5" customHeight="1" thickBot="1" x14ac:dyDescent="0.25">
      <c r="E17" s="396"/>
      <c r="F17" s="28" t="s">
        <v>56</v>
      </c>
      <c r="G17" s="222" t="s">
        <v>209</v>
      </c>
      <c r="H17" s="397"/>
      <c r="J17" s="376" t="s">
        <v>54</v>
      </c>
      <c r="K17" s="29" t="s">
        <v>50</v>
      </c>
      <c r="L17" s="224" t="s">
        <v>212</v>
      </c>
      <c r="M17" s="222" t="s">
        <v>209</v>
      </c>
      <c r="N17" s="384"/>
      <c r="P17" s="36" t="s">
        <v>57</v>
      </c>
      <c r="Q17" s="37" t="s">
        <v>51</v>
      </c>
      <c r="R17" s="227">
        <v>0</v>
      </c>
      <c r="S17" s="223" t="s">
        <v>209</v>
      </c>
      <c r="T17" s="385"/>
      <c r="V17" s="36" t="s">
        <v>57</v>
      </c>
      <c r="W17" s="37" t="s">
        <v>52</v>
      </c>
      <c r="X17" s="227">
        <v>1</v>
      </c>
      <c r="Y17" s="223" t="s">
        <v>209</v>
      </c>
      <c r="Z17" s="385"/>
      <c r="AB17" s="387"/>
      <c r="AC17" s="380"/>
      <c r="AD17" s="31">
        <v>3</v>
      </c>
      <c r="AE17" s="226">
        <v>8.3949999999999996</v>
      </c>
      <c r="AF17" s="226">
        <v>11.444000000000001</v>
      </c>
      <c r="AG17" s="32">
        <f t="shared" si="0"/>
        <v>0.36319237641453261</v>
      </c>
      <c r="AH17" s="382"/>
      <c r="AI17" s="372"/>
      <c r="AJ17" s="374"/>
      <c r="AL17" s="180"/>
    </row>
    <row r="18" spans="2:38" ht="13.5" customHeight="1" x14ac:dyDescent="0.2">
      <c r="B18" s="33" t="s">
        <v>53</v>
      </c>
      <c r="C18" s="34"/>
      <c r="E18" s="396" t="s">
        <v>54</v>
      </c>
      <c r="F18" s="28" t="s">
        <v>49</v>
      </c>
      <c r="G18" s="222" t="s">
        <v>209</v>
      </c>
      <c r="H18" s="397"/>
      <c r="J18" s="377"/>
      <c r="K18" s="29" t="s">
        <v>55</v>
      </c>
      <c r="L18" s="224" t="s">
        <v>213</v>
      </c>
      <c r="M18" s="222" t="s">
        <v>209</v>
      </c>
      <c r="N18" s="384"/>
      <c r="AB18" s="387"/>
      <c r="AC18" s="378" t="s">
        <v>54</v>
      </c>
      <c r="AD18" s="31">
        <v>1</v>
      </c>
      <c r="AE18" s="226">
        <v>8.4130000000000003</v>
      </c>
      <c r="AF18" s="226">
        <v>11.436</v>
      </c>
      <c r="AG18" s="32">
        <f t="shared" si="0"/>
        <v>0.35932485439201234</v>
      </c>
      <c r="AH18" s="381">
        <f>IF(AF18="","",IF(AF19="","",IF(AF20="","",(AVERAGE(AG18:AG20)))))</f>
        <v>0.36071159713142359</v>
      </c>
      <c r="AI18" s="372"/>
      <c r="AJ18" s="374"/>
      <c r="AL18" s="180"/>
    </row>
    <row r="19" spans="2:38" ht="13.5" customHeight="1" x14ac:dyDescent="0.2">
      <c r="B19" s="35" t="s">
        <v>17</v>
      </c>
      <c r="C19" s="327" t="s">
        <v>208</v>
      </c>
      <c r="E19" s="396"/>
      <c r="F19" s="28" t="s">
        <v>54</v>
      </c>
      <c r="G19" s="222" t="s">
        <v>209</v>
      </c>
      <c r="H19" s="397"/>
      <c r="J19" s="376" t="s">
        <v>57</v>
      </c>
      <c r="K19" s="29" t="s">
        <v>50</v>
      </c>
      <c r="L19" s="224" t="s">
        <v>216</v>
      </c>
      <c r="M19" s="222" t="s">
        <v>209</v>
      </c>
      <c r="N19" s="384"/>
      <c r="P19" s="296" t="s">
        <v>180</v>
      </c>
      <c r="V19" s="296" t="s">
        <v>181</v>
      </c>
      <c r="AB19" s="387"/>
      <c r="AC19" s="379"/>
      <c r="AD19" s="31">
        <v>2</v>
      </c>
      <c r="AE19" s="226">
        <v>8.4130000000000003</v>
      </c>
      <c r="AF19" s="226">
        <v>11.464</v>
      </c>
      <c r="AG19" s="32">
        <f t="shared" si="0"/>
        <v>0.36265303696659934</v>
      </c>
      <c r="AH19" s="382"/>
      <c r="AI19" s="372"/>
      <c r="AJ19" s="374"/>
      <c r="AL19" s="180"/>
    </row>
    <row r="20" spans="2:38" ht="13.5" customHeight="1" thickBot="1" x14ac:dyDescent="0.25">
      <c r="B20" s="35" t="s">
        <v>18</v>
      </c>
      <c r="C20" s="221" t="s">
        <v>210</v>
      </c>
      <c r="E20" s="396"/>
      <c r="F20" s="28" t="s">
        <v>56</v>
      </c>
      <c r="G20" s="222" t="s">
        <v>209</v>
      </c>
      <c r="H20" s="397"/>
      <c r="J20" s="383"/>
      <c r="K20" s="37" t="s">
        <v>55</v>
      </c>
      <c r="L20" s="225" t="s">
        <v>215</v>
      </c>
      <c r="M20" s="223" t="s">
        <v>209</v>
      </c>
      <c r="N20" s="385"/>
      <c r="AB20" s="387"/>
      <c r="AC20" s="380"/>
      <c r="AD20" s="31">
        <v>3</v>
      </c>
      <c r="AE20" s="226">
        <v>8.4130000000000003</v>
      </c>
      <c r="AF20" s="226">
        <v>11.443</v>
      </c>
      <c r="AG20" s="32">
        <f t="shared" si="0"/>
        <v>0.36015690003565903</v>
      </c>
      <c r="AH20" s="382"/>
      <c r="AI20" s="372"/>
      <c r="AJ20" s="374"/>
      <c r="AL20" s="180"/>
    </row>
    <row r="21" spans="2:38" ht="13.5" customHeight="1" x14ac:dyDescent="0.2">
      <c r="B21" s="392" t="s">
        <v>202</v>
      </c>
      <c r="C21" s="394" t="s">
        <v>207</v>
      </c>
      <c r="E21" s="396" t="s">
        <v>57</v>
      </c>
      <c r="F21" s="28" t="s">
        <v>49</v>
      </c>
      <c r="G21" s="222" t="s">
        <v>209</v>
      </c>
      <c r="H21" s="397"/>
      <c r="AB21" s="387"/>
      <c r="AC21" s="378" t="s">
        <v>56</v>
      </c>
      <c r="AD21" s="31">
        <v>1</v>
      </c>
      <c r="AE21" s="226">
        <v>8.4039999999999999</v>
      </c>
      <c r="AF21" s="226">
        <v>11.43</v>
      </c>
      <c r="AG21" s="32">
        <f t="shared" si="0"/>
        <v>0.36006663493574487</v>
      </c>
      <c r="AH21" s="381">
        <f t="shared" ref="AH21" si="1">IF(AF21="","",IF(AF22="","",IF(AF23="","",(AVERAGE(AG21:AG23)))))</f>
        <v>0.36450896398540378</v>
      </c>
      <c r="AI21" s="372"/>
      <c r="AJ21" s="374"/>
      <c r="AL21" s="180"/>
    </row>
    <row r="22" spans="2:38" ht="13.5" customHeight="1" thickBot="1" x14ac:dyDescent="0.25">
      <c r="B22" s="393"/>
      <c r="C22" s="395"/>
      <c r="E22" s="396"/>
      <c r="F22" s="28" t="s">
        <v>54</v>
      </c>
      <c r="G22" s="222" t="s">
        <v>209</v>
      </c>
      <c r="H22" s="397"/>
      <c r="J22" s="296" t="s">
        <v>182</v>
      </c>
      <c r="AB22" s="387"/>
      <c r="AC22" s="379"/>
      <c r="AD22" s="31">
        <v>2</v>
      </c>
      <c r="AE22" s="226">
        <v>8.4039999999999999</v>
      </c>
      <c r="AF22" s="226">
        <v>11.522</v>
      </c>
      <c r="AG22" s="32">
        <f t="shared" si="0"/>
        <v>0.37101380295097575</v>
      </c>
      <c r="AH22" s="382"/>
      <c r="AI22" s="372"/>
      <c r="AJ22" s="374"/>
      <c r="AL22" s="180"/>
    </row>
    <row r="23" spans="2:38" ht="13.5" customHeight="1" thickBot="1" x14ac:dyDescent="0.25">
      <c r="C23" s="38"/>
      <c r="E23" s="400"/>
      <c r="F23" s="39" t="s">
        <v>56</v>
      </c>
      <c r="G23" s="223" t="s">
        <v>209</v>
      </c>
      <c r="H23" s="398"/>
      <c r="AB23" s="388"/>
      <c r="AC23" s="380"/>
      <c r="AD23" s="31">
        <v>3</v>
      </c>
      <c r="AE23" s="226">
        <v>8.4039999999999999</v>
      </c>
      <c r="AF23" s="226">
        <v>11.45</v>
      </c>
      <c r="AG23" s="32">
        <f t="shared" si="0"/>
        <v>0.36244645406949066</v>
      </c>
      <c r="AH23" s="382"/>
      <c r="AI23" s="372"/>
      <c r="AJ23" s="374"/>
      <c r="AL23" s="180"/>
    </row>
    <row r="24" spans="2:38" ht="13.5" customHeight="1" x14ac:dyDescent="0.2">
      <c r="AB24" s="386" t="s">
        <v>54</v>
      </c>
      <c r="AC24" s="378" t="s">
        <v>49</v>
      </c>
      <c r="AD24" s="31">
        <v>1</v>
      </c>
      <c r="AE24" s="226">
        <v>8.3859999999999992</v>
      </c>
      <c r="AF24" s="226">
        <v>11.439</v>
      </c>
      <c r="AG24" s="32">
        <f t="shared" si="0"/>
        <v>0.36405914619604113</v>
      </c>
      <c r="AH24" s="381">
        <f t="shared" ref="AH24" si="2">IF(AF24="","",IF(AF25="","",IF(AF26="","",(AVERAGE(AG24:AG26)))))</f>
        <v>0.36123698227204087</v>
      </c>
      <c r="AI24" s="372"/>
      <c r="AJ24" s="374"/>
      <c r="AL24" s="180"/>
    </row>
    <row r="25" spans="2:38" x14ac:dyDescent="0.2">
      <c r="AB25" s="387"/>
      <c r="AC25" s="379"/>
      <c r="AD25" s="31">
        <v>2</v>
      </c>
      <c r="AE25" s="226">
        <v>8.3859999999999992</v>
      </c>
      <c r="AF25" s="226">
        <v>11.432</v>
      </c>
      <c r="AG25" s="32">
        <f t="shared" si="0"/>
        <v>0.36322442165513968</v>
      </c>
      <c r="AH25" s="382"/>
      <c r="AI25" s="372"/>
      <c r="AJ25" s="374"/>
      <c r="AL25" s="180"/>
    </row>
    <row r="26" spans="2:38" x14ac:dyDescent="0.2">
      <c r="AB26" s="387"/>
      <c r="AC26" s="380"/>
      <c r="AD26" s="31">
        <v>3</v>
      </c>
      <c r="AE26" s="226">
        <v>8.3859999999999992</v>
      </c>
      <c r="AF26" s="226">
        <v>11.375</v>
      </c>
      <c r="AG26" s="32">
        <f t="shared" si="0"/>
        <v>0.3564273789649417</v>
      </c>
      <c r="AH26" s="382"/>
      <c r="AI26" s="372"/>
      <c r="AJ26" s="374"/>
      <c r="AL26" s="180"/>
    </row>
    <row r="27" spans="2:38" x14ac:dyDescent="0.2">
      <c r="H27" s="38"/>
      <c r="AB27" s="387"/>
      <c r="AC27" s="378" t="s">
        <v>54</v>
      </c>
      <c r="AD27" s="31">
        <v>1</v>
      </c>
      <c r="AE27" s="226">
        <v>8.3919999999999995</v>
      </c>
      <c r="AF27" s="226">
        <v>11.382999999999999</v>
      </c>
      <c r="AG27" s="32">
        <f t="shared" si="0"/>
        <v>0.35641086749285034</v>
      </c>
      <c r="AH27" s="381">
        <f t="shared" ref="AH27" si="3">IF(AF27="","",IF(AF28="","",IF(AF29="","",(AVERAGE(AG27:AG29)))))</f>
        <v>0.35835716555449637</v>
      </c>
      <c r="AI27" s="372"/>
      <c r="AJ27" s="374"/>
      <c r="AL27" s="180"/>
    </row>
    <row r="28" spans="2:38" x14ac:dyDescent="0.2">
      <c r="AB28" s="387"/>
      <c r="AC28" s="379"/>
      <c r="AD28" s="31">
        <v>2</v>
      </c>
      <c r="AE28" s="226">
        <v>8.3919999999999995</v>
      </c>
      <c r="AF28" s="226">
        <v>11.404</v>
      </c>
      <c r="AG28" s="32">
        <f t="shared" si="0"/>
        <v>0.35891325071496671</v>
      </c>
      <c r="AH28" s="382"/>
      <c r="AI28" s="372"/>
      <c r="AJ28" s="374"/>
      <c r="AL28" s="180"/>
    </row>
    <row r="29" spans="2:38" x14ac:dyDescent="0.2">
      <c r="AB29" s="387"/>
      <c r="AC29" s="380"/>
      <c r="AD29" s="31">
        <v>3</v>
      </c>
      <c r="AE29" s="226">
        <v>8.3919999999999995</v>
      </c>
      <c r="AF29" s="226">
        <v>11.411</v>
      </c>
      <c r="AG29" s="32">
        <f t="shared" si="0"/>
        <v>0.35974737845567212</v>
      </c>
      <c r="AH29" s="382"/>
      <c r="AI29" s="372"/>
      <c r="AJ29" s="374"/>
      <c r="AL29" s="180"/>
    </row>
    <row r="30" spans="2:38" x14ac:dyDescent="0.2">
      <c r="AB30" s="387"/>
      <c r="AC30" s="378" t="s">
        <v>56</v>
      </c>
      <c r="AD30" s="31">
        <v>1</v>
      </c>
      <c r="AE30" s="226">
        <v>8.4049999999999994</v>
      </c>
      <c r="AF30" s="226">
        <v>11.43</v>
      </c>
      <c r="AG30" s="32">
        <f t="shared" si="0"/>
        <v>0.35990481856038081</v>
      </c>
      <c r="AH30" s="381">
        <f t="shared" ref="AH30" si="4">IF(AF30="","",IF(AF31="","",IF(AF32="","",(AVERAGE(AG30:AG32)))))</f>
        <v>0.36085663295657361</v>
      </c>
      <c r="AI30" s="372"/>
      <c r="AJ30" s="374"/>
      <c r="AK30" s="40"/>
      <c r="AL30" s="180"/>
    </row>
    <row r="31" spans="2:38" x14ac:dyDescent="0.2">
      <c r="AB31" s="387"/>
      <c r="AC31" s="379"/>
      <c r="AD31" s="31">
        <v>2</v>
      </c>
      <c r="AE31" s="226">
        <v>8.4049999999999994</v>
      </c>
      <c r="AF31" s="226">
        <v>11.436</v>
      </c>
      <c r="AG31" s="32">
        <f t="shared" si="0"/>
        <v>0.3606186793575254</v>
      </c>
      <c r="AH31" s="382"/>
      <c r="AI31" s="372"/>
      <c r="AJ31" s="374"/>
      <c r="AL31" s="180"/>
    </row>
    <row r="32" spans="2:38" x14ac:dyDescent="0.2">
      <c r="AB32" s="388"/>
      <c r="AC32" s="380"/>
      <c r="AD32" s="31">
        <v>3</v>
      </c>
      <c r="AE32" s="226">
        <v>8.4049999999999994</v>
      </c>
      <c r="AF32" s="226">
        <v>11.448</v>
      </c>
      <c r="AG32" s="32">
        <f t="shared" si="0"/>
        <v>0.36204640095181456</v>
      </c>
      <c r="AH32" s="382"/>
      <c r="AI32" s="372"/>
      <c r="AJ32" s="374"/>
      <c r="AL32" s="180"/>
    </row>
    <row r="33" spans="1:38" x14ac:dyDescent="0.2">
      <c r="AB33" s="386" t="s">
        <v>57</v>
      </c>
      <c r="AC33" s="378" t="s">
        <v>49</v>
      </c>
      <c r="AD33" s="31">
        <v>1</v>
      </c>
      <c r="AE33" s="226">
        <v>8.4169999999999998</v>
      </c>
      <c r="AF33" s="226">
        <v>11.500999999999999</v>
      </c>
      <c r="AG33" s="32">
        <f t="shared" si="0"/>
        <v>0.36640133064037061</v>
      </c>
      <c r="AH33" s="381">
        <f t="shared" ref="AH33" si="5">IF(AF33="","",IF(AF34="","",IF(AF35="","",(AVERAGE(AG33:AG35)))))</f>
        <v>0.36263910340184546</v>
      </c>
      <c r="AI33" s="372"/>
      <c r="AJ33" s="374"/>
      <c r="AL33" s="180"/>
    </row>
    <row r="34" spans="1:38" x14ac:dyDescent="0.2">
      <c r="AB34" s="387"/>
      <c r="AC34" s="379"/>
      <c r="AD34" s="31">
        <v>2</v>
      </c>
      <c r="AE34" s="226">
        <v>8.4169999999999998</v>
      </c>
      <c r="AF34" s="226">
        <v>11.441000000000001</v>
      </c>
      <c r="AG34" s="32">
        <f t="shared" si="0"/>
        <v>0.35927290008316515</v>
      </c>
      <c r="AH34" s="382"/>
      <c r="AI34" s="372"/>
      <c r="AJ34" s="374"/>
      <c r="AL34" s="180"/>
    </row>
    <row r="35" spans="1:38" x14ac:dyDescent="0.2">
      <c r="E35" s="41"/>
      <c r="F35" s="41"/>
      <c r="G35" s="41"/>
      <c r="H35" s="41"/>
      <c r="AB35" s="387"/>
      <c r="AC35" s="380"/>
      <c r="AD35" s="31">
        <v>3</v>
      </c>
      <c r="AE35" s="226">
        <v>8.4169999999999998</v>
      </c>
      <c r="AF35" s="226">
        <v>11.465999999999999</v>
      </c>
      <c r="AG35" s="32">
        <f t="shared" si="0"/>
        <v>0.36224307948200068</v>
      </c>
      <c r="AH35" s="382"/>
      <c r="AI35" s="372"/>
      <c r="AJ35" s="374"/>
      <c r="AL35" s="183"/>
    </row>
    <row r="36" spans="1:38" x14ac:dyDescent="0.2">
      <c r="I36" s="42"/>
      <c r="J36" s="42"/>
      <c r="K36" s="42"/>
      <c r="L36" s="42"/>
      <c r="M36" s="42"/>
      <c r="N36" s="42"/>
      <c r="O36" s="42"/>
      <c r="P36" s="42"/>
      <c r="Q36" s="42"/>
      <c r="R36" s="42"/>
      <c r="S36" s="42"/>
      <c r="T36" s="42"/>
      <c r="U36" s="42"/>
      <c r="V36" s="42"/>
      <c r="W36" s="42"/>
      <c r="X36" s="42"/>
      <c r="Y36" s="42"/>
      <c r="Z36" s="42"/>
      <c r="AB36" s="387"/>
      <c r="AC36" s="378" t="s">
        <v>54</v>
      </c>
      <c r="AD36" s="31">
        <v>1</v>
      </c>
      <c r="AE36" s="226">
        <v>8.4120000000000008</v>
      </c>
      <c r="AF36" s="226">
        <v>11.45</v>
      </c>
      <c r="AG36" s="32">
        <f t="shared" si="0"/>
        <v>0.36115073704232026</v>
      </c>
      <c r="AH36" s="381">
        <f t="shared" ref="AH36" si="6">IF(AF36="","",IF(AF37="","",IF(AF38="","",(AVERAGE(AG36:AG38)))))</f>
        <v>0.36126961483594849</v>
      </c>
      <c r="AI36" s="372"/>
      <c r="AJ36" s="374"/>
      <c r="AL36" s="183"/>
    </row>
    <row r="37" spans="1:38" x14ac:dyDescent="0.2">
      <c r="I37" s="42"/>
      <c r="J37" s="42"/>
      <c r="K37" s="42"/>
      <c r="L37" s="42"/>
      <c r="M37" s="42"/>
      <c r="N37" s="42"/>
      <c r="O37" s="42"/>
      <c r="P37" s="42"/>
      <c r="Q37" s="42"/>
      <c r="R37" s="42"/>
      <c r="S37" s="42"/>
      <c r="T37" s="42"/>
      <c r="U37" s="42"/>
      <c r="V37" s="42"/>
      <c r="W37" s="42"/>
      <c r="X37" s="42"/>
      <c r="Y37" s="42"/>
      <c r="Z37" s="42"/>
      <c r="AB37" s="387"/>
      <c r="AC37" s="379"/>
      <c r="AD37" s="31">
        <v>2</v>
      </c>
      <c r="AE37" s="226">
        <v>8.4120000000000008</v>
      </c>
      <c r="AF37" s="226">
        <v>11.427</v>
      </c>
      <c r="AG37" s="32">
        <f t="shared" si="0"/>
        <v>0.35841654778887289</v>
      </c>
      <c r="AH37" s="382"/>
      <c r="AI37" s="372"/>
      <c r="AJ37" s="374"/>
      <c r="AL37" s="183"/>
    </row>
    <row r="38" spans="1:38" x14ac:dyDescent="0.2">
      <c r="I38" s="42"/>
      <c r="J38" s="42"/>
      <c r="K38" s="42"/>
      <c r="L38" s="42"/>
      <c r="M38" s="42"/>
      <c r="N38" s="42"/>
      <c r="O38" s="42"/>
      <c r="P38" s="42"/>
      <c r="Q38" s="42"/>
      <c r="R38" s="42"/>
      <c r="S38" s="42"/>
      <c r="T38" s="42"/>
      <c r="U38" s="42"/>
      <c r="V38" s="42"/>
      <c r="W38" s="42"/>
      <c r="X38" s="42"/>
      <c r="Y38" s="42"/>
      <c r="Z38" s="42"/>
      <c r="AA38" s="42"/>
      <c r="AB38" s="387"/>
      <c r="AC38" s="380"/>
      <c r="AD38" s="31">
        <v>3</v>
      </c>
      <c r="AE38" s="226">
        <v>8.4120000000000008</v>
      </c>
      <c r="AF38" s="226">
        <v>11.476000000000001</v>
      </c>
      <c r="AG38" s="32">
        <f t="shared" si="0"/>
        <v>0.36424155967665239</v>
      </c>
      <c r="AH38" s="382"/>
      <c r="AI38" s="372"/>
      <c r="AJ38" s="374"/>
      <c r="AK38" s="42"/>
      <c r="AL38" s="183"/>
    </row>
    <row r="39" spans="1:38" x14ac:dyDescent="0.2">
      <c r="I39" s="42"/>
      <c r="J39" s="42"/>
      <c r="K39" s="42"/>
      <c r="L39" s="42"/>
      <c r="M39" s="42"/>
      <c r="N39" s="42"/>
      <c r="O39" s="42"/>
      <c r="P39" s="42"/>
      <c r="Q39" s="42"/>
      <c r="R39" s="42"/>
      <c r="S39" s="42"/>
      <c r="T39" s="42"/>
      <c r="U39" s="42"/>
      <c r="V39" s="42"/>
      <c r="W39" s="42"/>
      <c r="X39" s="42"/>
      <c r="Y39" s="42"/>
      <c r="Z39" s="42"/>
      <c r="AA39" s="42"/>
      <c r="AB39" s="387"/>
      <c r="AC39" s="378" t="s">
        <v>56</v>
      </c>
      <c r="AD39" s="31">
        <v>1</v>
      </c>
      <c r="AE39" s="226">
        <v>8.3870000000000005</v>
      </c>
      <c r="AF39" s="226">
        <v>11.39</v>
      </c>
      <c r="AG39" s="32">
        <f t="shared" si="0"/>
        <v>0.35805413139382375</v>
      </c>
      <c r="AH39" s="381">
        <f t="shared" ref="AH39" si="7">IF(AF39="","",IF(AF40="","",IF(AF41="","",(AVERAGE(AG39:AG41)))))</f>
        <v>0.35880926831207022</v>
      </c>
      <c r="AI39" s="372"/>
      <c r="AJ39" s="374"/>
      <c r="AK39" s="42"/>
      <c r="AL39" s="183"/>
    </row>
    <row r="40" spans="1:38" x14ac:dyDescent="0.2">
      <c r="I40" s="42"/>
      <c r="J40" s="42"/>
      <c r="K40" s="42"/>
      <c r="L40" s="42"/>
      <c r="M40" s="42"/>
      <c r="N40" s="42"/>
      <c r="O40" s="42"/>
      <c r="P40" s="42"/>
      <c r="Q40" s="42"/>
      <c r="R40" s="42"/>
      <c r="S40" s="42"/>
      <c r="T40" s="42"/>
      <c r="U40" s="42"/>
      <c r="V40" s="42"/>
      <c r="W40" s="42"/>
      <c r="X40" s="42"/>
      <c r="Y40" s="42"/>
      <c r="Z40" s="42"/>
      <c r="AA40" s="42"/>
      <c r="AB40" s="387"/>
      <c r="AC40" s="379"/>
      <c r="AD40" s="31">
        <v>2</v>
      </c>
      <c r="AE40" s="226">
        <v>8.3870000000000005</v>
      </c>
      <c r="AF40" s="226">
        <v>11.369</v>
      </c>
      <c r="AG40" s="32">
        <f t="shared" si="0"/>
        <v>0.35555025634911164</v>
      </c>
      <c r="AH40" s="382"/>
      <c r="AI40" s="372"/>
      <c r="AJ40" s="374"/>
      <c r="AK40" s="42"/>
      <c r="AL40" s="183"/>
    </row>
    <row r="41" spans="1:38" ht="13.5" thickBot="1" x14ac:dyDescent="0.25">
      <c r="U41" s="42"/>
      <c r="AA41" s="42"/>
      <c r="AB41" s="389"/>
      <c r="AC41" s="390"/>
      <c r="AD41" s="43">
        <v>3</v>
      </c>
      <c r="AE41" s="227">
        <v>8.3870000000000005</v>
      </c>
      <c r="AF41" s="227">
        <v>11.43</v>
      </c>
      <c r="AG41" s="44">
        <f t="shared" si="0"/>
        <v>0.36282341719327521</v>
      </c>
      <c r="AH41" s="391"/>
      <c r="AI41" s="373"/>
      <c r="AJ41" s="375"/>
      <c r="AK41" s="42"/>
      <c r="AL41" s="183"/>
    </row>
    <row r="42" spans="1:38" x14ac:dyDescent="0.2">
      <c r="U42" s="42"/>
      <c r="AA42" s="42"/>
      <c r="AB42" s="298"/>
      <c r="AC42" s="298"/>
      <c r="AD42" s="298"/>
      <c r="AE42"/>
      <c r="AF42"/>
      <c r="AG42" s="299"/>
      <c r="AH42" s="298"/>
      <c r="AI42" s="300"/>
      <c r="AJ42"/>
      <c r="AK42" s="42"/>
      <c r="AL42" s="183"/>
    </row>
    <row r="43" spans="1:38" x14ac:dyDescent="0.2">
      <c r="U43" s="42"/>
      <c r="AA43" s="42"/>
      <c r="AB43" s="296" t="s">
        <v>183</v>
      </c>
      <c r="AC43" s="298"/>
      <c r="AD43" s="298"/>
      <c r="AE43"/>
      <c r="AF43"/>
      <c r="AG43" s="299"/>
      <c r="AH43" s="298"/>
      <c r="AI43" s="300"/>
      <c r="AJ43"/>
      <c r="AK43" s="42"/>
      <c r="AL43" s="183"/>
    </row>
    <row r="44" spans="1:38" x14ac:dyDescent="0.2">
      <c r="U44" s="42"/>
      <c r="AA44" s="42"/>
      <c r="AB44" s="42"/>
      <c r="AC44" s="42"/>
      <c r="AD44" s="42"/>
      <c r="AE44"/>
      <c r="AF44"/>
      <c r="AG44" s="42"/>
      <c r="AH44" s="42"/>
      <c r="AI44" s="42"/>
      <c r="AJ44"/>
      <c r="AK44" s="42"/>
      <c r="AL44" s="183"/>
    </row>
    <row r="45" spans="1:38" x14ac:dyDescent="0.2">
      <c r="A45" s="180"/>
      <c r="B45" s="180"/>
      <c r="C45" s="180"/>
      <c r="D45" s="180"/>
      <c r="E45" s="180"/>
      <c r="F45" s="180"/>
      <c r="G45" s="180"/>
      <c r="H45" s="180"/>
      <c r="I45" s="180"/>
      <c r="J45" s="180"/>
      <c r="K45" s="180"/>
      <c r="L45" s="180"/>
      <c r="M45" s="180"/>
      <c r="N45" s="180"/>
      <c r="O45" s="180"/>
      <c r="P45" s="180"/>
      <c r="Q45" s="180"/>
      <c r="R45" s="180"/>
      <c r="S45" s="180"/>
      <c r="T45" s="180"/>
      <c r="U45" s="184"/>
      <c r="V45" s="180"/>
      <c r="W45" s="180"/>
      <c r="X45" s="180"/>
      <c r="Y45" s="180"/>
      <c r="Z45" s="180"/>
      <c r="AA45" s="183"/>
      <c r="AB45" s="183"/>
      <c r="AC45" s="183"/>
      <c r="AD45" s="183"/>
      <c r="AE45" s="183"/>
      <c r="AF45" s="183"/>
      <c r="AG45" s="183"/>
      <c r="AH45" s="183"/>
      <c r="AI45" s="183"/>
      <c r="AJ45" s="183"/>
      <c r="AK45" s="183"/>
      <c r="AL45" s="184"/>
    </row>
    <row r="46" spans="1:38" x14ac:dyDescent="0.2">
      <c r="U46" s="45"/>
      <c r="AA46" s="42"/>
      <c r="AB46" s="42"/>
      <c r="AC46" s="42"/>
      <c r="AD46" s="42"/>
      <c r="AE46" s="42"/>
      <c r="AF46" s="42"/>
      <c r="AG46" s="42"/>
      <c r="AH46" s="42"/>
      <c r="AI46" s="42"/>
      <c r="AJ46" s="42"/>
      <c r="AK46" s="42"/>
      <c r="AL46" s="45"/>
    </row>
  </sheetData>
  <sheetProtection algorithmName="SHA-512" hashValue="SwmjFXNFXlZMasUMHjH83saVIjW7eWmwxGYJny0oz80bEjuAdrxP02GlVh6qZ8b9LxT+KNORjLizwD9vGgcOzw==" saltValue="FWBwSotmxjUQ8iCgKpnSsg==" spinCount="100000" sheet="1" selectLockedCells="1"/>
  <mergeCells count="51">
    <mergeCell ref="B21:B22"/>
    <mergeCell ref="C21:C22"/>
    <mergeCell ref="AB15:AB23"/>
    <mergeCell ref="AC15:AC17"/>
    <mergeCell ref="AH15:AH17"/>
    <mergeCell ref="E15:E17"/>
    <mergeCell ref="H15:H23"/>
    <mergeCell ref="J15:J16"/>
    <mergeCell ref="N15:N20"/>
    <mergeCell ref="T15:T17"/>
    <mergeCell ref="E18:E20"/>
    <mergeCell ref="E21:E23"/>
    <mergeCell ref="AB33:AB41"/>
    <mergeCell ref="AC33:AC35"/>
    <mergeCell ref="AH33:AH35"/>
    <mergeCell ref="AC36:AC38"/>
    <mergeCell ref="AH36:AH38"/>
    <mergeCell ref="AC39:AC41"/>
    <mergeCell ref="AH39:AH41"/>
    <mergeCell ref="AI15:AI41"/>
    <mergeCell ref="AJ15:AJ41"/>
    <mergeCell ref="J17:J18"/>
    <mergeCell ref="AC18:AC20"/>
    <mergeCell ref="AH18:AH20"/>
    <mergeCell ref="J19:J20"/>
    <mergeCell ref="AC21:AC23"/>
    <mergeCell ref="Z15:Z17"/>
    <mergeCell ref="AH21:AH23"/>
    <mergeCell ref="AB24:AB32"/>
    <mergeCell ref="AC24:AC26"/>
    <mergeCell ref="AH24:AH26"/>
    <mergeCell ref="AC27:AC29"/>
    <mergeCell ref="AH27:AH29"/>
    <mergeCell ref="AC30:AC32"/>
    <mergeCell ref="AH30:AH32"/>
    <mergeCell ref="B13:B14"/>
    <mergeCell ref="C13:C14"/>
    <mergeCell ref="L4:M4"/>
    <mergeCell ref="B8:C8"/>
    <mergeCell ref="B2:J2"/>
    <mergeCell ref="D3:J3"/>
    <mergeCell ref="D4:J4"/>
    <mergeCell ref="D5:J5"/>
    <mergeCell ref="D6:J6"/>
    <mergeCell ref="D7:J7"/>
    <mergeCell ref="D8:J8"/>
    <mergeCell ref="B5:C5"/>
    <mergeCell ref="B6:C6"/>
    <mergeCell ref="B7:C7"/>
    <mergeCell ref="B3:C3"/>
    <mergeCell ref="B4:C4"/>
  </mergeCells>
  <hyperlinks>
    <hyperlink ref="L4" location="Instructions!C35" display="Back to Instructions tab" xr:uid="{00000000-0004-0000-0100-000000000000}"/>
  </hyperlinks>
  <pageMargins left="0.7" right="0.7" top="0.75" bottom="0.75" header="0.3" footer="0.3"/>
  <pageSetup scale="1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9A9A284C-D148-41A4-A000-027BBC00DAAC}">
          <x14:formula1>
            <xm:f>'Drop-Downs'!$B$12:$B$13</xm:f>
          </x14:formula1>
          <xm:sqref>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70C0"/>
    <pageSetUpPr fitToPage="1"/>
  </sheetPr>
  <dimension ref="A1:Z37"/>
  <sheetViews>
    <sheetView showGridLines="0" tabSelected="1" zoomScale="96" zoomScaleNormal="96" zoomScalePageLayoutView="90" workbookViewId="0">
      <selection activeCell="D18" sqref="D18"/>
    </sheetView>
  </sheetViews>
  <sheetFormatPr defaultColWidth="9.140625" defaultRowHeight="15" customHeight="1" x14ac:dyDescent="0.2"/>
  <cols>
    <col min="1" max="1" width="2.28515625" style="3" customWidth="1"/>
    <col min="2" max="2" width="19.7109375" style="3" customWidth="1"/>
    <col min="3" max="3" width="28.85546875" style="3" customWidth="1"/>
    <col min="4" max="4" width="8.7109375" style="3" customWidth="1"/>
    <col min="5" max="5" width="10.5703125" style="3" customWidth="1"/>
    <col min="6" max="15" width="8.7109375" style="3" customWidth="1"/>
    <col min="16" max="17" width="8.7109375" customWidth="1"/>
    <col min="18" max="18" width="4" customWidth="1"/>
    <col min="19" max="19" width="3.42578125" customWidth="1"/>
    <col min="20" max="24" width="8.85546875" customWidth="1"/>
    <col min="25" max="25" width="4.28515625" style="3" customWidth="1"/>
    <col min="26" max="16384" width="9.140625" style="3"/>
  </cols>
  <sheetData>
    <row r="1" spans="2:26" ht="15" customHeight="1" thickBot="1" x14ac:dyDescent="0.25">
      <c r="S1" s="179"/>
    </row>
    <row r="2" spans="2:26" ht="15" customHeight="1" thickBot="1" x14ac:dyDescent="0.25">
      <c r="B2" s="337" t="str">
        <f>'Version Control'!B2:C2</f>
        <v>Title Block</v>
      </c>
      <c r="C2" s="352"/>
      <c r="D2" s="352"/>
      <c r="E2" s="352"/>
      <c r="F2" s="352"/>
      <c r="G2" s="352"/>
      <c r="H2" s="352"/>
      <c r="I2" s="352"/>
      <c r="J2" s="352"/>
      <c r="K2" s="338"/>
      <c r="S2" s="179"/>
    </row>
    <row r="3" spans="2:26" ht="15" customHeight="1" x14ac:dyDescent="0.2">
      <c r="B3" s="401" t="str">
        <f>'Version Control'!B3</f>
        <v>Test Report Template Name:</v>
      </c>
      <c r="C3" s="402"/>
      <c r="D3" s="403" t="str">
        <f>'Version Control'!C3</f>
        <v xml:space="preserve">Test Cloth Correction Factors </v>
      </c>
      <c r="E3" s="403"/>
      <c r="F3" s="403"/>
      <c r="G3" s="403"/>
      <c r="H3" s="403"/>
      <c r="I3" s="403"/>
      <c r="J3" s="403"/>
      <c r="K3" s="404"/>
      <c r="S3" s="179"/>
    </row>
    <row r="4" spans="2:26" ht="15" customHeight="1" x14ac:dyDescent="0.3">
      <c r="B4" s="369" t="str">
        <f>'Version Control'!B4</f>
        <v>Version Number:</v>
      </c>
      <c r="C4" s="370"/>
      <c r="D4" s="366" t="str">
        <f>'Version Control'!C4</f>
        <v>v2.5</v>
      </c>
      <c r="E4" s="366"/>
      <c r="F4" s="366"/>
      <c r="G4" s="366"/>
      <c r="H4" s="366"/>
      <c r="I4" s="366"/>
      <c r="J4" s="366"/>
      <c r="K4" s="405"/>
      <c r="M4" s="349" t="s">
        <v>154</v>
      </c>
      <c r="N4" s="349"/>
      <c r="O4" s="349"/>
      <c r="S4" s="179"/>
    </row>
    <row r="5" spans="2:26" ht="15" customHeight="1" x14ac:dyDescent="0.2">
      <c r="B5" s="365" t="str">
        <f>'Version Control'!B5</f>
        <v xml:space="preserve">Latest Template Revision: </v>
      </c>
      <c r="C5" s="366"/>
      <c r="D5" s="406">
        <f>'Version Control'!C5</f>
        <v>45673</v>
      </c>
      <c r="E5" s="406"/>
      <c r="F5" s="406"/>
      <c r="G5" s="406"/>
      <c r="H5" s="406"/>
      <c r="I5" s="406"/>
      <c r="J5" s="406"/>
      <c r="K5" s="407"/>
      <c r="S5" s="179"/>
    </row>
    <row r="6" spans="2:26" ht="15" customHeight="1" x14ac:dyDescent="0.2">
      <c r="B6" s="365" t="str">
        <f>'Version Control'!B6</f>
        <v>Tab Name:</v>
      </c>
      <c r="C6" s="366"/>
      <c r="D6" s="366" t="e">
        <f ca="1">MID(CELL("filename",A1), FIND("]", CELL("filename", A1))+ 1, 255)</f>
        <v>#VALUE!</v>
      </c>
      <c r="E6" s="366"/>
      <c r="F6" s="366"/>
      <c r="G6" s="366"/>
      <c r="H6" s="366"/>
      <c r="I6" s="366"/>
      <c r="J6" s="366"/>
      <c r="K6" s="405"/>
      <c r="S6" s="179"/>
    </row>
    <row r="7" spans="2:26" ht="15" customHeight="1" x14ac:dyDescent="0.2">
      <c r="B7" s="365" t="str">
        <f>'Version Control'!B7</f>
        <v>File Name:</v>
      </c>
      <c r="C7" s="366"/>
      <c r="D7" s="366" t="e">
        <f ca="1">'Version Control'!C7</f>
        <v>#VALUE!</v>
      </c>
      <c r="E7" s="366"/>
      <c r="F7" s="366"/>
      <c r="G7" s="366"/>
      <c r="H7" s="366"/>
      <c r="I7" s="366"/>
      <c r="J7" s="366"/>
      <c r="K7" s="405"/>
      <c r="S7" s="179"/>
    </row>
    <row r="8" spans="2:26" ht="15" customHeight="1" thickBot="1" x14ac:dyDescent="0.25">
      <c r="B8" s="350" t="str">
        <f>'Version Control'!B8</f>
        <v xml:space="preserve">Test Completion Date: </v>
      </c>
      <c r="C8" s="351"/>
      <c r="D8" s="414" t="str">
        <f>'Version Control'!C8</f>
        <v>4/28/2025-5/5/25</v>
      </c>
      <c r="E8" s="414"/>
      <c r="F8" s="414"/>
      <c r="G8" s="414"/>
      <c r="H8" s="414"/>
      <c r="I8" s="414"/>
      <c r="J8" s="414"/>
      <c r="K8" s="415"/>
      <c r="S8" s="179"/>
    </row>
    <row r="9" spans="2:26" ht="15" customHeight="1" x14ac:dyDescent="0.2">
      <c r="S9" s="179"/>
    </row>
    <row r="10" spans="2:26" ht="15" customHeight="1" x14ac:dyDescent="0.2">
      <c r="S10" s="179"/>
    </row>
    <row r="11" spans="2:26" s="11" customFormat="1" ht="15" customHeight="1" x14ac:dyDescent="0.25">
      <c r="B11" s="10" t="s">
        <v>30</v>
      </c>
      <c r="S11" s="180"/>
    </row>
    <row r="12" spans="2:26" ht="15" customHeight="1" x14ac:dyDescent="0.2">
      <c r="B12" s="53" t="s">
        <v>60</v>
      </c>
      <c r="L12"/>
      <c r="P12" s="3"/>
      <c r="Q12" s="3"/>
      <c r="R12" s="3"/>
      <c r="S12" s="181"/>
      <c r="Y12"/>
      <c r="Z12"/>
    </row>
    <row r="13" spans="2:26" ht="15" customHeight="1" thickBot="1" x14ac:dyDescent="0.25">
      <c r="E13" s="8" t="s">
        <v>175</v>
      </c>
      <c r="S13" s="179"/>
    </row>
    <row r="14" spans="2:26" ht="15" customHeight="1" thickBot="1" x14ac:dyDescent="0.25">
      <c r="B14" s="345" t="s">
        <v>195</v>
      </c>
      <c r="C14" s="420" t="str">
        <f>'Material Verification'!C13</f>
        <v>Legacy Momie Cloth</v>
      </c>
      <c r="E14" s="411" t="s">
        <v>63</v>
      </c>
      <c r="F14" s="51" t="s">
        <v>61</v>
      </c>
      <c r="G14" s="49"/>
      <c r="H14" s="50"/>
      <c r="I14" s="51"/>
      <c r="J14" s="49"/>
      <c r="K14" s="50"/>
      <c r="L14" s="51" t="s">
        <v>62</v>
      </c>
      <c r="M14" s="49"/>
      <c r="N14" s="50"/>
      <c r="O14" s="51"/>
      <c r="P14" s="49"/>
      <c r="Q14" s="50"/>
      <c r="R14" s="3"/>
      <c r="S14" s="181"/>
      <c r="T14" s="3"/>
      <c r="U14" s="3"/>
      <c r="V14" s="3"/>
      <c r="W14" s="3"/>
    </row>
    <row r="15" spans="2:26" ht="15" customHeight="1" thickBot="1" x14ac:dyDescent="0.25">
      <c r="B15" s="346"/>
      <c r="C15" s="421"/>
      <c r="E15" s="412"/>
      <c r="F15" s="51" t="s">
        <v>24</v>
      </c>
      <c r="G15" s="101"/>
      <c r="H15" s="102"/>
      <c r="I15" s="51" t="s">
        <v>23</v>
      </c>
      <c r="J15" s="101"/>
      <c r="K15" s="102"/>
      <c r="L15" s="51" t="s">
        <v>24</v>
      </c>
      <c r="M15" s="101"/>
      <c r="N15" s="102"/>
      <c r="O15" s="51" t="s">
        <v>23</v>
      </c>
      <c r="P15" s="101"/>
      <c r="Q15" s="102"/>
      <c r="R15" s="3"/>
      <c r="S15" s="181"/>
      <c r="T15" s="3"/>
      <c r="U15" s="3"/>
      <c r="V15" s="3"/>
      <c r="W15" s="3"/>
    </row>
    <row r="16" spans="2:26" ht="17.45" customHeight="1" thickBot="1" x14ac:dyDescent="0.3">
      <c r="B16" s="325" t="s">
        <v>203</v>
      </c>
      <c r="C16" s="314" t="str">
        <f>'Material Verification'!C15</f>
        <v>026B</v>
      </c>
      <c r="E16" s="413"/>
      <c r="F16" s="46" t="s">
        <v>25</v>
      </c>
      <c r="G16" s="47" t="s">
        <v>21</v>
      </c>
      <c r="H16" s="48" t="s">
        <v>22</v>
      </c>
      <c r="I16" s="46" t="s">
        <v>25</v>
      </c>
      <c r="J16" s="47" t="s">
        <v>21</v>
      </c>
      <c r="K16" s="48" t="s">
        <v>22</v>
      </c>
      <c r="L16" s="46" t="s">
        <v>25</v>
      </c>
      <c r="M16" s="47" t="s">
        <v>21</v>
      </c>
      <c r="N16" s="48" t="s">
        <v>22</v>
      </c>
      <c r="O16" s="46" t="s">
        <v>25</v>
      </c>
      <c r="P16" s="47" t="s">
        <v>21</v>
      </c>
      <c r="Q16" s="48" t="s">
        <v>22</v>
      </c>
      <c r="R16" s="3"/>
      <c r="S16" s="181"/>
      <c r="T16" s="3"/>
      <c r="U16" s="3"/>
      <c r="V16" s="3"/>
      <c r="W16" s="3"/>
    </row>
    <row r="17" spans="2:23" ht="17.45" customHeight="1" thickBot="1" x14ac:dyDescent="0.3">
      <c r="B17" s="326" t="s">
        <v>31</v>
      </c>
      <c r="C17" s="305" t="str">
        <f>'Analysis of Variance'!C5</f>
        <v>Yes</v>
      </c>
      <c r="E17" s="408" t="s">
        <v>69</v>
      </c>
      <c r="F17" s="228" t="s">
        <v>217</v>
      </c>
      <c r="G17" s="229">
        <v>8.4019999999999992</v>
      </c>
      <c r="H17" s="230">
        <v>13.003</v>
      </c>
      <c r="I17" s="228" t="s">
        <v>218</v>
      </c>
      <c r="J17" s="229">
        <v>8.3940000000000001</v>
      </c>
      <c r="K17" s="230">
        <v>13.632999999999999</v>
      </c>
      <c r="L17" s="228" t="s">
        <v>217</v>
      </c>
      <c r="M17" s="229">
        <v>8.4019999999999992</v>
      </c>
      <c r="N17" s="230">
        <v>13.333</v>
      </c>
      <c r="O17" s="228" t="s">
        <v>218</v>
      </c>
      <c r="P17" s="229">
        <v>8.3940000000000001</v>
      </c>
      <c r="Q17" s="230">
        <v>13.867000000000001</v>
      </c>
      <c r="R17" s="3"/>
      <c r="S17" s="181"/>
      <c r="T17" s="3"/>
      <c r="U17" s="3"/>
      <c r="V17" s="3"/>
      <c r="W17" s="3"/>
    </row>
    <row r="18" spans="2:23" ht="15" customHeight="1" x14ac:dyDescent="0.2">
      <c r="B18" s="306"/>
      <c r="C18" s="307" t="s">
        <v>76</v>
      </c>
      <c r="E18" s="409"/>
      <c r="F18" s="231" t="s">
        <v>218</v>
      </c>
      <c r="G18" s="232">
        <v>8.3940000000000001</v>
      </c>
      <c r="H18" s="233">
        <v>13.089</v>
      </c>
      <c r="I18" s="231" t="s">
        <v>217</v>
      </c>
      <c r="J18" s="232">
        <v>8.4019999999999992</v>
      </c>
      <c r="K18" s="233">
        <v>13.679</v>
      </c>
      <c r="L18" s="231" t="s">
        <v>218</v>
      </c>
      <c r="M18" s="232">
        <v>8.3940000000000001</v>
      </c>
      <c r="N18" s="233">
        <v>13.369</v>
      </c>
      <c r="O18" s="231" t="s">
        <v>217</v>
      </c>
      <c r="P18" s="232">
        <v>8.3989999999999991</v>
      </c>
      <c r="Q18" s="233">
        <v>13.885999999999999</v>
      </c>
      <c r="R18" s="3"/>
      <c r="S18" s="181"/>
      <c r="T18" s="3"/>
      <c r="U18" s="3"/>
      <c r="V18" s="3"/>
      <c r="W18" s="3"/>
    </row>
    <row r="19" spans="2:23" ht="15" customHeight="1" thickBot="1" x14ac:dyDescent="0.25">
      <c r="B19" s="306"/>
      <c r="C19" s="306"/>
      <c r="E19" s="410"/>
      <c r="F19" s="234" t="s">
        <v>217</v>
      </c>
      <c r="G19" s="235">
        <v>8.4019999999999992</v>
      </c>
      <c r="H19" s="236">
        <v>13.13</v>
      </c>
      <c r="I19" s="234" t="s">
        <v>218</v>
      </c>
      <c r="J19" s="235">
        <v>8.3940000000000001</v>
      </c>
      <c r="K19" s="236">
        <v>13.7</v>
      </c>
      <c r="L19" s="234" t="s">
        <v>217</v>
      </c>
      <c r="M19" s="235">
        <v>8.4019999999999992</v>
      </c>
      <c r="N19" s="236">
        <v>13.377000000000001</v>
      </c>
      <c r="O19" s="234" t="s">
        <v>218</v>
      </c>
      <c r="P19" s="235">
        <v>8.3889999999999993</v>
      </c>
      <c r="Q19" s="236">
        <v>13.914999999999999</v>
      </c>
      <c r="R19" s="3"/>
      <c r="S19" s="181"/>
      <c r="T19" s="3"/>
      <c r="U19" s="3"/>
      <c r="V19" s="3"/>
      <c r="W19" s="3"/>
    </row>
    <row r="20" spans="2:23" ht="15" customHeight="1" thickBot="1" x14ac:dyDescent="0.3">
      <c r="B20" s="416" t="s">
        <v>77</v>
      </c>
      <c r="C20" s="417"/>
      <c r="E20" s="408" t="s">
        <v>70</v>
      </c>
      <c r="F20" s="228" t="s">
        <v>217</v>
      </c>
      <c r="G20" s="229">
        <v>8.3989999999999991</v>
      </c>
      <c r="H20" s="230">
        <v>12.012</v>
      </c>
      <c r="I20" s="228" t="s">
        <v>218</v>
      </c>
      <c r="J20" s="229">
        <v>8.3889999999999993</v>
      </c>
      <c r="K20" s="230">
        <v>12.375</v>
      </c>
      <c r="L20" s="228" t="s">
        <v>217</v>
      </c>
      <c r="M20" s="229">
        <v>8.3989999999999991</v>
      </c>
      <c r="N20" s="230">
        <v>12.237</v>
      </c>
      <c r="O20" s="228" t="s">
        <v>218</v>
      </c>
      <c r="P20" s="229">
        <v>8.3889999999999993</v>
      </c>
      <c r="Q20" s="230">
        <v>12.707000000000001</v>
      </c>
      <c r="R20" s="3"/>
      <c r="S20" s="181"/>
      <c r="T20" s="3"/>
      <c r="U20" s="3"/>
      <c r="V20" s="3"/>
      <c r="W20" s="3"/>
    </row>
    <row r="21" spans="2:23" ht="15" customHeight="1" x14ac:dyDescent="0.25">
      <c r="B21" s="308" t="s">
        <v>79</v>
      </c>
      <c r="C21" s="309">
        <f>'Correction Factors'!Q31</f>
        <v>0.79351729289823247</v>
      </c>
      <c r="E21" s="409"/>
      <c r="F21" s="231" t="s">
        <v>218</v>
      </c>
      <c r="G21" s="232">
        <v>8.3889999999999993</v>
      </c>
      <c r="H21" s="233">
        <v>11.997</v>
      </c>
      <c r="I21" s="231" t="s">
        <v>217</v>
      </c>
      <c r="J21" s="232">
        <v>8.3989999999999991</v>
      </c>
      <c r="K21" s="233">
        <v>12.481</v>
      </c>
      <c r="L21" s="231" t="s">
        <v>218</v>
      </c>
      <c r="M21" s="232">
        <v>8.3889999999999993</v>
      </c>
      <c r="N21" s="233">
        <v>12.145</v>
      </c>
      <c r="O21" s="231" t="s">
        <v>217</v>
      </c>
      <c r="P21" s="232">
        <v>8.3989999999999991</v>
      </c>
      <c r="Q21" s="233">
        <v>12.775</v>
      </c>
      <c r="R21" s="3"/>
      <c r="S21" s="181"/>
      <c r="T21" s="3"/>
      <c r="U21" s="3"/>
      <c r="V21" s="3"/>
      <c r="W21" s="3"/>
    </row>
    <row r="22" spans="2:23" ht="15" customHeight="1" thickBot="1" x14ac:dyDescent="0.3">
      <c r="B22" s="310" t="s">
        <v>80</v>
      </c>
      <c r="C22" s="311">
        <f>'Correction Factors'!Q32</f>
        <v>1.6306741131419E-2</v>
      </c>
      <c r="E22" s="410"/>
      <c r="F22" s="234" t="s">
        <v>217</v>
      </c>
      <c r="G22" s="235">
        <v>8.3989999999999991</v>
      </c>
      <c r="H22" s="236">
        <v>11.976000000000001</v>
      </c>
      <c r="I22" s="234" t="s">
        <v>218</v>
      </c>
      <c r="J22" s="235">
        <v>8.3889999999999993</v>
      </c>
      <c r="K22" s="237">
        <v>12.397</v>
      </c>
      <c r="L22" s="238" t="s">
        <v>217</v>
      </c>
      <c r="M22" s="239">
        <v>8.3989999999999991</v>
      </c>
      <c r="N22" s="237">
        <v>12.249000000000001</v>
      </c>
      <c r="O22" s="238" t="s">
        <v>218</v>
      </c>
      <c r="P22" s="239">
        <v>8.3889999999999993</v>
      </c>
      <c r="Q22" s="236">
        <v>12.737</v>
      </c>
      <c r="R22" s="3"/>
      <c r="S22" s="181"/>
      <c r="T22" s="3"/>
      <c r="U22" s="3"/>
      <c r="V22" s="3"/>
      <c r="W22" s="3"/>
    </row>
    <row r="23" spans="2:23" ht="15" customHeight="1" x14ac:dyDescent="0.2">
      <c r="B23" s="306"/>
      <c r="C23" s="307" t="s">
        <v>78</v>
      </c>
      <c r="E23" s="408" t="s">
        <v>71</v>
      </c>
      <c r="F23" s="228" t="s">
        <v>217</v>
      </c>
      <c r="G23" s="229">
        <v>8.4019999999999992</v>
      </c>
      <c r="H23" s="230">
        <v>11.252000000000001</v>
      </c>
      <c r="I23" s="228" t="s">
        <v>218</v>
      </c>
      <c r="J23" s="229">
        <v>8.3940000000000001</v>
      </c>
      <c r="K23" s="230">
        <v>11.654</v>
      </c>
      <c r="L23" s="228" t="s">
        <v>217</v>
      </c>
      <c r="M23" s="229">
        <v>8.4019999999999992</v>
      </c>
      <c r="N23" s="230">
        <v>11.419</v>
      </c>
      <c r="O23" s="228" t="s">
        <v>218</v>
      </c>
      <c r="P23" s="229">
        <v>8.3940000000000001</v>
      </c>
      <c r="Q23" s="230">
        <v>11.92</v>
      </c>
      <c r="R23" s="3"/>
      <c r="S23" s="181"/>
      <c r="T23" s="3"/>
      <c r="U23" s="3"/>
      <c r="V23" s="3"/>
      <c r="W23" s="3"/>
    </row>
    <row r="24" spans="2:23" ht="15" customHeight="1" thickBot="1" x14ac:dyDescent="0.25">
      <c r="B24" s="306"/>
      <c r="C24" s="306"/>
      <c r="E24" s="409"/>
      <c r="F24" s="231" t="s">
        <v>218</v>
      </c>
      <c r="G24" s="232">
        <v>8.3940000000000001</v>
      </c>
      <c r="H24" s="233">
        <v>11.211</v>
      </c>
      <c r="I24" s="231" t="s">
        <v>217</v>
      </c>
      <c r="J24" s="232">
        <v>8.4019999999999992</v>
      </c>
      <c r="K24" s="233">
        <v>11.686999999999999</v>
      </c>
      <c r="L24" s="231" t="s">
        <v>218</v>
      </c>
      <c r="M24" s="232">
        <v>8.3940000000000001</v>
      </c>
      <c r="N24" s="233">
        <v>11.436</v>
      </c>
      <c r="O24" s="231" t="s">
        <v>217</v>
      </c>
      <c r="P24" s="232">
        <v>8.4019999999999992</v>
      </c>
      <c r="Q24" s="233">
        <v>11.916</v>
      </c>
      <c r="R24" s="3"/>
      <c r="S24" s="181"/>
      <c r="T24" s="3"/>
      <c r="U24" s="3"/>
      <c r="V24" s="3"/>
      <c r="W24" s="3"/>
    </row>
    <row r="25" spans="2:23" ht="15" customHeight="1" thickBot="1" x14ac:dyDescent="0.25">
      <c r="B25" s="418" t="s">
        <v>53</v>
      </c>
      <c r="C25" s="419"/>
      <c r="E25" s="410"/>
      <c r="F25" s="238" t="s">
        <v>217</v>
      </c>
      <c r="G25" s="239">
        <v>8.4019999999999992</v>
      </c>
      <c r="H25" s="237">
        <v>11.304</v>
      </c>
      <c r="I25" s="234" t="s">
        <v>218</v>
      </c>
      <c r="J25" s="235">
        <v>8.3940000000000001</v>
      </c>
      <c r="K25" s="236">
        <v>11.637</v>
      </c>
      <c r="L25" s="234" t="s">
        <v>217</v>
      </c>
      <c r="M25" s="235">
        <v>8.4019999999999992</v>
      </c>
      <c r="N25" s="236">
        <v>11.375999999999999</v>
      </c>
      <c r="O25" s="234" t="s">
        <v>218</v>
      </c>
      <c r="P25" s="235">
        <v>8.3940000000000001</v>
      </c>
      <c r="Q25" s="236">
        <v>11.914999999999999</v>
      </c>
      <c r="R25" s="3"/>
      <c r="S25" s="181"/>
      <c r="T25" s="3"/>
      <c r="U25" s="3"/>
      <c r="V25" s="3"/>
      <c r="W25" s="3"/>
    </row>
    <row r="26" spans="2:23" ht="15" customHeight="1" x14ac:dyDescent="0.2">
      <c r="B26" s="328" t="s">
        <v>17</v>
      </c>
      <c r="C26" s="312" t="s">
        <v>208</v>
      </c>
      <c r="E26" s="408" t="s">
        <v>72</v>
      </c>
      <c r="F26" s="228" t="s">
        <v>217</v>
      </c>
      <c r="G26" s="229">
        <v>8.3989999999999991</v>
      </c>
      <c r="H26" s="230">
        <v>10.885999999999999</v>
      </c>
      <c r="I26" s="228" t="s">
        <v>218</v>
      </c>
      <c r="J26" s="229">
        <v>8.3889999999999993</v>
      </c>
      <c r="K26" s="230">
        <v>11.262</v>
      </c>
      <c r="L26" s="228" t="s">
        <v>218</v>
      </c>
      <c r="M26" s="229">
        <v>8.3889999999999993</v>
      </c>
      <c r="N26" s="230">
        <v>11.039</v>
      </c>
      <c r="O26" s="228" t="s">
        <v>217</v>
      </c>
      <c r="P26" s="229">
        <v>8.3960000000000008</v>
      </c>
      <c r="Q26" s="230">
        <v>11.467000000000001</v>
      </c>
      <c r="R26" s="3"/>
      <c r="S26" s="181"/>
      <c r="T26" s="3"/>
      <c r="U26" s="3"/>
      <c r="V26" s="3"/>
      <c r="W26" s="3"/>
    </row>
    <row r="27" spans="2:23" ht="15" customHeight="1" x14ac:dyDescent="0.2">
      <c r="B27" s="328" t="s">
        <v>18</v>
      </c>
      <c r="C27" s="313" t="s">
        <v>219</v>
      </c>
      <c r="E27" s="409"/>
      <c r="F27" s="231" t="s">
        <v>218</v>
      </c>
      <c r="G27" s="232">
        <v>8.3889999999999993</v>
      </c>
      <c r="H27" s="233">
        <v>10.875999999999999</v>
      </c>
      <c r="I27" s="231" t="s">
        <v>217</v>
      </c>
      <c r="J27" s="232">
        <v>8.3989999999999991</v>
      </c>
      <c r="K27" s="233">
        <v>11.286</v>
      </c>
      <c r="L27" s="231" t="s">
        <v>217</v>
      </c>
      <c r="M27" s="232">
        <v>8.3960000000000008</v>
      </c>
      <c r="N27" s="233">
        <v>11.013999999999999</v>
      </c>
      <c r="O27" s="231" t="s">
        <v>218</v>
      </c>
      <c r="P27" s="232">
        <v>8.3849999999999998</v>
      </c>
      <c r="Q27" s="233">
        <v>11.487</v>
      </c>
      <c r="R27" s="3"/>
      <c r="S27" s="181"/>
      <c r="T27" s="3"/>
      <c r="U27" s="3"/>
      <c r="V27" s="3"/>
      <c r="W27" s="3"/>
    </row>
    <row r="28" spans="2:23" ht="15" customHeight="1" thickBot="1" x14ac:dyDescent="0.25">
      <c r="B28" s="392" t="s">
        <v>202</v>
      </c>
      <c r="C28" s="394" t="s">
        <v>207</v>
      </c>
      <c r="E28" s="410"/>
      <c r="F28" s="238" t="s">
        <v>217</v>
      </c>
      <c r="G28" s="239">
        <v>8.3989999999999991</v>
      </c>
      <c r="H28" s="237">
        <v>10.907</v>
      </c>
      <c r="I28" s="238" t="s">
        <v>218</v>
      </c>
      <c r="J28" s="239">
        <v>8.3889999999999993</v>
      </c>
      <c r="K28" s="236">
        <v>11.224</v>
      </c>
      <c r="L28" s="238" t="s">
        <v>218</v>
      </c>
      <c r="M28" s="239">
        <v>8.3849999999999998</v>
      </c>
      <c r="N28" s="237">
        <v>11.007</v>
      </c>
      <c r="O28" s="234" t="s">
        <v>217</v>
      </c>
      <c r="P28" s="235">
        <v>8.3960000000000008</v>
      </c>
      <c r="Q28" s="236">
        <v>11.473000000000001</v>
      </c>
      <c r="R28" s="3"/>
      <c r="S28" s="181"/>
      <c r="T28" s="3"/>
      <c r="U28" s="3"/>
      <c r="V28" s="3"/>
      <c r="W28" s="3"/>
    </row>
    <row r="29" spans="2:23" ht="15" customHeight="1" thickBot="1" x14ac:dyDescent="0.25">
      <c r="B29" s="393"/>
      <c r="C29" s="395"/>
      <c r="E29" s="408" t="s">
        <v>73</v>
      </c>
      <c r="F29" s="228" t="s">
        <v>218</v>
      </c>
      <c r="G29" s="229">
        <v>8.3849999999999998</v>
      </c>
      <c r="H29" s="230">
        <v>10.663</v>
      </c>
      <c r="I29" s="228" t="s">
        <v>217</v>
      </c>
      <c r="J29" s="229">
        <v>8.3960000000000008</v>
      </c>
      <c r="K29" s="230">
        <v>10.967000000000001</v>
      </c>
      <c r="L29" s="228" t="s">
        <v>218</v>
      </c>
      <c r="M29" s="229">
        <v>8.3849999999999998</v>
      </c>
      <c r="N29" s="230">
        <v>10.78</v>
      </c>
      <c r="O29" s="228" t="s">
        <v>217</v>
      </c>
      <c r="P29" s="229">
        <v>8.3960000000000008</v>
      </c>
      <c r="Q29" s="230">
        <v>11.23</v>
      </c>
      <c r="R29" s="3"/>
      <c r="S29" s="181"/>
      <c r="T29" s="3"/>
      <c r="U29" s="3"/>
      <c r="V29" s="3"/>
      <c r="W29" s="3"/>
    </row>
    <row r="30" spans="2:23" ht="15" customHeight="1" x14ac:dyDescent="0.2">
      <c r="E30" s="409"/>
      <c r="F30" s="231" t="s">
        <v>217</v>
      </c>
      <c r="G30" s="232">
        <v>8.3960000000000008</v>
      </c>
      <c r="H30" s="233">
        <v>10.705</v>
      </c>
      <c r="I30" s="231" t="s">
        <v>218</v>
      </c>
      <c r="J30" s="232">
        <v>8.3849999999999998</v>
      </c>
      <c r="K30" s="233">
        <v>10.946999999999999</v>
      </c>
      <c r="L30" s="231" t="s">
        <v>217</v>
      </c>
      <c r="M30" s="232">
        <v>8.3960000000000008</v>
      </c>
      <c r="N30" s="233">
        <v>10.8</v>
      </c>
      <c r="O30" s="231" t="s">
        <v>218</v>
      </c>
      <c r="P30" s="232">
        <v>8.3849999999999998</v>
      </c>
      <c r="Q30" s="233">
        <v>11.218999999999999</v>
      </c>
      <c r="R30" s="3"/>
      <c r="S30" s="181"/>
      <c r="T30" s="3"/>
      <c r="U30" s="3"/>
      <c r="V30" s="3"/>
      <c r="W30" s="3"/>
    </row>
    <row r="31" spans="2:23" ht="15" customHeight="1" thickBot="1" x14ac:dyDescent="0.25">
      <c r="E31" s="410"/>
      <c r="F31" s="238" t="s">
        <v>218</v>
      </c>
      <c r="G31" s="239">
        <v>8.3849999999999998</v>
      </c>
      <c r="H31" s="237">
        <v>10.653</v>
      </c>
      <c r="I31" s="238" t="s">
        <v>217</v>
      </c>
      <c r="J31" s="239">
        <v>8.3960000000000008</v>
      </c>
      <c r="K31" s="237">
        <v>10.977</v>
      </c>
      <c r="L31" s="238" t="s">
        <v>218</v>
      </c>
      <c r="M31" s="239">
        <v>8.3849999999999998</v>
      </c>
      <c r="N31" s="237">
        <v>10.81</v>
      </c>
      <c r="O31" s="238" t="s">
        <v>217</v>
      </c>
      <c r="P31" s="239">
        <v>8.3960000000000008</v>
      </c>
      <c r="Q31" s="237">
        <v>11.263999999999999</v>
      </c>
      <c r="R31" s="3"/>
      <c r="S31" s="181"/>
      <c r="T31" s="3"/>
      <c r="U31" s="3"/>
      <c r="V31" s="3"/>
      <c r="W31" s="3"/>
    </row>
    <row r="32" spans="2:23" ht="15" customHeight="1" x14ac:dyDescent="0.2">
      <c r="S32" s="179"/>
    </row>
    <row r="33" spans="1:19" ht="15" customHeight="1" x14ac:dyDescent="0.2">
      <c r="F33" s="53" t="s">
        <v>184</v>
      </c>
      <c r="S33" s="179"/>
    </row>
    <row r="34" spans="1:19" ht="15" customHeight="1" x14ac:dyDescent="0.2">
      <c r="F34" s="53" t="s">
        <v>65</v>
      </c>
      <c r="P34" s="3"/>
      <c r="Q34" s="3"/>
      <c r="R34" s="3"/>
      <c r="S34" s="179"/>
    </row>
    <row r="35" spans="1:19" ht="15" customHeight="1" x14ac:dyDescent="0.2">
      <c r="O35" s="9"/>
      <c r="P35" s="9"/>
      <c r="Q35" s="9"/>
      <c r="R35" s="9"/>
      <c r="S35" s="179"/>
    </row>
    <row r="36" spans="1:19" ht="15" customHeight="1" x14ac:dyDescent="0.2">
      <c r="A36" s="181"/>
      <c r="B36" s="181"/>
      <c r="C36" s="181"/>
      <c r="D36" s="181"/>
      <c r="E36" s="181"/>
      <c r="F36" s="181"/>
      <c r="G36" s="181"/>
      <c r="H36" s="181"/>
      <c r="I36" s="181"/>
      <c r="J36" s="181"/>
      <c r="K36" s="181"/>
      <c r="L36" s="181"/>
      <c r="M36" s="181"/>
      <c r="N36" s="181"/>
      <c r="O36" s="182"/>
      <c r="P36" s="182"/>
      <c r="Q36" s="182"/>
      <c r="R36" s="182"/>
      <c r="S36" s="179"/>
    </row>
    <row r="37" spans="1:19" ht="15" customHeight="1" x14ac:dyDescent="0.2">
      <c r="C37" s="4"/>
      <c r="O37" s="9"/>
      <c r="P37" s="9"/>
      <c r="Q37" s="9"/>
      <c r="R37" s="9"/>
    </row>
  </sheetData>
  <sheetProtection algorithmName="SHA-512" hashValue="Dxyt/Gs1m31PcI/KxrpNZeLBNDfgdRuG/aop/WwnIKyCv/+Vx3NoPy2NTAuz1NSFqAbOxNtuzIa/FaM0iYssqg==" saltValue="iby30tvY2rSfgotbYmM3zw==" spinCount="100000" sheet="1" selectLockedCells="1"/>
  <mergeCells count="26">
    <mergeCell ref="B2:K2"/>
    <mergeCell ref="E29:E31"/>
    <mergeCell ref="E14:E16"/>
    <mergeCell ref="E17:E19"/>
    <mergeCell ref="E20:E22"/>
    <mergeCell ref="E23:E25"/>
    <mergeCell ref="E26:E28"/>
    <mergeCell ref="B7:C7"/>
    <mergeCell ref="B8:C8"/>
    <mergeCell ref="D7:K7"/>
    <mergeCell ref="D8:K8"/>
    <mergeCell ref="B20:C20"/>
    <mergeCell ref="B25:C25"/>
    <mergeCell ref="B14:B15"/>
    <mergeCell ref="C14:C15"/>
    <mergeCell ref="B28:B29"/>
    <mergeCell ref="C28:C29"/>
    <mergeCell ref="M4:O4"/>
    <mergeCell ref="B3:C3"/>
    <mergeCell ref="B4:C4"/>
    <mergeCell ref="B5:C5"/>
    <mergeCell ref="B6:C6"/>
    <mergeCell ref="D3:K3"/>
    <mergeCell ref="D4:K4"/>
    <mergeCell ref="D5:K5"/>
    <mergeCell ref="D6:K6"/>
  </mergeCells>
  <hyperlinks>
    <hyperlink ref="M4" location="Instructions!C35" display="Back to Instructions tab" xr:uid="{00000000-0004-0000-0200-000000000000}"/>
  </hyperlinks>
  <pageMargins left="0.7" right="0.7" top="0.75" bottom="0.75" header="0.3" footer="0.3"/>
  <pageSetup scale="50" orientation="portrait"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70C0"/>
    <pageSetUpPr fitToPage="1"/>
  </sheetPr>
  <dimension ref="A1:G21"/>
  <sheetViews>
    <sheetView showGridLines="0" tabSelected="1" zoomScale="96" zoomScaleNormal="96" workbookViewId="0">
      <selection activeCell="D18" sqref="D18"/>
    </sheetView>
  </sheetViews>
  <sheetFormatPr defaultColWidth="9.140625" defaultRowHeight="16.5" x14ac:dyDescent="0.3"/>
  <cols>
    <col min="1" max="1" width="4.28515625" style="137" customWidth="1"/>
    <col min="2" max="2" width="28.28515625" style="137" customWidth="1"/>
    <col min="3" max="3" width="54.28515625" style="137" customWidth="1"/>
    <col min="4" max="4" width="22.140625" style="137" customWidth="1"/>
    <col min="5" max="5" width="30.140625" style="137" customWidth="1"/>
    <col min="6" max="6" width="3.85546875" style="137" customWidth="1"/>
    <col min="7" max="7" width="4" style="137" customWidth="1"/>
    <col min="8" max="16384" width="9.140625" style="137"/>
  </cols>
  <sheetData>
    <row r="1" spans="2:7" ht="17.25" thickBot="1" x14ac:dyDescent="0.35">
      <c r="G1" s="115"/>
    </row>
    <row r="2" spans="2:7" ht="18" thickBot="1" x14ac:dyDescent="0.35">
      <c r="B2" s="337" t="str">
        <f>'Version Control'!B2:C2</f>
        <v>Title Block</v>
      </c>
      <c r="C2" s="338"/>
      <c r="G2" s="115"/>
    </row>
    <row r="3" spans="2:7" x14ac:dyDescent="0.3">
      <c r="B3" s="105" t="str">
        <f>'Version Control'!B3</f>
        <v>Test Report Template Name:</v>
      </c>
      <c r="C3" s="106" t="str">
        <f>'Version Control'!C3</f>
        <v xml:space="preserve">Test Cloth Correction Factors </v>
      </c>
      <c r="E3" s="167" t="s">
        <v>154</v>
      </c>
      <c r="G3" s="115"/>
    </row>
    <row r="4" spans="2:7" x14ac:dyDescent="0.3">
      <c r="B4" s="109" t="str">
        <f>'Version Control'!B4</f>
        <v>Version Number:</v>
      </c>
      <c r="C4" s="110" t="str">
        <f>'Version Control'!C4</f>
        <v>v2.5</v>
      </c>
      <c r="G4" s="115"/>
    </row>
    <row r="5" spans="2:7" x14ac:dyDescent="0.3">
      <c r="B5" s="111" t="str">
        <f>'Version Control'!B5</f>
        <v xml:space="preserve">Latest Template Revision: </v>
      </c>
      <c r="C5" s="112">
        <f>'Version Control'!C5</f>
        <v>45673</v>
      </c>
      <c r="G5" s="115"/>
    </row>
    <row r="6" spans="2:7" x14ac:dyDescent="0.3">
      <c r="B6" s="111" t="str">
        <f>'Version Control'!B6</f>
        <v>Tab Name:</v>
      </c>
      <c r="C6" s="110" t="e">
        <f ca="1">MID(CELL("filename",A1), FIND("]", CELL("filename", A1))+ 1, 255)</f>
        <v>#VALUE!</v>
      </c>
      <c r="G6" s="115"/>
    </row>
    <row r="7" spans="2:7" ht="30" customHeight="1" x14ac:dyDescent="0.3">
      <c r="B7" s="168" t="str">
        <f>'Version Control'!B7</f>
        <v>File Name:</v>
      </c>
      <c r="C7" s="169" t="e">
        <f ca="1">'Version Control'!C7</f>
        <v>#VALUE!</v>
      </c>
      <c r="G7" s="115"/>
    </row>
    <row r="8" spans="2:7" ht="17.25" thickBot="1" x14ac:dyDescent="0.35">
      <c r="B8" s="170" t="str">
        <f>'Version Control'!B8</f>
        <v xml:space="preserve">Test Completion Date: </v>
      </c>
      <c r="C8" s="171" t="str">
        <f>'Version Control'!C8</f>
        <v>4/28/2025-5/5/25</v>
      </c>
      <c r="G8" s="115"/>
    </row>
    <row r="9" spans="2:7" x14ac:dyDescent="0.3">
      <c r="G9" s="115"/>
    </row>
    <row r="10" spans="2:7" ht="17.25" thickBot="1" x14ac:dyDescent="0.35">
      <c r="G10" s="115"/>
    </row>
    <row r="11" spans="2:7" ht="18" thickBot="1" x14ac:dyDescent="0.35">
      <c r="B11" s="337" t="s">
        <v>155</v>
      </c>
      <c r="C11" s="352"/>
      <c r="D11" s="352"/>
      <c r="E11" s="338"/>
      <c r="G11" s="115"/>
    </row>
    <row r="12" spans="2:7" x14ac:dyDescent="0.3">
      <c r="B12" s="422" t="s">
        <v>156</v>
      </c>
      <c r="C12" s="423"/>
      <c r="D12" s="423"/>
      <c r="E12" s="424"/>
      <c r="G12" s="115"/>
    </row>
    <row r="13" spans="2:7" x14ac:dyDescent="0.3">
      <c r="B13" s="425"/>
      <c r="C13" s="426"/>
      <c r="D13" s="426"/>
      <c r="E13" s="427"/>
      <c r="G13" s="115"/>
    </row>
    <row r="14" spans="2:7" ht="17.25" thickBot="1" x14ac:dyDescent="0.35">
      <c r="B14" s="428"/>
      <c r="C14" s="429"/>
      <c r="D14" s="429"/>
      <c r="E14" s="430"/>
      <c r="G14" s="115"/>
    </row>
    <row r="15" spans="2:7" ht="17.25" x14ac:dyDescent="0.3">
      <c r="B15" s="431" t="s">
        <v>157</v>
      </c>
      <c r="C15" s="432"/>
      <c r="D15" s="172" t="s">
        <v>141</v>
      </c>
      <c r="E15" s="117" t="s">
        <v>158</v>
      </c>
      <c r="G15" s="115"/>
    </row>
    <row r="16" spans="2:7" x14ac:dyDescent="0.3">
      <c r="B16" s="433" t="s">
        <v>185</v>
      </c>
      <c r="C16" s="434"/>
      <c r="D16" s="185" t="str">
        <f>'Material Verification'!C20</f>
        <v>4/23/2025-4/25/2025</v>
      </c>
      <c r="E16" s="173" t="s">
        <v>207</v>
      </c>
      <c r="G16" s="115"/>
    </row>
    <row r="17" spans="1:7" x14ac:dyDescent="0.3">
      <c r="B17" s="174" t="s">
        <v>161</v>
      </c>
      <c r="C17" s="175"/>
      <c r="D17" s="185" t="str">
        <f>'Extractor Tests Raw Data'!C27</f>
        <v>4/28/2025-5/5/25</v>
      </c>
      <c r="E17" s="173" t="s">
        <v>207</v>
      </c>
      <c r="G17" s="115"/>
    </row>
    <row r="18" spans="1:7" x14ac:dyDescent="0.3">
      <c r="B18" s="174" t="s">
        <v>159</v>
      </c>
      <c r="C18" s="175"/>
      <c r="D18" s="176">
        <v>45783</v>
      </c>
      <c r="E18" s="173" t="s">
        <v>207</v>
      </c>
      <c r="G18" s="115"/>
    </row>
    <row r="19" spans="1:7" ht="17.25" thickBot="1" x14ac:dyDescent="0.35">
      <c r="B19" s="293" t="s">
        <v>160</v>
      </c>
      <c r="C19" s="294"/>
      <c r="D19" s="177">
        <v>45783</v>
      </c>
      <c r="E19" s="295" t="s">
        <v>207</v>
      </c>
      <c r="G19" s="115"/>
    </row>
    <row r="20" spans="1:7" x14ac:dyDescent="0.3">
      <c r="G20" s="115"/>
    </row>
    <row r="21" spans="1:7" x14ac:dyDescent="0.3">
      <c r="A21" s="115"/>
      <c r="B21" s="115"/>
      <c r="C21" s="115"/>
      <c r="D21" s="115"/>
      <c r="E21" s="115"/>
      <c r="F21" s="115"/>
      <c r="G21" s="115"/>
    </row>
  </sheetData>
  <sheetProtection algorithmName="SHA-512" hashValue="RpmPc5KRj5nvyLmMqNNdw/499aGZExpbZpaEo8P5gskLHoLBJU63gX5WHCkZhkDfshYu7Afpx3TQe90hmxu1xQ==" saltValue="m45QIEgwvNq09D/CN5QM8w==" spinCount="100000" sheet="1" selectLockedCells="1"/>
  <mergeCells count="5">
    <mergeCell ref="B2:C2"/>
    <mergeCell ref="B12:E14"/>
    <mergeCell ref="B15:C15"/>
    <mergeCell ref="B16:C16"/>
    <mergeCell ref="B11:E11"/>
  </mergeCells>
  <hyperlinks>
    <hyperlink ref="E3" location="Instructions!C35" display="Back to Instructions tab" xr:uid="{00000000-0004-0000-0300-000000000000}"/>
  </hyperlinks>
  <pageMargins left="0.7" right="0.7" top="0.75" bottom="0.75" header="0.3" footer="0.3"/>
  <pageSetup scale="6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Z39"/>
  <sheetViews>
    <sheetView showGridLines="0" tabSelected="1" topLeftCell="A2" zoomScale="96" zoomScaleNormal="96" zoomScalePageLayoutView="90" workbookViewId="0">
      <selection activeCell="D18" sqref="D18"/>
    </sheetView>
  </sheetViews>
  <sheetFormatPr defaultColWidth="9.140625" defaultRowHeight="12.75" x14ac:dyDescent="0.2"/>
  <cols>
    <col min="1" max="1" width="2.28515625" style="3" customWidth="1"/>
    <col min="2" max="2" width="11.28515625" style="3" customWidth="1"/>
    <col min="3" max="10" width="9.7109375" style="3" customWidth="1"/>
    <col min="11" max="11" width="9.140625" style="3"/>
    <col min="12" max="13" width="8.85546875" customWidth="1"/>
    <col min="14" max="14" width="7.28515625" style="3" customWidth="1"/>
    <col min="15" max="15" width="5.5703125" style="3" customWidth="1"/>
    <col min="16" max="16" width="7.140625" style="3" customWidth="1"/>
    <col min="17" max="17" width="10.28515625" style="3" customWidth="1"/>
    <col min="18" max="18" width="10.7109375" style="3" customWidth="1"/>
    <col min="19" max="19" width="7.85546875" style="3" customWidth="1"/>
    <col min="20" max="20" width="3.28515625" customWidth="1"/>
    <col min="21" max="26" width="8.85546875" customWidth="1"/>
    <col min="27" max="16384" width="9.140625" style="3"/>
  </cols>
  <sheetData>
    <row r="1" spans="2:24" ht="18" x14ac:dyDescent="0.25">
      <c r="B1" s="54" t="s">
        <v>16</v>
      </c>
      <c r="T1" s="179"/>
    </row>
    <row r="2" spans="2:24" x14ac:dyDescent="0.2">
      <c r="B2" s="53" t="s">
        <v>187</v>
      </c>
      <c r="T2" s="179"/>
    </row>
    <row r="3" spans="2:24" ht="13.5" thickBot="1" x14ac:dyDescent="0.25">
      <c r="T3" s="179"/>
    </row>
    <row r="4" spans="2:24" ht="16.5" thickBot="1" x14ac:dyDescent="0.3">
      <c r="B4" s="52" t="s">
        <v>75</v>
      </c>
      <c r="C4" s="253" t="str">
        <f>'Extractor Tests Raw Data'!C16</f>
        <v>026B</v>
      </c>
      <c r="T4" s="179"/>
    </row>
    <row r="5" spans="2:24" x14ac:dyDescent="0.2">
      <c r="T5" s="179"/>
    </row>
    <row r="6" spans="2:24" ht="13.5" thickBot="1" x14ac:dyDescent="0.25">
      <c r="B6" s="8" t="s">
        <v>176</v>
      </c>
      <c r="T6" s="179"/>
    </row>
    <row r="7" spans="2:24" ht="28.5" customHeight="1" thickBot="1" x14ac:dyDescent="0.25">
      <c r="B7" s="411" t="s">
        <v>63</v>
      </c>
      <c r="C7" s="440" t="s">
        <v>59</v>
      </c>
      <c r="D7" s="441"/>
      <c r="E7" s="441"/>
      <c r="F7" s="442"/>
      <c r="G7" s="440" t="s">
        <v>58</v>
      </c>
      <c r="H7" s="441"/>
      <c r="I7" s="441"/>
      <c r="J7" s="442"/>
      <c r="N7" s="437" t="s">
        <v>27</v>
      </c>
      <c r="O7" s="438"/>
      <c r="P7" s="439"/>
      <c r="Q7" s="80" t="s">
        <v>68</v>
      </c>
      <c r="R7" s="81" t="s">
        <v>28</v>
      </c>
      <c r="T7" s="179"/>
    </row>
    <row r="8" spans="2:24" ht="15" customHeight="1" thickBot="1" x14ac:dyDescent="0.25">
      <c r="B8" s="412"/>
      <c r="C8" s="56" t="s">
        <v>24</v>
      </c>
      <c r="D8" s="57"/>
      <c r="E8" s="56" t="s">
        <v>23</v>
      </c>
      <c r="F8" s="57"/>
      <c r="G8" s="56" t="s">
        <v>24</v>
      </c>
      <c r="H8" s="57"/>
      <c r="I8" s="56" t="s">
        <v>23</v>
      </c>
      <c r="J8" s="58"/>
      <c r="N8" s="443" t="s">
        <v>101</v>
      </c>
      <c r="O8" s="446" t="s">
        <v>24</v>
      </c>
      <c r="P8" s="82" t="s">
        <v>69</v>
      </c>
      <c r="Q8" s="254">
        <f>D10</f>
        <v>0.55655298836514933</v>
      </c>
      <c r="R8" s="255">
        <f>C31</f>
        <v>0.45900000000000002</v>
      </c>
      <c r="T8" s="179"/>
      <c r="U8" s="3"/>
      <c r="V8" s="3"/>
      <c r="W8" s="3"/>
      <c r="X8" s="3"/>
    </row>
    <row r="9" spans="2:24" ht="15" customHeight="1" thickBot="1" x14ac:dyDescent="0.25">
      <c r="B9" s="413"/>
      <c r="C9" s="59" t="s">
        <v>26</v>
      </c>
      <c r="D9" s="60" t="s">
        <v>64</v>
      </c>
      <c r="E9" s="59" t="s">
        <v>26</v>
      </c>
      <c r="F9" s="60" t="s">
        <v>64</v>
      </c>
      <c r="G9" s="64" t="s">
        <v>26</v>
      </c>
      <c r="H9" s="65" t="s">
        <v>64</v>
      </c>
      <c r="I9" s="46" t="s">
        <v>26</v>
      </c>
      <c r="J9" s="65" t="s">
        <v>64</v>
      </c>
      <c r="N9" s="444"/>
      <c r="O9" s="447"/>
      <c r="P9" s="83" t="s">
        <v>70</v>
      </c>
      <c r="Q9" s="256">
        <f>D13</f>
        <v>0.4287137702975416</v>
      </c>
      <c r="R9" s="257">
        <f>C32</f>
        <v>0.35699999999999998</v>
      </c>
      <c r="T9" s="179"/>
      <c r="U9" s="3"/>
      <c r="V9" s="3"/>
      <c r="W9" s="3"/>
      <c r="X9" s="3"/>
    </row>
    <row r="10" spans="2:24" ht="15" customHeight="1" x14ac:dyDescent="0.2">
      <c r="B10" s="61"/>
      <c r="C10" s="248">
        <f>IF('Extractor Tests Raw Data'!H17="","",('Extractor Tests Raw Data'!H17-'Extractor Tests Raw Data'!G17)/'Extractor Tests Raw Data'!G17)</f>
        <v>0.54760771244941697</v>
      </c>
      <c r="D10" s="449">
        <f>IF(C10="","",AVERAGE(C10:C12))</f>
        <v>0.55655298836514933</v>
      </c>
      <c r="E10" s="248">
        <f>IF('Extractor Tests Raw Data'!K17="","",('Extractor Tests Raw Data'!K17-'Extractor Tests Raw Data'!J17)/'Extractor Tests Raw Data'!J17)</f>
        <v>0.62413628782463648</v>
      </c>
      <c r="F10" s="449">
        <f>IF(E10="","",AVERAGE(E10:E12))</f>
        <v>0.62810640465523349</v>
      </c>
      <c r="G10" s="249">
        <f>IF('Extractor Tests Raw Data'!N17="","",('Extractor Tests Raw Data'!N17-'Extractor Tests Raw Data'!M17)/'Extractor Tests Raw Data'!M17)</f>
        <v>0.58688407522018582</v>
      </c>
      <c r="H10" s="449">
        <f>IF(G10="","",AVERAGE(G10:G12))</f>
        <v>0.59056341672661128</v>
      </c>
      <c r="I10" s="250">
        <f>IF('Extractor Tests Raw Data'!Q17="","",('Extractor Tests Raw Data'!Q17-'Extractor Tests Raw Data'!P17)/'Extractor Tests Raw Data'!P17)</f>
        <v>0.65201334286395052</v>
      </c>
      <c r="J10" s="449">
        <f>IF(I10="","",AVERAGE(I10:I12))</f>
        <v>0.65467505116620572</v>
      </c>
      <c r="N10" s="444"/>
      <c r="O10" s="447"/>
      <c r="P10" s="83" t="s">
        <v>71</v>
      </c>
      <c r="Q10" s="256">
        <f>D16</f>
        <v>0.34006525330632287</v>
      </c>
      <c r="R10" s="257">
        <f>C33</f>
        <v>0.29599999999999999</v>
      </c>
      <c r="T10" s="179"/>
      <c r="U10" s="3"/>
      <c r="V10" s="3"/>
      <c r="W10" s="3"/>
      <c r="X10" s="3"/>
    </row>
    <row r="11" spans="2:24" ht="15" customHeight="1" x14ac:dyDescent="0.2">
      <c r="B11" s="62" t="s">
        <v>69</v>
      </c>
      <c r="C11" s="251">
        <f>IF('Extractor Tests Raw Data'!H18="","",('Extractor Tests Raw Data'!H18-'Extractor Tests Raw Data'!G18)/'Extractor Tests Raw Data'!G18)</f>
        <v>0.55932809149392426</v>
      </c>
      <c r="D11" s="450"/>
      <c r="E11" s="251">
        <f>IF('Extractor Tests Raw Data'!K18="","",('Extractor Tests Raw Data'!K18-'Extractor Tests Raw Data'!J18)/'Extractor Tests Raw Data'!J18)</f>
        <v>0.6280647464889314</v>
      </c>
      <c r="F11" s="450"/>
      <c r="G11" s="251">
        <f>IF('Extractor Tests Raw Data'!N18="","",('Extractor Tests Raw Data'!N18-'Extractor Tests Raw Data'!M18)/'Extractor Tests Raw Data'!M18)</f>
        <v>0.59268525137002614</v>
      </c>
      <c r="H11" s="450"/>
      <c r="I11" s="251">
        <f>IF('Extractor Tests Raw Data'!Q18="","",('Extractor Tests Raw Data'!Q18-'Extractor Tests Raw Data'!P18)/'Extractor Tests Raw Data'!P18)</f>
        <v>0.65329205857840222</v>
      </c>
      <c r="J11" s="450"/>
      <c r="N11" s="444"/>
      <c r="O11" s="447"/>
      <c r="P11" s="83" t="s">
        <v>72</v>
      </c>
      <c r="Q11" s="256">
        <f>D19</f>
        <v>0.29705776864291039</v>
      </c>
      <c r="R11" s="257">
        <f>C34</f>
        <v>0.24199999999999999</v>
      </c>
      <c r="T11" s="179"/>
      <c r="U11" s="3"/>
      <c r="V11" s="3"/>
      <c r="W11" s="3"/>
      <c r="X11" s="3"/>
    </row>
    <row r="12" spans="2:24" ht="15" customHeight="1" thickBot="1" x14ac:dyDescent="0.25">
      <c r="B12" s="63"/>
      <c r="C12" s="252">
        <f>IF('Extractor Tests Raw Data'!H19="","",('Extractor Tests Raw Data'!H19-'Extractor Tests Raw Data'!G19)/'Extractor Tests Raw Data'!G19)</f>
        <v>0.56272316115210685</v>
      </c>
      <c r="D12" s="451"/>
      <c r="E12" s="252">
        <f>IF('Extractor Tests Raw Data'!K19="","",('Extractor Tests Raw Data'!K19-'Extractor Tests Raw Data'!J19)/'Extractor Tests Raw Data'!J19)</f>
        <v>0.63211817965213235</v>
      </c>
      <c r="F12" s="451"/>
      <c r="G12" s="252">
        <f>IF('Extractor Tests Raw Data'!N19="","",('Extractor Tests Raw Data'!N19-'Extractor Tests Raw Data'!M19)/'Extractor Tests Raw Data'!M19)</f>
        <v>0.59212092358962176</v>
      </c>
      <c r="H12" s="451"/>
      <c r="I12" s="252">
        <f>IF('Extractor Tests Raw Data'!Q19="","",('Extractor Tests Raw Data'!Q19-'Extractor Tests Raw Data'!P19)/'Extractor Tests Raw Data'!P19)</f>
        <v>0.65871975205626421</v>
      </c>
      <c r="J12" s="451"/>
      <c r="N12" s="444"/>
      <c r="O12" s="448"/>
      <c r="P12" s="84" t="s">
        <v>73</v>
      </c>
      <c r="Q12" s="258">
        <f>D22</f>
        <v>0.27239017567025364</v>
      </c>
      <c r="R12" s="259">
        <f>C35</f>
        <v>0.23</v>
      </c>
      <c r="T12" s="179"/>
      <c r="U12" s="3"/>
      <c r="V12" s="3"/>
      <c r="W12" s="3"/>
      <c r="X12" s="3"/>
    </row>
    <row r="13" spans="2:24" ht="15" customHeight="1" x14ac:dyDescent="0.2">
      <c r="B13" s="61"/>
      <c r="C13" s="248">
        <f>IF('Extractor Tests Raw Data'!H20="","",('Extractor Tests Raw Data'!H20-'Extractor Tests Raw Data'!G20)/'Extractor Tests Raw Data'!G20)</f>
        <v>0.43017025836409117</v>
      </c>
      <c r="D13" s="449">
        <f>IF(C13="","",AVERAGE(C13:C15))</f>
        <v>0.4287137702975416</v>
      </c>
      <c r="E13" s="248">
        <f>IF('Extractor Tests Raw Data'!K20="","",('Extractor Tests Raw Data'!K20-'Extractor Tests Raw Data'!J20)/'Extractor Tests Raw Data'!J20)</f>
        <v>0.47514602455596627</v>
      </c>
      <c r="F13" s="449">
        <f>IF(E13="","",AVERAGE(E13:E15))</f>
        <v>0.47964159008252322</v>
      </c>
      <c r="G13" s="249">
        <f>IF('Extractor Tests Raw Data'!N20="","",('Extractor Tests Raw Data'!N20-'Extractor Tests Raw Data'!M20)/'Extractor Tests Raw Data'!M20)</f>
        <v>0.45695916180497692</v>
      </c>
      <c r="H13" s="449">
        <f>IF(G13="","",AVERAGE(G13:G15))</f>
        <v>0.4543587447589596</v>
      </c>
      <c r="I13" s="249">
        <f>IF('Extractor Tests Raw Data'!Q20="","",('Extractor Tests Raw Data'!Q20-'Extractor Tests Raw Data'!P20)/'Extractor Tests Raw Data'!P20)</f>
        <v>0.51472165931577085</v>
      </c>
      <c r="J13" s="449">
        <f>IF(I13="","",AVERAGE(I13:I15))</f>
        <v>0.5180112788943948</v>
      </c>
      <c r="N13" s="444"/>
      <c r="O13" s="446" t="s">
        <v>23</v>
      </c>
      <c r="P13" s="82" t="s">
        <v>69</v>
      </c>
      <c r="Q13" s="254">
        <f>F10</f>
        <v>0.62810640465523349</v>
      </c>
      <c r="R13" s="255">
        <f>D31</f>
        <v>0.499</v>
      </c>
      <c r="T13" s="179"/>
      <c r="U13" s="3"/>
      <c r="V13" s="3"/>
      <c r="W13" s="3"/>
      <c r="X13" s="3"/>
    </row>
    <row r="14" spans="2:24" ht="15" customHeight="1" x14ac:dyDescent="0.2">
      <c r="B14" s="62" t="s">
        <v>70</v>
      </c>
      <c r="C14" s="251">
        <f>IF('Extractor Tests Raw Data'!H21="","",('Extractor Tests Raw Data'!H21-'Extractor Tests Raw Data'!G21)/'Extractor Tests Raw Data'!G21)</f>
        <v>0.430087018714984</v>
      </c>
      <c r="D14" s="450"/>
      <c r="E14" s="251">
        <f>IF('Extractor Tests Raw Data'!K21="","",('Extractor Tests Raw Data'!K21-'Extractor Tests Raw Data'!J21)/'Extractor Tests Raw Data'!J21)</f>
        <v>0.48601023931420423</v>
      </c>
      <c r="F14" s="450"/>
      <c r="G14" s="251">
        <f>IF('Extractor Tests Raw Data'!N21="","",('Extractor Tests Raw Data'!N21-'Extractor Tests Raw Data'!M21)/'Extractor Tests Raw Data'!M21)</f>
        <v>0.44772916915007754</v>
      </c>
      <c r="H14" s="450"/>
      <c r="I14" s="251">
        <f>IF('Extractor Tests Raw Data'!Q21="","",('Extractor Tests Raw Data'!Q21-'Extractor Tests Raw Data'!P21)/'Extractor Tests Raw Data'!P21)</f>
        <v>0.52101440647696173</v>
      </c>
      <c r="J14" s="450"/>
      <c r="N14" s="444"/>
      <c r="O14" s="447"/>
      <c r="P14" s="83" t="s">
        <v>70</v>
      </c>
      <c r="Q14" s="256">
        <f>F13</f>
        <v>0.47964159008252322</v>
      </c>
      <c r="R14" s="257">
        <f>D32</f>
        <v>0.40400000000000003</v>
      </c>
      <c r="T14" s="179"/>
      <c r="U14" s="3"/>
      <c r="V14" s="3"/>
      <c r="W14" s="3"/>
      <c r="X14" s="3"/>
    </row>
    <row r="15" spans="2:24" ht="15" customHeight="1" thickBot="1" x14ac:dyDescent="0.25">
      <c r="B15" s="63"/>
      <c r="C15" s="252">
        <f>IF('Extractor Tests Raw Data'!H22="","",('Extractor Tests Raw Data'!H22-'Extractor Tests Raw Data'!G22)/'Extractor Tests Raw Data'!G22)</f>
        <v>0.4258840338135495</v>
      </c>
      <c r="D15" s="451"/>
      <c r="E15" s="252">
        <f>IF('Extractor Tests Raw Data'!K22="","",('Extractor Tests Raw Data'!K22-'Extractor Tests Raw Data'!J22)/'Extractor Tests Raw Data'!J22)</f>
        <v>0.47776850637739909</v>
      </c>
      <c r="F15" s="451"/>
      <c r="G15" s="252">
        <f>IF('Extractor Tests Raw Data'!N22="","",('Extractor Tests Raw Data'!N22-'Extractor Tests Raw Data'!M22)/'Extractor Tests Raw Data'!M22)</f>
        <v>0.45838790332182422</v>
      </c>
      <c r="H15" s="451"/>
      <c r="I15" s="252">
        <f>IF('Extractor Tests Raw Data'!Q22="","",('Extractor Tests Raw Data'!Q22-'Extractor Tests Raw Data'!P22)/'Extractor Tests Raw Data'!P22)</f>
        <v>0.51829777089045193</v>
      </c>
      <c r="J15" s="451"/>
      <c r="N15" s="444"/>
      <c r="O15" s="447"/>
      <c r="P15" s="83" t="s">
        <v>71</v>
      </c>
      <c r="Q15" s="256">
        <f>F16</f>
        <v>0.38856612553776798</v>
      </c>
      <c r="R15" s="257">
        <f>D33</f>
        <v>0.33100000000000002</v>
      </c>
      <c r="T15" s="179"/>
      <c r="U15" s="3"/>
      <c r="V15" s="3"/>
      <c r="W15" s="3"/>
      <c r="X15" s="3"/>
    </row>
    <row r="16" spans="2:24" ht="15" customHeight="1" x14ac:dyDescent="0.2">
      <c r="B16" s="61"/>
      <c r="C16" s="248">
        <f>IF('Extractor Tests Raw Data'!H23="","",('Extractor Tests Raw Data'!H23-'Extractor Tests Raw Data'!G23)/'Extractor Tests Raw Data'!G23)</f>
        <v>0.33920495120209493</v>
      </c>
      <c r="D16" s="449">
        <f>IF(C16="","",AVERAGE(C16:C18))</f>
        <v>0.34006525330632287</v>
      </c>
      <c r="E16" s="248">
        <f>IF('Extractor Tests Raw Data'!K23="","",('Extractor Tests Raw Data'!K23-'Extractor Tests Raw Data'!J23)/'Extractor Tests Raw Data'!J23)</f>
        <v>0.38837264712890157</v>
      </c>
      <c r="F16" s="449">
        <f>IF(E16="","",AVERAGE(E16:E18))</f>
        <v>0.38856612553776798</v>
      </c>
      <c r="G16" s="249">
        <f>IF('Extractor Tests Raw Data'!N23="","",('Extractor Tests Raw Data'!N23-'Extractor Tests Raw Data'!M23)/'Extractor Tests Raw Data'!M23)</f>
        <v>0.35908117114972643</v>
      </c>
      <c r="H16" s="449">
        <f>IF(G16="","",AVERAGE(G16:G18))</f>
        <v>0.35848207624073991</v>
      </c>
      <c r="I16" s="249">
        <f>IF('Extractor Tests Raw Data'!Q23="","",('Extractor Tests Raw Data'!Q23-'Extractor Tests Raw Data'!P23)/'Extractor Tests Raw Data'!P23)</f>
        <v>0.42006194901119842</v>
      </c>
      <c r="J16" s="449">
        <f>IF(I16="","",AVERAGE(I16:I18))</f>
        <v>0.41925399610710246</v>
      </c>
      <c r="N16" s="444"/>
      <c r="O16" s="447"/>
      <c r="P16" s="83" t="s">
        <v>72</v>
      </c>
      <c r="Q16" s="256">
        <f>F19</f>
        <v>0.34138207517916536</v>
      </c>
      <c r="R16" s="257">
        <f>D34</f>
        <v>0.28699999999999998</v>
      </c>
      <c r="T16" s="179"/>
      <c r="U16" s="3"/>
      <c r="V16" s="3"/>
      <c r="W16" s="3"/>
      <c r="X16" s="3"/>
    </row>
    <row r="17" spans="2:24" ht="15" customHeight="1" thickBot="1" x14ac:dyDescent="0.25">
      <c r="B17" s="62" t="s">
        <v>71</v>
      </c>
      <c r="C17" s="251">
        <f>IF('Extractor Tests Raw Data'!H24="","",('Extractor Tests Raw Data'!H24-'Extractor Tests Raw Data'!G24)/'Extractor Tests Raw Data'!G24)</f>
        <v>0.33559685489635455</v>
      </c>
      <c r="D17" s="450"/>
      <c r="E17" s="251">
        <f>IF('Extractor Tests Raw Data'!K24="","",('Extractor Tests Raw Data'!K24-'Extractor Tests Raw Data'!J24)/'Extractor Tests Raw Data'!J24)</f>
        <v>0.39097833849083558</v>
      </c>
      <c r="F17" s="450"/>
      <c r="G17" s="251">
        <f>IF('Extractor Tests Raw Data'!N24="","",('Extractor Tests Raw Data'!N24-'Extractor Tests Raw Data'!M24)/'Extractor Tests Raw Data'!M24)</f>
        <v>0.3624017155110793</v>
      </c>
      <c r="H17" s="450"/>
      <c r="I17" s="251">
        <f>IF('Extractor Tests Raw Data'!Q24="","",('Extractor Tests Raw Data'!Q24-'Extractor Tests Raw Data'!P24)/'Extractor Tests Raw Data'!P24)</f>
        <v>0.41823375386812683</v>
      </c>
      <c r="J17" s="450"/>
      <c r="N17" s="445"/>
      <c r="O17" s="448"/>
      <c r="P17" s="84" t="s">
        <v>73</v>
      </c>
      <c r="Q17" s="258">
        <f>F22</f>
        <v>0.30639038438101107</v>
      </c>
      <c r="R17" s="259">
        <f>D35</f>
        <v>0.26400000000000001</v>
      </c>
      <c r="T17" s="179"/>
      <c r="U17" s="3"/>
      <c r="V17" s="3"/>
      <c r="W17" s="3"/>
      <c r="X17" s="3"/>
    </row>
    <row r="18" spans="2:24" ht="15" customHeight="1" thickBot="1" x14ac:dyDescent="0.25">
      <c r="B18" s="63"/>
      <c r="C18" s="252">
        <f>IF('Extractor Tests Raw Data'!H25="","",('Extractor Tests Raw Data'!H25-'Extractor Tests Raw Data'!G25)/'Extractor Tests Raw Data'!G25)</f>
        <v>0.34539395382051907</v>
      </c>
      <c r="D18" s="451"/>
      <c r="E18" s="252">
        <f>IF('Extractor Tests Raw Data'!K25="","",('Extractor Tests Raw Data'!K25-'Extractor Tests Raw Data'!J25)/'Extractor Tests Raw Data'!J25)</f>
        <v>0.38634739099356685</v>
      </c>
      <c r="F18" s="451"/>
      <c r="G18" s="252">
        <f>IF('Extractor Tests Raw Data'!N25="","",('Extractor Tests Raw Data'!N25-'Extractor Tests Raw Data'!M25)/'Extractor Tests Raw Data'!M25)</f>
        <v>0.353963342061414</v>
      </c>
      <c r="H18" s="451"/>
      <c r="I18" s="252">
        <f>IF('Extractor Tests Raw Data'!Q25="","",('Extractor Tests Raw Data'!Q25-'Extractor Tests Raw Data'!P25)/'Extractor Tests Raw Data'!P25)</f>
        <v>0.41946628544198222</v>
      </c>
      <c r="J18" s="451"/>
      <c r="N18" s="443" t="s">
        <v>102</v>
      </c>
      <c r="O18" s="446" t="s">
        <v>24</v>
      </c>
      <c r="P18" s="82" t="s">
        <v>69</v>
      </c>
      <c r="Q18" s="254">
        <f>H10</f>
        <v>0.59056341672661128</v>
      </c>
      <c r="R18" s="255">
        <f>E31</f>
        <v>0.497</v>
      </c>
      <c r="T18" s="179"/>
      <c r="U18" s="3"/>
      <c r="V18" s="3"/>
      <c r="W18" s="3"/>
      <c r="X18" s="3"/>
    </row>
    <row r="19" spans="2:24" ht="15" customHeight="1" x14ac:dyDescent="0.2">
      <c r="B19" s="61"/>
      <c r="C19" s="248">
        <f>IF('Extractor Tests Raw Data'!H26="","",('Extractor Tests Raw Data'!H26-'Extractor Tests Raw Data'!G26)/'Extractor Tests Raw Data'!G26)</f>
        <v>0.2961066793665913</v>
      </c>
      <c r="D19" s="449">
        <f>IF(C19="","",AVERAGE(C19:C21))</f>
        <v>0.29705776864291039</v>
      </c>
      <c r="E19" s="248">
        <f>IF('Extractor Tests Raw Data'!K26="","",('Extractor Tests Raw Data'!K26-'Extractor Tests Raw Data'!J26)/'Extractor Tests Raw Data'!J26)</f>
        <v>0.34247228513529637</v>
      </c>
      <c r="F19" s="449">
        <f>IF(E19="","",AVERAGE(E19:E21))</f>
        <v>0.34138207517916536</v>
      </c>
      <c r="G19" s="249">
        <f>IF('Extractor Tests Raw Data'!N26="","",('Extractor Tests Raw Data'!N26-'Extractor Tests Raw Data'!M26)/'Extractor Tests Raw Data'!M26)</f>
        <v>0.31588985576349987</v>
      </c>
      <c r="H19" s="449">
        <f>IF(G19="","",AVERAGE(G19:G21))</f>
        <v>0.31346875269036606</v>
      </c>
      <c r="I19" s="249">
        <f>IF('Extractor Tests Raw Data'!Q26="","",('Extractor Tests Raw Data'!Q26-'Extractor Tests Raw Data'!P26)/'Extractor Tests Raw Data'!P26)</f>
        <v>0.36576941400666979</v>
      </c>
      <c r="J19" s="449">
        <f>IF(I19="","",AVERAGE(I19:I21))</f>
        <v>0.36739992892091894</v>
      </c>
      <c r="N19" s="444"/>
      <c r="O19" s="447"/>
      <c r="P19" s="83" t="s">
        <v>70</v>
      </c>
      <c r="Q19" s="256">
        <f>H13</f>
        <v>0.4543587447589596</v>
      </c>
      <c r="R19" s="257">
        <f>E32</f>
        <v>0.379</v>
      </c>
      <c r="T19" s="179"/>
      <c r="U19" s="3"/>
      <c r="V19" s="3"/>
      <c r="W19" s="3"/>
      <c r="X19" s="3"/>
    </row>
    <row r="20" spans="2:24" ht="15" customHeight="1" x14ac:dyDescent="0.2">
      <c r="B20" s="62" t="s">
        <v>72</v>
      </c>
      <c r="C20" s="251">
        <f>IF('Extractor Tests Raw Data'!H27="","",('Extractor Tests Raw Data'!H27-'Extractor Tests Raw Data'!G27)/'Extractor Tests Raw Data'!G27)</f>
        <v>0.29645964954106574</v>
      </c>
      <c r="D20" s="450"/>
      <c r="E20" s="251">
        <f>IF('Extractor Tests Raw Data'!K27="","",('Extractor Tests Raw Data'!K27-'Extractor Tests Raw Data'!J27)/'Extractor Tests Raw Data'!J27)</f>
        <v>0.34373139659483282</v>
      </c>
      <c r="F20" s="450"/>
      <c r="G20" s="251">
        <f>IF('Extractor Tests Raw Data'!N27="","",('Extractor Tests Raw Data'!N27-'Extractor Tests Raw Data'!M27)/'Extractor Tests Raw Data'!M27)</f>
        <v>0.31181515007146238</v>
      </c>
      <c r="H20" s="450"/>
      <c r="I20" s="251">
        <f>IF('Extractor Tests Raw Data'!Q27="","",('Extractor Tests Raw Data'!Q27-'Extractor Tests Raw Data'!P27)/'Extractor Tests Raw Data'!P27)</f>
        <v>0.36994633273703048</v>
      </c>
      <c r="J20" s="450"/>
      <c r="N20" s="444"/>
      <c r="O20" s="447"/>
      <c r="P20" s="83" t="s">
        <v>71</v>
      </c>
      <c r="Q20" s="256">
        <f>H16</f>
        <v>0.35848207624073991</v>
      </c>
      <c r="R20" s="257">
        <f>E33</f>
        <v>0.307</v>
      </c>
      <c r="T20" s="179"/>
      <c r="U20" s="3"/>
      <c r="V20" s="3"/>
      <c r="W20" s="3"/>
      <c r="X20" s="3"/>
    </row>
    <row r="21" spans="2:24" ht="15" customHeight="1" thickBot="1" x14ac:dyDescent="0.25">
      <c r="B21" s="63"/>
      <c r="C21" s="252">
        <f>IF('Extractor Tests Raw Data'!H28="","",('Extractor Tests Raw Data'!H28-'Extractor Tests Raw Data'!G28)/'Extractor Tests Raw Data'!G28)</f>
        <v>0.29860697702107408</v>
      </c>
      <c r="D21" s="451"/>
      <c r="E21" s="252">
        <f>IF('Extractor Tests Raw Data'!K28="","",('Extractor Tests Raw Data'!K28-'Extractor Tests Raw Data'!J28)/'Extractor Tests Raw Data'!J28)</f>
        <v>0.33794254380736694</v>
      </c>
      <c r="F21" s="451"/>
      <c r="G21" s="252">
        <f>IF('Extractor Tests Raw Data'!N28="","",('Extractor Tests Raw Data'!N28-'Extractor Tests Raw Data'!M28)/'Extractor Tests Raw Data'!M28)</f>
        <v>0.31270125223613593</v>
      </c>
      <c r="H21" s="451"/>
      <c r="I21" s="252">
        <f>IF('Extractor Tests Raw Data'!Q28="","",('Extractor Tests Raw Data'!Q28-'Extractor Tests Raw Data'!P28)/'Extractor Tests Raw Data'!P28)</f>
        <v>0.36648404001905666</v>
      </c>
      <c r="J21" s="451"/>
      <c r="N21" s="444"/>
      <c r="O21" s="447"/>
      <c r="P21" s="83" t="s">
        <v>72</v>
      </c>
      <c r="Q21" s="260">
        <f>H19</f>
        <v>0.31346875269036606</v>
      </c>
      <c r="R21" s="257">
        <f>E34</f>
        <v>0.255</v>
      </c>
      <c r="T21" s="179"/>
      <c r="U21" s="3"/>
      <c r="V21" s="3"/>
      <c r="W21" s="3"/>
      <c r="X21" s="3"/>
    </row>
    <row r="22" spans="2:24" ht="15" customHeight="1" thickBot="1" x14ac:dyDescent="0.25">
      <c r="B22" s="61"/>
      <c r="C22" s="248">
        <f>IF('Extractor Tests Raw Data'!H29="","",('Extractor Tests Raw Data'!H29-'Extractor Tests Raw Data'!G29)/'Extractor Tests Raw Data'!G29)</f>
        <v>0.27167561121049499</v>
      </c>
      <c r="D22" s="449">
        <f>IF(C22="","",AVERAGE(C22:C24))</f>
        <v>0.27239017567025364</v>
      </c>
      <c r="E22" s="248">
        <f>IF('Extractor Tests Raw Data'!K29="","",('Extractor Tests Raw Data'!K29-'Extractor Tests Raw Data'!J29)/'Extractor Tests Raw Data'!J29)</f>
        <v>0.30621724630776553</v>
      </c>
      <c r="F22" s="449">
        <f>IF(E22="","",AVERAGE(E22:E24))</f>
        <v>0.30639038438101107</v>
      </c>
      <c r="G22" s="249">
        <f>IF('Extractor Tests Raw Data'!N29="","",('Extractor Tests Raw Data'!N29-'Extractor Tests Raw Data'!M29)/'Extractor Tests Raw Data'!M29)</f>
        <v>0.28562909958258792</v>
      </c>
      <c r="H22" s="449">
        <f>IF(G22="","",AVERAGE(G22:G24))</f>
        <v>0.28705427966427116</v>
      </c>
      <c r="I22" s="249">
        <f>IF('Extractor Tests Raw Data'!Q29="","",('Extractor Tests Raw Data'!Q29-'Extractor Tests Raw Data'!P29)/'Extractor Tests Raw Data'!P29)</f>
        <v>0.33754168651738914</v>
      </c>
      <c r="J22" s="449">
        <f>IF(I22="","",AVERAGE(I22:I24))</f>
        <v>0.33903913885411158</v>
      </c>
      <c r="N22" s="444"/>
      <c r="O22" s="448"/>
      <c r="P22" s="84" t="s">
        <v>73</v>
      </c>
      <c r="Q22" s="258">
        <f>H22</f>
        <v>0.28705427966427116</v>
      </c>
      <c r="R22" s="259">
        <f>E35</f>
        <v>0.24099999999999999</v>
      </c>
      <c r="T22" s="179"/>
      <c r="U22" s="3"/>
      <c r="V22" s="3"/>
      <c r="W22" s="3"/>
      <c r="X22" s="3"/>
    </row>
    <row r="23" spans="2:24" ht="15" customHeight="1" x14ac:dyDescent="0.2">
      <c r="B23" s="62" t="s">
        <v>73</v>
      </c>
      <c r="C23" s="251">
        <f>IF('Extractor Tests Raw Data'!H30="","",('Extractor Tests Raw Data'!H30-'Extractor Tests Raw Data'!G30)/'Extractor Tests Raw Data'!G30)</f>
        <v>0.27501191043353967</v>
      </c>
      <c r="D23" s="450"/>
      <c r="E23" s="251">
        <f>IF('Extractor Tests Raw Data'!K30="","",('Extractor Tests Raw Data'!K30-'Extractor Tests Raw Data'!J30)/'Extractor Tests Raw Data'!J30)</f>
        <v>0.30554561717352408</v>
      </c>
      <c r="F23" s="450"/>
      <c r="G23" s="251">
        <f>IF('Extractor Tests Raw Data'!N30="","",('Extractor Tests Raw Data'!N30-'Extractor Tests Raw Data'!M30)/'Extractor Tests Raw Data'!M30)</f>
        <v>0.28632682229633155</v>
      </c>
      <c r="H23" s="450"/>
      <c r="I23" s="251">
        <f>IF('Extractor Tests Raw Data'!Q30="","",('Extractor Tests Raw Data'!Q30-'Extractor Tests Raw Data'!P30)/'Extractor Tests Raw Data'!P30)</f>
        <v>0.33798449612403098</v>
      </c>
      <c r="J23" s="450"/>
      <c r="N23" s="444"/>
      <c r="O23" s="446" t="s">
        <v>23</v>
      </c>
      <c r="P23" s="82" t="s">
        <v>69</v>
      </c>
      <c r="Q23" s="261">
        <f>J10</f>
        <v>0.65467505116620572</v>
      </c>
      <c r="R23" s="262">
        <f>F31</f>
        <v>0.52800000000000002</v>
      </c>
      <c r="T23" s="179"/>
      <c r="U23" s="3"/>
      <c r="V23" s="3"/>
      <c r="W23" s="3"/>
      <c r="X23" s="3"/>
    </row>
    <row r="24" spans="2:24" ht="15" customHeight="1" thickBot="1" x14ac:dyDescent="0.25">
      <c r="B24" s="63"/>
      <c r="C24" s="252">
        <f>IF('Extractor Tests Raw Data'!H31="","",('Extractor Tests Raw Data'!H31-'Extractor Tests Raw Data'!G31)/'Extractor Tests Raw Data'!G31)</f>
        <v>0.27048300536672637</v>
      </c>
      <c r="D24" s="451"/>
      <c r="E24" s="252">
        <f>IF('Extractor Tests Raw Data'!K31="","",('Extractor Tests Raw Data'!K31-'Extractor Tests Raw Data'!J31)/'Extractor Tests Raw Data'!J31)</f>
        <v>0.30740828966174361</v>
      </c>
      <c r="F24" s="451"/>
      <c r="G24" s="252">
        <f>IF('Extractor Tests Raw Data'!N31="","",('Extractor Tests Raw Data'!N31-'Extractor Tests Raw Data'!M31)/'Extractor Tests Raw Data'!M31)</f>
        <v>0.28920691711389396</v>
      </c>
      <c r="H24" s="451"/>
      <c r="I24" s="252">
        <f>IF('Extractor Tests Raw Data'!Q31="","",('Extractor Tests Raw Data'!Q31-'Extractor Tests Raw Data'!P31)/'Extractor Tests Raw Data'!P31)</f>
        <v>0.34159123392091451</v>
      </c>
      <c r="J24" s="451"/>
      <c r="N24" s="444"/>
      <c r="O24" s="447"/>
      <c r="P24" s="83" t="s">
        <v>70</v>
      </c>
      <c r="Q24" s="256">
        <f>J13</f>
        <v>0.5180112788943948</v>
      </c>
      <c r="R24" s="257">
        <f>F32</f>
        <v>0.43099999999999999</v>
      </c>
      <c r="T24" s="179"/>
      <c r="U24" s="3"/>
      <c r="V24" s="3"/>
      <c r="W24" s="3"/>
      <c r="X24" s="3"/>
    </row>
    <row r="25" spans="2:24" ht="15" customHeight="1" x14ac:dyDescent="0.2">
      <c r="N25" s="444"/>
      <c r="O25" s="447"/>
      <c r="P25" s="83" t="s">
        <v>71</v>
      </c>
      <c r="Q25" s="256">
        <f>J16</f>
        <v>0.41925399610710246</v>
      </c>
      <c r="R25" s="257">
        <f>F33</f>
        <v>0.35799999999999998</v>
      </c>
      <c r="T25" s="179"/>
      <c r="U25" s="3"/>
      <c r="V25" s="3"/>
      <c r="W25" s="3"/>
      <c r="X25" s="3"/>
    </row>
    <row r="26" spans="2:24" ht="15" customHeight="1" x14ac:dyDescent="0.2">
      <c r="M26" s="3"/>
      <c r="N26" s="444"/>
      <c r="O26" s="447"/>
      <c r="P26" s="83" t="s">
        <v>72</v>
      </c>
      <c r="Q26" s="256">
        <f>J19</f>
        <v>0.36739992892091894</v>
      </c>
      <c r="R26" s="257">
        <f>F34</f>
        <v>0.3</v>
      </c>
      <c r="T26" s="179"/>
    </row>
    <row r="27" spans="2:24" ht="15" customHeight="1" thickBot="1" x14ac:dyDescent="0.25">
      <c r="L27" s="3"/>
      <c r="N27" s="445"/>
      <c r="O27" s="448"/>
      <c r="P27" s="84" t="s">
        <v>73</v>
      </c>
      <c r="Q27" s="258">
        <f>J22</f>
        <v>0.33903913885411158</v>
      </c>
      <c r="R27" s="259">
        <f>F35</f>
        <v>0.28000000000000003</v>
      </c>
      <c r="T27" s="179"/>
    </row>
    <row r="28" spans="2:24" ht="15" customHeight="1" thickBot="1" x14ac:dyDescent="0.25">
      <c r="B28" s="8" t="s">
        <v>177</v>
      </c>
      <c r="C28"/>
      <c r="D28"/>
      <c r="E28"/>
      <c r="F28"/>
      <c r="H28" s="8" t="str">
        <f>"Table 3.1 - Avg. RMC Values (Lot #"&amp;C4&amp;")"</f>
        <v>Table 3.1 - Avg. RMC Values (Lot #026B)</v>
      </c>
      <c r="I28"/>
      <c r="J28"/>
      <c r="K28"/>
      <c r="P28"/>
      <c r="Q28"/>
      <c r="R28" s="1"/>
      <c r="S28" s="2"/>
      <c r="T28" s="179"/>
    </row>
    <row r="29" spans="2:24" ht="15" customHeight="1" thickBot="1" x14ac:dyDescent="0.25">
      <c r="B29" s="411" t="s">
        <v>63</v>
      </c>
      <c r="C29" s="66" t="s">
        <v>66</v>
      </c>
      <c r="D29" s="67"/>
      <c r="E29" s="66" t="s">
        <v>67</v>
      </c>
      <c r="F29" s="67"/>
      <c r="H29" s="411" t="s">
        <v>63</v>
      </c>
      <c r="I29" s="66" t="s">
        <v>66</v>
      </c>
      <c r="J29" s="67"/>
      <c r="K29" s="66" t="s">
        <v>67</v>
      </c>
      <c r="L29" s="67"/>
      <c r="P29" s="8" t="s">
        <v>189</v>
      </c>
      <c r="T29" s="179"/>
    </row>
    <row r="30" spans="2:24" ht="15" customHeight="1" thickBot="1" x14ac:dyDescent="0.25">
      <c r="B30" s="412"/>
      <c r="C30" s="68" t="s">
        <v>24</v>
      </c>
      <c r="D30" s="69" t="s">
        <v>23</v>
      </c>
      <c r="E30" s="68" t="s">
        <v>24</v>
      </c>
      <c r="F30" s="69" t="s">
        <v>23</v>
      </c>
      <c r="H30" s="412"/>
      <c r="I30" s="68" t="s">
        <v>24</v>
      </c>
      <c r="J30" s="69" t="s">
        <v>23</v>
      </c>
      <c r="K30" s="68" t="s">
        <v>24</v>
      </c>
      <c r="L30" s="69" t="s">
        <v>23</v>
      </c>
      <c r="P30" s="435" t="s">
        <v>74</v>
      </c>
      <c r="Q30" s="436"/>
      <c r="T30" s="179"/>
    </row>
    <row r="31" spans="2:24" ht="15" customHeight="1" x14ac:dyDescent="0.25">
      <c r="B31" s="70">
        <v>100</v>
      </c>
      <c r="C31" s="72">
        <v>0.45900000000000002</v>
      </c>
      <c r="D31" s="73">
        <v>0.499</v>
      </c>
      <c r="E31" s="72">
        <v>0.497</v>
      </c>
      <c r="F31" s="73">
        <v>0.52800000000000002</v>
      </c>
      <c r="H31" s="70">
        <v>100</v>
      </c>
      <c r="I31" s="263">
        <f>D10</f>
        <v>0.55655298836514933</v>
      </c>
      <c r="J31" s="264">
        <f>F10</f>
        <v>0.62810640465523349</v>
      </c>
      <c r="K31" s="263">
        <f>H10</f>
        <v>0.59056341672661128</v>
      </c>
      <c r="L31" s="264">
        <f>J10</f>
        <v>0.65467505116620572</v>
      </c>
      <c r="M31" s="78"/>
      <c r="P31" s="85" t="s">
        <v>79</v>
      </c>
      <c r="Q31" s="86">
        <f>IF(Q8="","",SLOPE(R8:R27,Q8:Q27))</f>
        <v>0.79351729289823247</v>
      </c>
      <c r="T31" s="179"/>
    </row>
    <row r="32" spans="2:24" ht="15" customHeight="1" thickBot="1" x14ac:dyDescent="0.3">
      <c r="B32" s="70">
        <v>200</v>
      </c>
      <c r="C32" s="74">
        <v>0.35699999999999998</v>
      </c>
      <c r="D32" s="75">
        <v>0.40400000000000003</v>
      </c>
      <c r="E32" s="74">
        <v>0.379</v>
      </c>
      <c r="F32" s="75">
        <v>0.43099999999999999</v>
      </c>
      <c r="H32" s="70">
        <v>200</v>
      </c>
      <c r="I32" s="265">
        <f>D13</f>
        <v>0.4287137702975416</v>
      </c>
      <c r="J32" s="266">
        <f>F13</f>
        <v>0.47964159008252322</v>
      </c>
      <c r="K32" s="265">
        <f>H13</f>
        <v>0.4543587447589596</v>
      </c>
      <c r="L32" s="266">
        <f>J13</f>
        <v>0.5180112788943948</v>
      </c>
      <c r="M32" s="78"/>
      <c r="P32" s="87" t="s">
        <v>80</v>
      </c>
      <c r="Q32" s="88">
        <f>IF(Q8="","",INTERCEPT(R8:R27,Q8:Q27))</f>
        <v>1.6306741131419E-2</v>
      </c>
      <c r="T32" s="179"/>
    </row>
    <row r="33" spans="1:20" ht="15" customHeight="1" x14ac:dyDescent="0.2">
      <c r="B33" s="70">
        <v>350</v>
      </c>
      <c r="C33" s="74">
        <v>0.29599999999999999</v>
      </c>
      <c r="D33" s="75">
        <v>0.33100000000000002</v>
      </c>
      <c r="E33" s="74">
        <v>0.307</v>
      </c>
      <c r="F33" s="75">
        <v>0.35799999999999998</v>
      </c>
      <c r="H33" s="70">
        <v>350</v>
      </c>
      <c r="I33" s="265">
        <f>D16</f>
        <v>0.34006525330632287</v>
      </c>
      <c r="J33" s="266">
        <f>F16</f>
        <v>0.38856612553776798</v>
      </c>
      <c r="K33" s="265">
        <f>H16</f>
        <v>0.35848207624073991</v>
      </c>
      <c r="L33" s="266">
        <f>J16</f>
        <v>0.41925399610710246</v>
      </c>
      <c r="M33" s="78"/>
      <c r="T33" s="179"/>
    </row>
    <row r="34" spans="1:20" ht="15" customHeight="1" x14ac:dyDescent="0.2">
      <c r="B34" s="70">
        <v>500</v>
      </c>
      <c r="C34" s="74">
        <v>0.24199999999999999</v>
      </c>
      <c r="D34" s="75">
        <v>0.28699999999999998</v>
      </c>
      <c r="E34" s="74">
        <v>0.255</v>
      </c>
      <c r="F34" s="75">
        <v>0.3</v>
      </c>
      <c r="H34" s="70">
        <v>500</v>
      </c>
      <c r="I34" s="265">
        <f>D19</f>
        <v>0.29705776864291039</v>
      </c>
      <c r="J34" s="266">
        <f>F19</f>
        <v>0.34138207517916536</v>
      </c>
      <c r="K34" s="265">
        <f>H19</f>
        <v>0.31346875269036606</v>
      </c>
      <c r="L34" s="266">
        <f>J19</f>
        <v>0.36739992892091894</v>
      </c>
      <c r="M34" s="79"/>
      <c r="T34" s="179"/>
    </row>
    <row r="35" spans="1:20" ht="15" customHeight="1" thickBot="1" x14ac:dyDescent="0.25">
      <c r="B35" s="71">
        <v>650</v>
      </c>
      <c r="C35" s="76">
        <v>0.23</v>
      </c>
      <c r="D35" s="77">
        <v>0.26400000000000001</v>
      </c>
      <c r="E35" s="76">
        <v>0.24099999999999999</v>
      </c>
      <c r="F35" s="77">
        <v>0.28000000000000003</v>
      </c>
      <c r="H35" s="71">
        <v>650</v>
      </c>
      <c r="I35" s="267">
        <f>D22</f>
        <v>0.27239017567025364</v>
      </c>
      <c r="J35" s="268">
        <f>F22</f>
        <v>0.30639038438101107</v>
      </c>
      <c r="K35" s="267">
        <f>H22</f>
        <v>0.28705427966427116</v>
      </c>
      <c r="L35" s="268">
        <f>J22</f>
        <v>0.33903913885411158</v>
      </c>
      <c r="T35" s="179"/>
    </row>
    <row r="36" spans="1:20" x14ac:dyDescent="0.2">
      <c r="B36"/>
      <c r="C36"/>
      <c r="E36"/>
      <c r="F36"/>
      <c r="H36"/>
      <c r="I36"/>
      <c r="K36"/>
      <c r="M36" s="3"/>
      <c r="T36" s="179"/>
    </row>
    <row r="37" spans="1:20" x14ac:dyDescent="0.2">
      <c r="A37" s="181"/>
      <c r="B37" s="181"/>
      <c r="C37" s="181"/>
      <c r="D37" s="181"/>
      <c r="E37" s="181"/>
      <c r="F37" s="181"/>
      <c r="G37" s="181"/>
      <c r="H37" s="181"/>
      <c r="I37" s="181"/>
      <c r="J37" s="181"/>
      <c r="K37" s="181"/>
      <c r="L37" s="181"/>
      <c r="M37" s="181"/>
      <c r="N37" s="181"/>
      <c r="O37" s="181"/>
      <c r="P37" s="181"/>
      <c r="Q37" s="181"/>
      <c r="R37" s="181"/>
      <c r="S37" s="181"/>
      <c r="T37" s="179"/>
    </row>
    <row r="38" spans="1:20" x14ac:dyDescent="0.2">
      <c r="L38" s="3"/>
      <c r="M38" s="3"/>
    </row>
    <row r="39" spans="1:20" x14ac:dyDescent="0.2">
      <c r="L39" s="3"/>
    </row>
  </sheetData>
  <sheetProtection algorithmName="SHA-512" hashValue="WFqpJDM34f/vR+VbQSW7Hh1c7xf9sMrsEylYbDl96ib+/58kqqHaqQvdzXqeLPTljgKRF1/DmL+X2qV+rIQHbg==" saltValue="12PAHrV/o17y/L7XWb6uHA==" spinCount="100000" sheet="1" selectLockedCells="1"/>
  <mergeCells count="33">
    <mergeCell ref="J10:J12"/>
    <mergeCell ref="B7:B9"/>
    <mergeCell ref="H10:H12"/>
    <mergeCell ref="F10:F12"/>
    <mergeCell ref="D10:D12"/>
    <mergeCell ref="D22:D24"/>
    <mergeCell ref="F22:F24"/>
    <mergeCell ref="H22:H24"/>
    <mergeCell ref="J22:J24"/>
    <mergeCell ref="J13:J15"/>
    <mergeCell ref="H13:H15"/>
    <mergeCell ref="F13:F15"/>
    <mergeCell ref="D13:D15"/>
    <mergeCell ref="D16:D18"/>
    <mergeCell ref="F16:F18"/>
    <mergeCell ref="H16:H18"/>
    <mergeCell ref="J16:J18"/>
    <mergeCell ref="P30:Q30"/>
    <mergeCell ref="N7:P7"/>
    <mergeCell ref="C7:F7"/>
    <mergeCell ref="G7:J7"/>
    <mergeCell ref="B29:B30"/>
    <mergeCell ref="H29:H30"/>
    <mergeCell ref="N8:N17"/>
    <mergeCell ref="O8:O12"/>
    <mergeCell ref="O13:O17"/>
    <mergeCell ref="N18:N27"/>
    <mergeCell ref="O18:O22"/>
    <mergeCell ref="O23:O27"/>
    <mergeCell ref="J19:J21"/>
    <mergeCell ref="H19:H21"/>
    <mergeCell ref="F19:F21"/>
    <mergeCell ref="D19:D21"/>
  </mergeCells>
  <pageMargins left="0.7" right="0.7" top="0.75" bottom="0.75" header="0.3" footer="0.3"/>
  <pageSetup scale="54" orientation="portrait"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P45"/>
  <sheetViews>
    <sheetView showGridLines="0" tabSelected="1" topLeftCell="A3" zoomScale="96" zoomScaleNormal="96" zoomScalePageLayoutView="80" workbookViewId="0">
      <selection activeCell="D18" sqref="D18"/>
    </sheetView>
  </sheetViews>
  <sheetFormatPr defaultColWidth="8.85546875" defaultRowHeight="12.75" x14ac:dyDescent="0.2"/>
  <cols>
    <col min="1" max="1" width="2.85546875" customWidth="1"/>
    <col min="2" max="2" width="19.7109375" customWidth="1"/>
    <col min="3" max="3" width="11.7109375" customWidth="1"/>
    <col min="4" max="4" width="13" customWidth="1"/>
    <col min="5" max="5" width="9.140625" customWidth="1"/>
    <col min="6" max="6" width="22.42578125" customWidth="1"/>
    <col min="7" max="7" width="29.5703125" customWidth="1"/>
    <col min="8" max="8" width="15" bestFit="1" customWidth="1"/>
    <col min="9" max="9" width="13.28515625" bestFit="1" customWidth="1"/>
    <col min="10" max="10" width="14.7109375" customWidth="1"/>
    <col min="11" max="11" width="14" customWidth="1"/>
    <col min="12" max="12" width="15.42578125" customWidth="1"/>
    <col min="13" max="13" width="8.42578125" customWidth="1"/>
    <col min="14" max="14" width="24.85546875" customWidth="1"/>
    <col min="15" max="15" width="3.28515625" customWidth="1"/>
    <col min="16" max="16" width="3.42578125" customWidth="1"/>
    <col min="19" max="19" width="12.42578125" bestFit="1" customWidth="1"/>
  </cols>
  <sheetData>
    <row r="1" spans="1:16" ht="18" x14ac:dyDescent="0.25">
      <c r="B1" s="54" t="s">
        <v>16</v>
      </c>
      <c r="P1" s="179"/>
    </row>
    <row r="2" spans="1:16" x14ac:dyDescent="0.2">
      <c r="B2" s="53" t="s">
        <v>103</v>
      </c>
      <c r="P2" s="179"/>
    </row>
    <row r="3" spans="1:16" ht="12.75" customHeight="1" thickBot="1" x14ac:dyDescent="0.3">
      <c r="A3" s="5"/>
      <c r="P3" s="179"/>
    </row>
    <row r="4" spans="1:16" ht="18" x14ac:dyDescent="0.25">
      <c r="A4" s="5"/>
      <c r="B4" s="12" t="s">
        <v>0</v>
      </c>
      <c r="C4" s="275" t="str">
        <f>'Extractor Tests Raw Data'!C16</f>
        <v>026B</v>
      </c>
      <c r="P4" s="179"/>
    </row>
    <row r="5" spans="1:16" ht="18.75" thickBot="1" x14ac:dyDescent="0.3">
      <c r="A5" s="5"/>
      <c r="B5" s="20" t="s">
        <v>31</v>
      </c>
      <c r="C5" s="21" t="str">
        <f>J10</f>
        <v>Yes</v>
      </c>
      <c r="P5" s="179"/>
    </row>
    <row r="6" spans="1:16" ht="13.5" customHeight="1" x14ac:dyDescent="0.25">
      <c r="A6" s="5"/>
      <c r="P6" s="179"/>
    </row>
    <row r="7" spans="1:16" ht="13.5" customHeight="1" thickBot="1" x14ac:dyDescent="0.25">
      <c r="D7" s="8"/>
      <c r="F7" s="8" t="s">
        <v>197</v>
      </c>
      <c r="P7" s="179"/>
    </row>
    <row r="8" spans="1:16" ht="27" customHeight="1" thickBot="1" x14ac:dyDescent="0.25">
      <c r="B8" s="55" t="s">
        <v>107</v>
      </c>
      <c r="C8" s="90" t="s">
        <v>29</v>
      </c>
      <c r="D8" s="89" t="str">
        <f>"Uncorrected Lot "&amp;C4</f>
        <v>Uncorrected Lot 026B</v>
      </c>
      <c r="F8" s="193" t="s">
        <v>105</v>
      </c>
      <c r="G8" s="194" t="s">
        <v>104</v>
      </c>
      <c r="H8" s="195" t="s">
        <v>190</v>
      </c>
      <c r="I8" s="194" t="s">
        <v>20</v>
      </c>
      <c r="J8" s="196" t="s">
        <v>35</v>
      </c>
      <c r="P8" s="179"/>
    </row>
    <row r="9" spans="1:16" ht="13.5" customHeight="1" x14ac:dyDescent="0.2">
      <c r="B9" s="98" t="s">
        <v>81</v>
      </c>
      <c r="C9" s="91">
        <v>0.52800000000000002</v>
      </c>
      <c r="D9" s="269">
        <f>'Correction Factors'!J10</f>
        <v>0.65467505116620572</v>
      </c>
      <c r="F9" s="319" t="s">
        <v>198</v>
      </c>
      <c r="G9" s="320" t="s">
        <v>196</v>
      </c>
      <c r="H9" s="321"/>
      <c r="I9" s="322">
        <f>K16</f>
        <v>0.28011552809244461</v>
      </c>
      <c r="J9" s="323"/>
      <c r="K9" s="53" t="s">
        <v>204</v>
      </c>
      <c r="P9" s="179"/>
    </row>
    <row r="10" spans="1:16" ht="13.5" customHeight="1" thickBot="1" x14ac:dyDescent="0.25">
      <c r="B10" s="99" t="s">
        <v>82</v>
      </c>
      <c r="C10" s="92">
        <v>0.499</v>
      </c>
      <c r="D10" s="270">
        <f>'Correction Factors'!F10</f>
        <v>0.62810640465523349</v>
      </c>
      <c r="F10" s="315" t="s">
        <v>192</v>
      </c>
      <c r="G10" s="316" t="s">
        <v>193</v>
      </c>
      <c r="H10" s="316" t="s">
        <v>194</v>
      </c>
      <c r="I10" s="317">
        <f>D33</f>
        <v>7.8480399987752095E-3</v>
      </c>
      <c r="J10" s="318" t="str">
        <f>IF(I10="","",IF(I10&lt;=0.012,"Yes", "No"))</f>
        <v>Yes</v>
      </c>
      <c r="K10" s="53"/>
      <c r="P10" s="179"/>
    </row>
    <row r="11" spans="1:16" ht="13.5" customHeight="1" x14ac:dyDescent="0.2">
      <c r="B11" s="99" t="s">
        <v>83</v>
      </c>
      <c r="C11" s="93">
        <v>0.497</v>
      </c>
      <c r="D11" s="270">
        <f>'Correction Factors'!H10</f>
        <v>0.59056341672661128</v>
      </c>
      <c r="P11" s="179"/>
    </row>
    <row r="12" spans="1:16" ht="13.5" customHeight="1" thickBot="1" x14ac:dyDescent="0.25">
      <c r="B12" s="100" t="s">
        <v>84</v>
      </c>
      <c r="C12" s="93">
        <v>0.45900000000000002</v>
      </c>
      <c r="D12" s="271">
        <f>'Correction Factors'!D10</f>
        <v>0.55655298836514933</v>
      </c>
      <c r="F12" s="8" t="str">
        <f>"ANOVA calculated from Lot "&amp;$C$4&amp;" data for 100 to 650g"</f>
        <v>ANOVA calculated from Lot 026B data for 100 to 650g</v>
      </c>
      <c r="H12" s="8"/>
      <c r="P12" s="179"/>
    </row>
    <row r="13" spans="1:16" ht="13.5" customHeight="1" thickBot="1" x14ac:dyDescent="0.25">
      <c r="B13" s="98" t="s">
        <v>85</v>
      </c>
      <c r="C13" s="91">
        <v>0.43099999999999999</v>
      </c>
      <c r="D13" s="269">
        <f>'Correction Factors'!J13</f>
        <v>0.5180112788943948</v>
      </c>
      <c r="F13" s="55" t="s">
        <v>9</v>
      </c>
      <c r="G13" s="215" t="s">
        <v>1</v>
      </c>
      <c r="H13" s="216" t="s">
        <v>2</v>
      </c>
      <c r="I13" s="216" t="s">
        <v>3</v>
      </c>
      <c r="J13" s="216" t="s">
        <v>4</v>
      </c>
      <c r="K13" s="216" t="s">
        <v>5</v>
      </c>
      <c r="L13" s="217" t="s">
        <v>6</v>
      </c>
      <c r="O13" s="6"/>
      <c r="P13" s="179"/>
    </row>
    <row r="14" spans="1:16" ht="13.5" customHeight="1" x14ac:dyDescent="0.2">
      <c r="B14" s="99" t="s">
        <v>86</v>
      </c>
      <c r="C14" s="93">
        <v>0.40400000000000003</v>
      </c>
      <c r="D14" s="270">
        <f>'Correction Factors'!F13</f>
        <v>0.47964159008252322</v>
      </c>
      <c r="F14" s="213" t="s">
        <v>106</v>
      </c>
      <c r="G14" s="276">
        <f>SUMSQ(SUM(C9:D12),SUM(C13:D16),SUM(C17:D20),SUM(C21:D24),SUM(C25:D28))/COUNT(C9:D12)-SUM(C9:D28)^2/COUNT(C9:D28)</f>
        <v>0.3986562722161846</v>
      </c>
      <c r="H14" s="214">
        <v>4</v>
      </c>
      <c r="I14" s="279">
        <f>G14/H14</f>
        <v>9.9664068054046151E-2</v>
      </c>
      <c r="J14" s="279">
        <f>I14/$I$17</f>
        <v>98.582876567189501</v>
      </c>
      <c r="K14" s="279">
        <f>FDIST(J14,H14,$H$17)</f>
        <v>8.2333379646257052E-17</v>
      </c>
      <c r="L14" s="281">
        <f>FINV(0.1,H14,$H$17)</f>
        <v>2.1422348562884994</v>
      </c>
      <c r="P14" s="179"/>
    </row>
    <row r="15" spans="1:16" ht="13.5" customHeight="1" x14ac:dyDescent="0.2">
      <c r="B15" s="99" t="s">
        <v>87</v>
      </c>
      <c r="C15" s="93">
        <v>0.379</v>
      </c>
      <c r="D15" s="270">
        <f>'Correction Factors'!H13</f>
        <v>0.4543587447589596</v>
      </c>
      <c r="F15" s="198" t="s">
        <v>14</v>
      </c>
      <c r="G15" s="277">
        <f>SUMSQ(SUM(C9:C28),SUM(D9:D28))/COUNT(C9:C28)-SUM(C9:D28)^2/COUNT(C9:D28)</f>
        <v>4.8732490119837379E-2</v>
      </c>
      <c r="H15" s="211">
        <v>1</v>
      </c>
      <c r="I15" s="280">
        <f>G15/H15</f>
        <v>4.8732490119837379E-2</v>
      </c>
      <c r="J15" s="280">
        <f>I15/$I$17</f>
        <v>48.203822622316387</v>
      </c>
      <c r="K15" s="280">
        <f>FDIST(J15,H15,$H$17)</f>
        <v>1.0354752003074505E-7</v>
      </c>
      <c r="L15" s="282">
        <f>FINV(0.1,H15,$H$17)</f>
        <v>2.8806945171617104</v>
      </c>
      <c r="M15" s="7"/>
      <c r="P15" s="179"/>
    </row>
    <row r="16" spans="1:16" ht="13.5" customHeight="1" thickBot="1" x14ac:dyDescent="0.25">
      <c r="B16" s="100" t="s">
        <v>88</v>
      </c>
      <c r="C16" s="94">
        <v>0.35699999999999998</v>
      </c>
      <c r="D16" s="271">
        <f>'Correction Factors'!D13</f>
        <v>0.4287137702975416</v>
      </c>
      <c r="F16" s="198" t="s">
        <v>7</v>
      </c>
      <c r="G16" s="277">
        <f>SUMSQ(SUM(C9:C12),SUM(D9:D12),SUM(C13:C16),SUM(D13:D16),SUM(C17:C20),SUM(D17:D20),SUM(C21:C24),SUM(D21:D24),SUM(C25:C28),SUM(D25:D28))/COUNT(C9:C12)-SUM(C9:D28)^2/COUNT(C9:D28)-G14-G15</f>
        <v>5.3954030818461618E-3</v>
      </c>
      <c r="H16" s="211">
        <v>4</v>
      </c>
      <c r="I16" s="280">
        <f>G16/H16</f>
        <v>1.3488507704615404E-3</v>
      </c>
      <c r="J16" s="280">
        <f>I16/$I$17</f>
        <v>1.3342179544573591</v>
      </c>
      <c r="K16" s="212">
        <f>IF(G16=0,"",FDIST(J16,H16,$H$17))</f>
        <v>0.28011552809244461</v>
      </c>
      <c r="L16" s="282">
        <f>FINV(0.1,H16,$H$17)</f>
        <v>2.1422348562884994</v>
      </c>
      <c r="P16" s="179"/>
    </row>
    <row r="17" spans="2:16" ht="13.5" customHeight="1" x14ac:dyDescent="0.2">
      <c r="B17" s="99" t="s">
        <v>89</v>
      </c>
      <c r="C17" s="93">
        <v>0.35799999999999998</v>
      </c>
      <c r="D17" s="269">
        <f>'Correction Factors'!J16</f>
        <v>0.41925399610710246</v>
      </c>
      <c r="F17" s="198" t="s">
        <v>10</v>
      </c>
      <c r="G17" s="277">
        <f>G18-G14-G15-G16</f>
        <v>3.0329020066518275E-2</v>
      </c>
      <c r="H17" s="211">
        <v>30</v>
      </c>
      <c r="I17" s="280">
        <f>G17/H17</f>
        <v>1.0109673355506092E-3</v>
      </c>
      <c r="J17" s="240"/>
      <c r="K17" s="241"/>
      <c r="L17" s="242"/>
      <c r="P17" s="179"/>
    </row>
    <row r="18" spans="2:16" ht="13.5" customHeight="1" thickBot="1" x14ac:dyDescent="0.25">
      <c r="B18" s="99" t="s">
        <v>90</v>
      </c>
      <c r="C18" s="93">
        <v>0.33100000000000002</v>
      </c>
      <c r="D18" s="270">
        <f>'Correction Factors'!F16</f>
        <v>0.38856612553776798</v>
      </c>
      <c r="F18" s="246" t="s">
        <v>8</v>
      </c>
      <c r="G18" s="278">
        <f>SUMSQ(C9:D28)-SUM(C9:D28)^2/COUNT(C9:D28)</f>
        <v>0.48311318548438642</v>
      </c>
      <c r="H18" s="247">
        <v>39</v>
      </c>
      <c r="I18" s="243"/>
      <c r="J18" s="244"/>
      <c r="K18" s="243"/>
      <c r="L18" s="245"/>
      <c r="P18" s="179"/>
    </row>
    <row r="19" spans="2:16" ht="13.5" customHeight="1" x14ac:dyDescent="0.2">
      <c r="B19" s="99" t="s">
        <v>91</v>
      </c>
      <c r="C19" s="93">
        <v>0.307</v>
      </c>
      <c r="D19" s="270">
        <f>'Correction Factors'!H16</f>
        <v>0.35848207624073991</v>
      </c>
      <c r="P19" s="179"/>
    </row>
    <row r="20" spans="2:16" ht="13.5" customHeight="1" thickBot="1" x14ac:dyDescent="0.25">
      <c r="B20" s="100" t="s">
        <v>92</v>
      </c>
      <c r="C20" s="94">
        <v>0.29599999999999999</v>
      </c>
      <c r="D20" s="271">
        <f>'Correction Factors'!D16</f>
        <v>0.34006525330632287</v>
      </c>
      <c r="P20" s="179"/>
    </row>
    <row r="21" spans="2:16" ht="13.5" customHeight="1" x14ac:dyDescent="0.2">
      <c r="B21" s="99" t="s">
        <v>93</v>
      </c>
      <c r="C21" s="95">
        <v>0.3</v>
      </c>
      <c r="D21" s="272">
        <f>'Correction Factors'!J19</f>
        <v>0.36739992892091894</v>
      </c>
      <c r="P21" s="179"/>
    </row>
    <row r="22" spans="2:16" ht="13.5" customHeight="1" x14ac:dyDescent="0.2">
      <c r="B22" s="99" t="s">
        <v>94</v>
      </c>
      <c r="C22" s="96">
        <v>0.28699999999999998</v>
      </c>
      <c r="D22" s="273">
        <f>'Correction Factors'!F19</f>
        <v>0.34138207517916536</v>
      </c>
      <c r="P22" s="179"/>
    </row>
    <row r="23" spans="2:16" ht="13.5" customHeight="1" x14ac:dyDescent="0.2">
      <c r="B23" s="99" t="s">
        <v>95</v>
      </c>
      <c r="C23" s="96">
        <v>0.255</v>
      </c>
      <c r="D23" s="273">
        <f>'Correction Factors'!H19</f>
        <v>0.31346875269036606</v>
      </c>
      <c r="P23" s="179"/>
    </row>
    <row r="24" spans="2:16" ht="13.5" customHeight="1" thickBot="1" x14ac:dyDescent="0.25">
      <c r="B24" s="100" t="s">
        <v>96</v>
      </c>
      <c r="C24" s="97">
        <v>0.24199999999999999</v>
      </c>
      <c r="D24" s="274">
        <f>'Correction Factors'!D19</f>
        <v>0.29705776864291039</v>
      </c>
      <c r="P24" s="179"/>
    </row>
    <row r="25" spans="2:16" ht="13.5" customHeight="1" x14ac:dyDescent="0.2">
      <c r="B25" s="99" t="s">
        <v>97</v>
      </c>
      <c r="C25" s="91">
        <v>0.28000000000000003</v>
      </c>
      <c r="D25" s="269">
        <f>'Correction Factors'!J22</f>
        <v>0.33903913885411158</v>
      </c>
      <c r="P25" s="190"/>
    </row>
    <row r="26" spans="2:16" ht="13.5" customHeight="1" x14ac:dyDescent="0.2">
      <c r="B26" s="99" t="s">
        <v>98</v>
      </c>
      <c r="C26" s="93">
        <v>0.26400000000000001</v>
      </c>
      <c r="D26" s="270">
        <f>'Correction Factors'!F22</f>
        <v>0.30639038438101107</v>
      </c>
      <c r="P26" s="190"/>
    </row>
    <row r="27" spans="2:16" ht="13.5" customHeight="1" x14ac:dyDescent="0.2">
      <c r="B27" s="99" t="s">
        <v>99</v>
      </c>
      <c r="C27" s="93">
        <v>0.24099999999999999</v>
      </c>
      <c r="D27" s="270">
        <f>'Correction Factors'!H22</f>
        <v>0.28705427966427116</v>
      </c>
      <c r="P27" s="190"/>
    </row>
    <row r="28" spans="2:16" ht="13.5" customHeight="1" thickBot="1" x14ac:dyDescent="0.25">
      <c r="B28" s="100" t="s">
        <v>100</v>
      </c>
      <c r="C28" s="94">
        <v>0.23</v>
      </c>
      <c r="D28" s="271">
        <f>'Correction Factors'!D22</f>
        <v>0.27239017567025364</v>
      </c>
      <c r="P28" s="190"/>
    </row>
    <row r="29" spans="2:16" ht="13.5" customHeight="1" x14ac:dyDescent="0.2">
      <c r="B29" s="53"/>
      <c r="C29" s="53"/>
      <c r="D29" s="53"/>
      <c r="P29" s="190"/>
    </row>
    <row r="30" spans="2:16" ht="13.5" customHeight="1" thickBot="1" x14ac:dyDescent="0.25">
      <c r="B30" s="53"/>
      <c r="C30" s="53"/>
      <c r="D30" s="53"/>
      <c r="P30" s="190"/>
    </row>
    <row r="31" spans="2:16" ht="13.5" customHeight="1" x14ac:dyDescent="0.2">
      <c r="B31" s="53"/>
      <c r="C31" s="199" t="s">
        <v>11</v>
      </c>
      <c r="D31" s="283">
        <f>SLOPE(C9:C28,D9:D28)</f>
        <v>0.7935172928982327</v>
      </c>
      <c r="P31" s="190"/>
    </row>
    <row r="32" spans="2:16" ht="13.5" customHeight="1" x14ac:dyDescent="0.2">
      <c r="B32" s="53"/>
      <c r="C32" s="200" t="s">
        <v>12</v>
      </c>
      <c r="D32" s="284">
        <f>INTERCEPT(C9:C28,D9:D28)</f>
        <v>1.6306741131419111E-2</v>
      </c>
      <c r="P32" s="190"/>
    </row>
    <row r="33" spans="1:16" ht="13.5" customHeight="1" x14ac:dyDescent="0.2">
      <c r="B33" s="53"/>
      <c r="C33" s="70" t="s">
        <v>13</v>
      </c>
      <c r="D33" s="285">
        <f>STEYX(C9:C28,D9:D28)</f>
        <v>7.8480399987752095E-3</v>
      </c>
      <c r="P33" s="190"/>
    </row>
    <row r="34" spans="1:16" ht="13.5" customHeight="1" thickBot="1" x14ac:dyDescent="0.25">
      <c r="B34" s="53"/>
      <c r="C34" s="201" t="s">
        <v>15</v>
      </c>
      <c r="D34" s="286">
        <f>RSQ(C9:C28,D9:D28)</f>
        <v>0.99342108276049701</v>
      </c>
      <c r="P34" s="190"/>
    </row>
    <row r="35" spans="1:16" ht="13.5" customHeight="1" x14ac:dyDescent="0.2">
      <c r="B35" s="53"/>
      <c r="C35" s="53"/>
      <c r="D35" s="53"/>
      <c r="P35" s="190"/>
    </row>
    <row r="36" spans="1:16" ht="13.5" customHeight="1" x14ac:dyDescent="0.2">
      <c r="E36" s="6"/>
      <c r="P36" s="190"/>
    </row>
    <row r="37" spans="1:16" ht="13.5" customHeight="1" thickBot="1" x14ac:dyDescent="0.25">
      <c r="B37" s="8" t="s">
        <v>108</v>
      </c>
      <c r="P37" s="190"/>
    </row>
    <row r="38" spans="1:16" ht="13.5" customHeight="1" thickBot="1" x14ac:dyDescent="0.25">
      <c r="B38" s="55" t="s">
        <v>109</v>
      </c>
      <c r="C38" s="197" t="s">
        <v>19</v>
      </c>
      <c r="D38" s="192" t="str">
        <f>"Lot "&amp;C4</f>
        <v>Lot 026B</v>
      </c>
      <c r="P38" s="190"/>
    </row>
    <row r="39" spans="1:16" ht="13.5" customHeight="1" x14ac:dyDescent="0.2">
      <c r="B39" s="202">
        <v>100</v>
      </c>
      <c r="C39" s="287">
        <f>AVERAGE(C9:C12)</f>
        <v>0.49575000000000002</v>
      </c>
      <c r="D39" s="288">
        <f>AVERAGE(D9:D12)</f>
        <v>0.60747446522829995</v>
      </c>
      <c r="P39" s="190"/>
    </row>
    <row r="40" spans="1:16" ht="13.5" customHeight="1" x14ac:dyDescent="0.2">
      <c r="B40" s="203">
        <v>200</v>
      </c>
      <c r="C40" s="289">
        <f>AVERAGE(C13:C16)</f>
        <v>0.39274999999999999</v>
      </c>
      <c r="D40" s="290">
        <f>AVERAGE(D13:D16)</f>
        <v>0.47018134600835482</v>
      </c>
      <c r="P40" s="190"/>
    </row>
    <row r="41" spans="1:16" ht="13.5" customHeight="1" x14ac:dyDescent="0.2">
      <c r="B41" s="203">
        <v>350</v>
      </c>
      <c r="C41" s="289">
        <f>AVERAGE(C17:C20)</f>
        <v>0.32300000000000001</v>
      </c>
      <c r="D41" s="290">
        <f>AVERAGE(D17:D20)</f>
        <v>0.37659186279798329</v>
      </c>
      <c r="P41" s="190"/>
    </row>
    <row r="42" spans="1:16" ht="13.5" customHeight="1" x14ac:dyDescent="0.2">
      <c r="B42" s="203">
        <v>500</v>
      </c>
      <c r="C42" s="289">
        <f>AVERAGE(C21:C24)</f>
        <v>0.27100000000000002</v>
      </c>
      <c r="D42" s="290">
        <f>AVERAGE(D21:D24)</f>
        <v>0.32982713135834019</v>
      </c>
      <c r="E42" s="6"/>
      <c r="P42" s="190"/>
    </row>
    <row r="43" spans="1:16" ht="13.5" customHeight="1" thickBot="1" x14ac:dyDescent="0.25">
      <c r="B43" s="204">
        <v>650</v>
      </c>
      <c r="C43" s="291">
        <f>AVERAGE(C25:C28)</f>
        <v>0.25375000000000003</v>
      </c>
      <c r="D43" s="292">
        <f>AVERAGE(D25:D28)</f>
        <v>0.30121849464241185</v>
      </c>
      <c r="P43" s="190"/>
    </row>
    <row r="44" spans="1:16" ht="13.5" customHeight="1" x14ac:dyDescent="0.2">
      <c r="P44" s="190"/>
    </row>
    <row r="45" spans="1:16" ht="13.5" customHeight="1" x14ac:dyDescent="0.2">
      <c r="A45" s="179"/>
      <c r="B45" s="179"/>
      <c r="C45" s="179"/>
      <c r="D45" s="191"/>
      <c r="E45" s="179"/>
      <c r="F45" s="179"/>
      <c r="G45" s="179"/>
      <c r="H45" s="179"/>
      <c r="I45" s="179"/>
      <c r="J45" s="179"/>
      <c r="K45" s="179"/>
      <c r="L45" s="179"/>
      <c r="M45" s="179"/>
      <c r="N45" s="179"/>
      <c r="O45" s="179"/>
      <c r="P45" s="190"/>
    </row>
  </sheetData>
  <sheetProtection algorithmName="SHA-512" hashValue="NKCtt/7KUfDWRYue1+gtlojYUxB38kEs1LitlHBxz0k+14qKu40dFSKLgwmzH/YJ5iU7t2lYowP5secn+nEgEg==" saltValue="7PKSqVrvA8oNTGv4UsThWA==" spinCount="100000" sheet="1" selectLockedCells="1"/>
  <conditionalFormatting sqref="N13 O16">
    <cfRule type="cellIs" dxfId="0" priority="2" stopIfTrue="1" operator="equal">
      <formula>"""Accept the lot"""</formula>
    </cfRule>
  </conditionalFormatting>
  <pageMargins left="0.7" right="0.7" top="0.75" bottom="0.75" header="0.3" footer="0.3"/>
  <pageSetup scale="41" orientation="portrait"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46C21-55A5-45C0-8235-BDF64EBEA67E}">
  <sheetPr codeName="Sheet10"/>
  <dimension ref="A1:G28"/>
  <sheetViews>
    <sheetView showGridLines="0" zoomScale="80" zoomScaleNormal="80" workbookViewId="0">
      <selection activeCell="C21" sqref="C21"/>
    </sheetView>
  </sheetViews>
  <sheetFormatPr defaultColWidth="9.140625" defaultRowHeight="16.5" x14ac:dyDescent="0.3"/>
  <cols>
    <col min="1" max="1" width="4.5703125" style="137" customWidth="1"/>
    <col min="2" max="2" width="41.5703125" style="137" customWidth="1"/>
    <col min="3" max="3" width="43.140625" style="136" customWidth="1"/>
    <col min="4" max="4" width="4.5703125" style="137" customWidth="1"/>
    <col min="5" max="5" width="3.85546875" style="137" customWidth="1"/>
    <col min="6" max="16384" width="9.140625" style="137"/>
  </cols>
  <sheetData>
    <row r="1" spans="2:7" ht="17.25" thickBot="1" x14ac:dyDescent="0.35">
      <c r="B1" s="136"/>
      <c r="C1" s="137"/>
      <c r="E1" s="115"/>
    </row>
    <row r="2" spans="2:7" ht="18" thickBot="1" x14ac:dyDescent="0.35">
      <c r="B2" s="337" t="s">
        <v>132</v>
      </c>
      <c r="C2" s="338"/>
      <c r="E2" s="115"/>
    </row>
    <row r="3" spans="2:7" x14ac:dyDescent="0.3">
      <c r="B3" s="138" t="s">
        <v>133</v>
      </c>
      <c r="C3" s="139" t="s">
        <v>142</v>
      </c>
      <c r="D3" s="107"/>
      <c r="E3" s="108"/>
      <c r="F3" s="107"/>
      <c r="G3" s="107"/>
    </row>
    <row r="4" spans="2:7" x14ac:dyDescent="0.3">
      <c r="B4" s="140" t="s">
        <v>134</v>
      </c>
      <c r="C4" s="141" t="str">
        <f>INDEX(B13:B56,COUNTA(B13:B56),1)</f>
        <v>Modified AATCC Laundering Ballast Type 3</v>
      </c>
      <c r="D4" s="107"/>
      <c r="E4" s="108"/>
      <c r="F4" s="107"/>
      <c r="G4" s="107"/>
    </row>
    <row r="5" spans="2:7" x14ac:dyDescent="0.3">
      <c r="B5" s="140" t="s">
        <v>135</v>
      </c>
      <c r="C5" s="142" t="str">
        <f>IF(MAX(B13:C98)=0,"No Revisions Dates Entered",MAX(C13:C98))</f>
        <v>No Revisions Dates Entered</v>
      </c>
      <c r="D5" s="107"/>
      <c r="E5" s="108"/>
      <c r="F5" s="107"/>
      <c r="G5" s="107"/>
    </row>
    <row r="6" spans="2:7" x14ac:dyDescent="0.3">
      <c r="B6" s="140" t="s">
        <v>136</v>
      </c>
      <c r="C6" s="143" t="e">
        <f ca="1">MID(CELL("filename",A1), FIND("]", CELL("filename", A1))+ 1, 255)</f>
        <v>#VALUE!</v>
      </c>
      <c r="D6" s="107"/>
      <c r="E6" s="108"/>
      <c r="F6" s="107"/>
      <c r="G6" s="107"/>
    </row>
    <row r="7" spans="2:7" ht="30" customHeight="1" x14ac:dyDescent="0.3">
      <c r="B7" s="144" t="s">
        <v>137</v>
      </c>
      <c r="C7" s="145" t="e">
        <f ca="1">MID(CELL("FILENAME",F16),FIND("[",CELL("FILENAME",F16))+1,FIND("]",CELL("FILENAME",F16))-FIND("[",CELL("FILENAME",F16))-1)</f>
        <v>#VALUE!</v>
      </c>
      <c r="D7" s="107"/>
      <c r="E7" s="108"/>
      <c r="F7" s="107"/>
      <c r="G7" s="107"/>
    </row>
    <row r="8" spans="2:7" ht="17.25" thickBot="1" x14ac:dyDescent="0.35">
      <c r="B8" s="146" t="s">
        <v>138</v>
      </c>
      <c r="C8" s="147" t="str">
        <f>'Extractor Tests Raw Data'!C27</f>
        <v>4/28/2025-5/5/25</v>
      </c>
      <c r="D8" s="107"/>
      <c r="E8" s="108"/>
      <c r="F8" s="107"/>
      <c r="G8" s="107"/>
    </row>
    <row r="9" spans="2:7" x14ac:dyDescent="0.3">
      <c r="B9" s="107"/>
      <c r="C9" s="107"/>
      <c r="D9" s="107"/>
      <c r="E9" s="108"/>
      <c r="F9" s="107"/>
      <c r="G9" s="107"/>
    </row>
    <row r="10" spans="2:7" ht="17.25" thickBot="1" x14ac:dyDescent="0.35">
      <c r="B10" s="107"/>
      <c r="C10" s="107"/>
      <c r="D10" s="107"/>
      <c r="E10" s="108"/>
      <c r="F10" s="107"/>
      <c r="G10" s="107"/>
    </row>
    <row r="11" spans="2:7" x14ac:dyDescent="0.3">
      <c r="B11" s="301" t="s">
        <v>199</v>
      </c>
      <c r="C11" s="107"/>
      <c r="D11" s="107"/>
      <c r="E11" s="108"/>
      <c r="F11" s="107"/>
      <c r="G11" s="107"/>
    </row>
    <row r="12" spans="2:7" x14ac:dyDescent="0.3">
      <c r="B12" s="302" t="s">
        <v>200</v>
      </c>
      <c r="C12" s="107"/>
      <c r="D12" s="107"/>
      <c r="E12" s="108"/>
      <c r="F12" s="107"/>
      <c r="G12" s="107"/>
    </row>
    <row r="13" spans="2:7" ht="17.25" thickBot="1" x14ac:dyDescent="0.35">
      <c r="B13" s="324" t="s">
        <v>201</v>
      </c>
      <c r="C13" s="107"/>
      <c r="D13" s="107"/>
      <c r="E13" s="108"/>
      <c r="F13" s="107"/>
      <c r="G13" s="107"/>
    </row>
    <row r="14" spans="2:7" x14ac:dyDescent="0.3">
      <c r="B14" s="107"/>
      <c r="C14" s="107"/>
      <c r="D14" s="153"/>
      <c r="E14" s="108"/>
      <c r="F14" s="107"/>
      <c r="G14" s="107"/>
    </row>
    <row r="15" spans="2:7" x14ac:dyDescent="0.3">
      <c r="B15" s="107"/>
      <c r="C15" s="107"/>
      <c r="E15" s="115"/>
    </row>
    <row r="16" spans="2:7" x14ac:dyDescent="0.3">
      <c r="B16" s="107"/>
      <c r="C16" s="107"/>
      <c r="E16" s="115"/>
    </row>
    <row r="17" spans="1:5" x14ac:dyDescent="0.3">
      <c r="B17" s="107"/>
      <c r="C17" s="107"/>
      <c r="E17" s="115"/>
    </row>
    <row r="18" spans="1:5" x14ac:dyDescent="0.3">
      <c r="B18" s="107"/>
      <c r="C18" s="107"/>
      <c r="E18" s="115"/>
    </row>
    <row r="19" spans="1:5" x14ac:dyDescent="0.3">
      <c r="B19" s="107"/>
      <c r="C19" s="107"/>
      <c r="E19" s="115"/>
    </row>
    <row r="20" spans="1:5" x14ac:dyDescent="0.3">
      <c r="B20" s="107"/>
      <c r="C20" s="107"/>
      <c r="E20" s="115"/>
    </row>
    <row r="21" spans="1:5" x14ac:dyDescent="0.3">
      <c r="B21" s="107"/>
      <c r="C21" s="107"/>
      <c r="E21" s="115"/>
    </row>
    <row r="22" spans="1:5" x14ac:dyDescent="0.3">
      <c r="B22" s="107"/>
      <c r="C22" s="107"/>
      <c r="E22" s="115"/>
    </row>
    <row r="23" spans="1:5" x14ac:dyDescent="0.3">
      <c r="B23" s="107"/>
      <c r="C23" s="107"/>
      <c r="E23" s="115"/>
    </row>
    <row r="24" spans="1:5" x14ac:dyDescent="0.3">
      <c r="B24" s="107"/>
      <c r="C24" s="107"/>
      <c r="E24" s="115"/>
    </row>
    <row r="25" spans="1:5" x14ac:dyDescent="0.3">
      <c r="B25" s="107"/>
      <c r="C25" s="107"/>
      <c r="E25" s="115"/>
    </row>
    <row r="26" spans="1:5" x14ac:dyDescent="0.3">
      <c r="B26" s="107"/>
      <c r="C26" s="107"/>
      <c r="E26" s="115"/>
    </row>
    <row r="27" spans="1:5" x14ac:dyDescent="0.3">
      <c r="E27" s="115"/>
    </row>
    <row r="28" spans="1:5" x14ac:dyDescent="0.3">
      <c r="A28" s="115"/>
      <c r="B28" s="115"/>
      <c r="C28" s="162"/>
      <c r="D28" s="115"/>
      <c r="E28" s="115"/>
    </row>
  </sheetData>
  <sheetProtection algorithmName="SHA-512" hashValue="iX7OxTWcUgATFi7D0NYlBhFQ6pnVN1tRCwf3E2Trk5tXtDXbYhKIYmNR1wmRuvUxby4C455NCz20reXiKCOy/Q==" saltValue="TaYgjDPNV9TMBuk2zDmemw==" spinCount="100000" sheet="1" selectLockedCells="1"/>
  <mergeCells count="1">
    <mergeCell ref="B2:C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G28"/>
  <sheetViews>
    <sheetView showGridLines="0" tabSelected="1" zoomScale="96" zoomScaleNormal="96" workbookViewId="0">
      <selection activeCell="D18" sqref="D18"/>
    </sheetView>
  </sheetViews>
  <sheetFormatPr defaultColWidth="9.140625" defaultRowHeight="16.5" x14ac:dyDescent="0.3"/>
  <cols>
    <col min="1" max="1" width="4.5703125" style="137" customWidth="1"/>
    <col min="2" max="2" width="41.5703125" style="137" customWidth="1"/>
    <col min="3" max="3" width="43.140625" style="136" customWidth="1"/>
    <col min="4" max="4" width="4.5703125" style="137" customWidth="1"/>
    <col min="5" max="5" width="3.85546875" style="137" customWidth="1"/>
    <col min="6" max="16384" width="9.140625" style="137"/>
  </cols>
  <sheetData>
    <row r="1" spans="2:7" ht="17.25" thickBot="1" x14ac:dyDescent="0.35">
      <c r="B1" s="136"/>
      <c r="C1" s="137"/>
      <c r="E1" s="115"/>
    </row>
    <row r="2" spans="2:7" ht="18" thickBot="1" x14ac:dyDescent="0.35">
      <c r="B2" s="337" t="s">
        <v>132</v>
      </c>
      <c r="C2" s="338"/>
      <c r="E2" s="115"/>
    </row>
    <row r="3" spans="2:7" x14ac:dyDescent="0.3">
      <c r="B3" s="138" t="s">
        <v>133</v>
      </c>
      <c r="C3" s="139" t="s">
        <v>142</v>
      </c>
      <c r="D3" s="107"/>
      <c r="E3" s="108"/>
      <c r="F3" s="107"/>
      <c r="G3" s="107"/>
    </row>
    <row r="4" spans="2:7" x14ac:dyDescent="0.3">
      <c r="B4" s="140" t="s">
        <v>134</v>
      </c>
      <c r="C4" s="141" t="str">
        <f>INDEX(B13:B56,COUNTA(B13:B56),1)</f>
        <v>v2.5</v>
      </c>
      <c r="D4" s="107"/>
      <c r="E4" s="108"/>
      <c r="F4" s="107"/>
      <c r="G4" s="107"/>
    </row>
    <row r="5" spans="2:7" x14ac:dyDescent="0.3">
      <c r="B5" s="140" t="s">
        <v>135</v>
      </c>
      <c r="C5" s="142">
        <f>IF(MAX(B13:C98)=0,"No Revisions Dates Entered",MAX(C13:C98))</f>
        <v>45673</v>
      </c>
      <c r="D5" s="107"/>
      <c r="E5" s="108"/>
      <c r="F5" s="107"/>
      <c r="G5" s="107"/>
    </row>
    <row r="6" spans="2:7" x14ac:dyDescent="0.3">
      <c r="B6" s="140" t="s">
        <v>136</v>
      </c>
      <c r="C6" s="143" t="e">
        <f ca="1">MID(CELL("filename",A1), FIND("]", CELL("filename", A1))+ 1, 255)</f>
        <v>#VALUE!</v>
      </c>
      <c r="D6" s="107"/>
      <c r="E6" s="108"/>
      <c r="F6" s="107"/>
      <c r="G6" s="107"/>
    </row>
    <row r="7" spans="2:7" ht="30" customHeight="1" x14ac:dyDescent="0.3">
      <c r="B7" s="144" t="s">
        <v>137</v>
      </c>
      <c r="C7" s="145" t="e">
        <f ca="1">MID(CELL("FILENAME",F16),FIND("[",CELL("FILENAME",F16))+1,FIND("]",CELL("FILENAME",F16))-FIND("[",CELL("FILENAME",F16))-1)</f>
        <v>#VALUE!</v>
      </c>
      <c r="D7" s="107"/>
      <c r="E7" s="108"/>
      <c r="F7" s="107"/>
      <c r="G7" s="107"/>
    </row>
    <row r="8" spans="2:7" ht="17.25" thickBot="1" x14ac:dyDescent="0.35">
      <c r="B8" s="146" t="s">
        <v>138</v>
      </c>
      <c r="C8" s="147" t="str">
        <f>'Extractor Tests Raw Data'!C27</f>
        <v>4/28/2025-5/5/25</v>
      </c>
      <c r="D8" s="107"/>
      <c r="E8" s="108"/>
      <c r="F8" s="107"/>
      <c r="G8" s="107"/>
    </row>
    <row r="9" spans="2:7" x14ac:dyDescent="0.3">
      <c r="B9" s="107"/>
      <c r="C9" s="107"/>
      <c r="D9" s="107"/>
      <c r="E9" s="108"/>
      <c r="F9" s="107"/>
      <c r="G9" s="107"/>
    </row>
    <row r="10" spans="2:7" ht="17.25" thickBot="1" x14ac:dyDescent="0.35">
      <c r="B10" s="107"/>
      <c r="C10" s="107"/>
      <c r="D10" s="107"/>
      <c r="E10" s="108"/>
      <c r="F10" s="107"/>
      <c r="G10" s="107"/>
    </row>
    <row r="11" spans="2:7" ht="18" thickBot="1" x14ac:dyDescent="0.35">
      <c r="B11" s="337" t="s">
        <v>139</v>
      </c>
      <c r="C11" s="338"/>
      <c r="D11" s="107"/>
      <c r="E11" s="108"/>
      <c r="F11" s="107"/>
      <c r="G11" s="107"/>
    </row>
    <row r="12" spans="2:7" ht="17.25" x14ac:dyDescent="0.35">
      <c r="B12" s="148" t="s">
        <v>140</v>
      </c>
      <c r="C12" s="149" t="s">
        <v>141</v>
      </c>
      <c r="D12" s="107"/>
      <c r="E12" s="108"/>
      <c r="F12" s="107"/>
      <c r="G12" s="107"/>
    </row>
    <row r="13" spans="2:7" x14ac:dyDescent="0.3">
      <c r="B13" s="163" t="s">
        <v>143</v>
      </c>
      <c r="C13" s="150">
        <v>42061</v>
      </c>
      <c r="D13" s="107"/>
      <c r="E13" s="108"/>
      <c r="F13" s="107"/>
      <c r="G13" s="107"/>
    </row>
    <row r="14" spans="2:7" x14ac:dyDescent="0.3">
      <c r="B14" s="151" t="s">
        <v>166</v>
      </c>
      <c r="C14" s="152">
        <v>42160</v>
      </c>
      <c r="D14" s="153"/>
      <c r="E14" s="108"/>
      <c r="F14" s="107"/>
      <c r="G14" s="107"/>
    </row>
    <row r="15" spans="2:7" x14ac:dyDescent="0.3">
      <c r="B15" s="151" t="s">
        <v>167</v>
      </c>
      <c r="C15" s="152">
        <v>42923</v>
      </c>
      <c r="E15" s="115"/>
    </row>
    <row r="16" spans="2:7" x14ac:dyDescent="0.3">
      <c r="B16" s="154" t="s">
        <v>179</v>
      </c>
      <c r="C16" s="152">
        <v>43452</v>
      </c>
      <c r="E16" s="115"/>
    </row>
    <row r="17" spans="1:5" x14ac:dyDescent="0.3">
      <c r="B17" s="155" t="s">
        <v>188</v>
      </c>
      <c r="C17" s="152">
        <v>44755</v>
      </c>
      <c r="E17" s="115"/>
    </row>
    <row r="18" spans="1:5" x14ac:dyDescent="0.3">
      <c r="B18" s="156" t="s">
        <v>191</v>
      </c>
      <c r="C18" s="157">
        <v>45212</v>
      </c>
      <c r="E18" s="115"/>
    </row>
    <row r="19" spans="1:5" x14ac:dyDescent="0.3">
      <c r="B19" s="156" t="s">
        <v>205</v>
      </c>
      <c r="C19" s="157">
        <v>45673</v>
      </c>
      <c r="E19" s="115"/>
    </row>
    <row r="20" spans="1:5" x14ac:dyDescent="0.3">
      <c r="B20" s="156"/>
      <c r="C20" s="157"/>
      <c r="E20" s="115"/>
    </row>
    <row r="21" spans="1:5" x14ac:dyDescent="0.3">
      <c r="B21" s="156"/>
      <c r="C21" s="157"/>
      <c r="E21" s="115"/>
    </row>
    <row r="22" spans="1:5" x14ac:dyDescent="0.3">
      <c r="B22" s="156"/>
      <c r="C22" s="157"/>
      <c r="E22" s="115"/>
    </row>
    <row r="23" spans="1:5" x14ac:dyDescent="0.3">
      <c r="B23" s="156"/>
      <c r="C23" s="157"/>
      <c r="E23" s="115"/>
    </row>
    <row r="24" spans="1:5" x14ac:dyDescent="0.3">
      <c r="B24" s="158"/>
      <c r="C24" s="157"/>
      <c r="E24" s="115"/>
    </row>
    <row r="25" spans="1:5" x14ac:dyDescent="0.3">
      <c r="B25" s="159"/>
      <c r="C25" s="157"/>
      <c r="E25" s="115"/>
    </row>
    <row r="26" spans="1:5" ht="17.25" thickBot="1" x14ac:dyDescent="0.35">
      <c r="B26" s="160"/>
      <c r="C26" s="161"/>
      <c r="E26" s="115"/>
    </row>
    <row r="27" spans="1:5" x14ac:dyDescent="0.3">
      <c r="E27" s="115"/>
    </row>
    <row r="28" spans="1:5" x14ac:dyDescent="0.3">
      <c r="A28" s="115"/>
      <c r="B28" s="115"/>
      <c r="C28" s="162"/>
      <c r="D28" s="115"/>
      <c r="E28" s="115"/>
    </row>
  </sheetData>
  <sheetProtection algorithmName="SHA-512" hashValue="coWLLFJxETF0OVgbOsU2DC0VAHcB7OjM+su2hQ+cNsQynogXIbo/hTWOyVgGKoV7RaGHKntI5wEHmMN8zroelQ==" saltValue="7JBxBhqvBm82LSfO0No6HA==" spinCount="100000" sheet="1" selectLockedCells="1"/>
  <mergeCells count="2">
    <mergeCell ref="B2:C2"/>
    <mergeCell ref="B11:C11"/>
  </mergeCells>
  <pageMargins left="0.7" right="0.7" top="0.75" bottom="0.75" header="0.3" footer="0.3"/>
  <pageSetup scale="9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ocumentType xmlns="fa504290-48b0-421f-a269-8aa9478176e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4902EE12A29B44EA38DDA9853BB1AA8" ma:contentTypeVersion="5" ma:contentTypeDescription="Create a new document." ma:contentTypeScope="" ma:versionID="c8dae7b82d2d0f0a3fd97d37d92f2969">
  <xsd:schema xmlns:xsd="http://www.w3.org/2001/XMLSchema" xmlns:xs="http://www.w3.org/2001/XMLSchema" xmlns:p="http://schemas.microsoft.com/office/2006/metadata/properties" xmlns:ns2="fa504290-48b0-421f-a269-8aa9478176e6" targetNamespace="http://schemas.microsoft.com/office/2006/metadata/properties" ma:root="true" ma:fieldsID="9fc31efdddfdbff76d94c40b5652f649" ns2:_="">
    <xsd:import namespace="fa504290-48b0-421f-a269-8aa9478176e6"/>
    <xsd:element name="properties">
      <xsd:complexType>
        <xsd:sequence>
          <xsd:element name="documentManagement">
            <xsd:complexType>
              <xsd:all>
                <xsd:element ref="ns2:Document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504290-48b0-421f-a269-8aa9478176e6" elementFormDefault="qualified">
    <xsd:import namespace="http://schemas.microsoft.com/office/2006/documentManagement/types"/>
    <xsd:import namespace="http://schemas.microsoft.com/office/infopath/2007/PartnerControls"/>
    <xsd:element name="DocumentType" ma:index="8" nillable="true" ma:displayName="Document Type" ma:description="Please select the type of document you are uploading." ma:format="Dropdown" ma:internalName="DocumentType">
      <xsd:simpleType>
        <xsd:restriction base="dms:Choice">
          <xsd:enumeration value="Company/Client Information"/>
          <xsd:enumeration value="Correspondence"/>
          <xsd:enumeration value="Engagement Letter/Contract/Agreement"/>
          <xsd:enumeration value="Engagement Summary"/>
          <xsd:enumeration value="Financial Models"/>
          <xsd:enumeration value="Frequently Asked Question"/>
          <xsd:enumeration value="Methodology/Approach"/>
          <xsd:enumeration value="Policy/Procedure"/>
          <xsd:enumeration value="Presentation"/>
          <xsd:enumeration value="Proposal"/>
          <xsd:enumeration value="Qualifications/Statement of Qualifications"/>
          <xsd:enumeration value="Research"/>
          <xsd:enumeration value="Statement of Work"/>
          <xsd:enumeration value="Template/Example"/>
          <xsd:enumeration value="Training Materials"/>
          <xsd:enumeration value="Valuation Reports"/>
          <xsd:enumeration value="White Papers and Thought Leadership"/>
          <xsd:enumeration value="Work Product - Deliverabl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FF07D2-C988-4EE7-8E43-F5F51A4ACCF3}">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fa504290-48b0-421f-a269-8aa9478176e6"/>
    <ds:schemaRef ds:uri="http://www.w3.org/XML/1998/namespace"/>
    <ds:schemaRef ds:uri="http://purl.org/dc/dcmitype/"/>
  </ds:schemaRefs>
</ds:datastoreItem>
</file>

<file path=customXml/itemProps2.xml><?xml version="1.0" encoding="utf-8"?>
<ds:datastoreItem xmlns:ds="http://schemas.openxmlformats.org/officeDocument/2006/customXml" ds:itemID="{2639FC85-949A-4461-96C1-2D829FCD6899}">
  <ds:schemaRefs>
    <ds:schemaRef ds:uri="http://schemas.microsoft.com/sharepoint/v3/contenttype/forms"/>
  </ds:schemaRefs>
</ds:datastoreItem>
</file>

<file path=customXml/itemProps3.xml><?xml version="1.0" encoding="utf-8"?>
<ds:datastoreItem xmlns:ds="http://schemas.openxmlformats.org/officeDocument/2006/customXml" ds:itemID="{D191E60A-A7CE-4763-8460-C8D58D424D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504290-48b0-421f-a269-8aa9478176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Charts</vt:lpstr>
      </vt:variant>
      <vt:variant>
        <vt:i4>2</vt:i4>
      </vt:variant>
    </vt:vector>
  </HeadingPairs>
  <TitlesOfParts>
    <vt:vector size="10" baseType="lpstr">
      <vt:lpstr>Instructions</vt:lpstr>
      <vt:lpstr>Material Verification</vt:lpstr>
      <vt:lpstr>Extractor Tests Raw Data</vt:lpstr>
      <vt:lpstr>Report Sign-Off Block</vt:lpstr>
      <vt:lpstr>Correction Factors</vt:lpstr>
      <vt:lpstr>Analysis of Variance</vt:lpstr>
      <vt:lpstr>Drop-Downs</vt:lpstr>
      <vt:lpstr>Version Control</vt:lpstr>
      <vt:lpstr>Interaction Plot</vt:lpstr>
      <vt:lpstr>Least Squares Plot</vt:lpstr>
    </vt:vector>
  </TitlesOfParts>
  <Company>Whirlpool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Timothy Sutherland</dc:creator>
  <cp:lastModifiedBy>Perkins, Travis</cp:lastModifiedBy>
  <cp:lastPrinted>2025-05-06T18:01:36Z</cp:lastPrinted>
  <dcterms:created xsi:type="dcterms:W3CDTF">2003-09-16T13:33:14Z</dcterms:created>
  <dcterms:modified xsi:type="dcterms:W3CDTF">2025-06-11T19:20:31Z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0x01010034902EE12A29B44EA38DDA9853BB1AA8</vt:lpwstr>
  </property>
</Properties>
</file>