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usdoe.sharepoint.com/sites/HomeEnergyRebatesComms/Shared Documents/General/Web/Rebates website/"/>
    </mc:Choice>
  </mc:AlternateContent>
  <xr:revisionPtr revIDLastSave="0" documentId="8_{821CA6DA-CC72-467B-B7E3-18C9B0B787C0}" xr6:coauthVersionLast="47" xr6:coauthVersionMax="47" xr10:uidLastSave="{00000000-0000-0000-0000-000000000000}"/>
  <bookViews>
    <workbookView xWindow="-120" yWindow="-120" windowWidth="29040" windowHeight="15840" firstSheet="3" activeTab="3" xr2:uid="{8F083BDD-8D0B-4F21-884A-77A2BEFDE16C}"/>
  </bookViews>
  <sheets>
    <sheet name="Average" sheetId="9" state="hidden" r:id="rId1"/>
    <sheet name="README" sheetId="23" r:id="rId2"/>
    <sheet name="AverageCalculator" sheetId="16" r:id="rId3"/>
    <sheet name="LMIAdjustedRebateCalc" sheetId="28" r:id="rId4"/>
    <sheet name="PortfolioCalc - TotalData" sheetId="19" r:id="rId5"/>
    <sheet name="PortfolioCalc - ProjectData" sheetId="20" r:id="rId6"/>
    <sheet name="StateConsumption_SF" sheetId="15" r:id="rId7"/>
    <sheet name="StateConsumption_MF" sheetId="14" r:id="rId8"/>
  </sheets>
  <definedNames>
    <definedName name="UnitDwellin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8" i="28" l="1"/>
  <c r="AG25" i="20" l="1"/>
  <c r="V13" i="28" l="1"/>
  <c r="V19" i="28" s="1"/>
  <c r="V20" i="28" l="1"/>
  <c r="U13" i="28"/>
  <c r="T13" i="28"/>
  <c r="S13" i="28"/>
  <c r="S20" i="28" s="1"/>
  <c r="W13" i="28"/>
  <c r="W20" i="28" s="1"/>
  <c r="R13" i="28"/>
  <c r="R20" i="28" s="1"/>
  <c r="U18" i="28"/>
  <c r="U22" i="28"/>
  <c r="T22" i="28"/>
  <c r="S22" i="28"/>
  <c r="W22" i="28"/>
  <c r="R22" i="28"/>
  <c r="V22" i="28"/>
  <c r="V21" i="28" l="1"/>
  <c r="W19" i="28"/>
  <c r="W21" i="28" s="1"/>
  <c r="R19" i="28"/>
  <c r="R21" i="28" s="1"/>
  <c r="S19" i="28"/>
  <c r="S21" i="28" s="1"/>
  <c r="T19" i="28"/>
  <c r="U19" i="28"/>
  <c r="T20" i="28"/>
  <c r="U20" i="28"/>
  <c r="T21" i="28" l="1"/>
  <c r="U21" i="28"/>
  <c r="H41" i="16" l="1"/>
  <c r="K26" i="16" l="1"/>
  <c r="F20" i="16"/>
  <c r="P27" i="15"/>
  <c r="O38" i="14"/>
  <c r="Q38" i="14" s="1"/>
  <c r="N38" i="14"/>
  <c r="P38" i="14" s="1"/>
  <c r="P37" i="14"/>
  <c r="M38" i="14"/>
  <c r="L38" i="14"/>
  <c r="K38" i="14"/>
  <c r="J38" i="14"/>
  <c r="I38" i="14"/>
  <c r="H38" i="14"/>
  <c r="H32" i="15" l="1"/>
  <c r="I32" i="15"/>
  <c r="J32" i="15"/>
  <c r="K32" i="15"/>
  <c r="L32" i="15"/>
  <c r="M32" i="15"/>
  <c r="N32" i="15"/>
  <c r="O32" i="15"/>
  <c r="P32" i="15"/>
  <c r="Q32" i="15"/>
  <c r="M15" i="15"/>
  <c r="O45" i="14" l="1"/>
  <c r="N15" i="14"/>
  <c r="P15" i="14" s="1"/>
  <c r="O15" i="14"/>
  <c r="Q15" i="14" s="1"/>
  <c r="N5" i="14"/>
  <c r="P5" i="14" s="1"/>
  <c r="O5" i="14"/>
  <c r="Q5" i="14" s="1"/>
  <c r="M51" i="14"/>
  <c r="M45" i="14"/>
  <c r="M15" i="14"/>
  <c r="M5" i="14"/>
  <c r="M51" i="15"/>
  <c r="M45" i="15"/>
  <c r="N51" i="14"/>
  <c r="P51" i="14" s="1"/>
  <c r="O51" i="14"/>
  <c r="Q51" i="14" s="1"/>
  <c r="N45" i="14"/>
  <c r="P45" i="14" s="1"/>
  <c r="Q45" i="14"/>
  <c r="O58" i="15"/>
  <c r="Q58" i="15" s="1"/>
  <c r="N58" i="15"/>
  <c r="P58" i="15" s="1"/>
  <c r="O57" i="15"/>
  <c r="Q57" i="15" s="1"/>
  <c r="N57" i="15"/>
  <c r="P57" i="15" s="1"/>
  <c r="O56" i="15"/>
  <c r="Q56" i="15" s="1"/>
  <c r="N56" i="15"/>
  <c r="P56" i="15" s="1"/>
  <c r="O55" i="15"/>
  <c r="Q55" i="15" s="1"/>
  <c r="N55" i="15"/>
  <c r="P55" i="15" s="1"/>
  <c r="O54" i="15"/>
  <c r="Q54" i="15" s="1"/>
  <c r="N54" i="15"/>
  <c r="P54" i="15" s="1"/>
  <c r="O53" i="15"/>
  <c r="Q53" i="15" s="1"/>
  <c r="N53" i="15"/>
  <c r="P53" i="15" s="1"/>
  <c r="O52" i="15"/>
  <c r="Q52" i="15" s="1"/>
  <c r="N52" i="15"/>
  <c r="P52" i="15" s="1"/>
  <c r="O51" i="15"/>
  <c r="Q51" i="15" s="1"/>
  <c r="N51" i="15"/>
  <c r="P51" i="15" s="1"/>
  <c r="O50" i="15"/>
  <c r="Q50" i="15" s="1"/>
  <c r="N50" i="15"/>
  <c r="P50" i="15" s="1"/>
  <c r="O49" i="15"/>
  <c r="Q49" i="15" s="1"/>
  <c r="N49" i="15"/>
  <c r="P49" i="15" s="1"/>
  <c r="O48" i="15"/>
  <c r="Q48" i="15" s="1"/>
  <c r="N48" i="15"/>
  <c r="P48" i="15" s="1"/>
  <c r="O47" i="15"/>
  <c r="Q47" i="15" s="1"/>
  <c r="N47" i="15"/>
  <c r="P47" i="15" s="1"/>
  <c r="O46" i="15"/>
  <c r="Q46" i="15" s="1"/>
  <c r="N46" i="15"/>
  <c r="P46" i="15" s="1"/>
  <c r="O45" i="15"/>
  <c r="Q45" i="15" s="1"/>
  <c r="N45" i="15"/>
  <c r="P45" i="15" s="1"/>
  <c r="O44" i="15"/>
  <c r="Q44" i="15" s="1"/>
  <c r="N44" i="15"/>
  <c r="P44" i="15" s="1"/>
  <c r="O43" i="15"/>
  <c r="Q43" i="15" s="1"/>
  <c r="N43" i="15"/>
  <c r="P43" i="15" s="1"/>
  <c r="O42" i="15"/>
  <c r="Q42" i="15" s="1"/>
  <c r="N42" i="15"/>
  <c r="P42" i="15" s="1"/>
  <c r="O41" i="15"/>
  <c r="Q41" i="15" s="1"/>
  <c r="N41" i="15"/>
  <c r="P41" i="15" s="1"/>
  <c r="O40" i="15"/>
  <c r="Q40" i="15" s="1"/>
  <c r="N40" i="15"/>
  <c r="P40" i="15" s="1"/>
  <c r="O39" i="15"/>
  <c r="Q39" i="15" s="1"/>
  <c r="N39" i="15"/>
  <c r="P39" i="15" s="1"/>
  <c r="O38" i="15"/>
  <c r="Q38" i="15" s="1"/>
  <c r="N38" i="15"/>
  <c r="P38" i="15" s="1"/>
  <c r="O37" i="15"/>
  <c r="Q37" i="15" s="1"/>
  <c r="N37" i="15"/>
  <c r="P37" i="15" s="1"/>
  <c r="O36" i="15"/>
  <c r="Q36" i="15" s="1"/>
  <c r="N36" i="15"/>
  <c r="P36" i="15" s="1"/>
  <c r="O35" i="15"/>
  <c r="Q35" i="15" s="1"/>
  <c r="N35" i="15"/>
  <c r="P35" i="15" s="1"/>
  <c r="O34" i="15"/>
  <c r="Q34" i="15" s="1"/>
  <c r="N34" i="15"/>
  <c r="P34" i="15" s="1"/>
  <c r="O33" i="15"/>
  <c r="Q33" i="15" s="1"/>
  <c r="N33" i="15"/>
  <c r="P33" i="15" s="1"/>
  <c r="O31" i="15"/>
  <c r="Q31" i="15" s="1"/>
  <c r="N31" i="15"/>
  <c r="P31" i="15" s="1"/>
  <c r="O30" i="15"/>
  <c r="Q30" i="15" s="1"/>
  <c r="N30" i="15"/>
  <c r="P30" i="15" s="1"/>
  <c r="O29" i="15"/>
  <c r="Q29" i="15" s="1"/>
  <c r="N29" i="15"/>
  <c r="P29" i="15" s="1"/>
  <c r="O28" i="15"/>
  <c r="Q28" i="15" s="1"/>
  <c r="N28" i="15"/>
  <c r="P28" i="15" s="1"/>
  <c r="O27" i="15"/>
  <c r="Q27" i="15" s="1"/>
  <c r="N27" i="15"/>
  <c r="O26" i="15"/>
  <c r="Q26" i="15" s="1"/>
  <c r="N26" i="15"/>
  <c r="P26" i="15" s="1"/>
  <c r="O25" i="15"/>
  <c r="Q25" i="15" s="1"/>
  <c r="N25" i="15"/>
  <c r="P25" i="15" s="1"/>
  <c r="O24" i="15"/>
  <c r="Q24" i="15" s="1"/>
  <c r="N24" i="15"/>
  <c r="P24" i="15" s="1"/>
  <c r="O23" i="15"/>
  <c r="Q23" i="15" s="1"/>
  <c r="N23" i="15"/>
  <c r="P23" i="15" s="1"/>
  <c r="O22" i="15"/>
  <c r="Q22" i="15" s="1"/>
  <c r="N22" i="15"/>
  <c r="P22" i="15" s="1"/>
  <c r="O21" i="15"/>
  <c r="Q21" i="15" s="1"/>
  <c r="N21" i="15"/>
  <c r="P21" i="15" s="1"/>
  <c r="O20" i="15"/>
  <c r="Q20" i="15" s="1"/>
  <c r="N20" i="15"/>
  <c r="P20" i="15" s="1"/>
  <c r="O19" i="15"/>
  <c r="Q19" i="15" s="1"/>
  <c r="N19" i="15"/>
  <c r="P19" i="15" s="1"/>
  <c r="O18" i="15"/>
  <c r="Q18" i="15" s="1"/>
  <c r="N18" i="15"/>
  <c r="P18" i="15" s="1"/>
  <c r="O17" i="15"/>
  <c r="Q17" i="15" s="1"/>
  <c r="N17" i="15"/>
  <c r="P17" i="15" s="1"/>
  <c r="O16" i="15"/>
  <c r="Q16" i="15" s="1"/>
  <c r="N16" i="15"/>
  <c r="P16" i="15" s="1"/>
  <c r="O15" i="15"/>
  <c r="Q15" i="15" s="1"/>
  <c r="N15" i="15"/>
  <c r="P15" i="15" s="1"/>
  <c r="O14" i="15"/>
  <c r="Q14" i="15" s="1"/>
  <c r="N14" i="15"/>
  <c r="P14" i="15" s="1"/>
  <c r="N14" i="20" s="1"/>
  <c r="O13" i="15"/>
  <c r="Q13" i="15" s="1"/>
  <c r="N13" i="15"/>
  <c r="P13" i="15" s="1"/>
  <c r="O12" i="15"/>
  <c r="Q12" i="15" s="1"/>
  <c r="N12" i="15"/>
  <c r="P12" i="15" s="1"/>
  <c r="O11" i="15"/>
  <c r="Q11" i="15" s="1"/>
  <c r="N11" i="15"/>
  <c r="P11" i="15" s="1"/>
  <c r="O10" i="15"/>
  <c r="Q10" i="15" s="1"/>
  <c r="N10" i="15"/>
  <c r="P10" i="15" s="1"/>
  <c r="O9" i="15"/>
  <c r="Q9" i="15" s="1"/>
  <c r="N9" i="15"/>
  <c r="P9" i="15" s="1"/>
  <c r="O8" i="15"/>
  <c r="Q8" i="15" s="1"/>
  <c r="N8" i="15"/>
  <c r="P8" i="15" s="1"/>
  <c r="O7" i="15"/>
  <c r="Q7" i="15" s="1"/>
  <c r="N7" i="15"/>
  <c r="P7" i="15" s="1"/>
  <c r="O6" i="15"/>
  <c r="Q6" i="15" s="1"/>
  <c r="N6" i="15"/>
  <c r="P6" i="15" s="1"/>
  <c r="O5" i="15"/>
  <c r="Q5" i="15" s="1"/>
  <c r="N5" i="15"/>
  <c r="P5" i="15" s="1"/>
  <c r="M5" i="15"/>
  <c r="O4" i="15"/>
  <c r="Q4" i="15" s="1"/>
  <c r="N4" i="15"/>
  <c r="P4" i="15" s="1"/>
  <c r="O3" i="15"/>
  <c r="Q3" i="15" s="1"/>
  <c r="N3" i="15"/>
  <c r="P3" i="15" s="1"/>
  <c r="S8" i="16"/>
  <c r="U7" i="16"/>
  <c r="S7" i="16"/>
  <c r="U6" i="16"/>
  <c r="S6" i="16"/>
  <c r="U8" i="19"/>
  <c r="W7" i="19"/>
  <c r="U7" i="19"/>
  <c r="W6" i="19"/>
  <c r="U6" i="19"/>
  <c r="N8" i="20"/>
  <c r="P7" i="20"/>
  <c r="N7" i="20"/>
  <c r="P6" i="20"/>
  <c r="N6" i="20"/>
  <c r="B24" i="20" l="1" a="1"/>
  <c r="B24" i="20" s="1"/>
  <c r="O24" i="20"/>
  <c r="P24" i="20" s="1"/>
  <c r="Q24" i="20" s="1"/>
  <c r="R24" i="20"/>
  <c r="S24" i="20"/>
  <c r="O25" i="20"/>
  <c r="P25" i="20"/>
  <c r="Q25" i="20" s="1"/>
  <c r="R25" i="20"/>
  <c r="S25" i="20"/>
  <c r="O26" i="20"/>
  <c r="Q26" i="20" s="1"/>
  <c r="P26" i="20"/>
  <c r="R26" i="20"/>
  <c r="S26" i="20"/>
  <c r="O27" i="20"/>
  <c r="P27" i="20" s="1"/>
  <c r="R27" i="20"/>
  <c r="S27" i="20"/>
  <c r="O28" i="20"/>
  <c r="P28" i="20" s="1"/>
  <c r="R28" i="20"/>
  <c r="S28" i="20"/>
  <c r="O29" i="20"/>
  <c r="P29" i="20"/>
  <c r="Q29" i="20"/>
  <c r="R29" i="20"/>
  <c r="S29" i="20"/>
  <c r="O30" i="20"/>
  <c r="P30" i="20" s="1"/>
  <c r="R30" i="20"/>
  <c r="S30" i="20"/>
  <c r="O31" i="20"/>
  <c r="P31" i="20" s="1"/>
  <c r="R31" i="20"/>
  <c r="S31" i="20"/>
  <c r="O32" i="20"/>
  <c r="P32" i="20" s="1"/>
  <c r="Q32" i="20" s="1"/>
  <c r="R32" i="20"/>
  <c r="S32" i="20"/>
  <c r="O33" i="20"/>
  <c r="P33" i="20"/>
  <c r="Q33" i="20" s="1"/>
  <c r="R33" i="20"/>
  <c r="S33" i="20"/>
  <c r="O34" i="20"/>
  <c r="Q34" i="20" s="1"/>
  <c r="P34" i="20"/>
  <c r="R34" i="20"/>
  <c r="S34" i="20"/>
  <c r="R35" i="20"/>
  <c r="R36" i="20"/>
  <c r="R37" i="20"/>
  <c r="R38" i="20"/>
  <c r="R39" i="20"/>
  <c r="R40" i="20"/>
  <c r="R41" i="20"/>
  <c r="R42" i="20"/>
  <c r="R43" i="20"/>
  <c r="R44" i="20"/>
  <c r="R45" i="20"/>
  <c r="R46" i="20"/>
  <c r="R47" i="20"/>
  <c r="R48" i="20"/>
  <c r="R49" i="20"/>
  <c r="R50" i="20"/>
  <c r="R51" i="20"/>
  <c r="R52" i="20"/>
  <c r="R53" i="20"/>
  <c r="R54" i="20"/>
  <c r="R55" i="20"/>
  <c r="R56" i="20"/>
  <c r="R57" i="20"/>
  <c r="R58" i="20"/>
  <c r="R59" i="20"/>
  <c r="R60" i="20"/>
  <c r="R61" i="20"/>
  <c r="R62" i="20"/>
  <c r="R63" i="20"/>
  <c r="R64" i="20"/>
  <c r="R65" i="20"/>
  <c r="R66" i="20"/>
  <c r="R67" i="20"/>
  <c r="R68" i="20"/>
  <c r="R69" i="20"/>
  <c r="R70" i="20"/>
  <c r="R71" i="20"/>
  <c r="R72" i="20"/>
  <c r="R73" i="20"/>
  <c r="R74" i="20"/>
  <c r="R75" i="20"/>
  <c r="R76" i="20"/>
  <c r="R77" i="20"/>
  <c r="R78" i="20"/>
  <c r="R79" i="20"/>
  <c r="R80" i="20"/>
  <c r="R81" i="20"/>
  <c r="R82" i="20"/>
  <c r="R83" i="20"/>
  <c r="R84" i="20"/>
  <c r="R85" i="20"/>
  <c r="R86" i="20"/>
  <c r="R87" i="20"/>
  <c r="R88" i="20"/>
  <c r="R89" i="20"/>
  <c r="R90" i="20"/>
  <c r="R91" i="20"/>
  <c r="R92" i="20"/>
  <c r="R93" i="20"/>
  <c r="R94" i="20"/>
  <c r="R95" i="20"/>
  <c r="R96" i="20"/>
  <c r="R97" i="20"/>
  <c r="R98" i="20"/>
  <c r="R99" i="20"/>
  <c r="R100" i="20"/>
  <c r="R101" i="20"/>
  <c r="R102" i="20"/>
  <c r="R103" i="20"/>
  <c r="R104" i="20"/>
  <c r="R105" i="20"/>
  <c r="R106" i="20"/>
  <c r="R107" i="20"/>
  <c r="R108" i="20"/>
  <c r="R109" i="20"/>
  <c r="R110" i="20"/>
  <c r="R111" i="20"/>
  <c r="R112" i="20"/>
  <c r="R113" i="20"/>
  <c r="R114" i="20"/>
  <c r="R115" i="20"/>
  <c r="R116" i="20"/>
  <c r="R117" i="20"/>
  <c r="R118" i="20"/>
  <c r="R119" i="20"/>
  <c r="R120" i="20"/>
  <c r="R121" i="20"/>
  <c r="R122" i="20"/>
  <c r="R123" i="20"/>
  <c r="R124" i="20"/>
  <c r="R125" i="20"/>
  <c r="R126" i="20"/>
  <c r="R127" i="20"/>
  <c r="R128" i="20"/>
  <c r="R129" i="20"/>
  <c r="R130" i="20"/>
  <c r="R131" i="20"/>
  <c r="R132" i="20"/>
  <c r="R133" i="20"/>
  <c r="R134" i="20"/>
  <c r="R135" i="20"/>
  <c r="R136" i="20"/>
  <c r="R137" i="20"/>
  <c r="R138" i="20"/>
  <c r="R139" i="20"/>
  <c r="R140" i="20"/>
  <c r="R141" i="20"/>
  <c r="R142" i="20"/>
  <c r="R143" i="20"/>
  <c r="R144" i="20"/>
  <c r="R145" i="20"/>
  <c r="R146" i="20"/>
  <c r="R147" i="20"/>
  <c r="R148" i="20"/>
  <c r="O35" i="20"/>
  <c r="Q35" i="20" s="1"/>
  <c r="S35" i="20"/>
  <c r="O36" i="20"/>
  <c r="Q36" i="20" s="1"/>
  <c r="S36" i="20"/>
  <c r="O37" i="20"/>
  <c r="Q37" i="20" s="1"/>
  <c r="P37" i="20"/>
  <c r="S37" i="20"/>
  <c r="O38" i="20"/>
  <c r="P38" i="20" s="1"/>
  <c r="S38" i="20"/>
  <c r="O39" i="20"/>
  <c r="P39" i="20" s="1"/>
  <c r="S39" i="20"/>
  <c r="O40" i="20"/>
  <c r="Q40" i="20" s="1"/>
  <c r="S40" i="20"/>
  <c r="O41" i="20"/>
  <c r="P41" i="20" s="1"/>
  <c r="S41" i="20"/>
  <c r="O42" i="20"/>
  <c r="Q42" i="20" s="1"/>
  <c r="S42" i="20"/>
  <c r="O43" i="20"/>
  <c r="Q43" i="20" s="1"/>
  <c r="S43" i="20"/>
  <c r="O44" i="20"/>
  <c r="Q44" i="20" s="1"/>
  <c r="S44" i="20"/>
  <c r="O45" i="20"/>
  <c r="Q45" i="20" s="1"/>
  <c r="S45" i="20"/>
  <c r="O46" i="20"/>
  <c r="P46" i="20" s="1"/>
  <c r="S46" i="20"/>
  <c r="O47" i="20"/>
  <c r="P47" i="20" s="1"/>
  <c r="S47" i="20"/>
  <c r="O48" i="20"/>
  <c r="Q48" i="20" s="1"/>
  <c r="S48" i="20"/>
  <c r="O49" i="20"/>
  <c r="P49" i="20" s="1"/>
  <c r="S49" i="20"/>
  <c r="O50" i="20"/>
  <c r="Q50" i="20" s="1"/>
  <c r="S50" i="20"/>
  <c r="O51" i="20"/>
  <c r="Q51" i="20" s="1"/>
  <c r="S51" i="20"/>
  <c r="O52" i="20"/>
  <c r="Q52" i="20" s="1"/>
  <c r="S52" i="20"/>
  <c r="O53" i="20"/>
  <c r="Q53" i="20" s="1"/>
  <c r="S53" i="20"/>
  <c r="O54" i="20"/>
  <c r="P54" i="20" s="1"/>
  <c r="S54" i="20"/>
  <c r="O55" i="20"/>
  <c r="P55" i="20" s="1"/>
  <c r="S55" i="20"/>
  <c r="O56" i="20"/>
  <c r="Q56" i="20" s="1"/>
  <c r="S56" i="20"/>
  <c r="O57" i="20"/>
  <c r="P57" i="20" s="1"/>
  <c r="S57" i="20"/>
  <c r="O58" i="20"/>
  <c r="Q58" i="20" s="1"/>
  <c r="S58" i="20"/>
  <c r="O59" i="20"/>
  <c r="Q59" i="20" s="1"/>
  <c r="S59" i="20"/>
  <c r="O60" i="20"/>
  <c r="Q60" i="20" s="1"/>
  <c r="S60" i="20"/>
  <c r="O61" i="20"/>
  <c r="Q61" i="20" s="1"/>
  <c r="S61" i="20"/>
  <c r="O62" i="20"/>
  <c r="P62" i="20" s="1"/>
  <c r="S62" i="20"/>
  <c r="O63" i="20"/>
  <c r="P63" i="20" s="1"/>
  <c r="S63" i="20"/>
  <c r="O64" i="20"/>
  <c r="Q64" i="20" s="1"/>
  <c r="S64" i="20"/>
  <c r="O65" i="20"/>
  <c r="P65" i="20" s="1"/>
  <c r="S65" i="20"/>
  <c r="O66" i="20"/>
  <c r="Q66" i="20" s="1"/>
  <c r="S66" i="20"/>
  <c r="O67" i="20"/>
  <c r="Q67" i="20" s="1"/>
  <c r="S67" i="20"/>
  <c r="O68" i="20"/>
  <c r="Q68" i="20" s="1"/>
  <c r="S68" i="20"/>
  <c r="O69" i="20"/>
  <c r="Q69" i="20" s="1"/>
  <c r="S69" i="20"/>
  <c r="O70" i="20"/>
  <c r="P70" i="20" s="1"/>
  <c r="S70" i="20"/>
  <c r="O71" i="20"/>
  <c r="P71" i="20" s="1"/>
  <c r="S71" i="20"/>
  <c r="O72" i="20"/>
  <c r="Q72" i="20" s="1"/>
  <c r="S72" i="20"/>
  <c r="O73" i="20"/>
  <c r="P73" i="20" s="1"/>
  <c r="S73" i="20"/>
  <c r="O74" i="20"/>
  <c r="Q74" i="20" s="1"/>
  <c r="S74" i="20"/>
  <c r="O75" i="20"/>
  <c r="Q75" i="20" s="1"/>
  <c r="S75" i="20"/>
  <c r="O76" i="20"/>
  <c r="Q76" i="20" s="1"/>
  <c r="S76" i="20"/>
  <c r="O77" i="20"/>
  <c r="Q77" i="20" s="1"/>
  <c r="S77" i="20"/>
  <c r="O78" i="20"/>
  <c r="P78" i="20" s="1"/>
  <c r="S78" i="20"/>
  <c r="O79" i="20"/>
  <c r="P79" i="20" s="1"/>
  <c r="S79" i="20"/>
  <c r="O80" i="20"/>
  <c r="Q80" i="20" s="1"/>
  <c r="S80" i="20"/>
  <c r="O81" i="20"/>
  <c r="P81" i="20" s="1"/>
  <c r="S81" i="20"/>
  <c r="O82" i="20"/>
  <c r="Q82" i="20" s="1"/>
  <c r="S82" i="20"/>
  <c r="O83" i="20"/>
  <c r="Q83" i="20" s="1"/>
  <c r="S83" i="20"/>
  <c r="O84" i="20"/>
  <c r="Q84" i="20" s="1"/>
  <c r="S84" i="20"/>
  <c r="O85" i="20"/>
  <c r="Q85" i="20" s="1"/>
  <c r="S85" i="20"/>
  <c r="O86" i="20"/>
  <c r="P86" i="20" s="1"/>
  <c r="S86" i="20"/>
  <c r="O87" i="20"/>
  <c r="P87" i="20" s="1"/>
  <c r="S87" i="20"/>
  <c r="O88" i="20"/>
  <c r="Q88" i="20" s="1"/>
  <c r="S88" i="20"/>
  <c r="O89" i="20"/>
  <c r="P89" i="20" s="1"/>
  <c r="S89" i="20"/>
  <c r="O90" i="20"/>
  <c r="Q90" i="20" s="1"/>
  <c r="S90" i="20"/>
  <c r="O91" i="20"/>
  <c r="Q91" i="20" s="1"/>
  <c r="S91" i="20"/>
  <c r="O92" i="20"/>
  <c r="Q92" i="20" s="1"/>
  <c r="S92" i="20"/>
  <c r="O93" i="20"/>
  <c r="Q93" i="20" s="1"/>
  <c r="S93" i="20"/>
  <c r="O94" i="20"/>
  <c r="P94" i="20" s="1"/>
  <c r="S94" i="20"/>
  <c r="O95" i="20"/>
  <c r="P95" i="20" s="1"/>
  <c r="S95" i="20"/>
  <c r="O96" i="20"/>
  <c r="Q96" i="20" s="1"/>
  <c r="S96" i="20"/>
  <c r="O97" i="20"/>
  <c r="P97" i="20" s="1"/>
  <c r="S97" i="20"/>
  <c r="O98" i="20"/>
  <c r="Q98" i="20" s="1"/>
  <c r="S98" i="20"/>
  <c r="O99" i="20"/>
  <c r="Q99" i="20" s="1"/>
  <c r="S99" i="20"/>
  <c r="O100" i="20"/>
  <c r="Q100" i="20" s="1"/>
  <c r="S100" i="20"/>
  <c r="O101" i="20"/>
  <c r="Q101" i="20" s="1"/>
  <c r="S101" i="20"/>
  <c r="O102" i="20"/>
  <c r="P102" i="20" s="1"/>
  <c r="S102" i="20"/>
  <c r="O103" i="20"/>
  <c r="P103" i="20" s="1"/>
  <c r="S103" i="20"/>
  <c r="O104" i="20"/>
  <c r="Q104" i="20" s="1"/>
  <c r="S104" i="20"/>
  <c r="O105" i="20"/>
  <c r="P105" i="20" s="1"/>
  <c r="S105" i="20"/>
  <c r="O106" i="20"/>
  <c r="Q106" i="20" s="1"/>
  <c r="S106" i="20"/>
  <c r="O107" i="20"/>
  <c r="Q107" i="20" s="1"/>
  <c r="P107" i="20"/>
  <c r="S107" i="20"/>
  <c r="O108" i="20"/>
  <c r="Q108" i="20" s="1"/>
  <c r="S108" i="20"/>
  <c r="O109" i="20"/>
  <c r="Q109" i="20" s="1"/>
  <c r="S109" i="20"/>
  <c r="O110" i="20"/>
  <c r="P110" i="20" s="1"/>
  <c r="S110" i="20"/>
  <c r="O111" i="20"/>
  <c r="P111" i="20" s="1"/>
  <c r="S111" i="20"/>
  <c r="O112" i="20"/>
  <c r="Q112" i="20" s="1"/>
  <c r="S112" i="20"/>
  <c r="O113" i="20"/>
  <c r="P113" i="20" s="1"/>
  <c r="S113" i="20"/>
  <c r="O114" i="20"/>
  <c r="Q114" i="20" s="1"/>
  <c r="S114" i="20"/>
  <c r="O115" i="20"/>
  <c r="Q115" i="20" s="1"/>
  <c r="S115" i="20"/>
  <c r="O116" i="20"/>
  <c r="Q116" i="20" s="1"/>
  <c r="S116" i="20"/>
  <c r="O117" i="20"/>
  <c r="Q117" i="20" s="1"/>
  <c r="S117" i="20"/>
  <c r="O118" i="20"/>
  <c r="P118" i="20" s="1"/>
  <c r="S118" i="20"/>
  <c r="O119" i="20"/>
  <c r="P119" i="20" s="1"/>
  <c r="S119" i="20"/>
  <c r="O120" i="20"/>
  <c r="Q120" i="20" s="1"/>
  <c r="S120" i="20"/>
  <c r="O121" i="20"/>
  <c r="P121" i="20" s="1"/>
  <c r="S121" i="20"/>
  <c r="O122" i="20"/>
  <c r="Q122" i="20" s="1"/>
  <c r="S122" i="20"/>
  <c r="O123" i="20"/>
  <c r="Q123" i="20" s="1"/>
  <c r="S123" i="20"/>
  <c r="O124" i="20"/>
  <c r="Q124" i="20" s="1"/>
  <c r="S124" i="20"/>
  <c r="O125" i="20"/>
  <c r="Q125" i="20" s="1"/>
  <c r="S125" i="20"/>
  <c r="O126" i="20"/>
  <c r="P126" i="20" s="1"/>
  <c r="S126" i="20"/>
  <c r="O127" i="20"/>
  <c r="P127" i="20" s="1"/>
  <c r="S127" i="20"/>
  <c r="O128" i="20"/>
  <c r="Q128" i="20" s="1"/>
  <c r="S128" i="20"/>
  <c r="O129" i="20"/>
  <c r="P129" i="20" s="1"/>
  <c r="S129" i="20"/>
  <c r="O130" i="20"/>
  <c r="Q130" i="20" s="1"/>
  <c r="S130" i="20"/>
  <c r="O131" i="20"/>
  <c r="Q131" i="20" s="1"/>
  <c r="S131" i="20"/>
  <c r="O132" i="20"/>
  <c r="Q132" i="20" s="1"/>
  <c r="S132" i="20"/>
  <c r="O133" i="20"/>
  <c r="Q133" i="20" s="1"/>
  <c r="S133" i="20"/>
  <c r="O134" i="20"/>
  <c r="P134" i="20" s="1"/>
  <c r="S134" i="20"/>
  <c r="O135" i="20"/>
  <c r="P135" i="20" s="1"/>
  <c r="S135" i="20"/>
  <c r="O136" i="20"/>
  <c r="Q136" i="20" s="1"/>
  <c r="S136" i="20"/>
  <c r="O137" i="20"/>
  <c r="P137" i="20" s="1"/>
  <c r="S137" i="20"/>
  <c r="O138" i="20"/>
  <c r="Q138" i="20" s="1"/>
  <c r="S138" i="20"/>
  <c r="O139" i="20"/>
  <c r="Q139" i="20" s="1"/>
  <c r="P139" i="20"/>
  <c r="S139" i="20"/>
  <c r="O140" i="20"/>
  <c r="Q140" i="20" s="1"/>
  <c r="S140" i="20"/>
  <c r="O141" i="20"/>
  <c r="Q141" i="20" s="1"/>
  <c r="S141" i="20"/>
  <c r="O142" i="20"/>
  <c r="P142" i="20" s="1"/>
  <c r="S142" i="20"/>
  <c r="O143" i="20"/>
  <c r="P143" i="20" s="1"/>
  <c r="S143" i="20"/>
  <c r="O144" i="20"/>
  <c r="Q144" i="20" s="1"/>
  <c r="S144" i="20"/>
  <c r="O145" i="20"/>
  <c r="P145" i="20" s="1"/>
  <c r="S145" i="20"/>
  <c r="O146" i="20"/>
  <c r="Q146" i="20" s="1"/>
  <c r="S146" i="20"/>
  <c r="O147" i="20"/>
  <c r="Q147" i="20" s="1"/>
  <c r="S147" i="20"/>
  <c r="O148" i="20"/>
  <c r="Q148" i="20" s="1"/>
  <c r="S148" i="20"/>
  <c r="AG24" i="20"/>
  <c r="O23" i="20"/>
  <c r="P23" i="20" s="1"/>
  <c r="Q23" i="20" s="1"/>
  <c r="S23" i="20"/>
  <c r="AM33" i="20"/>
  <c r="AM32" i="20"/>
  <c r="AM31" i="20"/>
  <c r="AM30" i="20"/>
  <c r="AK33" i="20"/>
  <c r="AK32" i="20"/>
  <c r="AK31" i="20"/>
  <c r="AK30" i="20"/>
  <c r="AI33" i="20"/>
  <c r="AI32" i="20"/>
  <c r="AI31" i="20"/>
  <c r="AI30" i="20"/>
  <c r="AG33" i="20"/>
  <c r="AG32" i="20"/>
  <c r="AG31" i="20"/>
  <c r="AG30" i="20"/>
  <c r="AM27" i="20"/>
  <c r="AK27" i="20"/>
  <c r="AM26" i="20"/>
  <c r="AK26" i="20"/>
  <c r="AM25" i="20"/>
  <c r="AK25" i="20"/>
  <c r="AI27" i="20"/>
  <c r="AI26" i="20"/>
  <c r="AI25" i="20"/>
  <c r="AI24" i="20"/>
  <c r="AM24" i="20"/>
  <c r="AK24" i="20"/>
  <c r="AG27" i="20"/>
  <c r="AG26" i="20"/>
  <c r="K4" i="20"/>
  <c r="G29" i="19"/>
  <c r="L29" i="19"/>
  <c r="L23" i="19"/>
  <c r="G23" i="19"/>
  <c r="L40" i="19"/>
  <c r="G40" i="19"/>
  <c r="L46" i="19"/>
  <c r="G46" i="19"/>
  <c r="R4" i="19"/>
  <c r="L59" i="15"/>
  <c r="L59" i="14"/>
  <c r="K59" i="14"/>
  <c r="K59" i="15"/>
  <c r="P75" i="20" l="1"/>
  <c r="P9" i="20"/>
  <c r="U9" i="16"/>
  <c r="W9" i="19"/>
  <c r="W8" i="19"/>
  <c r="P8" i="20"/>
  <c r="U8" i="16"/>
  <c r="U9" i="19"/>
  <c r="S9" i="16"/>
  <c r="N9" i="20"/>
  <c r="Q28" i="20"/>
  <c r="Q31" i="20"/>
  <c r="Q27" i="20"/>
  <c r="Q30" i="20"/>
  <c r="L55" i="19"/>
  <c r="P133" i="20"/>
  <c r="P101" i="20"/>
  <c r="P69" i="20"/>
  <c r="P53" i="20"/>
  <c r="P117" i="20"/>
  <c r="Q129" i="20"/>
  <c r="Q97" i="20"/>
  <c r="Q89" i="20"/>
  <c r="P85" i="20"/>
  <c r="P43" i="20"/>
  <c r="Q65" i="20"/>
  <c r="P147" i="20"/>
  <c r="P115" i="20"/>
  <c r="P83" i="20"/>
  <c r="P51" i="20"/>
  <c r="Q145" i="20"/>
  <c r="Q81" i="20"/>
  <c r="P125" i="20"/>
  <c r="P93" i="20"/>
  <c r="P61" i="20"/>
  <c r="Q137" i="20"/>
  <c r="Q73" i="20"/>
  <c r="Q121" i="20"/>
  <c r="Q57" i="20"/>
  <c r="P131" i="20"/>
  <c r="P99" i="20"/>
  <c r="P67" i="20"/>
  <c r="P35" i="20"/>
  <c r="Q113" i="20"/>
  <c r="Q49" i="20"/>
  <c r="P141" i="20"/>
  <c r="P109" i="20"/>
  <c r="P77" i="20"/>
  <c r="P45" i="20"/>
  <c r="Q105" i="20"/>
  <c r="Q41" i="20"/>
  <c r="P123" i="20"/>
  <c r="P91" i="20"/>
  <c r="P59" i="20"/>
  <c r="P144" i="20"/>
  <c r="P136" i="20"/>
  <c r="P128" i="20"/>
  <c r="P120" i="20"/>
  <c r="P112" i="20"/>
  <c r="P104" i="20"/>
  <c r="P96" i="20"/>
  <c r="P88" i="20"/>
  <c r="P80" i="20"/>
  <c r="P72" i="20"/>
  <c r="P64" i="20"/>
  <c r="P56" i="20"/>
  <c r="P48" i="20"/>
  <c r="P40" i="20"/>
  <c r="Q143" i="20"/>
  <c r="Q135" i="20"/>
  <c r="Q127" i="20"/>
  <c r="Q119" i="20"/>
  <c r="Q111" i="20"/>
  <c r="Q103" i="20"/>
  <c r="Q95" i="20"/>
  <c r="Q87" i="20"/>
  <c r="Q79" i="20"/>
  <c r="Q71" i="20"/>
  <c r="Q63" i="20"/>
  <c r="Q55" i="20"/>
  <c r="Q47" i="20"/>
  <c r="Q39" i="20"/>
  <c r="P146" i="20"/>
  <c r="P138" i="20"/>
  <c r="P130" i="20"/>
  <c r="P122" i="20"/>
  <c r="P114" i="20"/>
  <c r="P106" i="20"/>
  <c r="P98" i="20"/>
  <c r="P90" i="20"/>
  <c r="P82" i="20"/>
  <c r="P74" i="20"/>
  <c r="P66" i="20"/>
  <c r="P58" i="20"/>
  <c r="P50" i="20"/>
  <c r="P42" i="20"/>
  <c r="Q142" i="20"/>
  <c r="Q134" i="20"/>
  <c r="Q126" i="20"/>
  <c r="Q118" i="20"/>
  <c r="Q110" i="20"/>
  <c r="Q102" i="20"/>
  <c r="Q94" i="20"/>
  <c r="Q86" i="20"/>
  <c r="Q78" i="20"/>
  <c r="Q70" i="20"/>
  <c r="Q62" i="20"/>
  <c r="Q54" i="20"/>
  <c r="Q46" i="20"/>
  <c r="Q38" i="20"/>
  <c r="P148" i="20"/>
  <c r="P140" i="20"/>
  <c r="P132" i="20"/>
  <c r="P124" i="20"/>
  <c r="P116" i="20"/>
  <c r="P108" i="20"/>
  <c r="P100" i="20"/>
  <c r="P92" i="20"/>
  <c r="P84" i="20"/>
  <c r="P76" i="20"/>
  <c r="P68" i="20"/>
  <c r="P60" i="20"/>
  <c r="P52" i="20"/>
  <c r="P44" i="20"/>
  <c r="P36" i="20"/>
  <c r="X23" i="20"/>
  <c r="L30" i="19"/>
  <c r="G47" i="19"/>
  <c r="L47" i="19"/>
  <c r="G30" i="19"/>
  <c r="D59" i="14"/>
  <c r="E59" i="14"/>
  <c r="F59" i="14"/>
  <c r="G59" i="14"/>
  <c r="H59" i="14"/>
  <c r="I59" i="14"/>
  <c r="J59" i="14"/>
  <c r="M59" i="15"/>
  <c r="I59" i="15"/>
  <c r="J59" i="15"/>
  <c r="H59" i="15"/>
  <c r="E59" i="15"/>
  <c r="F59" i="15"/>
  <c r="G59" i="15"/>
  <c r="D59" i="15"/>
  <c r="P4" i="16"/>
  <c r="K27" i="16"/>
  <c r="X24" i="20" l="1"/>
  <c r="X25" i="20" s="1"/>
  <c r="K29" i="16"/>
  <c r="K28" i="16"/>
  <c r="K22" i="16"/>
  <c r="K21" i="16"/>
  <c r="K20" i="16"/>
  <c r="P24" i="16"/>
  <c r="E8" i="9"/>
  <c r="M3" i="14"/>
  <c r="S14" i="16" l="1"/>
  <c r="U14" i="19"/>
  <c r="T14" i="16"/>
  <c r="T17" i="16" s="1"/>
  <c r="O14" i="20"/>
  <c r="V14" i="19"/>
  <c r="X27" i="20"/>
  <c r="X32" i="20"/>
  <c r="X34" i="20" s="1"/>
  <c r="X37" i="20"/>
  <c r="L56" i="19"/>
  <c r="F23" i="16"/>
  <c r="F30" i="16"/>
  <c r="I13" i="9"/>
  <c r="H13" i="9"/>
  <c r="M58" i="14"/>
  <c r="M57" i="14"/>
  <c r="O57" i="14"/>
  <c r="Q57" i="14" s="1"/>
  <c r="M56" i="14"/>
  <c r="M55" i="14"/>
  <c r="M54" i="14"/>
  <c r="M53" i="14"/>
  <c r="O53" i="14"/>
  <c r="Q53" i="14" s="1"/>
  <c r="M52" i="14"/>
  <c r="M50" i="14"/>
  <c r="M49" i="14"/>
  <c r="M48" i="14"/>
  <c r="O48" i="14"/>
  <c r="Q48" i="14" s="1"/>
  <c r="M47" i="14"/>
  <c r="M46" i="14"/>
  <c r="M44" i="14"/>
  <c r="M43" i="14"/>
  <c r="O43" i="14"/>
  <c r="Q43" i="14" s="1"/>
  <c r="M42" i="14"/>
  <c r="M41" i="14"/>
  <c r="M40" i="14"/>
  <c r="M39" i="14"/>
  <c r="O39" i="14"/>
  <c r="Q39" i="14" s="1"/>
  <c r="M37" i="14"/>
  <c r="M36" i="14"/>
  <c r="M35" i="14"/>
  <c r="M34" i="14"/>
  <c r="O34" i="14"/>
  <c r="Q34" i="14" s="1"/>
  <c r="M33" i="14"/>
  <c r="M32" i="14"/>
  <c r="M31" i="14"/>
  <c r="M30" i="14"/>
  <c r="O30" i="14"/>
  <c r="Q30" i="14" s="1"/>
  <c r="M29" i="14"/>
  <c r="M28" i="14"/>
  <c r="M27" i="14"/>
  <c r="M26" i="14"/>
  <c r="O26" i="14"/>
  <c r="Q26" i="14" s="1"/>
  <c r="M25" i="14"/>
  <c r="M24" i="14"/>
  <c r="M23" i="14"/>
  <c r="M22" i="14"/>
  <c r="O22" i="14"/>
  <c r="Q22" i="14" s="1"/>
  <c r="M21" i="14"/>
  <c r="M20" i="14"/>
  <c r="M19" i="14"/>
  <c r="M18" i="14"/>
  <c r="E9" i="9" s="1"/>
  <c r="O18" i="14"/>
  <c r="Q18" i="14" s="1"/>
  <c r="M17" i="14"/>
  <c r="M16" i="14"/>
  <c r="M14" i="14"/>
  <c r="M13" i="14"/>
  <c r="O13" i="14"/>
  <c r="Q13" i="14" s="1"/>
  <c r="M12" i="14"/>
  <c r="M11" i="14"/>
  <c r="M10" i="14"/>
  <c r="M9" i="14"/>
  <c r="O9" i="14"/>
  <c r="Q9" i="14" s="1"/>
  <c r="M8" i="14"/>
  <c r="M7" i="14"/>
  <c r="M6" i="14"/>
  <c r="M4" i="14"/>
  <c r="O4" i="14"/>
  <c r="Q4" i="14" s="1"/>
  <c r="I33" i="9"/>
  <c r="I29" i="9"/>
  <c r="I30" i="9"/>
  <c r="I28" i="9"/>
  <c r="N27" i="9"/>
  <c r="F45" i="9"/>
  <c r="I36" i="9"/>
  <c r="I35" i="9"/>
  <c r="I34" i="9"/>
  <c r="M35" i="16" l="1"/>
  <c r="M38" i="16" s="1"/>
  <c r="S17" i="16"/>
  <c r="S16" i="16"/>
  <c r="S15" i="16"/>
  <c r="V16" i="19"/>
  <c r="V15" i="19"/>
  <c r="V17" i="19"/>
  <c r="T15" i="16"/>
  <c r="T16" i="16"/>
  <c r="U16" i="19"/>
  <c r="U17" i="19"/>
  <c r="U15" i="19"/>
  <c r="O15" i="20"/>
  <c r="AI28" i="20" s="1"/>
  <c r="O17" i="20"/>
  <c r="AI34" i="20" s="1"/>
  <c r="O16" i="20"/>
  <c r="N17" i="20"/>
  <c r="N15" i="20"/>
  <c r="N16" i="20"/>
  <c r="X39" i="20"/>
  <c r="X38" i="20"/>
  <c r="X33" i="20"/>
  <c r="L66" i="19"/>
  <c r="M59" i="14"/>
  <c r="E37" i="9"/>
  <c r="O58" i="14"/>
  <c r="Q58" i="14" s="1"/>
  <c r="N58" i="14"/>
  <c r="P58" i="14" s="1"/>
  <c r="N25" i="14"/>
  <c r="P25" i="14" s="1"/>
  <c r="O25" i="14"/>
  <c r="Q25" i="14" s="1"/>
  <c r="O31" i="14"/>
  <c r="Q31" i="14" s="1"/>
  <c r="N31" i="14"/>
  <c r="P31" i="14" s="1"/>
  <c r="O32" i="14"/>
  <c r="Q32" i="14" s="1"/>
  <c r="N32" i="14"/>
  <c r="P32" i="14" s="1"/>
  <c r="N52" i="14"/>
  <c r="P52" i="14" s="1"/>
  <c r="O52" i="14"/>
  <c r="Q52" i="14" s="1"/>
  <c r="O27" i="14"/>
  <c r="Q27" i="14" s="1"/>
  <c r="N27" i="14"/>
  <c r="P27" i="14" s="1"/>
  <c r="N56" i="14"/>
  <c r="P56" i="14" s="1"/>
  <c r="O56" i="14"/>
  <c r="Q56" i="14" s="1"/>
  <c r="N3" i="14"/>
  <c r="P3" i="14" s="1"/>
  <c r="O3" i="14"/>
  <c r="Q3" i="14" s="1"/>
  <c r="N29" i="14"/>
  <c r="P29" i="14" s="1"/>
  <c r="O29" i="14"/>
  <c r="Q29" i="14" s="1"/>
  <c r="O35" i="14"/>
  <c r="Q35" i="14" s="1"/>
  <c r="N35" i="14"/>
  <c r="P35" i="14" s="1"/>
  <c r="O36" i="14"/>
  <c r="Q36" i="14" s="1"/>
  <c r="N36" i="14"/>
  <c r="P36" i="14" s="1"/>
  <c r="N17" i="14"/>
  <c r="P17" i="14" s="1"/>
  <c r="O17" i="14"/>
  <c r="Q17" i="14" s="1"/>
  <c r="O6" i="14"/>
  <c r="Q6" i="14" s="1"/>
  <c r="N6" i="14"/>
  <c r="P6" i="14" s="1"/>
  <c r="O7" i="14"/>
  <c r="Q7" i="14" s="1"/>
  <c r="N7" i="14"/>
  <c r="P7" i="14" s="1"/>
  <c r="N33" i="14"/>
  <c r="P33" i="14" s="1"/>
  <c r="O33" i="14"/>
  <c r="Q33" i="14" s="1"/>
  <c r="O40" i="14"/>
  <c r="Q40" i="14" s="1"/>
  <c r="N40" i="14"/>
  <c r="P40" i="14" s="1"/>
  <c r="O41" i="14"/>
  <c r="Q41" i="14" s="1"/>
  <c r="N41" i="14"/>
  <c r="P41" i="14" s="1"/>
  <c r="O24" i="14"/>
  <c r="Q24" i="14" s="1"/>
  <c r="N24" i="14"/>
  <c r="P24" i="14" s="1"/>
  <c r="O28" i="14"/>
  <c r="Q28" i="14" s="1"/>
  <c r="N28" i="14"/>
  <c r="P28" i="14" s="1"/>
  <c r="O10" i="14"/>
  <c r="Q10" i="14" s="1"/>
  <c r="N10" i="14"/>
  <c r="P10" i="14" s="1"/>
  <c r="O11" i="14"/>
  <c r="Q11" i="14" s="1"/>
  <c r="N11" i="14"/>
  <c r="P11" i="14" s="1"/>
  <c r="N37" i="14"/>
  <c r="O37" i="14"/>
  <c r="Q37" i="14" s="1"/>
  <c r="O44" i="14"/>
  <c r="Q44" i="14" s="1"/>
  <c r="N44" i="14"/>
  <c r="P44" i="14" s="1"/>
  <c r="O46" i="14"/>
  <c r="Q46" i="14" s="1"/>
  <c r="N46" i="14"/>
  <c r="P46" i="14" s="1"/>
  <c r="O23" i="14"/>
  <c r="Q23" i="14" s="1"/>
  <c r="N23" i="14"/>
  <c r="P23" i="14" s="1"/>
  <c r="N8" i="14"/>
  <c r="P8" i="14" s="1"/>
  <c r="O8" i="14"/>
  <c r="Q8" i="14" s="1"/>
  <c r="O14" i="14"/>
  <c r="Q14" i="14" s="1"/>
  <c r="N14" i="14"/>
  <c r="P14" i="14" s="1"/>
  <c r="O16" i="14"/>
  <c r="Q16" i="14" s="1"/>
  <c r="N16" i="14"/>
  <c r="P16" i="14" s="1"/>
  <c r="N42" i="14"/>
  <c r="P42" i="14" s="1"/>
  <c r="O42" i="14"/>
  <c r="Q42" i="14" s="1"/>
  <c r="O49" i="14"/>
  <c r="Q49" i="14" s="1"/>
  <c r="N49" i="14"/>
  <c r="P49" i="14" s="1"/>
  <c r="O50" i="14"/>
  <c r="Q50" i="14" s="1"/>
  <c r="N50" i="14"/>
  <c r="P50" i="14" s="1"/>
  <c r="N21" i="14"/>
  <c r="P21" i="14" s="1"/>
  <c r="O21" i="14"/>
  <c r="Q21" i="14" s="1"/>
  <c r="N12" i="14"/>
  <c r="P12" i="14" s="1"/>
  <c r="O12" i="14"/>
  <c r="Q12" i="14" s="1"/>
  <c r="O19" i="14"/>
  <c r="Q19" i="14" s="1"/>
  <c r="N19" i="14"/>
  <c r="P19" i="14" s="1"/>
  <c r="O20" i="14"/>
  <c r="Q20" i="14" s="1"/>
  <c r="N20" i="14"/>
  <c r="P20" i="14" s="1"/>
  <c r="K13" i="9"/>
  <c r="K14" i="9" s="1"/>
  <c r="O47" i="14"/>
  <c r="Q47" i="14" s="1"/>
  <c r="N47" i="14"/>
  <c r="P47" i="14" s="1"/>
  <c r="O54" i="14"/>
  <c r="Q54" i="14" s="1"/>
  <c r="N54" i="14"/>
  <c r="P54" i="14" s="1"/>
  <c r="O55" i="14"/>
  <c r="Q55" i="14" s="1"/>
  <c r="N55" i="14"/>
  <c r="P55" i="14" s="1"/>
  <c r="N4" i="14"/>
  <c r="P4" i="14" s="1"/>
  <c r="N9" i="14"/>
  <c r="P9" i="14" s="1"/>
  <c r="N13" i="14"/>
  <c r="P13" i="14" s="1"/>
  <c r="N18" i="14"/>
  <c r="P18" i="14" s="1"/>
  <c r="J13" i="9" s="1"/>
  <c r="J15" i="9" s="1"/>
  <c r="N22" i="14"/>
  <c r="P22" i="14" s="1"/>
  <c r="N26" i="14"/>
  <c r="P26" i="14" s="1"/>
  <c r="N30" i="14"/>
  <c r="P30" i="14" s="1"/>
  <c r="N34" i="14"/>
  <c r="P34" i="14" s="1"/>
  <c r="N39" i="14"/>
  <c r="P39" i="14" s="1"/>
  <c r="N43" i="14"/>
  <c r="P43" i="14" s="1"/>
  <c r="N48" i="14"/>
  <c r="P48" i="14" s="1"/>
  <c r="N53" i="14"/>
  <c r="P53" i="14" s="1"/>
  <c r="N57" i="14"/>
  <c r="P57" i="14" s="1"/>
  <c r="E31" i="9"/>
  <c r="H35" i="16" l="1" a="1"/>
  <c r="H35" i="16" s="1"/>
  <c r="Q14" i="20"/>
  <c r="V14" i="16"/>
  <c r="V15" i="16" s="1"/>
  <c r="X14" i="19"/>
  <c r="P14" i="20"/>
  <c r="W14" i="19"/>
  <c r="U14" i="16"/>
  <c r="U17" i="16" s="1"/>
  <c r="AG28" i="20"/>
  <c r="L58" i="19"/>
  <c r="AI35" i="20"/>
  <c r="AG34" i="20"/>
  <c r="E38" i="9"/>
  <c r="E40" i="9" s="1"/>
  <c r="K16" i="9"/>
  <c r="K15" i="9"/>
  <c r="J16" i="9"/>
  <c r="J14" i="9"/>
  <c r="H14" i="9"/>
  <c r="AG35" i="20" l="1"/>
  <c r="AG38" i="20" s="1"/>
  <c r="V17" i="16"/>
  <c r="V16" i="16"/>
  <c r="U16" i="16"/>
  <c r="U15" i="16"/>
  <c r="W16" i="19"/>
  <c r="W15" i="19"/>
  <c r="W17" i="19"/>
  <c r="P17" i="20"/>
  <c r="P16" i="20"/>
  <c r="P15" i="20"/>
  <c r="X16" i="19"/>
  <c r="X17" i="19"/>
  <c r="X15" i="19"/>
  <c r="Q17" i="20"/>
  <c r="Q15" i="20"/>
  <c r="Q16" i="20"/>
  <c r="L59" i="19"/>
  <c r="E51" i="9" a="1"/>
  <c r="E51" i="9" s="1"/>
  <c r="I15" i="9"/>
  <c r="I16" i="9"/>
  <c r="I14" i="9"/>
  <c r="H15" i="9"/>
  <c r="H16" i="9"/>
  <c r="H38" i="16" l="1"/>
  <c r="L60" i="19"/>
  <c r="L61" i="19" s="1"/>
  <c r="AK28" i="20"/>
  <c r="V21" i="20"/>
  <c r="AM28" i="20"/>
  <c r="AK34" i="20"/>
  <c r="R23" i="20"/>
  <c r="AM34" i="20"/>
  <c r="F43" i="9" a="1"/>
  <c r="F43" i="9" s="1"/>
  <c r="F44" i="9" s="1"/>
  <c r="L63" i="19" l="1"/>
  <c r="L64" i="19" s="1"/>
  <c r="AM35" i="20"/>
  <c r="AK3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tc={ED6C68D6-5659-4640-B4C5-B36AF77B54A7}</author>
    <author>tc={3376A1F2-65E4-4EB9-A10C-1946B209AA94}</author>
    <author>tc={A142A415-DC66-4F77-8895-AAB5046BA349}</author>
    <author>tc={5A573B54-A02B-4D07-A1C0-E15F9C9AFF23}</author>
    <author>tc={5B09F621-B999-4F2B-ABFC-2200F6E7F3F0}</author>
    <author>tc={9580B7A2-81F4-46C2-96CA-2927330F70BC}</author>
    <author>tc={B371611A-D098-4080-8035-D22742AA333A}</author>
    <author>tc={E12AB2DE-9557-4C10-BA23-CCC86FDA005C}</author>
  </authors>
  <commentList>
    <comment ref="E12" authorId="0" shapeId="0" xr:uid="{ED6C68D6-5659-4640-B4C5-B36AF77B54A7}">
      <text>
        <t>[Threaded comment]
Your version of Excel allows you to read this threaded comment; however, any edits to it will get removed if the file is opened in a newer version of Excel. Learn more: https://go.microsoft.com/fwlink/?linkid=870924
Comment:
    Should we also show the state average energy consumption on this table?
Reply:
    Jillian, pls pull in average energy use (by dwelling type) in a table on this sheet. So, when user select the state, the table would populate. Also I think that new table and this one should be below. After all the inputs (what do you think)?</t>
      </text>
    </comment>
    <comment ref="B19" authorId="1" shapeId="0" xr:uid="{3376A1F2-65E4-4EB9-A10C-1946B209AA94}">
      <text>
        <t xml:space="preserve">[Threaded comment]
Your version of Excel allows you to read this threaded comment; however, any edits to it will get removed if the file is opened in a newer version of Excel. Learn more: https://go.microsoft.com/fwlink/?linkid=870924
Comment:
    Then duplicate table for portfolio?
Reply:
    Recommend separate tab/calculator for portfolio. </t>
      </text>
    </comment>
    <comment ref="C21" authorId="2" shapeId="0" xr:uid="{A142A415-DC66-4F77-8895-AAB5046BA349}">
      <text>
        <t xml:space="preserve">[Threaded comment]
Your version of Excel allows you to read this threaded comment; however, any edits to it will get removed if the file is opened in a newer version of Excel. Learn more: https://go.microsoft.com/fwlink/?linkid=870924
Comment:
    I think we'll need to define this, or tell people how to use it if they are calculating a rebate for a portfolio of homes.
Reply:
    Used the requirements definition on the readme tab (except for noted modification).
Reply:
    As it relates to portfolio, I recommend a second calculator (or tab). </t>
      </text>
    </comment>
    <comment ref="E22" authorId="3" shapeId="0" xr:uid="{5A573B54-A02B-4D07-A1C0-E15F9C9AFF23}">
      <text>
        <t>[Threaded comment]
Your version of Excel allows you to read this threaded comment; however, any edits to it will get removed if the file is opened in a newer version of Excel. Learn more: https://go.microsoft.com/fwlink/?linkid=870924
Comment:
    Do we need to split out low and moderate income? The state can request to pay up to 100% of the project cost for low income (I think)
Reply:
    For 50121, we do not have to break out between Low and Moderate. There is only one break point: above/below 80% AMI. And, right, below 80%, states and request to pay up to 100% of project cost</t>
      </text>
    </comment>
    <comment ref="K25" authorId="4" shapeId="0" xr:uid="{5B09F621-B999-4F2B-ABFC-2200F6E7F3F0}">
      <text>
        <t>[Threaded comment]
Your version of Excel allows you to read this threaded comment; however, any edits to it will get removed if the file is opened in a newer version of Excel. Learn more: https://go.microsoft.com/fwlink/?linkid=870924
Comment:
    Should we flag this if its less than the allowed? Which I think is just 1
Reply:
    Jillian, add data validation that does not allow an input of 0 or 1.</t>
      </text>
    </comment>
    <comment ref="E33" authorId="5" shapeId="0" xr:uid="{9580B7A2-81F4-46C2-96CA-2927330F70BC}">
      <text>
        <t>[Threaded comment]
Your version of Excel allows you to read this threaded comment; however, any edits to it will get removed if the file is opened in a newer version of Excel. Learn more: https://go.microsoft.com/fwlink/?linkid=870924
Comment:
    I'm confused about how this would be measured separately. This is possible? I guess I just need to understand how it would be done.
Reply:
    Yes, possible. And getting savings by fuel type will be required to get total whole home energy savings</t>
      </text>
    </comment>
    <comment ref="C42" authorId="6" shapeId="0" xr:uid="{B371611A-D098-4080-8035-D22742AA333A}">
      <text>
        <t>[Threaded comment]
Your version of Excel allows you to read this threaded comment; however, any edits to it will get removed if the file is opened in a newer version of Excel. Learn more: https://go.microsoft.com/fwlink/?linkid=870924
Comment:
    This box is a little confusing to me. Let's chat. I also wonder if we should have a box that is 'calculated payment' that shows up when &gt;15% is achieved but says 'does not qualify' if it doesn't achieve.
Reply:
    Jillian,  if the project achieves less than 15%, (the box above is "no"), then have the incentive value  say "does not qualify."</t>
      </text>
    </comment>
    <comment ref="F45" authorId="7" shapeId="0" xr:uid="{E12AB2DE-9557-4C10-BA23-CCC86FDA005C}">
      <text>
        <t xml:space="preserve">[Threaded comment]
Your version of Excel allows you to read this threaded comment; however, any edits to it will get removed if the file is opened in a newer version of Excel. Learn more: https://go.microsoft.com/fwlink/?linkid=870924
Comment:
    Jillian, turns out the statue was SUPPOSED to say "lesser of" these two options, but congress fat figured it. Whoops.  So DOE is trying to discourage the richer incentive based (% of project cost). So pls put this one lowest. 
Reply:
    And gray it out a bit.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tc={B9A532EB-7B36-4DB6-A5ED-6D20E0980A5B}</author>
  </authors>
  <commentList>
    <comment ref="AI7" authorId="0" shapeId="0" xr:uid="{B9A532EB-7B36-4DB6-A5ED-6D20E0980A5B}">
      <text>
        <t>[Threaded comment]
Your version of Excel allows you to read this threaded comment; however, any edits to it will get removed if the file is opened in a newer version of Excel. Learn more: https://go.microsoft.com/fwlink/?linkid=870924
Comment:
    Consider moving this text box up or to the left of the table so you see instructions first</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<sst xmlns="http://schemas.openxmlformats.org/spreadsheetml/2006/main" count="845" uniqueCount="368">
  <si>
    <t>State-Specific "Measured-Path" Incentive Payment Rate Calculator</t>
  </si>
  <si>
    <t>State</t>
  </si>
  <si>
    <t>Illinois</t>
  </si>
  <si>
    <t>Average site energy use</t>
  </si>
  <si>
    <t xml:space="preserve">Single Family Dwelling Unit </t>
  </si>
  <si>
    <t xml:space="preserve">Multifamily Dwelling Unit </t>
  </si>
  <si>
    <t>Single Family</t>
  </si>
  <si>
    <t>Multi Family</t>
  </si>
  <si>
    <r>
      <rPr>
        <b/>
        <sz val="11"/>
        <color theme="1"/>
        <rFont val="Calibri"/>
        <family val="2"/>
        <scheme val="minor"/>
      </rPr>
      <t>Measured Incentive
Payment Rate</t>
    </r>
    <r>
      <rPr>
        <sz val="11"/>
        <color theme="1"/>
        <rFont val="Calibri"/>
        <family val="2"/>
        <scheme val="minor"/>
      </rPr>
      <t xml:space="preserve">
(by energy type, dwelling type, and 
 income level)</t>
    </r>
  </si>
  <si>
    <t>Energy Type</t>
  </si>
  <si>
    <t>Market</t>
  </si>
  <si>
    <t>LMI</t>
  </si>
  <si>
    <t>Conversion Table</t>
  </si>
  <si>
    <t>Electric ($/kWh)</t>
  </si>
  <si>
    <t>Fuel</t>
  </si>
  <si>
    <t>Measured Unit</t>
  </si>
  <si>
    <t>kWh Equivalent</t>
  </si>
  <si>
    <t>Natural Gas ($/Therm)</t>
  </si>
  <si>
    <t>Natural Gas</t>
  </si>
  <si>
    <t>1 Therm</t>
  </si>
  <si>
    <t>kWh</t>
  </si>
  <si>
    <t>Propane ($/gallon)</t>
  </si>
  <si>
    <t>Propane</t>
  </si>
  <si>
    <t>1 gallon</t>
  </si>
  <si>
    <t>Fuel Oil ($/gallon)</t>
  </si>
  <si>
    <t>Fuel Oil</t>
  </si>
  <si>
    <r>
      <t xml:space="preserve">Measured Project Value Estimator </t>
    </r>
    <r>
      <rPr>
        <b/>
        <sz val="14"/>
        <color rgb="FFFF0000"/>
        <rFont val="Calibri"/>
        <family val="2"/>
        <scheme val="minor"/>
      </rPr>
      <t>(Single SF or MF)</t>
    </r>
  </si>
  <si>
    <t>Total Project Cost</t>
  </si>
  <si>
    <t>Market Rate or LMI</t>
  </si>
  <si>
    <t>Is your data per average 
dwelling unit or per building?</t>
  </si>
  <si>
    <t>per dwelling unit</t>
  </si>
  <si>
    <t>Single Family (SF) or Multi Family (MF)</t>
  </si>
  <si>
    <t>MF</t>
  </si>
  <si>
    <r>
      <t xml:space="preserve">Enter the </t>
    </r>
    <r>
      <rPr>
        <b/>
        <sz val="11"/>
        <color theme="1"/>
        <rFont val="Calibri"/>
        <family val="2"/>
        <scheme val="minor"/>
      </rPr>
      <t>annual consumption</t>
    </r>
    <r>
      <rPr>
        <sz val="11"/>
        <color theme="1"/>
        <rFont val="Calibri"/>
        <family val="2"/>
        <scheme val="minor"/>
      </rPr>
      <t xml:space="preserve"> and </t>
    </r>
    <r>
      <rPr>
        <b/>
        <sz val="11"/>
        <color theme="1"/>
        <rFont val="Calibri"/>
        <family val="2"/>
        <scheme val="minor"/>
      </rPr>
      <t xml:space="preserve">percent of savings achieved </t>
    </r>
    <r>
      <rPr>
        <sz val="11"/>
        <color theme="1"/>
        <rFont val="Calibri"/>
        <family val="2"/>
        <scheme val="minor"/>
      </rPr>
      <t>for:</t>
    </r>
  </si>
  <si>
    <t>How many dwelling units in building?</t>
  </si>
  <si>
    <r>
      <t xml:space="preserve">Annual </t>
    </r>
    <r>
      <rPr>
        <b/>
        <sz val="11"/>
        <color theme="1"/>
        <rFont val="Calibri"/>
        <family val="2"/>
        <scheme val="minor"/>
      </rPr>
      <t>Electricity</t>
    </r>
    <r>
      <rPr>
        <sz val="11"/>
        <color theme="1"/>
        <rFont val="Calibri"/>
        <family val="2"/>
        <scheme val="minor"/>
      </rPr>
      <t xml:space="preserve"> Consumption</t>
    </r>
  </si>
  <si>
    <r>
      <t xml:space="preserve">Annual </t>
    </r>
    <r>
      <rPr>
        <b/>
        <sz val="11"/>
        <color theme="1"/>
        <rFont val="Calibri"/>
        <family val="2"/>
        <scheme val="minor"/>
      </rPr>
      <t>Natural Gas</t>
    </r>
    <r>
      <rPr>
        <sz val="11"/>
        <color theme="1"/>
        <rFont val="Calibri"/>
        <family val="2"/>
        <scheme val="minor"/>
      </rPr>
      <t xml:space="preserve"> Consumption</t>
    </r>
  </si>
  <si>
    <t>Therm</t>
  </si>
  <si>
    <t>=</t>
  </si>
  <si>
    <t>kWh equiv.</t>
  </si>
  <si>
    <r>
      <t xml:space="preserve">Annual </t>
    </r>
    <r>
      <rPr>
        <b/>
        <sz val="11"/>
        <color theme="1"/>
        <rFont val="Calibri"/>
        <family val="2"/>
        <scheme val="minor"/>
      </rPr>
      <t>Propane</t>
    </r>
    <r>
      <rPr>
        <sz val="11"/>
        <color theme="1"/>
        <rFont val="Calibri"/>
        <family val="2"/>
        <scheme val="minor"/>
      </rPr>
      <t xml:space="preserve"> Consumption</t>
    </r>
  </si>
  <si>
    <t>gallons</t>
  </si>
  <si>
    <r>
      <t xml:space="preserve">Annual </t>
    </r>
    <r>
      <rPr>
        <b/>
        <sz val="11"/>
        <color theme="1"/>
        <rFont val="Calibri"/>
        <family val="2"/>
        <scheme val="minor"/>
      </rPr>
      <t>Fuel Oil</t>
    </r>
    <r>
      <rPr>
        <sz val="11"/>
        <color theme="1"/>
        <rFont val="Calibri"/>
        <family val="2"/>
        <scheme val="minor"/>
      </rPr>
      <t xml:space="preserve"> Consumption</t>
    </r>
  </si>
  <si>
    <t>Total Annual Consumption</t>
  </si>
  <si>
    <r>
      <t xml:space="preserve">For energy types that are </t>
    </r>
    <r>
      <rPr>
        <u/>
        <sz val="11"/>
        <color theme="1"/>
        <rFont val="Calibri"/>
        <family val="2"/>
        <scheme val="minor"/>
      </rPr>
      <t>not applicable</t>
    </r>
    <r>
      <rPr>
        <sz val="11"/>
        <color theme="1"/>
        <rFont val="Calibri"/>
        <family val="2"/>
        <scheme val="minor"/>
      </rPr>
      <t xml:space="preserve"> to your site, enter</t>
    </r>
    <r>
      <rPr>
        <b/>
        <sz val="11"/>
        <color theme="9" tint="-0.249977111117893"/>
        <rFont val="Calibri"/>
        <family val="2"/>
        <scheme val="minor"/>
      </rPr>
      <t xml:space="preserve"> 0</t>
    </r>
    <r>
      <rPr>
        <sz val="11"/>
        <color theme="1"/>
        <rFont val="Calibri"/>
        <family val="2"/>
        <scheme val="minor"/>
      </rPr>
      <t xml:space="preserve"> or leave </t>
    </r>
    <r>
      <rPr>
        <b/>
        <sz val="11"/>
        <color theme="9" tint="-0.249977111117893"/>
        <rFont val="Calibri"/>
        <family val="2"/>
        <scheme val="minor"/>
      </rPr>
      <t>blank</t>
    </r>
    <r>
      <rPr>
        <sz val="11"/>
        <color theme="1"/>
        <rFont val="Calibri"/>
        <family val="2"/>
        <scheme val="minor"/>
      </rPr>
      <t xml:space="preserve"> </t>
    </r>
  </si>
  <si>
    <r>
      <t xml:space="preserve">Percent of </t>
    </r>
    <r>
      <rPr>
        <b/>
        <sz val="11"/>
        <color theme="1"/>
        <rFont val="Calibri"/>
        <family val="2"/>
        <scheme val="minor"/>
      </rPr>
      <t>Electric</t>
    </r>
    <r>
      <rPr>
        <sz val="11"/>
        <color theme="1"/>
        <rFont val="Calibri"/>
        <family val="2"/>
        <scheme val="minor"/>
      </rPr>
      <t xml:space="preserve"> Savings Achieved</t>
    </r>
  </si>
  <si>
    <t>%</t>
  </si>
  <si>
    <r>
      <t xml:space="preserve">Percent of </t>
    </r>
    <r>
      <rPr>
        <b/>
        <sz val="11"/>
        <color theme="1"/>
        <rFont val="Calibri"/>
        <family val="2"/>
        <scheme val="minor"/>
      </rPr>
      <t>Natural Gas</t>
    </r>
    <r>
      <rPr>
        <sz val="11"/>
        <color theme="1"/>
        <rFont val="Calibri"/>
        <family val="2"/>
        <scheme val="minor"/>
      </rPr>
      <t xml:space="preserve"> Savings Achieved</t>
    </r>
  </si>
  <si>
    <r>
      <t xml:space="preserve">Percent of </t>
    </r>
    <r>
      <rPr>
        <b/>
        <sz val="11"/>
        <color theme="1"/>
        <rFont val="Calibri"/>
        <family val="2"/>
        <scheme val="minor"/>
      </rPr>
      <t xml:space="preserve">Propane </t>
    </r>
    <r>
      <rPr>
        <sz val="11"/>
        <color theme="1"/>
        <rFont val="Calibri"/>
        <family val="2"/>
        <scheme val="minor"/>
      </rPr>
      <t>Savings Achieved</t>
    </r>
  </si>
  <si>
    <r>
      <t xml:space="preserve">Percent of </t>
    </r>
    <r>
      <rPr>
        <b/>
        <sz val="11"/>
        <color theme="1"/>
        <rFont val="Calibri"/>
        <family val="2"/>
        <scheme val="minor"/>
      </rPr>
      <t xml:space="preserve">Fuel Oil </t>
    </r>
    <r>
      <rPr>
        <sz val="11"/>
        <color theme="1"/>
        <rFont val="Calibri"/>
        <family val="2"/>
        <scheme val="minor"/>
      </rPr>
      <t>Savings Achieved</t>
    </r>
  </si>
  <si>
    <t>Total Savings Achieved</t>
  </si>
  <si>
    <t>Percent Savings Achieved</t>
  </si>
  <si>
    <t>Project achieved rebate
savings threshold of 15%?</t>
  </si>
  <si>
    <t>Maximum incentive payment based on…</t>
  </si>
  <si>
    <t>Measured Project Energy Savings:</t>
  </si>
  <si>
    <t>per dwelling unit measured savings (MF only):</t>
  </si>
  <si>
    <t>Project Cost:</t>
  </si>
  <si>
    <t>Add disclaimer that strongly encourages etc.</t>
  </si>
  <si>
    <t>Maximum incentive payment:</t>
  </si>
  <si>
    <t xml:space="preserve">HOMES Measured Path Incentive Payment Calculator </t>
  </si>
  <si>
    <t>Last updated: 12/17/2024</t>
  </si>
  <si>
    <r>
      <rPr>
        <b/>
        <sz val="12"/>
        <color rgb="FF000000"/>
        <rFont val="Calibri"/>
        <family val="2"/>
        <scheme val="minor"/>
      </rPr>
      <t>Overview</t>
    </r>
    <r>
      <rPr>
        <sz val="12"/>
        <color rgb="FF000000"/>
        <rFont val="Calibri"/>
        <family val="2"/>
        <scheme val="minor"/>
      </rPr>
      <t xml:space="preserve">: The purpose of this calculator is to calculate allowable incentive payments for retrofit projects pursued under the "measured" path of the Home Efficiency Rebates program as outlined in Section 50121 (c) of the Inflation Reduction Act of 2022 (H.R. 5376).  This calculator is intended to be a tool for States and Territories, and their implementers, to support the development and implementation of their HOMES programs. The calculator uses household energy consumption data from the 2020 Residential Energy Coonsumption Survey (RECS) provided by the U.S. Energy Information Administration (EIA).  For a complete description of program requirements, please visit: https://www.energy.gov/scep/home-energy-rebate-programs-guidance </t>
    </r>
  </si>
  <si>
    <r>
      <rPr>
        <b/>
        <u/>
        <sz val="12"/>
        <color rgb="FF000000"/>
        <rFont val="Calibri"/>
        <family val="2"/>
        <scheme val="minor"/>
      </rPr>
      <t xml:space="preserve">Table of Contents:
</t>
    </r>
    <r>
      <rPr>
        <b/>
        <sz val="11"/>
        <color rgb="FF000000"/>
        <rFont val="Calibri"/>
        <family val="2"/>
        <scheme val="minor"/>
      </rPr>
      <t xml:space="preserve"> - </t>
    </r>
    <r>
      <rPr>
        <b/>
        <sz val="12"/>
        <color rgb="FF000000"/>
        <rFont val="Calibri"/>
        <family val="2"/>
        <scheme val="minor"/>
      </rPr>
      <t>AverageCalculator</t>
    </r>
    <r>
      <rPr>
        <sz val="11"/>
        <color rgb="FF000000"/>
        <rFont val="Calibri"/>
        <family val="2"/>
        <scheme val="minor"/>
      </rPr>
      <t xml:space="preserve">: Tool for calculating standard rebates for single projects or a combination of projects that all have the same household type (SF or MF, MR or LMI). Instructions are on the README tab.
</t>
    </r>
    <r>
      <rPr>
        <b/>
        <sz val="11"/>
        <color rgb="FF000000"/>
        <rFont val="Calibri"/>
        <family val="2"/>
        <scheme val="minor"/>
      </rPr>
      <t xml:space="preserve"> - </t>
    </r>
    <r>
      <rPr>
        <b/>
        <sz val="12"/>
        <color rgb="FF000000"/>
        <rFont val="Calibri"/>
        <family val="2"/>
        <scheme val="minor"/>
      </rPr>
      <t>LMIAdjustedRebateCalc</t>
    </r>
    <r>
      <rPr>
        <sz val="11"/>
        <color rgb="FF000000"/>
        <rFont val="Calibri"/>
        <family val="2"/>
        <scheme val="minor"/>
      </rPr>
      <t xml:space="preserve">: Allows states to adjust rebate levels and/or project cost rebate percentage for low-income households and see the impact on payment rates and rebates.
</t>
    </r>
    <r>
      <rPr>
        <b/>
        <sz val="11"/>
        <color rgb="FF000000"/>
        <rFont val="Calibri"/>
        <family val="2"/>
        <scheme val="minor"/>
      </rPr>
      <t xml:space="preserve"> - </t>
    </r>
    <r>
      <rPr>
        <b/>
        <sz val="12"/>
        <color rgb="FF000000"/>
        <rFont val="Calibri"/>
        <family val="2"/>
        <scheme val="minor"/>
      </rPr>
      <t>PortfolioCalc – TotalData</t>
    </r>
    <r>
      <rPr>
        <sz val="12"/>
        <color rgb="FF000000"/>
        <rFont val="Calibri"/>
        <family val="2"/>
        <scheme val="minor"/>
      </rPr>
      <t>:</t>
    </r>
    <r>
      <rPr>
        <sz val="11"/>
        <color rgb="FF000000"/>
        <rFont val="Calibri"/>
        <family val="2"/>
        <scheme val="minor"/>
      </rPr>
      <t xml:space="preserve"> Tool for calculating standard rebates for a portfolio based on the total sum of project data for each of the four household types (SF or MF, MR or LMI).
</t>
    </r>
    <r>
      <rPr>
        <b/>
        <sz val="11"/>
        <color rgb="FF000000"/>
        <rFont val="Calibri"/>
        <family val="2"/>
        <scheme val="minor"/>
      </rPr>
      <t xml:space="preserve"> - </t>
    </r>
    <r>
      <rPr>
        <b/>
        <sz val="12"/>
        <color rgb="FF000000"/>
        <rFont val="Calibri"/>
        <family val="2"/>
        <scheme val="minor"/>
      </rPr>
      <t>PortfolioCalc – ProjectData</t>
    </r>
    <r>
      <rPr>
        <sz val="12"/>
        <color rgb="FF000000"/>
        <rFont val="Calibri"/>
        <family val="2"/>
        <scheme val="minor"/>
      </rPr>
      <t>:</t>
    </r>
    <r>
      <rPr>
        <sz val="11"/>
        <color rgb="FF000000"/>
        <rFont val="Calibri"/>
        <family val="2"/>
        <scheme val="minor"/>
      </rPr>
      <t xml:space="preserve"> Tool for calculating standard rebates for a portfolio based on individual project data within the portfolio, with household type specified for each project.
</t>
    </r>
    <r>
      <rPr>
        <b/>
        <sz val="11"/>
        <color rgb="FF000000"/>
        <rFont val="Calibri"/>
        <family val="2"/>
        <scheme val="minor"/>
      </rPr>
      <t xml:space="preserve"> - </t>
    </r>
    <r>
      <rPr>
        <b/>
        <sz val="12"/>
        <color rgb="FF000000"/>
        <rFont val="Calibri"/>
        <family val="2"/>
        <scheme val="minor"/>
      </rPr>
      <t>StateConsumption_SF</t>
    </r>
    <r>
      <rPr>
        <sz val="11"/>
        <color rgb="FF000000"/>
        <rFont val="Calibri"/>
        <family val="2"/>
        <scheme val="minor"/>
      </rPr>
      <t xml:space="preserve">: Reference table for energy consumption and payment rates by state or territory for single-family households.
</t>
    </r>
    <r>
      <rPr>
        <b/>
        <sz val="11"/>
        <color rgb="FF000000"/>
        <rFont val="Calibri"/>
        <family val="2"/>
        <scheme val="minor"/>
      </rPr>
      <t xml:space="preserve"> -</t>
    </r>
    <r>
      <rPr>
        <b/>
        <sz val="12"/>
        <color rgb="FF000000"/>
        <rFont val="Calibri"/>
        <family val="2"/>
        <scheme val="minor"/>
      </rPr>
      <t xml:space="preserve"> StateConsumption_MF</t>
    </r>
    <r>
      <rPr>
        <sz val="11"/>
        <color rgb="FF000000"/>
        <rFont val="Calibri"/>
        <family val="2"/>
        <scheme val="minor"/>
      </rPr>
      <t>: Reference table for energy consumption and standard payment rates by state or territory for multifamily households.</t>
    </r>
  </si>
  <si>
    <r>
      <rPr>
        <b/>
        <sz val="11"/>
        <color rgb="FF000000"/>
        <rFont val="Calibri"/>
        <family val="2"/>
        <scheme val="minor"/>
      </rPr>
      <t>How to use:</t>
    </r>
    <r>
      <rPr>
        <sz val="11"/>
        <color rgb="FF000000"/>
        <rFont val="Calibri"/>
        <family val="2"/>
        <scheme val="minor"/>
      </rPr>
      <t xml:space="preserve"> To use this calculator, navigate to the 'Average Calculator' sheet and enter the required project data (shown on right) in the </t>
    </r>
    <r>
      <rPr>
        <b/>
        <sz val="11"/>
        <color rgb="FF548235"/>
        <rFont val="Calibri"/>
        <family val="2"/>
        <scheme val="minor"/>
      </rPr>
      <t>GREEN</t>
    </r>
    <r>
      <rPr>
        <sz val="11"/>
        <color rgb="FF000000"/>
        <rFont val="Calibri"/>
        <family val="2"/>
        <scheme val="minor"/>
      </rPr>
      <t xml:space="preserve"> boxes only. 
</t>
    </r>
    <r>
      <rPr>
        <b/>
        <sz val="11"/>
        <color rgb="FF000000"/>
        <rFont val="Calibri"/>
        <family val="2"/>
        <scheme val="minor"/>
      </rPr>
      <t>Output</t>
    </r>
    <r>
      <rPr>
        <sz val="11"/>
        <color rgb="FF000000"/>
        <rFont val="Calibri"/>
        <family val="2"/>
        <scheme val="minor"/>
      </rPr>
      <t>: The calculator will return the following:
     - The percent savings achieved
     - Whether the project meets the 15% savings rebate qualification threshold
     - The maximum incentive payment based on project cost
     - The maximum incentive payment based on measured energy savings
     - [If MF building] The maximum incentive payment based on 
        measured energy savings per dwelling unit</t>
    </r>
  </si>
  <si>
    <t>Calculator Inputs</t>
  </si>
  <si>
    <t>Required (all)</t>
  </si>
  <si>
    <t>Label</t>
  </si>
  <si>
    <t>Description</t>
  </si>
  <si>
    <t>Unit</t>
  </si>
  <si>
    <t>State or Territory</t>
  </si>
  <si>
    <t>State or territory where the dwelling unit or building is located</t>
  </si>
  <si>
    <t>-</t>
  </si>
  <si>
    <t>Gross Project Cost</t>
  </si>
  <si>
    <t xml:space="preserve"> The total cost of all upgrades within a completed project invoice.</t>
  </si>
  <si>
    <t>USD</t>
  </si>
  <si>
    <t>LMI or Market Rate</t>
  </si>
  <si>
    <t>Indicate if the project qualifies as low- or moderate-income (&lt;80% of Area Median Income) or market rate (≥80% of AMI)</t>
  </si>
  <si>
    <t>SF or MF</t>
  </si>
  <si>
    <t>Indicate if the building type is single family or multifamily</t>
  </si>
  <si>
    <t>Annual Electricity Consumption</t>
  </si>
  <si>
    <t>Total annual electricity consumption for dwelling unit or building</t>
  </si>
  <si>
    <t xml:space="preserve">Prepared by: </t>
  </si>
  <si>
    <t>Measured Electric Savings Achieved</t>
  </si>
  <si>
    <t>Electricity savings achieved</t>
  </si>
  <si>
    <t>percent or kWh</t>
  </si>
  <si>
    <t>Required (if MF or LMI)</t>
  </si>
  <si>
    <t>if MF: Is energy data per dwelling unit or per building?</t>
  </si>
  <si>
    <t>Indicate if energy data reflects consumption per dwelling unit or for the entire building</t>
  </si>
  <si>
    <t>if MF: How many dwelling units?</t>
  </si>
  <si>
    <t>Number of units in MF building</t>
  </si>
  <si>
    <t>if LMI: How many dwelling units?</t>
  </si>
  <si>
    <t>Percent of LMI projects reimbursed, 
default is 80%</t>
  </si>
  <si>
    <t>percent</t>
  </si>
  <si>
    <t>Provide (if applicable)</t>
  </si>
  <si>
    <t>Annual Natural Gas Consumption</t>
  </si>
  <si>
    <t>Total annual natural gas consumption for dwelling unit or building</t>
  </si>
  <si>
    <t>Therm or Centum Cubic Feet (CCF)</t>
  </si>
  <si>
    <t>Annual Propane Consumption</t>
  </si>
  <si>
    <t>Total annual propane consumption for dwelling unit or building</t>
  </si>
  <si>
    <t>Annual Fuel Oil Consumption</t>
  </si>
  <si>
    <t>Total annual fuel oil/kerosene consumption for dwelling unit or building</t>
  </si>
  <si>
    <t>Measured Natural Gas
Savings Achieved</t>
  </si>
  <si>
    <t>Natural gas savings achieved</t>
  </si>
  <si>
    <t>percent or Therm</t>
  </si>
  <si>
    <t>Measured Propane 
Savings Achieved</t>
  </si>
  <si>
    <t>Propane savings achieved</t>
  </si>
  <si>
    <t>percent or gallons</t>
  </si>
  <si>
    <t>Measured Fuel Oil 
Savings Achieved</t>
  </si>
  <si>
    <t>Fuel oil/kerosene savings achieved</t>
  </si>
  <si>
    <t>Average site energy use*</t>
  </si>
  <si>
    <r>
      <rPr>
        <b/>
        <sz val="11"/>
        <color theme="0"/>
        <rFont val="Calibri"/>
        <family val="2"/>
        <scheme val="minor"/>
      </rPr>
      <t xml:space="preserve">Step 1: Enter </t>
    </r>
    <r>
      <rPr>
        <sz val="11"/>
        <color theme="0"/>
        <rFont val="Calibri"/>
        <family val="2"/>
        <scheme val="minor"/>
      </rPr>
      <t>Basic Project Data</t>
    </r>
  </si>
  <si>
    <t>Multi family</t>
  </si>
  <si>
    <t>State or Territory*</t>
  </si>
  <si>
    <t>Hawaii</t>
  </si>
  <si>
    <t>Electric</t>
  </si>
  <si>
    <t>Market Rate or LMI*</t>
  </si>
  <si>
    <t>Gross Project Cost*</t>
  </si>
  <si>
    <t>if LMI, % of project cost reimbursed^</t>
  </si>
  <si>
    <t>Single Family (SF) or Multi Family (MF)*</t>
  </si>
  <si>
    <r>
      <rPr>
        <b/>
        <sz val="11"/>
        <color theme="0"/>
        <rFont val="Calibri"/>
        <family val="2"/>
        <scheme val="minor"/>
      </rPr>
      <t>Measured Incentive Payment Rate</t>
    </r>
    <r>
      <rPr>
        <sz val="11"/>
        <color theme="0"/>
        <rFont val="Calibri"/>
        <family val="2"/>
        <scheme val="minor"/>
      </rPr>
      <t xml:space="preserve">
(by energy type, dwelling type, and income level)</t>
    </r>
  </si>
  <si>
    <t>^default LMI project cost rebate is 80% but modify if the state has determined a different percentage</t>
  </si>
  <si>
    <t xml:space="preserve">Is your data per average  
dwelling unit or per building?** </t>
  </si>
  <si>
    <t>per building</t>
  </si>
  <si>
    <t>How many dwelling units in the building?***</t>
  </si>
  <si>
    <r>
      <rPr>
        <b/>
        <sz val="11"/>
        <color theme="0"/>
        <rFont val="Calibri"/>
        <family val="2"/>
        <scheme val="minor"/>
      </rPr>
      <t xml:space="preserve">Step 2: </t>
    </r>
    <r>
      <rPr>
        <sz val="11"/>
        <color theme="0"/>
        <rFont val="Calibri"/>
        <family val="2"/>
        <scheme val="minor"/>
      </rPr>
      <t>Enter Project Baseline Data</t>
    </r>
  </si>
  <si>
    <t>*average is calculated for households that use these fuels</t>
  </si>
  <si>
    <r>
      <t xml:space="preserve">Annual </t>
    </r>
    <r>
      <rPr>
        <b/>
        <sz val="11"/>
        <color theme="1"/>
        <rFont val="Calibri"/>
        <family val="2"/>
        <scheme val="minor"/>
      </rPr>
      <t>Electricity</t>
    </r>
    <r>
      <rPr>
        <sz val="11"/>
        <color theme="1"/>
        <rFont val="Calibri"/>
        <family val="2"/>
        <scheme val="minor"/>
      </rPr>
      <t xml:space="preserve"> Consumption*</t>
    </r>
  </si>
  <si>
    <r>
      <rPr>
        <b/>
        <sz val="11"/>
        <color theme="0"/>
        <rFont val="Calibri"/>
        <family val="2"/>
        <scheme val="minor"/>
      </rPr>
      <t xml:space="preserve">Step 3: </t>
    </r>
    <r>
      <rPr>
        <sz val="11"/>
        <color theme="0"/>
        <rFont val="Calibri"/>
        <family val="2"/>
        <scheme val="minor"/>
      </rPr>
      <t>Enter Savings Data</t>
    </r>
  </si>
  <si>
    <r>
      <rPr>
        <b/>
        <sz val="11"/>
        <color theme="1"/>
        <rFont val="Calibri"/>
        <family val="2"/>
        <scheme val="minor"/>
      </rPr>
      <t>Electric</t>
    </r>
    <r>
      <rPr>
        <sz val="11"/>
        <color theme="1"/>
        <rFont val="Calibri"/>
        <family val="2"/>
        <scheme val="minor"/>
      </rPr>
      <t xml:space="preserve"> Savings Achieved</t>
    </r>
  </si>
  <si>
    <r>
      <rPr>
        <b/>
        <sz val="11"/>
        <color theme="1"/>
        <rFont val="Calibri"/>
        <family val="2"/>
        <scheme val="minor"/>
      </rPr>
      <t>Natural Gas</t>
    </r>
    <r>
      <rPr>
        <sz val="11"/>
        <color theme="1"/>
        <rFont val="Calibri"/>
        <family val="2"/>
        <scheme val="minor"/>
      </rPr>
      <t xml:space="preserve"> Savings Achieved</t>
    </r>
  </si>
  <si>
    <r>
      <rPr>
        <b/>
        <sz val="11"/>
        <color theme="1"/>
        <rFont val="Calibri"/>
        <family val="2"/>
        <scheme val="minor"/>
      </rPr>
      <t xml:space="preserve">Propane </t>
    </r>
    <r>
      <rPr>
        <sz val="11"/>
        <color theme="1"/>
        <rFont val="Calibri"/>
        <family val="2"/>
        <scheme val="minor"/>
      </rPr>
      <t>Savings Achieved</t>
    </r>
  </si>
  <si>
    <r>
      <t>F</t>
    </r>
    <r>
      <rPr>
        <b/>
        <sz val="11"/>
        <color theme="1"/>
        <rFont val="Calibri"/>
        <family val="2"/>
        <scheme val="minor"/>
      </rPr>
      <t xml:space="preserve">uel Oil </t>
    </r>
    <r>
      <rPr>
        <sz val="11"/>
        <color theme="1"/>
        <rFont val="Calibri"/>
        <family val="2"/>
        <scheme val="minor"/>
      </rPr>
      <t>Savings Achieved</t>
    </r>
  </si>
  <si>
    <t>Results</t>
  </si>
  <si>
    <r>
      <rPr>
        <sz val="14"/>
        <color theme="1"/>
        <rFont val="Calibri"/>
        <family val="2"/>
        <scheme val="minor"/>
      </rPr>
      <t>Maximum Incentive Payment Based on</t>
    </r>
    <r>
      <rPr>
        <b/>
        <sz val="14"/>
        <color theme="1"/>
        <rFont val="Calibri"/>
        <family val="2"/>
        <scheme val="minor"/>
      </rPr>
      <t xml:space="preserve"> Measured Project Energy Savings:</t>
    </r>
  </si>
  <si>
    <r>
      <t>per dwelling unit
measured savings (</t>
    </r>
    <r>
      <rPr>
        <i/>
        <u/>
        <sz val="11"/>
        <color theme="1"/>
        <rFont val="Calibri"/>
        <family val="2"/>
        <scheme val="minor"/>
      </rPr>
      <t>MF only</t>
    </r>
    <r>
      <rPr>
        <i/>
        <sz val="11"/>
        <color theme="1"/>
        <rFont val="Calibri"/>
        <family val="2"/>
        <scheme val="minor"/>
      </rPr>
      <t>):</t>
    </r>
  </si>
  <si>
    <r>
      <t>Maximum Incentive Payment Based</t>
    </r>
    <r>
      <rPr>
        <b/>
        <i/>
        <sz val="12"/>
        <color theme="0" tint="-0.499984740745262"/>
        <rFont val="Calibri"/>
        <family val="2"/>
        <scheme val="minor"/>
      </rPr>
      <t xml:space="preserve"> </t>
    </r>
    <r>
      <rPr>
        <i/>
        <sz val="12"/>
        <color theme="0" tint="-0.499984740745262"/>
        <rFont val="Calibri"/>
        <family val="2"/>
        <scheme val="minor"/>
      </rPr>
      <t xml:space="preserve">on </t>
    </r>
    <r>
      <rPr>
        <b/>
        <i/>
        <sz val="12"/>
        <color theme="0" tint="-0.499984740745262"/>
        <rFont val="Calibri"/>
        <family val="2"/>
        <scheme val="minor"/>
      </rPr>
      <t>Project Cost</t>
    </r>
    <r>
      <rPr>
        <i/>
        <sz val="12"/>
        <color theme="0" tint="-0.499984740745262"/>
        <rFont val="Calibri"/>
        <family val="2"/>
        <scheme val="minor"/>
      </rPr>
      <t>:</t>
    </r>
  </si>
  <si>
    <t>* required field for all projects</t>
  </si>
  <si>
    <t>** required for all MF projects</t>
  </si>
  <si>
    <t>*** required for all MF projects reporting data for the entire multi-unit building</t>
  </si>
  <si>
    <r>
      <t xml:space="preserve">In the measured pathway, rebates for energy efficiency projects are calculated based on either:
-A </t>
    </r>
    <r>
      <rPr>
        <b/>
        <sz val="12"/>
        <color theme="1"/>
        <rFont val="Calibri"/>
        <family val="2"/>
        <scheme val="minor"/>
      </rPr>
      <t>kWh payment rate</t>
    </r>
    <r>
      <rPr>
        <sz val="12"/>
        <color theme="1"/>
        <rFont val="Calibri"/>
        <family val="2"/>
        <scheme val="minor"/>
      </rPr>
      <t xml:space="preserve"> calculated using a 20% reduction in energy usage (per statue). This payment rate is applied to the actual energy savings achieved to calculate the rebate based on kWh savings. The payment rate is calculated using the formula: Payment Rate ($/kWh) = Rebate Level / (Average Annual Home Usage × 20%)
-A </t>
    </r>
    <r>
      <rPr>
        <b/>
        <sz val="12"/>
        <color theme="1"/>
        <rFont val="Calibri"/>
        <family val="2"/>
        <scheme val="minor"/>
      </rPr>
      <t xml:space="preserve">percentage of project costs </t>
    </r>
    <r>
      <rPr>
        <sz val="12"/>
        <color theme="1"/>
        <rFont val="Calibri"/>
        <family val="2"/>
        <scheme val="minor"/>
      </rPr>
      <t xml:space="preserve">(50% for market rate or 80% for low-income).
</t>
    </r>
    <r>
      <rPr>
        <b/>
        <sz val="12"/>
        <color theme="1"/>
        <rFont val="Calibri"/>
        <family val="2"/>
        <scheme val="minor"/>
      </rPr>
      <t xml:space="preserve">States may increase the maximum rebate amount available for low-income households on approval from DOE. </t>
    </r>
    <r>
      <rPr>
        <sz val="12"/>
        <color theme="1"/>
        <rFont val="Calibri"/>
        <family val="2"/>
        <scheme val="minor"/>
      </rPr>
      <t xml:space="preserve">There are two primary methods for increasing the maximum rebate amount - increasing the </t>
    </r>
    <r>
      <rPr>
        <b/>
        <sz val="12"/>
        <color theme="1"/>
        <rFont val="Calibri"/>
        <family val="2"/>
        <scheme val="minor"/>
      </rPr>
      <t>payment rate</t>
    </r>
    <r>
      <rPr>
        <sz val="12"/>
        <color theme="1"/>
        <rFont val="Calibri"/>
        <family val="2"/>
        <scheme val="minor"/>
      </rPr>
      <t xml:space="preserve"> by adjusting the rebate level, and increasing the </t>
    </r>
    <r>
      <rPr>
        <b/>
        <sz val="12"/>
        <color theme="1"/>
        <rFont val="Calibri"/>
        <family val="2"/>
        <scheme val="minor"/>
      </rPr>
      <t>percentage of project cost</t>
    </r>
    <r>
      <rPr>
        <sz val="12"/>
        <color theme="1"/>
        <rFont val="Calibri"/>
        <family val="2"/>
        <scheme val="minor"/>
      </rPr>
      <t xml:space="preserve"> covered by the rebate. This calculator allows states to compare the</t>
    </r>
    <r>
      <rPr>
        <b/>
        <sz val="12"/>
        <color theme="1"/>
        <rFont val="Calibri"/>
        <family val="2"/>
        <scheme val="minor"/>
      </rPr>
      <t xml:space="preserve"> standard statutory rebate structure </t>
    </r>
    <r>
      <rPr>
        <sz val="12"/>
        <color theme="1"/>
        <rFont val="Calibri"/>
        <family val="2"/>
        <scheme val="minor"/>
      </rPr>
      <t xml:space="preserve">(columns R-S) to an </t>
    </r>
    <r>
      <rPr>
        <b/>
        <sz val="12"/>
        <color theme="1"/>
        <rFont val="Calibri"/>
        <family val="2"/>
        <scheme val="minor"/>
      </rPr>
      <t xml:space="preserve">adjusted scenario </t>
    </r>
    <r>
      <rPr>
        <sz val="12"/>
        <color theme="1"/>
        <rFont val="Calibri"/>
        <family val="2"/>
        <scheme val="minor"/>
      </rPr>
      <t xml:space="preserve">(columns T-U) where rebate levels and/or percentage of project cost are increased for low-income households. This helps states explore how adjustments to rebate levels impact both the $/kWh payment rate and total rebate amount. Market rate customers are </t>
    </r>
    <r>
      <rPr>
        <b/>
        <sz val="12"/>
        <color theme="1"/>
        <rFont val="Calibri"/>
        <family val="2"/>
        <scheme val="minor"/>
      </rPr>
      <t>not eligible</t>
    </r>
    <r>
      <rPr>
        <sz val="12"/>
        <color theme="1"/>
        <rFont val="Calibri"/>
        <family val="2"/>
        <scheme val="minor"/>
      </rPr>
      <t xml:space="preserve"> for rebate adjustments; the market rate statutory rebate structure is provided in columns V-W for reference only.</t>
    </r>
  </si>
  <si>
    <t>Select State:</t>
  </si>
  <si>
    <t>Alabama</t>
  </si>
  <si>
    <t xml:space="preserve">Low-income measured savings calculations with statute rebate levels </t>
  </si>
  <si>
    <t>Low-income measured savings calculations with adjusted rebate levels</t>
  </si>
  <si>
    <t>Market rate savings calculations (statute only)</t>
  </si>
  <si>
    <t>Household Type</t>
  </si>
  <si>
    <t>SF</t>
  </si>
  <si>
    <t>Income Level</t>
  </si>
  <si>
    <t>MR</t>
  </si>
  <si>
    <t>Average Home Usage (kWh/household)</t>
  </si>
  <si>
    <t>Rebate Savings Percentage (20% from statute)</t>
  </si>
  <si>
    <t>Rebate Level</t>
  </si>
  <si>
    <t>Project Cost</t>
  </si>
  <si>
    <t>Percent of Project Cost</t>
  </si>
  <si>
    <t>Actual Project Savings (%)</t>
  </si>
  <si>
    <t>Rebate Payment Rate ($/kWh)</t>
  </si>
  <si>
    <t>Project Savings (kWh)</t>
  </si>
  <si>
    <t>Rebate based on kWh savings</t>
  </si>
  <si>
    <t>Rebate based on % of project cost</t>
  </si>
  <si>
    <t>States can pay the rebate based on kWh savings or based on the percentage of project cost.</t>
  </si>
  <si>
    <t>More details on measured path rebate levels can be found in Program Requirements and Application Instructions</t>
  </si>
  <si>
    <t>https://www.energy.gov/sites/default/files/2024-06/program-requirements-and-application-instructions_061324.pdf</t>
  </si>
  <si>
    <t>Portfolio-Level Incentive Payment Rate Calculator</t>
  </si>
  <si>
    <t>Georgia</t>
  </si>
  <si>
    <t>Portfolio-Level Data</t>
  </si>
  <si>
    <t>Single Family Projects</t>
  </si>
  <si>
    <t>Market Rate Projects</t>
  </si>
  <si>
    <t>LMI Projects</t>
  </si>
  <si>
    <r>
      <t xml:space="preserve">Total Annual </t>
    </r>
    <r>
      <rPr>
        <b/>
        <sz val="11"/>
        <color theme="1"/>
        <rFont val="Calibri"/>
        <family val="2"/>
        <scheme val="minor"/>
      </rPr>
      <t>Electricity</t>
    </r>
    <r>
      <rPr>
        <sz val="11"/>
        <color theme="1"/>
        <rFont val="Calibri"/>
        <family val="2"/>
        <scheme val="minor"/>
      </rPr>
      <t xml:space="preserve"> Consumption</t>
    </r>
  </si>
  <si>
    <r>
      <t xml:space="preserve">Total Annual </t>
    </r>
    <r>
      <rPr>
        <b/>
        <sz val="11"/>
        <color theme="1"/>
        <rFont val="Calibri"/>
        <family val="2"/>
        <scheme val="minor"/>
      </rPr>
      <t>Natural Gas</t>
    </r>
    <r>
      <rPr>
        <sz val="11"/>
        <color theme="1"/>
        <rFont val="Calibri"/>
        <family val="2"/>
        <scheme val="minor"/>
      </rPr>
      <t xml:space="preserve"> Consumption</t>
    </r>
  </si>
  <si>
    <r>
      <t xml:space="preserve">Total Annual </t>
    </r>
    <r>
      <rPr>
        <b/>
        <sz val="11"/>
        <color theme="1"/>
        <rFont val="Calibri"/>
        <family val="2"/>
        <scheme val="minor"/>
      </rPr>
      <t>Propane</t>
    </r>
    <r>
      <rPr>
        <sz val="11"/>
        <color theme="1"/>
        <rFont val="Calibri"/>
        <family val="2"/>
        <scheme val="minor"/>
      </rPr>
      <t xml:space="preserve"> Consumption</t>
    </r>
  </si>
  <si>
    <r>
      <t xml:space="preserve">Total Annual </t>
    </r>
    <r>
      <rPr>
        <b/>
        <sz val="11"/>
        <color theme="1"/>
        <rFont val="Calibri"/>
        <family val="2"/>
        <scheme val="minor"/>
      </rPr>
      <t>Fuel Oil</t>
    </r>
    <r>
      <rPr>
        <sz val="11"/>
        <color theme="1"/>
        <rFont val="Calibri"/>
        <family val="2"/>
        <scheme val="minor"/>
      </rPr>
      <t xml:space="preserve"> Consumption</t>
    </r>
  </si>
  <si>
    <t>Total Consumption</t>
  </si>
  <si>
    <t>kwh-equiv.</t>
  </si>
  <si>
    <r>
      <t>Total</t>
    </r>
    <r>
      <rPr>
        <b/>
        <sz val="11"/>
        <color theme="1"/>
        <rFont val="Calibri"/>
        <family val="2"/>
        <scheme val="minor"/>
      </rPr>
      <t xml:space="preserve"> Electric</t>
    </r>
    <r>
      <rPr>
        <sz val="11"/>
        <color theme="1"/>
        <rFont val="Calibri"/>
        <family val="2"/>
        <scheme val="minor"/>
      </rPr>
      <t xml:space="preserve"> Savings Achieved</t>
    </r>
  </si>
  <si>
    <r>
      <rPr>
        <b/>
        <sz val="11"/>
        <color theme="1"/>
        <rFont val="Calibri"/>
        <family val="2"/>
        <scheme val="minor"/>
      </rPr>
      <t xml:space="preserve"> </t>
    </r>
    <r>
      <rPr>
        <sz val="11"/>
        <color theme="1"/>
        <rFont val="Calibri"/>
        <family val="2"/>
        <scheme val="minor"/>
      </rPr>
      <t>Total</t>
    </r>
    <r>
      <rPr>
        <b/>
        <sz val="11"/>
        <color theme="1"/>
        <rFont val="Calibri"/>
        <family val="2"/>
        <scheme val="minor"/>
      </rPr>
      <t xml:space="preserve"> Natural Gas</t>
    </r>
    <r>
      <rPr>
        <sz val="11"/>
        <color theme="1"/>
        <rFont val="Calibri"/>
        <family val="2"/>
        <scheme val="minor"/>
      </rPr>
      <t xml:space="preserve"> Savings Achieved</t>
    </r>
  </si>
  <si>
    <r>
      <t>Total</t>
    </r>
    <r>
      <rPr>
        <b/>
        <sz val="11"/>
        <color theme="1"/>
        <rFont val="Calibri"/>
        <family val="2"/>
        <scheme val="minor"/>
      </rPr>
      <t xml:space="preserve"> Propane </t>
    </r>
    <r>
      <rPr>
        <sz val="11"/>
        <color theme="1"/>
        <rFont val="Calibri"/>
        <family val="2"/>
        <scheme val="minor"/>
      </rPr>
      <t>Savings Achieved</t>
    </r>
  </si>
  <si>
    <r>
      <t xml:space="preserve">Total </t>
    </r>
    <r>
      <rPr>
        <b/>
        <sz val="11"/>
        <color theme="1"/>
        <rFont val="Calibri"/>
        <family val="2"/>
        <scheme val="minor"/>
      </rPr>
      <t xml:space="preserve">Fuel Oil </t>
    </r>
    <r>
      <rPr>
        <sz val="11"/>
        <color theme="1"/>
        <rFont val="Calibri"/>
        <family val="2"/>
        <scheme val="minor"/>
      </rPr>
      <t>Savings Achieved</t>
    </r>
  </si>
  <si>
    <t>Total Savings</t>
  </si>
  <si>
    <t>% Savings Achieved</t>
  </si>
  <si>
    <t>Multifamily Projects</t>
  </si>
  <si>
    <t>Total Costs for Market Rate Projects:</t>
  </si>
  <si>
    <t>Total Costs for LMI Projects:</t>
  </si>
  <si>
    <t>For LMI projects, what % of the cost is reimbursed?*</t>
  </si>
  <si>
    <t>*default LMI project cost rebate is 80% but modify if the state has determined a different percentage</t>
  </si>
  <si>
    <t>For SF projects, how many dwelling units does your data respresent?</t>
  </si>
  <si>
    <t>units</t>
  </si>
  <si>
    <t>For MF projects, how many dwelling units does your data respresent?</t>
  </si>
  <si>
    <t>units**</t>
  </si>
  <si>
    <t>**units for multifamily should represent number of individual dwelling units, not number of MF buildings</t>
  </si>
  <si>
    <t>Total Percent Savings Achieved:</t>
  </si>
  <si>
    <t>Project achieved rebate savings threshold of 15%?</t>
  </si>
  <si>
    <t>Incentive Payment for Single Family (total)</t>
  </si>
  <si>
    <t>Incentive Payment for Single Family (per unit)</t>
  </si>
  <si>
    <t>Incentive Payment for Multifamily (total)</t>
  </si>
  <si>
    <t>Incentive Payment for Multifamily (per unit)</t>
  </si>
  <si>
    <t>Total Portfolio Measured Savings Incentive Payment</t>
  </si>
  <si>
    <t>Total Portfolio Measured Savings Incentive Payment (per unit)</t>
  </si>
  <si>
    <t>Project-Level Portfolio Incentive Payment Rate Calculator</t>
  </si>
  <si>
    <t>For LMI projects in your state, what % of the cost is reimbursed?*</t>
  </si>
  <si>
    <t>How many projects are in the portfolio?</t>
  </si>
  <si>
    <t>Site/Project Details</t>
  </si>
  <si>
    <t>Calculated Incentive Payment Values</t>
  </si>
  <si>
    <t>Site Number</t>
  </si>
  <si>
    <t># of dwelling units</t>
  </si>
  <si>
    <t>Project Cost ($)</t>
  </si>
  <si>
    <t>Electric (kWh)</t>
  </si>
  <si>
    <t>Natural Gas (Therm)</t>
  </si>
  <si>
    <t>Propane (gallons)</t>
  </si>
  <si>
    <t>Fuel Oil (gallons)</t>
  </si>
  <si>
    <t>Pre-Measure Usage (kWh-eq.)</t>
  </si>
  <si>
    <t>Post-Measure Usage (kWh-eq.)</t>
  </si>
  <si>
    <t>% Savings</t>
  </si>
  <si>
    <t>Measured Saving Incentive Payment</t>
  </si>
  <si>
    <t>Project Cost Incentive Payment</t>
  </si>
  <si>
    <t>Multi Family Projects</t>
  </si>
  <si>
    <t>Example 1</t>
  </si>
  <si>
    <t>Market Rate</t>
  </si>
  <si>
    <t>Total Pre-Measure Usage (kWh-eq.):</t>
  </si>
  <si>
    <t>Total Post-Measure Usage (kWh-eq.):</t>
  </si>
  <si>
    <t>Percent Saved Weighted Average:</t>
  </si>
  <si>
    <t>Total Electric Savings Achieved</t>
  </si>
  <si>
    <t xml:space="preserve"> Total Natural Gas Savings Achieved</t>
  </si>
  <si>
    <t>Total Propane Savings Achieved</t>
  </si>
  <si>
    <t>Measured Savings Incentive Payment per project</t>
  </si>
  <si>
    <t>Total Fuel Oil Savings Achieved</t>
  </si>
  <si>
    <t>Measured Savings Incentive Payment per unit</t>
  </si>
  <si>
    <t>Maximum Incentive Payment Based on Project Cost</t>
  </si>
  <si>
    <t>Project Cost Payment per project</t>
  </si>
  <si>
    <t>Project Cost Payment per unit</t>
  </si>
  <si>
    <r>
      <t xml:space="preserve">Total site energy consumption </t>
    </r>
    <r>
      <rPr>
        <b/>
        <sz val="11"/>
        <color theme="1"/>
        <rFont val="Calibri"/>
        <family val="2"/>
        <scheme val="minor"/>
      </rPr>
      <t>(trillion Btu)</t>
    </r>
  </si>
  <si>
    <r>
      <t xml:space="preserve">Avg. site energy consumption </t>
    </r>
    <r>
      <rPr>
        <b/>
        <sz val="11"/>
        <color theme="1"/>
        <rFont val="Calibri"/>
        <family val="2"/>
        <scheme val="minor"/>
      </rPr>
      <t>(mmBtu/household)</t>
    </r>
  </si>
  <si>
    <r>
      <t>Average Annual household energy consumption</t>
    </r>
    <r>
      <rPr>
        <b/>
        <sz val="11"/>
        <color theme="1"/>
        <rFont val="Calibri"/>
        <family val="2"/>
        <scheme val="minor"/>
      </rPr>
      <t xml:space="preserve"> (kWh or kWh-equivalent)</t>
    </r>
  </si>
  <si>
    <t>Incentive payment rates for Market Rate and 
Low- or Moderate-Income Households</t>
  </si>
  <si>
    <t>State Abbrev.</t>
  </si>
  <si>
    <t>Number of housing units (million)</t>
  </si>
  <si>
    <t>Electricity</t>
  </si>
  <si>
    <t>Natural gas</t>
  </si>
  <si>
    <t>Fuel oil</t>
  </si>
  <si>
    <t>Total</t>
  </si>
  <si>
    <t>Propane*</t>
  </si>
  <si>
    <t>Fuel oil*</t>
  </si>
  <si>
    <t>Total energy kWh-equiv.</t>
  </si>
  <si>
    <t>Market IPR ($/million Btu)</t>
  </si>
  <si>
    <t>LMI IPR ($/million Btu)</t>
  </si>
  <si>
    <t>Market IPR ($/kWh equiv.)</t>
  </si>
  <si>
    <t>LMI IPR 
($/kWh equiv.)</t>
  </si>
  <si>
    <t>AL</t>
  </si>
  <si>
    <t>AK</t>
  </si>
  <si>
    <t>Alaska</t>
  </si>
  <si>
    <t>AS</t>
  </si>
  <si>
    <t>American Samoa</t>
  </si>
  <si>
    <t>AZ</t>
  </si>
  <si>
    <t>Arizona</t>
  </si>
  <si>
    <t>AR</t>
  </si>
  <si>
    <t>Arkansas</t>
  </si>
  <si>
    <t>CA</t>
  </si>
  <si>
    <t>California</t>
  </si>
  <si>
    <t>All</t>
  </si>
  <si>
    <t>1 mmBtu</t>
  </si>
  <si>
    <t>CO</t>
  </si>
  <si>
    <t>Colorado</t>
  </si>
  <si>
    <t>CT</t>
  </si>
  <si>
    <t>Connecticut</t>
  </si>
  <si>
    <t>DE</t>
  </si>
  <si>
    <t>Delaware</t>
  </si>
  <si>
    <t>DC</t>
  </si>
  <si>
    <t>District of Columbia</t>
  </si>
  <si>
    <t>FL</t>
  </si>
  <si>
    <t>Florida</t>
  </si>
  <si>
    <t>GA</t>
  </si>
  <si>
    <t>GU</t>
  </si>
  <si>
    <t>Guam</t>
  </si>
  <si>
    <t>HI</t>
  </si>
  <si>
    <t>ID</t>
  </si>
  <si>
    <t>Idaho</t>
  </si>
  <si>
    <t>IL</t>
  </si>
  <si>
    <t>IN</t>
  </si>
  <si>
    <t>Indiana</t>
  </si>
  <si>
    <t>IA</t>
  </si>
  <si>
    <t>Iowa</t>
  </si>
  <si>
    <t>KS</t>
  </si>
  <si>
    <t>Kansas</t>
  </si>
  <si>
    <t>KY</t>
  </si>
  <si>
    <t>Kentucky</t>
  </si>
  <si>
    <t>LA</t>
  </si>
  <si>
    <t>Louisiana</t>
  </si>
  <si>
    <t>ME</t>
  </si>
  <si>
    <t>Maine</t>
  </si>
  <si>
    <t>MD</t>
  </si>
  <si>
    <t>Maryland</t>
  </si>
  <si>
    <t>MA</t>
  </si>
  <si>
    <t>Massachusetts</t>
  </si>
  <si>
    <t>MI</t>
  </si>
  <si>
    <t>Michigan</t>
  </si>
  <si>
    <t>MN</t>
  </si>
  <si>
    <t>Minnesota</t>
  </si>
  <si>
    <t>MS</t>
  </si>
  <si>
    <t>Mississippi</t>
  </si>
  <si>
    <t>MO</t>
  </si>
  <si>
    <t>Missouri</t>
  </si>
  <si>
    <t>MT</t>
  </si>
  <si>
    <t>Montana</t>
  </si>
  <si>
    <t>MP</t>
  </si>
  <si>
    <t>Northern Mariana Islands</t>
  </si>
  <si>
    <t>NE</t>
  </si>
  <si>
    <t>Nebraska</t>
  </si>
  <si>
    <t>NV</t>
  </si>
  <si>
    <t>Nevada</t>
  </si>
  <si>
    <t>NH</t>
  </si>
  <si>
    <t>New Hampshire</t>
  </si>
  <si>
    <t>NJ</t>
  </si>
  <si>
    <t>New Jersey</t>
  </si>
  <si>
    <t>NM</t>
  </si>
  <si>
    <t>New Mexico</t>
  </si>
  <si>
    <t>NY</t>
  </si>
  <si>
    <t>New York</t>
  </si>
  <si>
    <t>NC</t>
  </si>
  <si>
    <t>North Carolina</t>
  </si>
  <si>
    <t>ND</t>
  </si>
  <si>
    <t>North Dakota</t>
  </si>
  <si>
    <t>OH</t>
  </si>
  <si>
    <t>Ohio</t>
  </si>
  <si>
    <t>OK</t>
  </si>
  <si>
    <t>Oklahoma</t>
  </si>
  <si>
    <t>OR</t>
  </si>
  <si>
    <t>Oregon</t>
  </si>
  <si>
    <t>PA</t>
  </si>
  <si>
    <t>Pennsylvania</t>
  </si>
  <si>
    <t>PR</t>
  </si>
  <si>
    <t>Puerto Rico</t>
  </si>
  <si>
    <t>RI</t>
  </si>
  <si>
    <t>Rhode Island</t>
  </si>
  <si>
    <t>SC</t>
  </si>
  <si>
    <t>South Carolina</t>
  </si>
  <si>
    <t>SD</t>
  </si>
  <si>
    <t>South Dakota</t>
  </si>
  <si>
    <t>TN</t>
  </si>
  <si>
    <t>Tennessee</t>
  </si>
  <si>
    <t>TX</t>
  </si>
  <si>
    <t>Texas</t>
  </si>
  <si>
    <t>VI</t>
  </si>
  <si>
    <t>U.S. Virgin Islands</t>
  </si>
  <si>
    <t>UT</t>
  </si>
  <si>
    <t>Utah</t>
  </si>
  <si>
    <t>VT</t>
  </si>
  <si>
    <t>Vermont</t>
  </si>
  <si>
    <t>VA</t>
  </si>
  <si>
    <t>Virginia</t>
  </si>
  <si>
    <t>WA</t>
  </si>
  <si>
    <t>Washington</t>
  </si>
  <si>
    <t>WV</t>
  </si>
  <si>
    <t>West Virginia</t>
  </si>
  <si>
    <t>WI</t>
  </si>
  <si>
    <t>Wisconsin</t>
  </si>
  <si>
    <t>WY</t>
  </si>
  <si>
    <t>Wyoming</t>
  </si>
  <si>
    <t>U.S. Averages (omitting zeroes):</t>
  </si>
  <si>
    <t>States with insufficient propane data:</t>
  </si>
  <si>
    <t>District of Columbia, Utah, Northern Mariana Islands</t>
  </si>
  <si>
    <t>States with insufficient fuel oil/kerosene data:</t>
  </si>
  <si>
    <t>Alabama, Arizona, Arkansas, California, Colorado, District of Columbia, Florida, Georgia, Hawaii, Idaho, Illinois, Indiana, Iowa, Kansas, Kentucky, Louisiana, Minnesota, Mississippi, Missouri, Montana, Nebraska, Nevada, New Mexico, Northern Mariana Islands, Oklahoma, Oregon, South Carolina, South Dakota, Tennessee, Texas, Utah, Washington, West Virginia, Wisconsin, Wyoming</t>
  </si>
  <si>
    <r>
      <t xml:space="preserve">Avg. site energy consumption </t>
    </r>
    <r>
      <rPr>
        <b/>
        <sz val="10"/>
        <color theme="1"/>
        <rFont val="Calibri"/>
        <family val="2"/>
        <scheme val="minor"/>
      </rPr>
      <t>(mmBtu/household)</t>
    </r>
  </si>
  <si>
    <t>`</t>
  </si>
  <si>
    <t>U.S Virgin Islands</t>
  </si>
  <si>
    <t>State Averages:</t>
  </si>
  <si>
    <t>District of Columbia, Utah</t>
  </si>
  <si>
    <t>Alabama, Arizona, Arkansas, California, Colorado, District of Columbia, Florida, Georgia, Hawaii, Idaho, Illinois, Indiana, Iowa, Kansas, Kentucky, Louisiana, Minnesota, Mississippi, Missouri, Montana, Nebraska, Nevada, New Mexico, Oklahoma, Oregon, South Carolina, South Dakota, Tennessee, Texas, Utah, Washington, West Virginia, Wisconsin, Wyoming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</si>
</sst>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43" formatCode="_(* #,##0.00_);_(* \(#,##0.00\);_(* &quot;-&quot;??_);_(@_)"/>
    <numFmt numFmtId="164" formatCode="0.000"/>
    <numFmt numFmtId="165" formatCode="0.0"/>
    <numFmt numFmtId="166" formatCode="_(* #,##0_);_(* \(#,##0\);_(* &quot;-&quot;??_);_(@_)"/>
    <numFmt numFmtId="167" formatCode="_(&quot;$&quot;* #,##0_);_(&quot;$&quot;* \(#,##0\);_(&quot;$&quot;* &quot;-&quot;??_);_(@_)"/>
    <numFmt numFmtId="168" formatCode="0.0%"/>
    <numFmt numFmtId="169" formatCode="&quot;$&quot;#,##0"/>
    <numFmt numFmtId="170" formatCode="&quot;$&quot;#,##0.00"/>
  </numFmts>
  <fonts count="71" x14ac:knownFonts="1">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i/>
      <sz val="11"/>
      <color theme="1"/>
      <name val="Calibri"/>
      <family val="2"/>
      <scheme val="minor"/>
    </font>
    <font>
      <b/>
      <sz val="11"/>
      <color theme="9" tint="-0.249977111117893"/>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b/>
      <u/>
      <sz val="11"/>
      <color theme="1"/>
      <name val="Calibri"/>
      <family val="2"/>
      <scheme val="minor"/>
    </font>
    <font>
      <i/>
      <sz val="14"/>
      <color theme="1"/>
      <name val="Calibri"/>
      <family val="2"/>
      <scheme val="minor"/>
    </font>
    <font>
      <u/>
      <sz val="11"/>
      <color theme="1"/>
      <name val="Calibri"/>
      <family val="2"/>
      <scheme val="minor"/>
    </font>
    <font>
      <b/>
      <sz val="9"/>
      <color theme="1"/>
      <name val="Calibri"/>
      <family val="2"/>
      <scheme val="minor"/>
    </font>
    <font>
      <sz val="9"/>
      <color theme="1"/>
      <name val="Calibri"/>
      <family val="2"/>
      <scheme val="minor"/>
    </font>
    <font>
      <u/>
      <sz val="10"/>
      <color theme="4"/>
      <name val="Calibri"/>
      <family val="2"/>
      <scheme val="minor"/>
    </font>
    <font>
      <u/>
      <sz val="11"/>
      <color theme="6"/>
      <name val="Calibri"/>
      <family val="2"/>
    </font>
    <font>
      <b/>
      <sz val="12"/>
      <color theme="4"/>
      <name val="Calibri"/>
      <family val="2"/>
      <scheme val="minor"/>
    </font>
    <font>
      <b/>
      <sz val="10"/>
      <color theme="9" tint="-0.249977111117893"/>
      <name val="Calibri"/>
      <family val="2"/>
      <scheme val="minor"/>
    </font>
    <font>
      <i/>
      <sz val="12"/>
      <color theme="1"/>
      <name val="Calibri"/>
      <family val="2"/>
      <scheme val="minor"/>
    </font>
    <font>
      <sz val="16"/>
      <color rgb="FF000000"/>
      <name val="Calibri"/>
      <family val="2"/>
      <scheme val="minor"/>
    </font>
    <font>
      <b/>
      <sz val="16"/>
      <color theme="1"/>
      <name val="Calibri"/>
      <family val="2"/>
      <scheme val="minor"/>
    </font>
    <font>
      <sz val="9"/>
      <color rgb="FF000000"/>
      <name val="Calibri"/>
      <family val="2"/>
      <scheme val="minor"/>
    </font>
    <font>
      <b/>
      <sz val="10"/>
      <color rgb="FF556270"/>
      <name val="Arial"/>
      <family val="2"/>
    </font>
    <font>
      <sz val="11"/>
      <color theme="1"/>
      <name val="Arial"/>
      <family val="2"/>
    </font>
    <font>
      <sz val="10"/>
      <name val="Arial"/>
      <family val="2"/>
    </font>
    <font>
      <b/>
      <sz val="10"/>
      <name val="Arial"/>
      <family val="2"/>
    </font>
    <font>
      <b/>
      <sz val="11"/>
      <color rgb="FF000000"/>
      <name val="Calibri"/>
      <family val="2"/>
      <scheme val="minor"/>
    </font>
    <font>
      <sz val="11"/>
      <color rgb="FF000000"/>
      <name val="Calibri"/>
      <family val="2"/>
      <scheme val="minor"/>
    </font>
    <font>
      <b/>
      <sz val="11"/>
      <color rgb="FF548235"/>
      <name val="Calibri"/>
      <family val="2"/>
      <scheme val="minor"/>
    </font>
    <font>
      <b/>
      <sz val="18"/>
      <color theme="1"/>
      <name val="Calibri"/>
      <family val="2"/>
      <scheme val="minor"/>
    </font>
    <font>
      <b/>
      <sz val="14"/>
      <color rgb="FFFF0000"/>
      <name val="Calibri"/>
      <family val="2"/>
      <scheme val="minor"/>
    </font>
    <font>
      <b/>
      <sz val="11"/>
      <color theme="0"/>
      <name val="Calibri"/>
      <family val="2"/>
      <scheme val="minor"/>
    </font>
    <font>
      <sz val="11"/>
      <color theme="0"/>
      <name val="Calibri"/>
      <family val="2"/>
      <scheme val="minor"/>
    </font>
    <font>
      <sz val="11"/>
      <color theme="0" tint="-0.499984740745262"/>
      <name val="Calibri"/>
      <family val="2"/>
      <scheme val="minor"/>
    </font>
    <font>
      <b/>
      <sz val="14"/>
      <color theme="0"/>
      <name val="Calibri"/>
      <family val="2"/>
      <scheme val="minor"/>
    </font>
    <font>
      <b/>
      <sz val="11"/>
      <color theme="0" tint="-0.499984740745262"/>
      <name val="Calibri"/>
      <family val="2"/>
      <scheme val="minor"/>
    </font>
    <font>
      <sz val="13"/>
      <color theme="0" tint="-0.499984740745262"/>
      <name val="Calibri"/>
      <family val="2"/>
      <scheme val="minor"/>
    </font>
    <font>
      <i/>
      <sz val="14"/>
      <color theme="0" tint="-0.499984740745262"/>
      <name val="Calibri"/>
      <family val="2"/>
      <scheme val="minor"/>
    </font>
    <font>
      <i/>
      <u/>
      <sz val="11"/>
      <color theme="1"/>
      <name val="Calibri"/>
      <family val="2"/>
      <scheme val="minor"/>
    </font>
    <font>
      <i/>
      <sz val="12"/>
      <color theme="0" tint="-0.499984740745262"/>
      <name val="Calibri"/>
      <family val="2"/>
      <scheme val="minor"/>
    </font>
    <font>
      <b/>
      <i/>
      <sz val="12"/>
      <color theme="0" tint="-0.499984740745262"/>
      <name val="Calibri"/>
      <family val="2"/>
      <scheme val="minor"/>
    </font>
    <font>
      <sz val="14"/>
      <color theme="1"/>
      <name val="Calibri"/>
      <family val="2"/>
      <scheme val="minor"/>
    </font>
    <font>
      <sz val="8"/>
      <color theme="1"/>
      <name val="Calibri"/>
      <family val="2"/>
      <scheme val="minor"/>
    </font>
    <font>
      <sz val="11"/>
      <name val="Calibri"/>
      <family val="2"/>
      <scheme val="minor"/>
    </font>
    <font>
      <sz val="13"/>
      <color rgb="FFBFBFBF"/>
      <name val="Calibri"/>
      <family val="2"/>
      <scheme val="minor"/>
    </font>
    <font>
      <sz val="12"/>
      <color theme="2" tint="-0.499984740745262"/>
      <name val="Calibri"/>
      <family val="2"/>
      <scheme val="minor"/>
    </font>
    <font>
      <sz val="9"/>
      <color theme="1" tint="0.499984740745262"/>
      <name val="Calibri"/>
      <family val="2"/>
      <scheme val="minor"/>
    </font>
    <font>
      <sz val="11"/>
      <color theme="5" tint="-0.249977111117893"/>
      <name val="Calibri"/>
      <family val="2"/>
      <scheme val="minor"/>
    </font>
    <font>
      <sz val="11"/>
      <color rgb="FFFF0000"/>
      <name val="Calibri"/>
      <family val="2"/>
      <scheme val="minor"/>
    </font>
    <font>
      <b/>
      <sz val="11"/>
      <name val="Calibri"/>
      <family val="2"/>
      <scheme val="minor"/>
    </font>
    <font>
      <b/>
      <sz val="12"/>
      <color theme="0" tint="-0.34998626667073579"/>
      <name val="Calibri"/>
      <family val="2"/>
      <scheme val="minor"/>
    </font>
    <font>
      <b/>
      <sz val="11"/>
      <color theme="0" tint="-0.34998626667073579"/>
      <name val="Calibri"/>
      <family val="2"/>
      <scheme val="minor"/>
    </font>
    <font>
      <sz val="11"/>
      <color theme="0" tint="-0.34998626667073579"/>
      <name val="Calibri"/>
      <family val="2"/>
      <scheme val="minor"/>
    </font>
    <font>
      <b/>
      <sz val="12"/>
      <color theme="0" tint="-0.499984740745262"/>
      <name val="Calibri"/>
      <family val="2"/>
      <scheme val="minor"/>
    </font>
    <font>
      <b/>
      <sz val="12"/>
      <color theme="0" tint="-0.249977111117893"/>
      <name val="Calibri"/>
      <family val="2"/>
      <scheme val="minor"/>
    </font>
    <font>
      <b/>
      <sz val="14"/>
      <color theme="0" tint="-0.499984740745262"/>
      <name val="Calibri"/>
      <family val="2"/>
      <scheme val="minor"/>
    </font>
    <font>
      <sz val="16"/>
      <color theme="1"/>
      <name val="Calibri"/>
      <family val="2"/>
      <scheme val="minor"/>
    </font>
    <font>
      <b/>
      <sz val="16"/>
      <color theme="9" tint="-0.249977111117893"/>
      <name val="Calibri"/>
      <family val="2"/>
      <scheme val="minor"/>
    </font>
    <font>
      <sz val="8"/>
      <name val="Calibri"/>
      <family val="2"/>
      <scheme val="minor"/>
    </font>
    <font>
      <b/>
      <sz val="12"/>
      <color theme="0"/>
      <name val="Calibri"/>
      <family val="2"/>
      <scheme val="minor"/>
    </font>
    <font>
      <sz val="12"/>
      <color theme="0" tint="-0.499984740745262"/>
      <name val="Calibri"/>
      <family val="2"/>
      <scheme val="minor"/>
    </font>
    <font>
      <sz val="14"/>
      <color rgb="FFFF0000"/>
      <name val="Calibri"/>
      <family val="2"/>
      <scheme val="minor"/>
    </font>
    <font>
      <b/>
      <sz val="12"/>
      <name val="Calibri"/>
      <family val="2"/>
      <scheme val="minor"/>
    </font>
    <font>
      <sz val="12"/>
      <name val="Calibri"/>
      <family val="2"/>
      <scheme val="minor"/>
    </font>
    <font>
      <b/>
      <sz val="16"/>
      <color rgb="FF000000"/>
      <name val="Calibri"/>
      <family val="2"/>
      <scheme val="minor"/>
    </font>
    <font>
      <b/>
      <sz val="11"/>
      <color rgb="FFFF0000"/>
      <name val="Calibri"/>
      <family val="2"/>
      <scheme val="minor"/>
    </font>
    <font>
      <b/>
      <sz val="12"/>
      <color rgb="FF000000"/>
      <name val="Calibri"/>
      <family val="2"/>
      <scheme val="minor"/>
    </font>
    <font>
      <sz val="12"/>
      <color rgb="FF000000"/>
      <name val="Calibri"/>
      <family val="2"/>
      <scheme val="minor"/>
    </font>
    <font>
      <b/>
      <u/>
      <sz val="12"/>
      <color rgb="FF000000"/>
      <name val="Calibri"/>
      <family val="2"/>
      <scheme val="minor"/>
    </font>
  </fonts>
  <fills count="38">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DEDED"/>
        <bgColor indexed="64"/>
      </patternFill>
    </fill>
    <fill>
      <patternFill patternType="solid">
        <fgColor theme="7" tint="0.79998168889431442"/>
        <bgColor indexed="64"/>
      </patternFill>
    </fill>
    <fill>
      <patternFill patternType="solid">
        <fgColor rgb="FFC9C9C9"/>
        <bgColor indexed="64"/>
      </patternFill>
    </fill>
    <fill>
      <patternFill patternType="solid">
        <fgColor theme="2"/>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E2EFDA"/>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E7E6E6"/>
        <bgColor indexed="64"/>
      </patternFill>
    </fill>
    <fill>
      <patternFill patternType="solid">
        <fgColor theme="8" tint="-0.249977111117893"/>
        <bgColor indexed="64"/>
      </patternFill>
    </fill>
    <fill>
      <patternFill patternType="solid">
        <fgColor rgb="FF0070C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6" tint="-0.249977111117893"/>
        <bgColor indexed="64"/>
      </patternFill>
    </fill>
    <fill>
      <patternFill patternType="solid">
        <fgColor theme="7"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theme="5" tint="-0.499984740745262"/>
        <bgColor indexed="64"/>
      </patternFill>
    </fill>
    <fill>
      <patternFill patternType="solid">
        <fgColor rgb="FF808080"/>
        <bgColor indexed="64"/>
      </patternFill>
    </fill>
    <fill>
      <patternFill patternType="solid">
        <fgColor rgb="FFD9E1F2"/>
        <bgColor indexed="64"/>
      </patternFill>
    </fill>
    <fill>
      <patternFill patternType="solid">
        <fgColor rgb="FFFFE699"/>
        <bgColor indexed="64"/>
      </patternFill>
    </fill>
    <fill>
      <patternFill patternType="solid">
        <fgColor rgb="FFFFD966"/>
        <bgColor indexed="64"/>
      </patternFill>
    </fill>
  </fills>
  <borders count="142">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medium">
        <color theme="0"/>
      </left>
      <right style="medium">
        <color theme="0"/>
      </right>
      <top style="medium">
        <color theme="0"/>
      </top>
      <bottom style="medium">
        <color theme="0"/>
      </bottom>
      <diagonal/>
    </border>
    <border>
      <left/>
      <right style="dotted">
        <color theme="2" tint="-0.249977111117893"/>
      </right>
      <top/>
      <bottom/>
      <diagonal/>
    </border>
    <border>
      <left/>
      <right/>
      <top/>
      <bottom style="dotted">
        <color theme="2" tint="-0.249977111117893"/>
      </bottom>
      <diagonal/>
    </border>
    <border>
      <left style="dotted">
        <color theme="2" tint="-0.249977111117893"/>
      </left>
      <right/>
      <top style="dotted">
        <color theme="2" tint="-0.249977111117893"/>
      </top>
      <bottom/>
      <diagonal/>
    </border>
    <border>
      <left style="dotted">
        <color theme="2" tint="-0.249977111117893"/>
      </left>
      <right/>
      <top/>
      <bottom/>
      <diagonal/>
    </border>
    <border>
      <left style="dotted">
        <color theme="2" tint="-0.249977111117893"/>
      </left>
      <right style="dotted">
        <color theme="2" tint="-0.249977111117893"/>
      </right>
      <top style="dotted">
        <color theme="2" tint="-0.249977111117893"/>
      </top>
      <bottom/>
      <diagonal/>
    </border>
    <border>
      <left style="dotted">
        <color theme="2" tint="-0.249977111117893"/>
      </left>
      <right style="dotted">
        <color theme="2" tint="-0.249977111117893"/>
      </right>
      <top/>
      <bottom/>
      <diagonal/>
    </border>
    <border>
      <left/>
      <right style="dotted">
        <color theme="2" tint="-0.249977111117893"/>
      </right>
      <top/>
      <bottom style="dotted">
        <color theme="2" tint="-0.249977111117893"/>
      </bottom>
      <diagonal/>
    </border>
    <border>
      <left/>
      <right/>
      <top style="dotted">
        <color theme="2" tint="-0.249977111117893"/>
      </top>
      <bottom style="dotted">
        <color theme="2" tint="-0.249977111117893"/>
      </bottom>
      <diagonal/>
    </border>
    <border>
      <left/>
      <right style="dotted">
        <color theme="2" tint="-0.249977111117893"/>
      </right>
      <top style="dotted">
        <color theme="2" tint="-0.249977111117893"/>
      </top>
      <bottom style="dotted">
        <color theme="2" tint="-0.249977111117893"/>
      </bottom>
      <diagonal/>
    </border>
    <border>
      <left style="dotted">
        <color theme="2" tint="-0.249977111117893"/>
      </left>
      <right/>
      <top style="dotted">
        <color theme="2" tint="-0.249977111117893"/>
      </top>
      <bottom style="dotted">
        <color theme="2" tint="-0.249977111117893"/>
      </bottom>
      <diagonal/>
    </border>
    <border>
      <left style="dotted">
        <color theme="2" tint="-0.249977111117893"/>
      </left>
      <right/>
      <top/>
      <bottom style="dotted">
        <color theme="2" tint="-0.249977111117893"/>
      </bottom>
      <diagonal/>
    </border>
    <border>
      <left/>
      <right style="dotted">
        <color theme="2" tint="-0.249977111117893"/>
      </right>
      <top style="dotted">
        <color theme="2" tint="-0.249977111117893"/>
      </top>
      <bottom/>
      <diagonal/>
    </border>
    <border>
      <left/>
      <right/>
      <top style="dotted">
        <color theme="2" tint="-0.249977111117893"/>
      </top>
      <bottom/>
      <diagonal/>
    </border>
    <border>
      <left/>
      <right/>
      <top/>
      <bottom style="dashed">
        <color theme="0" tint="-0.24994659260841701"/>
      </bottom>
      <diagonal/>
    </border>
    <border>
      <left/>
      <right/>
      <top style="medium">
        <color theme="4"/>
      </top>
      <bottom/>
      <diagonal/>
    </border>
    <border>
      <left/>
      <right/>
      <top/>
      <bottom style="thin">
        <color theme="0" tint="-0.249977111117893"/>
      </bottom>
      <diagonal/>
    </border>
    <border>
      <left/>
      <right/>
      <top style="thin">
        <color theme="4"/>
      </top>
      <bottom style="dashed">
        <color theme="0" tint="-0.24994659260841701"/>
      </bottom>
      <diagonal/>
    </border>
    <border>
      <left/>
      <right/>
      <top style="thin">
        <color theme="4"/>
      </top>
      <bottom style="thin">
        <color theme="0" tint="-0.24994659260841701"/>
      </bottom>
      <diagonal/>
    </border>
    <border>
      <left style="thick">
        <color theme="0"/>
      </left>
      <right style="thick">
        <color theme="0"/>
      </right>
      <top/>
      <bottom style="thin">
        <color theme="0" tint="-0.24994659260841701"/>
      </bottom>
      <diagonal/>
    </border>
    <border>
      <left style="thin">
        <color theme="9" tint="-0.249977111117893"/>
      </left>
      <right/>
      <top style="thin">
        <color theme="9" tint="-0.249977111117893"/>
      </top>
      <bottom/>
      <diagonal/>
    </border>
    <border>
      <left/>
      <right/>
      <top style="thin">
        <color theme="9" tint="-0.249977111117893"/>
      </top>
      <bottom/>
      <diagonal/>
    </border>
    <border>
      <left/>
      <right style="thin">
        <color theme="9" tint="-0.249977111117893"/>
      </right>
      <top style="thin">
        <color theme="9" tint="-0.249977111117893"/>
      </top>
      <bottom/>
      <diagonal/>
    </border>
    <border>
      <left style="thin">
        <color theme="9" tint="-0.249977111117893"/>
      </left>
      <right/>
      <top/>
      <bottom/>
      <diagonal/>
    </border>
    <border>
      <left/>
      <right style="thin">
        <color theme="9" tint="-0.249977111117893"/>
      </right>
      <top/>
      <bottom/>
      <diagonal/>
    </border>
    <border>
      <left style="thin">
        <color theme="9" tint="-0.249977111117893"/>
      </left>
      <right/>
      <top/>
      <bottom style="thin">
        <color theme="9" tint="-0.249977111117893"/>
      </bottom>
      <diagonal/>
    </border>
    <border>
      <left/>
      <right/>
      <top/>
      <bottom style="thin">
        <color theme="9" tint="-0.249977111117893"/>
      </bottom>
      <diagonal/>
    </border>
    <border>
      <left/>
      <right style="thin">
        <color theme="9" tint="-0.249977111117893"/>
      </right>
      <top/>
      <bottom style="thin">
        <color theme="9"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tted">
        <color theme="6"/>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dotted">
        <color theme="6"/>
      </right>
      <top style="dotted">
        <color theme="6"/>
      </top>
      <bottom/>
      <diagonal/>
    </border>
    <border>
      <left/>
      <right style="dotted">
        <color theme="6"/>
      </right>
      <top/>
      <bottom/>
      <diagonal/>
    </border>
    <border>
      <left/>
      <right/>
      <top style="thin">
        <color indexed="64"/>
      </top>
      <bottom/>
      <diagonal/>
    </border>
    <border>
      <left/>
      <right style="thin">
        <color indexed="64"/>
      </right>
      <top/>
      <bottom style="thin">
        <color indexed="64"/>
      </bottom>
      <diagonal/>
    </border>
    <border>
      <left style="hair">
        <color theme="6"/>
      </left>
      <right style="hair">
        <color theme="6"/>
      </right>
      <top style="hair">
        <color theme="6"/>
      </top>
      <bottom style="hair">
        <color theme="6"/>
      </bottom>
      <diagonal/>
    </border>
    <border>
      <left style="dotted">
        <color theme="2" tint="-0.249977111117893"/>
      </left>
      <right style="dotted">
        <color theme="2" tint="-0.249977111117893"/>
      </right>
      <top/>
      <bottom style="dotted">
        <color theme="2" tint="-0.249977111117893"/>
      </bottom>
      <diagonal/>
    </border>
    <border>
      <left style="dotted">
        <color theme="2" tint="-0.249977111117893"/>
      </left>
      <right style="dotted">
        <color theme="2" tint="-0.249977111117893"/>
      </right>
      <top/>
      <bottom style="hair">
        <color theme="6"/>
      </bottom>
      <diagonal/>
    </border>
    <border>
      <left style="dotted">
        <color theme="2" tint="-0.249977111117893"/>
      </left>
      <right/>
      <top/>
      <bottom style="hair">
        <color theme="6"/>
      </bottom>
      <diagonal/>
    </border>
    <border>
      <left/>
      <right/>
      <top/>
      <bottom style="hair">
        <color theme="6"/>
      </bottom>
      <diagonal/>
    </border>
    <border>
      <left/>
      <right style="dotted">
        <color theme="2" tint="-0.249977111117893"/>
      </right>
      <top/>
      <bottom style="hair">
        <color theme="6"/>
      </bottom>
      <diagonal/>
    </border>
    <border>
      <left style="hair">
        <color theme="6"/>
      </left>
      <right/>
      <top style="hair">
        <color theme="6"/>
      </top>
      <bottom style="hair">
        <color theme="6"/>
      </bottom>
      <diagonal/>
    </border>
    <border>
      <left/>
      <right style="hair">
        <color theme="6"/>
      </right>
      <top style="hair">
        <color theme="6"/>
      </top>
      <bottom style="hair">
        <color theme="6"/>
      </bottom>
      <diagonal/>
    </border>
    <border>
      <left/>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style="medium">
        <color theme="0"/>
      </right>
      <top/>
      <bottom/>
      <diagonal/>
    </border>
    <border>
      <left style="dotted">
        <color theme="1" tint="0.499984740745262"/>
      </left>
      <right style="dotted">
        <color theme="1" tint="0.499984740745262"/>
      </right>
      <top style="dotted">
        <color theme="1" tint="0.499984740745262"/>
      </top>
      <bottom style="dotted">
        <color theme="1" tint="0.499984740745262"/>
      </bottom>
      <diagonal/>
    </border>
    <border>
      <left/>
      <right style="dotted">
        <color theme="0" tint="-0.499984740745262"/>
      </right>
      <top/>
      <bottom/>
      <diagonal/>
    </border>
    <border>
      <left style="dotted">
        <color theme="0" tint="-0.499984740745262"/>
      </left>
      <right/>
      <top style="dotted">
        <color theme="0" tint="-0.499984740745262"/>
      </top>
      <bottom/>
      <diagonal/>
    </border>
    <border>
      <left/>
      <right style="dotted">
        <color theme="0" tint="-0.499984740745262"/>
      </right>
      <top style="dotted">
        <color theme="0" tint="-0.499984740745262"/>
      </top>
      <bottom/>
      <diagonal/>
    </border>
    <border>
      <left style="dotted">
        <color theme="0" tint="-0.499984740745262"/>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
      <left style="dotted">
        <color theme="2" tint="-0.249977111117893"/>
      </left>
      <right/>
      <top/>
      <bottom style="dotted">
        <color theme="0" tint="-0.499984740745262"/>
      </bottom>
      <diagonal/>
    </border>
    <border>
      <left/>
      <right/>
      <top/>
      <bottom style="dotted">
        <color theme="0" tint="-0.499984740745262"/>
      </bottom>
      <diagonal/>
    </border>
    <border>
      <left/>
      <right style="dotted">
        <color theme="2" tint="-0.249977111117893"/>
      </right>
      <top/>
      <bottom style="dotted">
        <color theme="0" tint="-0.499984740745262"/>
      </bottom>
      <diagonal/>
    </border>
    <border>
      <left/>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dotted">
        <color theme="2" tint="-0.249977111117893"/>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dotted">
        <color theme="1" tint="0.499984740745262"/>
      </top>
      <bottom/>
      <diagonal/>
    </border>
    <border>
      <left style="dotted">
        <color theme="1" tint="0.499984740745262"/>
      </left>
      <right/>
      <top style="dotted">
        <color theme="1" tint="0.499984740745262"/>
      </top>
      <bottom/>
      <diagonal/>
    </border>
    <border>
      <left/>
      <right style="dotted">
        <color theme="1" tint="0.499984740745262"/>
      </right>
      <top style="dotted">
        <color theme="1" tint="0.499984740745262"/>
      </top>
      <bottom/>
      <diagonal/>
    </border>
    <border>
      <left/>
      <right style="dotted">
        <color theme="1" tint="0.499984740745262"/>
      </right>
      <top/>
      <bottom/>
      <diagonal/>
    </border>
    <border>
      <left/>
      <right/>
      <top/>
      <bottom style="dotted">
        <color theme="1" tint="0.499984740745262"/>
      </bottom>
      <diagonal/>
    </border>
    <border>
      <left/>
      <right style="dotted">
        <color theme="1" tint="0.499984740745262"/>
      </right>
      <top/>
      <bottom style="dotted">
        <color theme="1" tint="0.499984740745262"/>
      </bottom>
      <diagonal/>
    </border>
    <border>
      <left style="dotted">
        <color theme="1" tint="0.499984740745262"/>
      </left>
      <right/>
      <top/>
      <bottom style="dotted">
        <color theme="1" tint="0.499984740745262"/>
      </bottom>
      <diagonal/>
    </border>
    <border>
      <left style="dotted">
        <color theme="1" tint="0.499984740745262"/>
      </left>
      <right style="dotted">
        <color theme="1" tint="0.499984740745262"/>
      </right>
      <top style="dotted">
        <color theme="1" tint="0.499984740745262"/>
      </top>
      <bottom/>
      <diagonal/>
    </border>
    <border>
      <left style="dotted">
        <color theme="1" tint="0.499984740745262"/>
      </left>
      <right style="dotted">
        <color theme="1" tint="0.499984740745262"/>
      </right>
      <top/>
      <bottom/>
      <diagonal/>
    </border>
    <border>
      <left style="dotted">
        <color theme="1" tint="0.499984740745262"/>
      </left>
      <right style="dotted">
        <color theme="1" tint="0.499984740745262"/>
      </right>
      <top/>
      <bottom style="dotted">
        <color theme="1" tint="0.499984740745262"/>
      </bottom>
      <diagonal/>
    </border>
    <border>
      <left style="dotted">
        <color theme="1" tint="0.499984740745262"/>
      </left>
      <right/>
      <top style="dotted">
        <color theme="1" tint="0.499984740745262"/>
      </top>
      <bottom style="dotted">
        <color theme="1" tint="0.499984740745262"/>
      </bottom>
      <diagonal/>
    </border>
    <border>
      <left/>
      <right/>
      <top style="dotted">
        <color theme="1" tint="0.499984740745262"/>
      </top>
      <bottom style="dotted">
        <color theme="1" tint="0.499984740745262"/>
      </bottom>
      <diagonal/>
    </border>
    <border>
      <left/>
      <right style="dotted">
        <color theme="1" tint="0.499984740745262"/>
      </right>
      <top style="dotted">
        <color theme="1" tint="0.499984740745262"/>
      </top>
      <bottom style="dotted">
        <color theme="1" tint="0.499984740745262"/>
      </bottom>
      <diagonal/>
    </border>
    <border>
      <left style="dotted">
        <color theme="1" tint="0.499984740745262"/>
      </left>
      <right/>
      <top/>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right style="thin">
        <color theme="0"/>
      </right>
      <top/>
      <bottom/>
      <diagonal/>
    </border>
    <border>
      <left/>
      <right/>
      <top/>
      <bottom style="thin">
        <color rgb="FFEDEDED"/>
      </bottom>
      <diagonal/>
    </border>
    <border>
      <left style="thin">
        <color rgb="FFEDEDED"/>
      </left>
      <right style="thin">
        <color rgb="FFEDEDED"/>
      </right>
      <top style="thin">
        <color rgb="FFEDEDED"/>
      </top>
      <bottom style="thin">
        <color rgb="FFEDEDED"/>
      </bottom>
      <diagonal/>
    </border>
    <border>
      <left style="thin">
        <color rgb="FFEDEDED"/>
      </left>
      <right/>
      <top/>
      <bottom/>
      <diagonal/>
    </border>
    <border>
      <left style="thin">
        <color indexed="64"/>
      </left>
      <right/>
      <top style="thin">
        <color indexed="64"/>
      </top>
      <bottom style="thin">
        <color theme="1" tint="0.499984740745262"/>
      </bottom>
      <diagonal/>
    </border>
    <border>
      <left/>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right/>
      <top/>
      <bottom style="thin">
        <color theme="0" tint="-0.499984740745262"/>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style="thin">
        <color theme="0" tint="-0.499984740745262"/>
      </left>
      <right/>
      <top/>
      <bottom/>
      <diagonal/>
    </border>
    <border>
      <left/>
      <right style="thin">
        <color theme="0"/>
      </right>
      <top style="thin">
        <color theme="0" tint="-0.499984740745262"/>
      </top>
      <bottom/>
      <diagonal/>
    </border>
    <border>
      <left/>
      <right style="thin">
        <color theme="0"/>
      </right>
      <top/>
      <bottom style="thin">
        <color theme="0" tint="-0.499984740745262"/>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thin">
        <color indexed="64"/>
      </bottom>
      <diagonal/>
    </border>
    <border>
      <left/>
      <right style="medium">
        <color rgb="FF000000"/>
      </right>
      <top/>
      <bottom style="thin">
        <color indexed="64"/>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right style="medium">
        <color rgb="FF000000"/>
      </right>
      <top style="thin">
        <color indexed="64"/>
      </top>
      <bottom style="medium">
        <color rgb="FF000000"/>
      </bottom>
      <diagonal/>
    </border>
    <border>
      <left/>
      <right style="thin">
        <color indexed="64"/>
      </right>
      <top style="thin">
        <color indexed="64"/>
      </top>
      <bottom style="medium">
        <color rgb="FF000000"/>
      </bottom>
      <diagonal/>
    </border>
  </borders>
  <cellStyleXfs count="17">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4" fillId="0" borderId="1" applyNumberFormat="0" applyProtection="0">
      <alignment wrapText="1"/>
    </xf>
    <xf numFmtId="0" fontId="15" fillId="0" borderId="17" applyNumberFormat="0" applyFont="0" applyProtection="0">
      <alignment wrapText="1"/>
    </xf>
    <xf numFmtId="0" fontId="14" fillId="0" borderId="22" applyNumberFormat="0" applyProtection="0">
      <alignment horizontal="left" wrapText="1"/>
    </xf>
    <xf numFmtId="0" fontId="14" fillId="0" borderId="21" applyNumberFormat="0" applyFill="0" applyProtection="0">
      <alignment wrapText="1"/>
    </xf>
    <xf numFmtId="0" fontId="14" fillId="0" borderId="19" applyNumberFormat="0" applyProtection="0">
      <alignment wrapText="1"/>
    </xf>
    <xf numFmtId="0" fontId="15" fillId="0" borderId="18" applyNumberFormat="0" applyProtection="0">
      <alignment vertical="top" wrapText="1"/>
    </xf>
    <xf numFmtId="0" fontId="15" fillId="0" borderId="20" applyNumberFormat="0" applyFont="0" applyFill="0" applyProtection="0">
      <alignment wrapText="1"/>
    </xf>
    <xf numFmtId="0" fontId="15" fillId="0" borderId="0" applyNumberFormat="0" applyFill="0" applyBorder="0" applyAlignment="0" applyProtection="0"/>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5" fillId="0" borderId="0" applyNumberFormat="0" applyProtection="0">
      <alignment vertical="top" wrapText="1"/>
    </xf>
    <xf numFmtId="0" fontId="18" fillId="0" borderId="0" applyNumberFormat="0" applyProtection="0">
      <alignment horizontal="left"/>
    </xf>
    <xf numFmtId="9" fontId="1" fillId="0" borderId="0" applyFont="0" applyFill="0" applyBorder="0" applyAlignment="0" applyProtection="0"/>
  </cellStyleXfs>
  <cellXfs count="558">
    <xf numFmtId="0" fontId="0" fillId="0" borderId="0" xfId="0"/>
    <xf numFmtId="167" fontId="7" fillId="2" borderId="3" xfId="2" applyNumberFormat="1" applyFont="1" applyFill="1" applyBorder="1" applyAlignment="1">
      <alignment horizontal="center" vertical="center"/>
    </xf>
    <xf numFmtId="0" fontId="7" fillId="2" borderId="3" xfId="0" applyFont="1" applyFill="1" applyBorder="1"/>
    <xf numFmtId="0" fontId="3" fillId="5" borderId="6" xfId="0" applyFont="1" applyFill="1" applyBorder="1"/>
    <xf numFmtId="0" fontId="0" fillId="5" borderId="16" xfId="0" applyFill="1" applyBorder="1"/>
    <xf numFmtId="0" fontId="10" fillId="5" borderId="16" xfId="0" applyFont="1" applyFill="1" applyBorder="1" applyAlignment="1">
      <alignment horizontal="right"/>
    </xf>
    <xf numFmtId="0" fontId="0" fillId="5" borderId="15" xfId="0" applyFill="1" applyBorder="1"/>
    <xf numFmtId="0" fontId="6" fillId="5" borderId="0" xfId="0" applyFont="1" applyFill="1"/>
    <xf numFmtId="0" fontId="12" fillId="5" borderId="0" xfId="0" applyFont="1" applyFill="1" applyAlignment="1">
      <alignment horizontal="right"/>
    </xf>
    <xf numFmtId="0" fontId="0" fillId="3" borderId="7" xfId="0" applyFill="1" applyBorder="1"/>
    <xf numFmtId="0" fontId="8" fillId="3" borderId="0" xfId="0" applyFont="1" applyFill="1" applyAlignment="1">
      <alignment horizontal="center"/>
    </xf>
    <xf numFmtId="0" fontId="0" fillId="3" borderId="4" xfId="0" applyFill="1" applyBorder="1"/>
    <xf numFmtId="0" fontId="0" fillId="3" borderId="0" xfId="0" applyFill="1" applyAlignment="1">
      <alignment horizontal="right"/>
    </xf>
    <xf numFmtId="0" fontId="0" fillId="3" borderId="0" xfId="0" applyFill="1"/>
    <xf numFmtId="0" fontId="6" fillId="3" borderId="0" xfId="0" applyFont="1" applyFill="1" applyAlignment="1">
      <alignment horizontal="right"/>
    </xf>
    <xf numFmtId="166" fontId="3" fillId="3" borderId="0" xfId="1" applyNumberFormat="1" applyFont="1" applyFill="1" applyBorder="1"/>
    <xf numFmtId="0" fontId="11" fillId="3" borderId="0" xfId="0" applyFont="1" applyFill="1"/>
    <xf numFmtId="0" fontId="0" fillId="3" borderId="14" xfId="0" applyFill="1" applyBorder="1"/>
    <xf numFmtId="0" fontId="0" fillId="3" borderId="5" xfId="0" applyFill="1" applyBorder="1"/>
    <xf numFmtId="0" fontId="0" fillId="3" borderId="10" xfId="0" applyFill="1" applyBorder="1"/>
    <xf numFmtId="0" fontId="9" fillId="3" borderId="0" xfId="0" applyFont="1" applyFill="1" applyAlignment="1">
      <alignment vertical="center" wrapText="1"/>
    </xf>
    <xf numFmtId="2" fontId="3" fillId="3" borderId="0" xfId="0" applyNumberFormat="1" applyFont="1" applyFill="1" applyAlignment="1">
      <alignment horizontal="center"/>
    </xf>
    <xf numFmtId="2" fontId="3" fillId="3" borderId="8" xfId="0" applyNumberFormat="1" applyFont="1" applyFill="1" applyBorder="1" applyAlignment="1">
      <alignment horizontal="center"/>
    </xf>
    <xf numFmtId="2" fontId="3" fillId="3" borderId="9" xfId="0" applyNumberFormat="1" applyFont="1" applyFill="1" applyBorder="1" applyAlignment="1">
      <alignment horizontal="center"/>
    </xf>
    <xf numFmtId="166" fontId="7" fillId="2" borderId="3" xfId="1" applyNumberFormat="1" applyFont="1" applyFill="1" applyBorder="1"/>
    <xf numFmtId="0" fontId="4" fillId="3" borderId="2" xfId="0" applyFont="1" applyFill="1" applyBorder="1" applyAlignment="1">
      <alignment horizontal="center"/>
    </xf>
    <xf numFmtId="0" fontId="5" fillId="3" borderId="2" xfId="0" applyFont="1" applyFill="1" applyBorder="1" applyAlignment="1">
      <alignment horizontal="center"/>
    </xf>
    <xf numFmtId="0" fontId="0" fillId="0" borderId="0" xfId="0" applyAlignment="1">
      <alignment wrapText="1"/>
    </xf>
    <xf numFmtId="0" fontId="7" fillId="2" borderId="0" xfId="0" applyFont="1" applyFill="1" applyAlignment="1">
      <alignment horizontal="center"/>
    </xf>
    <xf numFmtId="0" fontId="0" fillId="8" borderId="0" xfId="0" applyFill="1"/>
    <xf numFmtId="0" fontId="6" fillId="10" borderId="7" xfId="0" applyFont="1" applyFill="1" applyBorder="1"/>
    <xf numFmtId="0" fontId="4" fillId="6" borderId="40" xfId="0" applyFont="1" applyFill="1" applyBorder="1" applyAlignment="1">
      <alignment horizontal="center"/>
    </xf>
    <xf numFmtId="0" fontId="0" fillId="0" borderId="36" xfId="0" applyBorder="1"/>
    <xf numFmtId="0" fontId="5" fillId="3" borderId="33" xfId="0" applyFont="1" applyFill="1" applyBorder="1" applyAlignment="1">
      <alignment horizontal="left"/>
    </xf>
    <xf numFmtId="0" fontId="0" fillId="3" borderId="0" xfId="0" applyFill="1" applyAlignment="1">
      <alignment horizontal="right" wrapText="1"/>
    </xf>
    <xf numFmtId="168" fontId="3" fillId="3" borderId="0" xfId="3" applyNumberFormat="1" applyFont="1" applyFill="1"/>
    <xf numFmtId="165" fontId="5" fillId="3" borderId="31" xfId="0" applyNumberFormat="1" applyFont="1" applyFill="1" applyBorder="1" applyAlignment="1">
      <alignment horizontal="right"/>
    </xf>
    <xf numFmtId="0" fontId="3" fillId="0" borderId="0" xfId="0" applyFont="1"/>
    <xf numFmtId="0" fontId="5" fillId="0" borderId="0" xfId="0" applyFont="1"/>
    <xf numFmtId="0" fontId="0" fillId="0" borderId="0" xfId="0" applyAlignment="1">
      <alignment horizontal="left"/>
    </xf>
    <xf numFmtId="0" fontId="9" fillId="0" borderId="0" xfId="0" applyFont="1" applyAlignment="1">
      <alignment vertical="top" wrapText="1"/>
    </xf>
    <xf numFmtId="166" fontId="7" fillId="17" borderId="3" xfId="1" applyNumberFormat="1" applyFont="1" applyFill="1" applyBorder="1"/>
    <xf numFmtId="0" fontId="21" fillId="0" borderId="0" xfId="0" applyFont="1" applyAlignment="1">
      <alignment horizontal="center"/>
    </xf>
    <xf numFmtId="0" fontId="23" fillId="0" borderId="0" xfId="0" applyFont="1" applyAlignment="1">
      <alignment horizontal="left"/>
    </xf>
    <xf numFmtId="0" fontId="24" fillId="13" borderId="0" xfId="0" applyFont="1" applyFill="1"/>
    <xf numFmtId="0" fontId="25" fillId="0" borderId="0" xfId="0" applyFont="1"/>
    <xf numFmtId="0" fontId="26" fillId="13" borderId="0" xfId="0" applyFont="1" applyFill="1"/>
    <xf numFmtId="167" fontId="10" fillId="5" borderId="0" xfId="2" applyNumberFormat="1" applyFont="1" applyFill="1" applyBorder="1" applyAlignment="1">
      <alignment horizontal="center"/>
    </xf>
    <xf numFmtId="0" fontId="0" fillId="0" borderId="0" xfId="0" applyAlignment="1">
      <alignment vertical="center"/>
    </xf>
    <xf numFmtId="0" fontId="5" fillId="0" borderId="46" xfId="0" applyFont="1" applyBorder="1" applyAlignment="1">
      <alignment vertical="center" wrapText="1"/>
    </xf>
    <xf numFmtId="0" fontId="0" fillId="0" borderId="46" xfId="0" applyBorder="1"/>
    <xf numFmtId="165" fontId="0" fillId="0" borderId="46" xfId="0" applyNumberFormat="1" applyBorder="1"/>
    <xf numFmtId="165" fontId="0" fillId="0" borderId="46" xfId="0" applyNumberFormat="1" applyBorder="1" applyAlignment="1">
      <alignment horizontal="left" indent="8"/>
    </xf>
    <xf numFmtId="1" fontId="0" fillId="0" borderId="46" xfId="0" applyNumberFormat="1" applyBorder="1"/>
    <xf numFmtId="2" fontId="0" fillId="0" borderId="46" xfId="0" applyNumberFormat="1" applyBorder="1"/>
    <xf numFmtId="164" fontId="0" fillId="0" borderId="46" xfId="0" applyNumberFormat="1" applyBorder="1"/>
    <xf numFmtId="0" fontId="0" fillId="0" borderId="46" xfId="0" applyBorder="1" applyAlignment="1">
      <alignment vertical="center" wrapText="1"/>
    </xf>
    <xf numFmtId="0" fontId="3" fillId="3" borderId="0" xfId="0" applyFont="1" applyFill="1" applyAlignment="1">
      <alignment horizontal="center"/>
    </xf>
    <xf numFmtId="0" fontId="0" fillId="5" borderId="47" xfId="0" applyFill="1" applyBorder="1" applyAlignment="1">
      <alignment horizontal="center"/>
    </xf>
    <xf numFmtId="0" fontId="0" fillId="5" borderId="10" xfId="0" applyFill="1" applyBorder="1" applyAlignment="1">
      <alignment horizontal="center"/>
    </xf>
    <xf numFmtId="2" fontId="3" fillId="3" borderId="49" xfId="0" applyNumberFormat="1" applyFont="1" applyFill="1" applyBorder="1" applyAlignment="1">
      <alignment horizontal="center"/>
    </xf>
    <xf numFmtId="2" fontId="3" fillId="3" borderId="48" xfId="0" applyNumberFormat="1" applyFont="1" applyFill="1" applyBorder="1" applyAlignment="1">
      <alignment horizontal="center"/>
    </xf>
    <xf numFmtId="0" fontId="0" fillId="3" borderId="49" xfId="0" applyFill="1" applyBorder="1"/>
    <xf numFmtId="0" fontId="0" fillId="8" borderId="50" xfId="0" applyFill="1" applyBorder="1"/>
    <xf numFmtId="0" fontId="0" fillId="3" borderId="51" xfId="0" applyFill="1" applyBorder="1"/>
    <xf numFmtId="0" fontId="8" fillId="3" borderId="16" xfId="0" applyFont="1" applyFill="1" applyBorder="1" applyAlignment="1">
      <alignment horizontal="center"/>
    </xf>
    <xf numFmtId="0" fontId="0" fillId="3" borderId="54" xfId="0" applyFill="1" applyBorder="1"/>
    <xf numFmtId="0" fontId="6" fillId="3" borderId="54" xfId="0" applyFont="1" applyFill="1" applyBorder="1" applyAlignment="1">
      <alignment horizontal="right"/>
    </xf>
    <xf numFmtId="0" fontId="22" fillId="0" borderId="0" xfId="0" applyFont="1" applyAlignment="1">
      <alignment vertical="center" wrapText="1"/>
    </xf>
    <xf numFmtId="0" fontId="22" fillId="8" borderId="42" xfId="0" applyFont="1" applyFill="1" applyBorder="1" applyAlignment="1">
      <alignment vertical="center" wrapText="1"/>
    </xf>
    <xf numFmtId="0" fontId="0" fillId="3" borderId="43" xfId="0" applyFill="1" applyBorder="1"/>
    <xf numFmtId="0" fontId="22" fillId="8" borderId="43" xfId="0" applyFont="1" applyFill="1" applyBorder="1" applyAlignment="1">
      <alignment vertical="center" wrapText="1"/>
    </xf>
    <xf numFmtId="166" fontId="19" fillId="2" borderId="3" xfId="1" applyNumberFormat="1" applyFont="1" applyFill="1" applyBorder="1" applyAlignment="1">
      <alignment horizontal="center" vertical="center" wrapText="1"/>
    </xf>
    <xf numFmtId="0" fontId="7" fillId="2" borderId="3" xfId="0" applyFont="1" applyFill="1" applyBorder="1" applyAlignment="1">
      <alignment horizontal="center" vertical="center"/>
    </xf>
    <xf numFmtId="0" fontId="0" fillId="0" borderId="41" xfId="0" applyBorder="1"/>
    <xf numFmtId="0" fontId="0" fillId="3" borderId="0" xfId="0" applyFill="1" applyAlignment="1">
      <alignment horizontal="center"/>
    </xf>
    <xf numFmtId="0" fontId="3" fillId="7" borderId="46" xfId="0" applyFont="1" applyFill="1" applyBorder="1" applyAlignment="1">
      <alignment wrapText="1"/>
    </xf>
    <xf numFmtId="0" fontId="3" fillId="7" borderId="46" xfId="0" applyFont="1" applyFill="1" applyBorder="1" applyAlignment="1">
      <alignment horizontal="center" wrapText="1"/>
    </xf>
    <xf numFmtId="0" fontId="3" fillId="11" borderId="58" xfId="0" applyFont="1" applyFill="1" applyBorder="1" applyAlignment="1">
      <alignment horizontal="center" vertical="center"/>
    </xf>
    <xf numFmtId="0" fontId="9" fillId="8" borderId="0" xfId="0" applyFont="1" applyFill="1" applyAlignment="1">
      <alignment horizontal="right"/>
    </xf>
    <xf numFmtId="1" fontId="0" fillId="0" borderId="0" xfId="0" applyNumberFormat="1"/>
    <xf numFmtId="0" fontId="3" fillId="7" borderId="46" xfId="0" applyFont="1" applyFill="1" applyBorder="1" applyAlignment="1">
      <alignment horizontal="right" wrapText="1"/>
    </xf>
    <xf numFmtId="0" fontId="0" fillId="0" borderId="46" xfId="0" applyBorder="1" applyAlignment="1">
      <alignment horizontal="right"/>
    </xf>
    <xf numFmtId="164" fontId="0" fillId="0" borderId="46" xfId="0" applyNumberFormat="1" applyBorder="1" applyAlignment="1">
      <alignment horizontal="right"/>
    </xf>
    <xf numFmtId="165" fontId="0" fillId="0" borderId="46" xfId="0" applyNumberFormat="1" applyBorder="1" applyAlignment="1">
      <alignment horizontal="right"/>
    </xf>
    <xf numFmtId="1" fontId="0" fillId="0" borderId="46" xfId="0" applyNumberFormat="1" applyBorder="1" applyAlignment="1">
      <alignment horizontal="right" indent="8"/>
    </xf>
    <xf numFmtId="1" fontId="0" fillId="0" borderId="46" xfId="0" applyNumberFormat="1" applyBorder="1" applyAlignment="1">
      <alignment horizontal="right"/>
    </xf>
    <xf numFmtId="2" fontId="0" fillId="0" borderId="46" xfId="0" applyNumberFormat="1" applyBorder="1" applyAlignment="1">
      <alignment horizontal="right"/>
    </xf>
    <xf numFmtId="0" fontId="0" fillId="0" borderId="0" xfId="0" applyAlignment="1">
      <alignment horizontal="right"/>
    </xf>
    <xf numFmtId="0" fontId="3" fillId="8" borderId="0" xfId="0" applyFont="1" applyFill="1" applyAlignment="1">
      <alignment horizontal="right"/>
    </xf>
    <xf numFmtId="0" fontId="3" fillId="8" borderId="0" xfId="0" applyFont="1" applyFill="1"/>
    <xf numFmtId="0" fontId="3" fillId="8" borderId="59" xfId="0" applyFont="1" applyFill="1" applyBorder="1" applyAlignment="1">
      <alignment horizontal="right"/>
    </xf>
    <xf numFmtId="44" fontId="0" fillId="0" borderId="0" xfId="2" applyFont="1"/>
    <xf numFmtId="0" fontId="0" fillId="5" borderId="0" xfId="0" applyFill="1"/>
    <xf numFmtId="0" fontId="0" fillId="5" borderId="4" xfId="0" applyFill="1" applyBorder="1"/>
    <xf numFmtId="0" fontId="6" fillId="10" borderId="38" xfId="0" applyFont="1" applyFill="1" applyBorder="1"/>
    <xf numFmtId="167" fontId="10" fillId="10" borderId="0" xfId="2" applyNumberFormat="1" applyFont="1" applyFill="1" applyBorder="1" applyAlignment="1">
      <alignment horizontal="center"/>
    </xf>
    <xf numFmtId="0" fontId="20" fillId="10" borderId="0" xfId="0" applyFont="1" applyFill="1" applyAlignment="1">
      <alignment horizontal="right"/>
    </xf>
    <xf numFmtId="0" fontId="6" fillId="10" borderId="64" xfId="0" applyFont="1" applyFill="1" applyBorder="1"/>
    <xf numFmtId="0" fontId="12" fillId="5" borderId="65" xfId="0" applyFont="1" applyFill="1" applyBorder="1" applyAlignment="1">
      <alignment horizontal="right"/>
    </xf>
    <xf numFmtId="167" fontId="10" fillId="5" borderId="65" xfId="2" applyNumberFormat="1" applyFont="1" applyFill="1" applyBorder="1" applyAlignment="1">
      <alignment horizontal="center"/>
    </xf>
    <xf numFmtId="167" fontId="10" fillId="5" borderId="66" xfId="2" applyNumberFormat="1" applyFont="1" applyFill="1" applyBorder="1" applyAlignment="1">
      <alignment horizontal="center"/>
    </xf>
    <xf numFmtId="0" fontId="6" fillId="10" borderId="0" xfId="0" applyFont="1" applyFill="1"/>
    <xf numFmtId="0" fontId="6" fillId="5" borderId="65" xfId="0" applyFont="1" applyFill="1" applyBorder="1"/>
    <xf numFmtId="167" fontId="7" fillId="8" borderId="0" xfId="2" applyNumberFormat="1" applyFont="1" applyFill="1" applyBorder="1" applyAlignment="1">
      <alignment horizontal="center" vertical="center"/>
    </xf>
    <xf numFmtId="166" fontId="7" fillId="8" borderId="0" xfId="1" applyNumberFormat="1" applyFont="1" applyFill="1" applyBorder="1"/>
    <xf numFmtId="0" fontId="7" fillId="8" borderId="0" xfId="0" applyFont="1" applyFill="1"/>
    <xf numFmtId="0" fontId="0" fillId="2" borderId="68" xfId="0" applyFill="1" applyBorder="1"/>
    <xf numFmtId="0" fontId="0" fillId="2" borderId="3" xfId="0" applyFill="1" applyBorder="1"/>
    <xf numFmtId="0" fontId="7" fillId="8" borderId="0" xfId="0" applyFont="1" applyFill="1" applyAlignment="1">
      <alignment vertical="center"/>
    </xf>
    <xf numFmtId="0" fontId="0" fillId="8" borderId="0" xfId="0" applyFill="1" applyAlignment="1">
      <alignment wrapText="1"/>
    </xf>
    <xf numFmtId="166" fontId="37" fillId="3" borderId="0" xfId="1" applyNumberFormat="1" applyFont="1" applyFill="1" applyBorder="1"/>
    <xf numFmtId="2" fontId="3" fillId="3" borderId="80" xfId="0" applyNumberFormat="1" applyFont="1" applyFill="1" applyBorder="1" applyAlignment="1">
      <alignment horizontal="center" vertical="center"/>
    </xf>
    <xf numFmtId="2" fontId="3" fillId="3" borderId="71" xfId="0" applyNumberFormat="1" applyFont="1" applyFill="1" applyBorder="1" applyAlignment="1">
      <alignment horizontal="center" vertical="center"/>
    </xf>
    <xf numFmtId="2" fontId="3" fillId="3" borderId="81" xfId="0" applyNumberFormat="1" applyFont="1" applyFill="1" applyBorder="1" applyAlignment="1">
      <alignment horizontal="center" vertical="center"/>
    </xf>
    <xf numFmtId="2" fontId="3" fillId="3" borderId="74" xfId="0" applyNumberFormat="1" applyFont="1" applyFill="1" applyBorder="1" applyAlignment="1">
      <alignment horizontal="center" vertical="center"/>
    </xf>
    <xf numFmtId="2" fontId="3" fillId="3" borderId="82" xfId="0" applyNumberFormat="1" applyFont="1" applyFill="1" applyBorder="1" applyAlignment="1">
      <alignment horizontal="center" vertical="center"/>
    </xf>
    <xf numFmtId="2" fontId="3" fillId="3" borderId="76" xfId="0" applyNumberFormat="1" applyFont="1" applyFill="1" applyBorder="1" applyAlignment="1">
      <alignment horizontal="center" vertical="center"/>
    </xf>
    <xf numFmtId="168" fontId="3" fillId="20" borderId="70" xfId="3" applyNumberFormat="1" applyFont="1" applyFill="1" applyBorder="1" applyAlignment="1">
      <alignment horizontal="center"/>
    </xf>
    <xf numFmtId="0" fontId="20" fillId="8" borderId="0" xfId="0" applyFont="1" applyFill="1" applyAlignment="1">
      <alignment horizontal="right"/>
    </xf>
    <xf numFmtId="0" fontId="10" fillId="8" borderId="0" xfId="0" applyFont="1" applyFill="1" applyAlignment="1">
      <alignment horizontal="right"/>
    </xf>
    <xf numFmtId="0" fontId="12" fillId="8" borderId="0" xfId="0" applyFont="1" applyFill="1" applyAlignment="1">
      <alignment horizontal="right"/>
    </xf>
    <xf numFmtId="168" fontId="3" fillId="8" borderId="0" xfId="3" applyNumberFormat="1" applyFont="1" applyFill="1" applyBorder="1"/>
    <xf numFmtId="0" fontId="10" fillId="0" borderId="0" xfId="0" applyFont="1" applyAlignment="1">
      <alignment horizontal="right"/>
    </xf>
    <xf numFmtId="0" fontId="6" fillId="0" borderId="0" xfId="0" applyFont="1"/>
    <xf numFmtId="167" fontId="10" fillId="0" borderId="0" xfId="2" applyNumberFormat="1" applyFont="1" applyFill="1" applyBorder="1" applyAlignment="1">
      <alignment horizontal="center"/>
    </xf>
    <xf numFmtId="165" fontId="5" fillId="3" borderId="39" xfId="0" applyNumberFormat="1" applyFont="1" applyFill="1" applyBorder="1" applyAlignment="1">
      <alignment horizontal="right"/>
    </xf>
    <xf numFmtId="0" fontId="5" fillId="3" borderId="45" xfId="0" applyFont="1" applyFill="1" applyBorder="1" applyAlignment="1">
      <alignment horizontal="left"/>
    </xf>
    <xf numFmtId="0" fontId="0" fillId="8" borderId="0" xfId="0" applyFill="1" applyAlignment="1">
      <alignment horizontal="right"/>
    </xf>
    <xf numFmtId="0" fontId="0" fillId="3" borderId="89" xfId="0" applyFill="1" applyBorder="1"/>
    <xf numFmtId="0" fontId="22" fillId="8" borderId="89" xfId="0" applyFont="1" applyFill="1" applyBorder="1" applyAlignment="1">
      <alignment vertical="center" wrapText="1"/>
    </xf>
    <xf numFmtId="0" fontId="0" fillId="3" borderId="0" xfId="0" applyFill="1" applyAlignment="1">
      <alignment horizontal="right" indent="1"/>
    </xf>
    <xf numFmtId="0" fontId="0" fillId="3" borderId="0" xfId="0" applyFill="1" applyAlignment="1">
      <alignment horizontal="right" vertical="center"/>
    </xf>
    <xf numFmtId="0" fontId="0" fillId="8" borderId="90" xfId="0" applyFill="1" applyBorder="1"/>
    <xf numFmtId="0" fontId="0" fillId="8" borderId="91" xfId="0" applyFill="1" applyBorder="1"/>
    <xf numFmtId="0" fontId="0" fillId="8" borderId="86" xfId="0" applyFill="1" applyBorder="1"/>
    <xf numFmtId="0" fontId="0" fillId="8" borderId="88" xfId="0" applyFill="1" applyBorder="1"/>
    <xf numFmtId="0" fontId="35" fillId="3" borderId="0" xfId="0" applyFont="1" applyFill="1"/>
    <xf numFmtId="0" fontId="0" fillId="8" borderId="89" xfId="0" applyFill="1" applyBorder="1"/>
    <xf numFmtId="0" fontId="37" fillId="3" borderId="0" xfId="0" applyFont="1" applyFill="1" applyAlignment="1">
      <alignment horizontal="center"/>
    </xf>
    <xf numFmtId="0" fontId="35" fillId="3" borderId="0" xfId="0" applyFont="1" applyFill="1" applyAlignment="1">
      <alignment horizontal="center"/>
    </xf>
    <xf numFmtId="0" fontId="35" fillId="3" borderId="90" xfId="0" applyFont="1" applyFill="1" applyBorder="1" applyAlignment="1">
      <alignment horizontal="right"/>
    </xf>
    <xf numFmtId="0" fontId="35" fillId="3" borderId="90" xfId="0" applyFont="1" applyFill="1" applyBorder="1"/>
    <xf numFmtId="166" fontId="37" fillId="3" borderId="90" xfId="1" applyNumberFormat="1" applyFont="1" applyFill="1" applyBorder="1"/>
    <xf numFmtId="0" fontId="0" fillId="3" borderId="90" xfId="0" applyFill="1" applyBorder="1"/>
    <xf numFmtId="0" fontId="0" fillId="3" borderId="90" xfId="0" applyFill="1" applyBorder="1" applyAlignment="1">
      <alignment horizontal="center"/>
    </xf>
    <xf numFmtId="166" fontId="3" fillId="3" borderId="90" xfId="1" applyNumberFormat="1" applyFont="1" applyFill="1" applyBorder="1"/>
    <xf numFmtId="0" fontId="0" fillId="3" borderId="88" xfId="0" applyFill="1" applyBorder="1"/>
    <xf numFmtId="0" fontId="0" fillId="8" borderId="0" xfId="0" applyFill="1" applyAlignment="1">
      <alignment horizontal="right" vertical="center" indent="1"/>
    </xf>
    <xf numFmtId="0" fontId="0" fillId="8" borderId="0" xfId="0" applyFill="1" applyAlignment="1">
      <alignment vertical="center"/>
    </xf>
    <xf numFmtId="0" fontId="39" fillId="8" borderId="90" xfId="0" applyFont="1" applyFill="1" applyBorder="1" applyAlignment="1">
      <alignment horizontal="right"/>
    </xf>
    <xf numFmtId="0" fontId="12" fillId="8" borderId="90" xfId="0" applyFont="1" applyFill="1" applyBorder="1" applyAlignment="1">
      <alignment horizontal="right"/>
    </xf>
    <xf numFmtId="167" fontId="38" fillId="8" borderId="90" xfId="2" applyNumberFormat="1" applyFont="1" applyFill="1" applyBorder="1" applyAlignment="1">
      <alignment horizontal="left"/>
    </xf>
    <xf numFmtId="0" fontId="0" fillId="3" borderId="91" xfId="0" applyFill="1" applyBorder="1"/>
    <xf numFmtId="0" fontId="0" fillId="3" borderId="86" xfId="0" applyFill="1" applyBorder="1"/>
    <xf numFmtId="0" fontId="0" fillId="23" borderId="83" xfId="0" applyFill="1" applyBorder="1"/>
    <xf numFmtId="0" fontId="11" fillId="23" borderId="84" xfId="0" applyFont="1" applyFill="1" applyBorder="1"/>
    <xf numFmtId="0" fontId="0" fillId="24" borderId="70" xfId="0" applyFill="1" applyBorder="1" applyAlignment="1">
      <alignment horizontal="center"/>
    </xf>
    <xf numFmtId="0" fontId="0" fillId="12" borderId="0" xfId="0" applyFill="1"/>
    <xf numFmtId="0" fontId="0" fillId="12" borderId="7" xfId="0" applyFill="1" applyBorder="1" applyAlignment="1">
      <alignment horizontal="right"/>
    </xf>
    <xf numFmtId="0" fontId="0" fillId="12" borderId="77" xfId="0" applyFill="1" applyBorder="1"/>
    <xf numFmtId="0" fontId="0" fillId="12" borderId="79" xfId="0" applyFill="1" applyBorder="1" applyAlignment="1">
      <alignment horizontal="right"/>
    </xf>
    <xf numFmtId="0" fontId="8" fillId="3" borderId="86" xfId="0" applyFont="1" applyFill="1" applyBorder="1" applyAlignment="1">
      <alignment horizontal="center"/>
    </xf>
    <xf numFmtId="0" fontId="22" fillId="8" borderId="88" xfId="0" applyFont="1" applyFill="1" applyBorder="1" applyAlignment="1">
      <alignment vertical="center" wrapText="1"/>
    </xf>
    <xf numFmtId="0" fontId="4" fillId="3" borderId="40" xfId="0" applyFont="1" applyFill="1" applyBorder="1" applyAlignment="1">
      <alignment horizontal="center"/>
    </xf>
    <xf numFmtId="0" fontId="5" fillId="3" borderId="40" xfId="0" applyFont="1" applyFill="1" applyBorder="1" applyAlignment="1">
      <alignment horizontal="center"/>
    </xf>
    <xf numFmtId="0" fontId="4" fillId="6" borderId="100" xfId="0" applyFont="1" applyFill="1" applyBorder="1" applyAlignment="1">
      <alignment horizontal="center"/>
    </xf>
    <xf numFmtId="0" fontId="4" fillId="6" borderId="101" xfId="0" applyFont="1" applyFill="1" applyBorder="1" applyAlignment="1">
      <alignment horizontal="center"/>
    </xf>
    <xf numFmtId="0" fontId="0" fillId="3" borderId="57" xfId="0" applyFill="1" applyBorder="1" applyAlignment="1">
      <alignment wrapText="1"/>
    </xf>
    <xf numFmtId="0" fontId="41" fillId="8" borderId="0" xfId="0" applyFont="1" applyFill="1" applyAlignment="1">
      <alignment horizontal="right"/>
    </xf>
    <xf numFmtId="0" fontId="45" fillId="8" borderId="0" xfId="0" applyFont="1" applyFill="1" applyAlignment="1">
      <alignment horizontal="right" indent="1"/>
    </xf>
    <xf numFmtId="167" fontId="46" fillId="8" borderId="0" xfId="2" applyNumberFormat="1" applyFont="1" applyFill="1" applyBorder="1" applyAlignment="1">
      <alignment horizontal="left"/>
    </xf>
    <xf numFmtId="0" fontId="47" fillId="8" borderId="89" xfId="0" applyFont="1" applyFill="1" applyBorder="1" applyAlignment="1">
      <alignment vertical="center" wrapText="1"/>
    </xf>
    <xf numFmtId="0" fontId="0" fillId="12" borderId="74" xfId="0" applyFill="1" applyBorder="1" applyAlignment="1">
      <alignment horizontal="right"/>
    </xf>
    <xf numFmtId="0" fontId="0" fillId="12" borderId="76" xfId="0" applyFill="1" applyBorder="1" applyAlignment="1">
      <alignment horizontal="right"/>
    </xf>
    <xf numFmtId="0" fontId="0" fillId="12" borderId="71" xfId="0" applyFill="1" applyBorder="1" applyAlignment="1">
      <alignment horizontal="right"/>
    </xf>
    <xf numFmtId="0" fontId="0" fillId="12" borderId="73" xfId="0" applyFill="1" applyBorder="1" applyAlignment="1">
      <alignment horizontal="right"/>
    </xf>
    <xf numFmtId="0" fontId="0" fillId="12" borderId="75" xfId="0" applyFill="1" applyBorder="1" applyAlignment="1">
      <alignment horizontal="right"/>
    </xf>
    <xf numFmtId="0" fontId="0" fillId="12" borderId="78" xfId="0" applyFill="1" applyBorder="1" applyAlignment="1">
      <alignment horizontal="right"/>
    </xf>
    <xf numFmtId="0" fontId="48" fillId="0" borderId="0" xfId="0" applyFont="1" applyAlignment="1">
      <alignment horizontal="left" indent="7"/>
    </xf>
    <xf numFmtId="2" fontId="28" fillId="3" borderId="81" xfId="0" applyNumberFormat="1" applyFont="1" applyFill="1" applyBorder="1" applyAlignment="1">
      <alignment horizontal="center" vertical="center"/>
    </xf>
    <xf numFmtId="1" fontId="49" fillId="0" borderId="46" xfId="0" applyNumberFormat="1" applyFont="1" applyBorder="1" applyAlignment="1">
      <alignment horizontal="right"/>
    </xf>
    <xf numFmtId="1" fontId="45" fillId="0" borderId="46" xfId="0" applyNumberFormat="1" applyFont="1" applyBorder="1" applyAlignment="1">
      <alignment horizontal="right"/>
    </xf>
    <xf numFmtId="0" fontId="0" fillId="0" borderId="0" xfId="0" applyAlignment="1">
      <alignment horizontal="left" indent="1"/>
    </xf>
    <xf numFmtId="1" fontId="49" fillId="0" borderId="46" xfId="0" applyNumberFormat="1" applyFont="1" applyBorder="1"/>
    <xf numFmtId="0" fontId="0" fillId="13" borderId="0" xfId="0" applyFill="1"/>
    <xf numFmtId="0" fontId="50" fillId="0" borderId="0" xfId="0" applyFont="1"/>
    <xf numFmtId="0" fontId="22" fillId="8" borderId="0" xfId="0" applyFont="1" applyFill="1" applyAlignment="1">
      <alignment vertical="center" wrapText="1"/>
    </xf>
    <xf numFmtId="0" fontId="8" fillId="3" borderId="0" xfId="0" applyFont="1" applyFill="1" applyAlignment="1">
      <alignment horizontal="left"/>
    </xf>
    <xf numFmtId="0" fontId="0" fillId="3" borderId="37" xfId="0" applyFill="1" applyBorder="1"/>
    <xf numFmtId="0" fontId="8" fillId="26" borderId="37" xfId="0" applyFont="1" applyFill="1" applyBorder="1" applyAlignment="1">
      <alignment horizontal="center"/>
    </xf>
    <xf numFmtId="0" fontId="8" fillId="3" borderId="37" xfId="0" applyFont="1" applyFill="1" applyBorder="1" applyAlignment="1">
      <alignment horizontal="center"/>
    </xf>
    <xf numFmtId="0" fontId="0" fillId="27" borderId="0" xfId="0" applyFill="1"/>
    <xf numFmtId="0" fontId="8" fillId="3" borderId="0" xfId="0" applyFont="1" applyFill="1" applyAlignment="1">
      <alignment horizontal="center" vertical="center"/>
    </xf>
    <xf numFmtId="0" fontId="8" fillId="3" borderId="0" xfId="0" applyFont="1" applyFill="1" applyAlignment="1">
      <alignment horizontal="right"/>
    </xf>
    <xf numFmtId="0" fontId="52" fillId="3" borderId="0" xfId="0" applyFont="1" applyFill="1" applyAlignment="1">
      <alignment horizontal="right"/>
    </xf>
    <xf numFmtId="0" fontId="52" fillId="3" borderId="0" xfId="0" applyFont="1" applyFill="1" applyAlignment="1">
      <alignment horizontal="center"/>
    </xf>
    <xf numFmtId="0" fontId="54" fillId="3" borderId="0" xfId="0" applyFont="1" applyFill="1" applyAlignment="1">
      <alignment horizontal="left"/>
    </xf>
    <xf numFmtId="166" fontId="53" fillId="3" borderId="0" xfId="1" applyNumberFormat="1" applyFont="1" applyFill="1" applyBorder="1" applyAlignment="1">
      <alignment horizontal="right"/>
    </xf>
    <xf numFmtId="0" fontId="7" fillId="2" borderId="3" xfId="3" applyNumberFormat="1" applyFont="1" applyFill="1" applyBorder="1" applyAlignment="1">
      <alignment horizontal="center" vertical="center"/>
    </xf>
    <xf numFmtId="168" fontId="53" fillId="3" borderId="0" xfId="3" applyNumberFormat="1" applyFont="1" applyFill="1" applyBorder="1" applyAlignment="1">
      <alignment horizontal="right"/>
    </xf>
    <xf numFmtId="9" fontId="53" fillId="3" borderId="0" xfId="3" applyFont="1" applyFill="1" applyBorder="1" applyAlignment="1">
      <alignment horizontal="right"/>
    </xf>
    <xf numFmtId="0" fontId="55" fillId="3" borderId="0" xfId="0" applyFont="1" applyFill="1" applyAlignment="1">
      <alignment horizontal="center"/>
    </xf>
    <xf numFmtId="0" fontId="55" fillId="13" borderId="0" xfId="0" applyFont="1" applyFill="1" applyAlignment="1">
      <alignment horizontal="center" vertical="center"/>
    </xf>
    <xf numFmtId="168" fontId="55" fillId="13" borderId="103" xfId="0" applyNumberFormat="1" applyFont="1" applyFill="1" applyBorder="1" applyAlignment="1">
      <alignment horizontal="center" vertical="center"/>
    </xf>
    <xf numFmtId="44" fontId="55" fillId="13" borderId="104" xfId="2" applyFont="1" applyFill="1" applyBorder="1" applyAlignment="1">
      <alignment horizontal="center" vertical="center"/>
    </xf>
    <xf numFmtId="44" fontId="55" fillId="13" borderId="104" xfId="0" applyNumberFormat="1" applyFont="1" applyFill="1" applyBorder="1" applyAlignment="1">
      <alignment horizontal="center" vertical="center"/>
    </xf>
    <xf numFmtId="0" fontId="58" fillId="8" borderId="0" xfId="0" applyFont="1" applyFill="1" applyAlignment="1">
      <alignment horizontal="right"/>
    </xf>
    <xf numFmtId="0" fontId="58" fillId="3" borderId="0" xfId="0" applyFont="1" applyFill="1" applyAlignment="1">
      <alignment horizontal="right"/>
    </xf>
    <xf numFmtId="0" fontId="36" fillId="13" borderId="0" xfId="0" applyFont="1" applyFill="1" applyAlignment="1">
      <alignment vertical="center" wrapText="1"/>
    </xf>
    <xf numFmtId="0" fontId="8" fillId="3" borderId="0" xfId="0" applyFont="1" applyFill="1" applyAlignment="1">
      <alignment horizontal="right" indent="1"/>
    </xf>
    <xf numFmtId="0" fontId="5" fillId="3" borderId="0" xfId="0" applyFont="1" applyFill="1"/>
    <xf numFmtId="0" fontId="0" fillId="0" borderId="70" xfId="0" applyBorder="1" applyAlignment="1">
      <alignment horizontal="center"/>
    </xf>
    <xf numFmtId="0" fontId="0" fillId="13" borderId="70" xfId="0" applyFill="1" applyBorder="1" applyAlignment="1">
      <alignment horizontal="center"/>
    </xf>
    <xf numFmtId="44" fontId="0" fillId="13" borderId="70" xfId="2" applyFont="1" applyFill="1" applyBorder="1" applyAlignment="1">
      <alignment horizontal="center"/>
    </xf>
    <xf numFmtId="166" fontId="0" fillId="13" borderId="70" xfId="1" applyNumberFormat="1" applyFont="1" applyFill="1" applyBorder="1" applyAlignment="1">
      <alignment horizontal="center"/>
    </xf>
    <xf numFmtId="166" fontId="0" fillId="0" borderId="70" xfId="1" applyNumberFormat="1" applyFont="1" applyBorder="1" applyAlignment="1">
      <alignment horizontal="center"/>
    </xf>
    <xf numFmtId="0" fontId="3" fillId="18" borderId="70" xfId="0" applyFont="1" applyFill="1" applyBorder="1" applyAlignment="1">
      <alignment horizontal="center" wrapText="1"/>
    </xf>
    <xf numFmtId="0" fontId="50" fillId="0" borderId="70" xfId="0" applyFont="1" applyBorder="1" applyAlignment="1">
      <alignment horizontal="center"/>
    </xf>
    <xf numFmtId="0" fontId="50" fillId="13" borderId="70" xfId="0" applyFont="1" applyFill="1" applyBorder="1" applyAlignment="1">
      <alignment horizontal="center"/>
    </xf>
    <xf numFmtId="44" fontId="50" fillId="13" borderId="70" xfId="2" applyFont="1" applyFill="1" applyBorder="1" applyAlignment="1">
      <alignment horizontal="center"/>
    </xf>
    <xf numFmtId="166" fontId="50" fillId="13" borderId="70" xfId="1" applyNumberFormat="1" applyFont="1" applyFill="1" applyBorder="1" applyAlignment="1">
      <alignment horizontal="center"/>
    </xf>
    <xf numFmtId="166" fontId="50" fillId="0" borderId="70" xfId="1" applyNumberFormat="1" applyFont="1" applyBorder="1" applyAlignment="1">
      <alignment horizontal="center"/>
    </xf>
    <xf numFmtId="0" fontId="54" fillId="0" borderId="0" xfId="0" applyFont="1"/>
    <xf numFmtId="0" fontId="0" fillId="6" borderId="110" xfId="0" applyFill="1" applyBorder="1"/>
    <xf numFmtId="0" fontId="35" fillId="6" borderId="110" xfId="0" applyFont="1" applyFill="1" applyBorder="1"/>
    <xf numFmtId="166" fontId="0" fillId="7" borderId="116" xfId="1" applyNumberFormat="1" applyFont="1" applyFill="1" applyBorder="1"/>
    <xf numFmtId="0" fontId="0" fillId="7" borderId="0" xfId="0" applyFill="1"/>
    <xf numFmtId="166" fontId="0" fillId="6" borderId="0" xfId="1" applyNumberFormat="1" applyFont="1" applyFill="1" applyBorder="1"/>
    <xf numFmtId="166" fontId="0" fillId="7" borderId="0" xfId="1" applyNumberFormat="1" applyFont="1" applyFill="1" applyBorder="1"/>
    <xf numFmtId="166" fontId="35" fillId="7" borderId="116" xfId="1" applyNumberFormat="1" applyFont="1" applyFill="1" applyBorder="1"/>
    <xf numFmtId="0" fontId="35" fillId="7" borderId="0" xfId="0" applyFont="1" applyFill="1"/>
    <xf numFmtId="166" fontId="35" fillId="6" borderId="0" xfId="1" applyNumberFormat="1" applyFont="1" applyFill="1" applyBorder="1"/>
    <xf numFmtId="166" fontId="35" fillId="7" borderId="0" xfId="1" applyNumberFormat="1" applyFont="1" applyFill="1" applyBorder="1"/>
    <xf numFmtId="168" fontId="35" fillId="7" borderId="115" xfId="3" applyNumberFormat="1" applyFont="1" applyFill="1" applyBorder="1"/>
    <xf numFmtId="0" fontId="35" fillId="7" borderId="109" xfId="0" applyFont="1" applyFill="1" applyBorder="1"/>
    <xf numFmtId="168" fontId="35" fillId="6" borderId="109" xfId="3" applyNumberFormat="1" applyFont="1" applyFill="1" applyBorder="1"/>
    <xf numFmtId="0" fontId="35" fillId="6" borderId="111" xfId="0" applyFont="1" applyFill="1" applyBorder="1"/>
    <xf numFmtId="168" fontId="35" fillId="7" borderId="109" xfId="3" applyNumberFormat="1" applyFont="1" applyFill="1" applyBorder="1"/>
    <xf numFmtId="0" fontId="55" fillId="7" borderId="109" xfId="0" applyFont="1" applyFill="1" applyBorder="1" applyAlignment="1">
      <alignment horizontal="center"/>
    </xf>
    <xf numFmtId="168" fontId="35" fillId="6" borderId="109" xfId="3" applyNumberFormat="1" applyFont="1" applyFill="1" applyBorder="1" applyAlignment="1">
      <alignment horizontal="right"/>
    </xf>
    <xf numFmtId="0" fontId="0" fillId="6" borderId="117" xfId="0" applyFill="1" applyBorder="1"/>
    <xf numFmtId="0" fontId="0" fillId="6" borderId="102" xfId="0" applyFill="1" applyBorder="1"/>
    <xf numFmtId="0" fontId="35" fillId="6" borderId="102" xfId="0" applyFont="1" applyFill="1" applyBorder="1"/>
    <xf numFmtId="0" fontId="35" fillId="6" borderId="118" xfId="0" applyFont="1" applyFill="1" applyBorder="1"/>
    <xf numFmtId="0" fontId="0" fillId="18" borderId="0" xfId="0" applyFill="1"/>
    <xf numFmtId="0" fontId="0" fillId="18" borderId="0" xfId="0" applyFill="1" applyAlignment="1">
      <alignment horizontal="right" vertical="center" indent="1"/>
    </xf>
    <xf numFmtId="0" fontId="52" fillId="18" borderId="0" xfId="0" applyFont="1" applyFill="1" applyAlignment="1">
      <alignment horizontal="right" indent="1"/>
    </xf>
    <xf numFmtId="0" fontId="0" fillId="18" borderId="0" xfId="0" applyFill="1" applyAlignment="1">
      <alignment horizontal="right" indent="1"/>
    </xf>
    <xf numFmtId="0" fontId="54" fillId="18" borderId="0" xfId="0" applyFont="1" applyFill="1" applyAlignment="1">
      <alignment horizontal="right" indent="1"/>
    </xf>
    <xf numFmtId="168" fontId="0" fillId="0" borderId="0" xfId="0" applyNumberFormat="1"/>
    <xf numFmtId="0" fontId="3" fillId="18" borderId="83" xfId="0" applyFont="1" applyFill="1" applyBorder="1" applyAlignment="1">
      <alignment horizontal="center" wrapText="1"/>
    </xf>
    <xf numFmtId="0" fontId="36" fillId="0" borderId="0" xfId="0" applyFont="1"/>
    <xf numFmtId="44" fontId="0" fillId="0" borderId="0" xfId="0" applyNumberFormat="1"/>
    <xf numFmtId="0" fontId="35" fillId="0" borderId="0" xfId="0" applyFont="1" applyAlignment="1">
      <alignment horizontal="right"/>
    </xf>
    <xf numFmtId="43" fontId="36" fillId="0" borderId="0" xfId="0" applyNumberFormat="1" applyFont="1"/>
    <xf numFmtId="43" fontId="35" fillId="0" borderId="0" xfId="0" applyNumberFormat="1" applyFont="1" applyAlignment="1">
      <alignment wrapText="1"/>
    </xf>
    <xf numFmtId="0" fontId="45" fillId="0" borderId="0" xfId="0" applyFont="1" applyAlignment="1">
      <alignment horizontal="right"/>
    </xf>
    <xf numFmtId="0" fontId="51" fillId="0" borderId="0" xfId="0" applyFont="1" applyAlignment="1">
      <alignment horizontal="right"/>
    </xf>
    <xf numFmtId="0" fontId="3" fillId="0" borderId="0" xfId="0" applyFont="1" applyAlignment="1">
      <alignment horizontal="right"/>
    </xf>
    <xf numFmtId="166" fontId="0" fillId="6" borderId="2" xfId="1" applyNumberFormat="1" applyFont="1" applyFill="1" applyBorder="1"/>
    <xf numFmtId="168" fontId="3" fillId="6" borderId="2" xfId="3" applyNumberFormat="1" applyFont="1" applyFill="1" applyBorder="1"/>
    <xf numFmtId="0" fontId="8" fillId="6" borderId="2" xfId="0" applyFont="1" applyFill="1" applyBorder="1" applyAlignment="1">
      <alignment horizontal="right"/>
    </xf>
    <xf numFmtId="44" fontId="3" fillId="6" borderId="2" xfId="2" applyFont="1" applyFill="1" applyBorder="1"/>
    <xf numFmtId="44" fontId="0" fillId="6" borderId="2" xfId="0" applyNumberFormat="1" applyFill="1" applyBorder="1"/>
    <xf numFmtId="44" fontId="0" fillId="6" borderId="2" xfId="2" applyFont="1" applyFill="1" applyBorder="1"/>
    <xf numFmtId="44" fontId="35" fillId="18" borderId="2" xfId="0" applyNumberFormat="1" applyFont="1" applyFill="1" applyBorder="1"/>
    <xf numFmtId="44" fontId="35" fillId="18" borderId="2" xfId="2" applyFont="1" applyFill="1" applyBorder="1"/>
    <xf numFmtId="0" fontId="9" fillId="3" borderId="0" xfId="0" applyFont="1" applyFill="1" applyAlignment="1">
      <alignment horizontal="right"/>
    </xf>
    <xf numFmtId="0" fontId="9" fillId="3" borderId="0" xfId="0" applyFont="1" applyFill="1" applyAlignment="1">
      <alignment horizontal="center"/>
    </xf>
    <xf numFmtId="0" fontId="62" fillId="3" borderId="0" xfId="0" applyFont="1" applyFill="1" applyAlignment="1">
      <alignment horizontal="center"/>
    </xf>
    <xf numFmtId="0" fontId="58" fillId="8" borderId="0" xfId="0" applyFont="1" applyFill="1" applyAlignment="1">
      <alignment horizontal="right" indent="1"/>
    </xf>
    <xf numFmtId="166" fontId="50" fillId="9" borderId="70" xfId="1" applyNumberFormat="1" applyFont="1" applyFill="1" applyBorder="1" applyAlignment="1">
      <alignment horizontal="center"/>
    </xf>
    <xf numFmtId="168" fontId="50" fillId="9" borderId="83" xfId="3" applyNumberFormat="1" applyFont="1" applyFill="1" applyBorder="1" applyAlignment="1">
      <alignment horizontal="right"/>
    </xf>
    <xf numFmtId="44" fontId="50" fillId="9" borderId="2" xfId="2" applyFont="1" applyFill="1" applyBorder="1"/>
    <xf numFmtId="44" fontId="50" fillId="9" borderId="85" xfId="2" applyFont="1" applyFill="1" applyBorder="1" applyAlignment="1">
      <alignment horizontal="center"/>
    </xf>
    <xf numFmtId="166" fontId="0" fillId="9" borderId="70" xfId="1" applyNumberFormat="1" applyFont="1" applyFill="1" applyBorder="1" applyAlignment="1">
      <alignment horizontal="center"/>
    </xf>
    <xf numFmtId="168" fontId="45" fillId="9" borderId="83" xfId="3" applyNumberFormat="1" applyFont="1" applyFill="1" applyBorder="1" applyAlignment="1">
      <alignment horizontal="right"/>
    </xf>
    <xf numFmtId="44" fontId="45" fillId="9" borderId="2" xfId="2" applyFont="1" applyFill="1" applyBorder="1" applyAlignment="1">
      <alignment horizontal="right"/>
    </xf>
    <xf numFmtId="44" fontId="0" fillId="9" borderId="85" xfId="2" applyFont="1" applyFill="1" applyBorder="1" applyAlignment="1">
      <alignment horizontal="center"/>
    </xf>
    <xf numFmtId="0" fontId="3" fillId="28" borderId="2" xfId="0" applyFont="1" applyFill="1" applyBorder="1" applyAlignment="1">
      <alignment horizontal="center" wrapText="1"/>
    </xf>
    <xf numFmtId="0" fontId="64" fillId="3" borderId="0" xfId="0" applyFont="1" applyFill="1" applyAlignment="1">
      <alignment horizontal="center"/>
    </xf>
    <xf numFmtId="0" fontId="65" fillId="3" borderId="0" xfId="0" applyFont="1" applyFill="1" applyAlignment="1">
      <alignment horizontal="right"/>
    </xf>
    <xf numFmtId="1" fontId="45" fillId="0" borderId="46" xfId="0" applyNumberFormat="1" applyFont="1" applyBorder="1"/>
    <xf numFmtId="1" fontId="0" fillId="0" borderId="46" xfId="0" applyNumberFormat="1" applyBorder="1" applyAlignment="1">
      <alignment horizontal="left"/>
    </xf>
    <xf numFmtId="0" fontId="0" fillId="0" borderId="0" xfId="0" applyAlignment="1">
      <alignment vertical="center" wrapText="1"/>
    </xf>
    <xf numFmtId="166" fontId="67" fillId="17" borderId="3" xfId="1" applyNumberFormat="1" applyFont="1" applyFill="1" applyBorder="1"/>
    <xf numFmtId="0" fontId="0" fillId="0" borderId="0" xfId="0" applyAlignment="1">
      <alignment horizontal="center"/>
    </xf>
    <xf numFmtId="0" fontId="5" fillId="0" borderId="0" xfId="0" applyFont="1" applyAlignment="1">
      <alignment wrapText="1"/>
    </xf>
    <xf numFmtId="0" fontId="50" fillId="0" borderId="0" xfId="0" applyFont="1" applyAlignment="1">
      <alignment horizontal="center"/>
    </xf>
    <xf numFmtId="169" fontId="1" fillId="29" borderId="120" xfId="2" applyNumberFormat="1" applyFont="1" applyFill="1" applyBorder="1" applyAlignment="1">
      <alignment horizontal="center" vertical="center" wrapText="1"/>
    </xf>
    <xf numFmtId="9" fontId="1" fillId="29" borderId="120" xfId="2" applyNumberFormat="1" applyFont="1" applyFill="1" applyBorder="1" applyAlignment="1">
      <alignment horizontal="center" vertical="center" wrapText="1"/>
    </xf>
    <xf numFmtId="0" fontId="22" fillId="29" borderId="70" xfId="0" applyFont="1" applyFill="1" applyBorder="1" applyAlignment="1">
      <alignment horizontal="center" vertical="top"/>
    </xf>
    <xf numFmtId="0" fontId="16" fillId="0" borderId="0" xfId="12" applyAlignment="1" applyProtection="1"/>
    <xf numFmtId="9" fontId="0" fillId="29" borderId="120" xfId="2" applyNumberFormat="1" applyFont="1" applyFill="1" applyBorder="1" applyAlignment="1">
      <alignment horizontal="center" vertical="center" wrapText="1"/>
    </xf>
    <xf numFmtId="170" fontId="3" fillId="30" borderId="33" xfId="2" applyNumberFormat="1" applyFont="1" applyFill="1" applyBorder="1" applyAlignment="1">
      <alignment horizontal="center" vertical="center" wrapText="1"/>
    </xf>
    <xf numFmtId="170" fontId="3" fillId="30" borderId="2" xfId="2" applyNumberFormat="1" applyFont="1" applyFill="1" applyBorder="1" applyAlignment="1">
      <alignment horizontal="center" vertical="center" wrapText="1"/>
    </xf>
    <xf numFmtId="1" fontId="45" fillId="13" borderId="2" xfId="1" applyNumberFormat="1" applyFont="1" applyFill="1" applyBorder="1" applyAlignment="1">
      <alignment horizontal="center" vertical="center" wrapText="1"/>
    </xf>
    <xf numFmtId="9" fontId="45" fillId="13" borderId="2" xfId="0" applyNumberFormat="1" applyFont="1" applyFill="1" applyBorder="1" applyAlignment="1">
      <alignment horizontal="center" vertical="center" wrapText="1"/>
    </xf>
    <xf numFmtId="169" fontId="45" fillId="13" borderId="119" xfId="2" applyNumberFormat="1" applyFont="1" applyFill="1" applyBorder="1" applyAlignment="1">
      <alignment horizontal="center" vertical="center" wrapText="1"/>
    </xf>
    <xf numFmtId="169" fontId="45" fillId="13" borderId="34" xfId="2" applyNumberFormat="1" applyFont="1" applyFill="1" applyBorder="1" applyAlignment="1">
      <alignment horizontal="center" vertical="center" wrapText="1"/>
    </xf>
    <xf numFmtId="9" fontId="45" fillId="13" borderId="35" xfId="0" applyNumberFormat="1" applyFont="1" applyFill="1" applyBorder="1" applyAlignment="1">
      <alignment horizontal="center" vertical="center" wrapText="1"/>
    </xf>
    <xf numFmtId="9" fontId="45" fillId="13" borderId="119" xfId="0" applyNumberFormat="1" applyFont="1" applyFill="1" applyBorder="1" applyAlignment="1">
      <alignment horizontal="center" vertical="center" wrapText="1"/>
    </xf>
    <xf numFmtId="0" fontId="0" fillId="13" borderId="2" xfId="0" applyFill="1" applyBorder="1" applyAlignment="1">
      <alignment horizontal="center" vertical="center" wrapText="1"/>
    </xf>
    <xf numFmtId="0" fontId="0" fillId="0" borderId="40" xfId="0" applyBorder="1" applyAlignment="1">
      <alignment horizontal="center" vertical="center" wrapText="1"/>
    </xf>
    <xf numFmtId="0" fontId="45" fillId="13" borderId="40" xfId="0" applyFont="1" applyFill="1" applyBorder="1" applyAlignment="1">
      <alignment horizontal="center" vertical="center" wrapText="1"/>
    </xf>
    <xf numFmtId="1" fontId="45" fillId="13" borderId="119" xfId="1" applyNumberFormat="1" applyFont="1" applyFill="1" applyBorder="1" applyAlignment="1">
      <alignment horizontal="center" vertical="center" wrapText="1"/>
    </xf>
    <xf numFmtId="170" fontId="51" fillId="31" borderId="40" xfId="2" applyNumberFormat="1" applyFont="1" applyFill="1" applyBorder="1" applyAlignment="1">
      <alignment horizontal="center" vertical="center" wrapText="1"/>
    </xf>
    <xf numFmtId="169" fontId="45" fillId="13" borderId="45" xfId="2" applyNumberFormat="1" applyFont="1" applyFill="1" applyBorder="1" applyAlignment="1">
      <alignment horizontal="center" vertical="center" wrapText="1"/>
    </xf>
    <xf numFmtId="169" fontId="45" fillId="13" borderId="40" xfId="2" applyNumberFormat="1" applyFont="1" applyFill="1" applyBorder="1" applyAlignment="1">
      <alignment horizontal="center" vertical="center" wrapText="1"/>
    </xf>
    <xf numFmtId="9" fontId="45" fillId="13" borderId="33" xfId="3" applyFont="1" applyFill="1" applyBorder="1" applyAlignment="1">
      <alignment horizontal="center" vertical="center" wrapText="1"/>
    </xf>
    <xf numFmtId="9" fontId="45" fillId="13" borderId="2" xfId="3" applyFont="1" applyFill="1" applyBorder="1" applyAlignment="1">
      <alignment horizontal="center" vertical="center" wrapText="1"/>
    </xf>
    <xf numFmtId="1" fontId="45" fillId="13" borderId="35" xfId="1" applyNumberFormat="1" applyFont="1" applyFill="1" applyBorder="1" applyAlignment="1">
      <alignment horizontal="center" vertical="center" wrapText="1"/>
    </xf>
    <xf numFmtId="170" fontId="51" fillId="6" borderId="40" xfId="2" applyNumberFormat="1" applyFont="1" applyFill="1" applyBorder="1" applyAlignment="1">
      <alignment horizontal="center" vertical="center" wrapText="1"/>
    </xf>
    <xf numFmtId="0" fontId="50" fillId="0" borderId="0" xfId="0" applyFont="1" applyAlignment="1">
      <alignment horizontal="left"/>
    </xf>
    <xf numFmtId="0" fontId="33" fillId="34" borderId="2" xfId="0" applyFont="1" applyFill="1" applyBorder="1" applyAlignment="1">
      <alignment horizontal="center" vertical="center" wrapText="1"/>
    </xf>
    <xf numFmtId="0" fontId="33" fillId="34" borderId="34" xfId="0" applyFont="1" applyFill="1" applyBorder="1" applyAlignment="1">
      <alignment horizontal="center" vertical="center" wrapText="1"/>
    </xf>
    <xf numFmtId="0" fontId="33" fillId="22" borderId="121" xfId="0" applyFont="1" applyFill="1" applyBorder="1" applyAlignment="1">
      <alignment horizontal="center" vertical="center" wrapText="1"/>
    </xf>
    <xf numFmtId="0" fontId="33" fillId="22" borderId="2" xfId="0" applyFont="1" applyFill="1" applyBorder="1" applyAlignment="1">
      <alignment horizontal="center" vertical="center" wrapText="1"/>
    </xf>
    <xf numFmtId="0" fontId="0" fillId="35" borderId="7" xfId="0" applyFill="1" applyBorder="1" applyAlignment="1">
      <alignment horizontal="right"/>
    </xf>
    <xf numFmtId="169" fontId="1" fillId="35" borderId="121" xfId="2" applyNumberFormat="1" applyFont="1" applyFill="1" applyBorder="1" applyAlignment="1">
      <alignment horizontal="center" vertical="center" wrapText="1"/>
    </xf>
    <xf numFmtId="169" fontId="1" fillId="35" borderId="2" xfId="2" applyNumberFormat="1" applyFont="1" applyFill="1" applyBorder="1" applyAlignment="1">
      <alignment horizontal="center" vertical="center" wrapText="1"/>
    </xf>
    <xf numFmtId="0" fontId="3" fillId="36" borderId="2" xfId="0" applyFont="1" applyFill="1" applyBorder="1" applyAlignment="1">
      <alignment horizontal="center" wrapText="1"/>
    </xf>
    <xf numFmtId="0" fontId="3" fillId="15" borderId="137" xfId="0" applyFont="1" applyFill="1" applyBorder="1" applyAlignment="1">
      <alignment horizontal="center" vertical="center" wrapText="1"/>
    </xf>
    <xf numFmtId="0" fontId="3" fillId="13" borderId="137" xfId="0" applyFont="1" applyFill="1" applyBorder="1" applyAlignment="1">
      <alignment horizontal="center" vertical="center" wrapText="1"/>
    </xf>
    <xf numFmtId="9" fontId="3" fillId="13" borderId="137" xfId="0" applyNumberFormat="1" applyFont="1" applyFill="1" applyBorder="1" applyAlignment="1">
      <alignment horizontal="center" vertical="center" wrapText="1"/>
    </xf>
    <xf numFmtId="9" fontId="3" fillId="13" borderId="138" xfId="0" applyNumberFormat="1" applyFont="1" applyFill="1" applyBorder="1" applyAlignment="1">
      <alignment horizontal="center" vertical="center" wrapText="1"/>
    </xf>
    <xf numFmtId="0" fontId="29" fillId="0" borderId="0" xfId="0" applyFont="1" applyAlignment="1">
      <alignment vertical="top" wrapText="1"/>
    </xf>
    <xf numFmtId="0" fontId="0" fillId="0" borderId="0" xfId="0" applyAlignment="1">
      <alignment vertical="top" wrapText="1"/>
    </xf>
    <xf numFmtId="0" fontId="29" fillId="0" borderId="0" xfId="0" applyFont="1" applyAlignment="1">
      <alignment horizontal="left" vertical="top" wrapText="1"/>
    </xf>
    <xf numFmtId="0" fontId="9" fillId="29" borderId="70" xfId="0" applyFont="1" applyFill="1" applyBorder="1" applyAlignment="1">
      <alignment horizontal="center" vertical="center"/>
    </xf>
    <xf numFmtId="0" fontId="3" fillId="24" borderId="83" xfId="0" applyFont="1" applyFill="1" applyBorder="1" applyAlignment="1">
      <alignment horizontal="center" vertical="center" wrapText="1"/>
    </xf>
    <xf numFmtId="0" fontId="3" fillId="24" borderId="85" xfId="0" applyFont="1" applyFill="1" applyBorder="1" applyAlignment="1">
      <alignment horizontal="center" vertical="center" wrapText="1"/>
    </xf>
    <xf numFmtId="0" fontId="33" fillId="34" borderId="31" xfId="0" applyFont="1" applyFill="1" applyBorder="1" applyAlignment="1">
      <alignment horizontal="center" vertical="center" wrapText="1"/>
    </xf>
    <xf numFmtId="0" fontId="0" fillId="3" borderId="23"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26" xfId="0" applyFill="1" applyBorder="1" applyAlignment="1">
      <alignment horizontal="center" vertical="center" wrapText="1"/>
    </xf>
    <xf numFmtId="0" fontId="0" fillId="3" borderId="0" xfId="0" applyFill="1" applyAlignment="1">
      <alignment horizontal="center" vertical="center" wrapText="1"/>
    </xf>
    <xf numFmtId="0" fontId="0" fillId="3" borderId="27" xfId="0" applyFill="1" applyBorder="1" applyAlignment="1">
      <alignment horizontal="center" vertical="center" wrapText="1"/>
    </xf>
    <xf numFmtId="0" fontId="0" fillId="3" borderId="28" xfId="0" applyFill="1" applyBorder="1" applyAlignment="1">
      <alignment horizontal="center" vertical="center" wrapText="1"/>
    </xf>
    <xf numFmtId="0" fontId="0" fillId="3" borderId="29" xfId="0" applyFill="1" applyBorder="1" applyAlignment="1">
      <alignment horizontal="center" vertical="center" wrapText="1"/>
    </xf>
    <xf numFmtId="0" fontId="0" fillId="3" borderId="30" xfId="0" applyFill="1" applyBorder="1" applyAlignment="1">
      <alignment horizontal="center" vertical="center" wrapText="1"/>
    </xf>
    <xf numFmtId="0" fontId="4" fillId="6" borderId="39" xfId="0" applyFont="1" applyFill="1" applyBorder="1" applyAlignment="1">
      <alignment horizontal="center"/>
    </xf>
    <xf numFmtId="0" fontId="4" fillId="6" borderId="41" xfId="0" applyFont="1" applyFill="1" applyBorder="1" applyAlignment="1">
      <alignment horizontal="center"/>
    </xf>
    <xf numFmtId="0" fontId="0" fillId="5" borderId="13"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12" xfId="0" applyFill="1" applyBorder="1" applyAlignment="1">
      <alignment horizontal="center" vertical="center" wrapText="1"/>
    </xf>
    <xf numFmtId="0" fontId="0" fillId="4" borderId="6" xfId="0" applyFill="1" applyBorder="1" applyAlignment="1">
      <alignment horizontal="center"/>
    </xf>
    <xf numFmtId="0" fontId="0" fillId="4" borderId="0" xfId="0" applyFill="1" applyAlignment="1">
      <alignment horizontal="center"/>
    </xf>
    <xf numFmtId="0" fontId="0" fillId="4" borderId="15" xfId="0" applyFill="1" applyBorder="1" applyAlignment="1">
      <alignment horizontal="center"/>
    </xf>
    <xf numFmtId="0" fontId="0" fillId="4" borderId="7" xfId="0" applyFill="1" applyBorder="1" applyAlignment="1">
      <alignment horizontal="center"/>
    </xf>
    <xf numFmtId="0" fontId="0" fillId="4" borderId="4" xfId="0" applyFill="1" applyBorder="1" applyAlignment="1">
      <alignment horizontal="center"/>
    </xf>
    <xf numFmtId="0" fontId="0" fillId="4" borderId="14" xfId="0" applyFill="1" applyBorder="1" applyAlignment="1">
      <alignment horizontal="center"/>
    </xf>
    <xf numFmtId="0" fontId="0" fillId="4" borderId="5" xfId="0" applyFill="1" applyBorder="1" applyAlignment="1">
      <alignment horizontal="center"/>
    </xf>
    <xf numFmtId="0" fontId="0" fillId="4" borderId="10" xfId="0" applyFill="1" applyBorder="1" applyAlignment="1">
      <alignment horizontal="center"/>
    </xf>
    <xf numFmtId="0" fontId="10" fillId="4" borderId="13" xfId="0" applyFont="1" applyFill="1" applyBorder="1" applyAlignment="1">
      <alignment horizontal="center"/>
    </xf>
    <xf numFmtId="0" fontId="10" fillId="4" borderId="11" xfId="0" applyFont="1" applyFill="1" applyBorder="1" applyAlignment="1">
      <alignment horizontal="center"/>
    </xf>
    <xf numFmtId="0" fontId="10" fillId="4" borderId="15" xfId="0" applyFont="1" applyFill="1" applyBorder="1" applyAlignment="1">
      <alignment horizontal="center"/>
    </xf>
    <xf numFmtId="0" fontId="10" fillId="4" borderId="12" xfId="0" applyFont="1" applyFill="1" applyBorder="1" applyAlignment="1">
      <alignment horizontal="center"/>
    </xf>
    <xf numFmtId="0" fontId="3" fillId="9" borderId="31" xfId="0" applyFont="1" applyFill="1" applyBorder="1" applyAlignment="1">
      <alignment horizontal="center"/>
    </xf>
    <xf numFmtId="0" fontId="3" fillId="9" borderId="33" xfId="0" applyFont="1" applyFill="1" applyBorder="1" applyAlignment="1">
      <alignment horizontal="center"/>
    </xf>
    <xf numFmtId="0" fontId="3" fillId="7" borderId="31" xfId="0" applyFont="1" applyFill="1" applyBorder="1" applyAlignment="1">
      <alignment horizontal="center"/>
    </xf>
    <xf numFmtId="0" fontId="3" fillId="7" borderId="32" xfId="0" applyFont="1" applyFill="1" applyBorder="1" applyAlignment="1">
      <alignment horizontal="center"/>
    </xf>
    <xf numFmtId="0" fontId="3" fillId="7" borderId="33" xfId="0" applyFont="1" applyFill="1" applyBorder="1" applyAlignment="1">
      <alignment horizontal="center"/>
    </xf>
    <xf numFmtId="0" fontId="0" fillId="4" borderId="0" xfId="0" applyFill="1" applyAlignment="1">
      <alignment horizontal="center" vertical="center" wrapText="1"/>
    </xf>
    <xf numFmtId="0" fontId="3" fillId="7" borderId="52" xfId="0" applyFont="1" applyFill="1" applyBorder="1" applyAlignment="1">
      <alignment horizontal="center"/>
    </xf>
    <xf numFmtId="0" fontId="3" fillId="7" borderId="53" xfId="0" applyFont="1" applyFill="1" applyBorder="1" applyAlignment="1">
      <alignment horizontal="center"/>
    </xf>
    <xf numFmtId="0" fontId="7" fillId="2" borderId="55" xfId="0" applyFont="1" applyFill="1" applyBorder="1" applyAlignment="1">
      <alignment horizontal="center"/>
    </xf>
    <xf numFmtId="0" fontId="7" fillId="2" borderId="56" xfId="0" applyFont="1" applyFill="1" applyBorder="1" applyAlignment="1">
      <alignment horizontal="center"/>
    </xf>
    <xf numFmtId="0" fontId="0" fillId="3" borderId="0" xfId="0" applyFill="1" applyAlignment="1">
      <alignment horizontal="center" wrapText="1"/>
    </xf>
    <xf numFmtId="0" fontId="0" fillId="3" borderId="57" xfId="0" applyFill="1" applyBorder="1" applyAlignment="1">
      <alignment horizontal="center" wrapText="1"/>
    </xf>
    <xf numFmtId="0" fontId="0" fillId="3" borderId="36" xfId="0" applyFill="1" applyBorder="1" applyAlignment="1">
      <alignment horizontal="center" wrapText="1"/>
    </xf>
    <xf numFmtId="0" fontId="0" fillId="3" borderId="37" xfId="0" applyFill="1" applyBorder="1" applyAlignment="1">
      <alignment horizontal="center" wrapText="1"/>
    </xf>
    <xf numFmtId="0" fontId="0" fillId="3" borderId="39" xfId="0" applyFill="1" applyBorder="1" applyAlignment="1">
      <alignment horizontal="center" wrapText="1"/>
    </xf>
    <xf numFmtId="0" fontId="0" fillId="3" borderId="45" xfId="0" applyFill="1" applyBorder="1" applyAlignment="1">
      <alignment horizontal="center" wrapText="1"/>
    </xf>
    <xf numFmtId="0" fontId="3" fillId="6" borderId="62" xfId="0" applyFont="1" applyFill="1" applyBorder="1" applyAlignment="1">
      <alignment horizontal="center"/>
    </xf>
    <xf numFmtId="0" fontId="3" fillId="6" borderId="63" xfId="0" applyFont="1" applyFill="1" applyBorder="1" applyAlignment="1">
      <alignment horizontal="center"/>
    </xf>
    <xf numFmtId="1" fontId="0" fillId="18" borderId="60" xfId="0" applyNumberFormat="1" applyFill="1" applyBorder="1" applyAlignment="1">
      <alignment horizontal="center"/>
    </xf>
    <xf numFmtId="1" fontId="0" fillId="18" borderId="61" xfId="0" applyNumberFormat="1" applyFill="1" applyBorder="1" applyAlignment="1">
      <alignment horizontal="center"/>
    </xf>
    <xf numFmtId="1" fontId="0" fillId="18" borderId="62" xfId="0" applyNumberFormat="1" applyFill="1" applyBorder="1" applyAlignment="1">
      <alignment horizontal="center"/>
    </xf>
    <xf numFmtId="1" fontId="0" fillId="18" borderId="63" xfId="0" applyNumberFormat="1" applyFill="1" applyBorder="1" applyAlignment="1">
      <alignment horizontal="center"/>
    </xf>
    <xf numFmtId="0" fontId="0" fillId="13" borderId="31" xfId="0" applyFill="1" applyBorder="1" applyAlignment="1">
      <alignment horizontal="center" vertical="center" wrapText="1"/>
    </xf>
    <xf numFmtId="0" fontId="0" fillId="13" borderId="33" xfId="0" applyFill="1" applyBorder="1" applyAlignment="1">
      <alignment horizontal="center" vertical="center" wrapText="1"/>
    </xf>
    <xf numFmtId="0" fontId="0" fillId="13" borderId="136" xfId="0" applyFill="1" applyBorder="1" applyAlignment="1">
      <alignment horizontal="center" vertical="center" wrapText="1"/>
    </xf>
    <xf numFmtId="0" fontId="3" fillId="14" borderId="135" xfId="0" applyFont="1" applyFill="1" applyBorder="1" applyAlignment="1">
      <alignment horizontal="center" vertical="center" wrapText="1"/>
    </xf>
    <xf numFmtId="0" fontId="3" fillId="14" borderId="32" xfId="0" applyFont="1" applyFill="1" applyBorder="1" applyAlignment="1">
      <alignment horizontal="center" vertical="center" wrapText="1"/>
    </xf>
    <xf numFmtId="0" fontId="3" fillId="14" borderId="136" xfId="0" applyFont="1" applyFill="1" applyBorder="1" applyAlignment="1">
      <alignment horizontal="center" vertical="center" wrapText="1"/>
    </xf>
    <xf numFmtId="0" fontId="3" fillId="15" borderId="31" xfId="0" applyFont="1" applyFill="1" applyBorder="1" applyAlignment="1">
      <alignment horizontal="center" vertical="center" wrapText="1"/>
    </xf>
    <xf numFmtId="0" fontId="3" fillId="15" borderId="33" xfId="0" applyFont="1" applyFill="1" applyBorder="1" applyAlignment="1">
      <alignment horizontal="center" vertical="center" wrapText="1"/>
    </xf>
    <xf numFmtId="0" fontId="3" fillId="15" borderId="136" xfId="0" applyFont="1" applyFill="1" applyBorder="1" applyAlignment="1">
      <alignment horizontal="center" vertical="center" wrapText="1"/>
    </xf>
    <xf numFmtId="0" fontId="0" fillId="13" borderId="139" xfId="0" applyFill="1" applyBorder="1" applyAlignment="1">
      <alignment horizontal="center" vertical="center" wrapText="1"/>
    </xf>
    <xf numFmtId="0" fontId="0" fillId="13" borderId="141" xfId="0" applyFill="1" applyBorder="1" applyAlignment="1">
      <alignment horizontal="center" vertical="center" wrapText="1"/>
    </xf>
    <xf numFmtId="0" fontId="0" fillId="13" borderId="140" xfId="0" applyFill="1" applyBorder="1" applyAlignment="1">
      <alignment horizontal="center" vertical="center" wrapText="1"/>
    </xf>
    <xf numFmtId="0" fontId="27" fillId="13" borderId="0" xfId="0" applyFont="1" applyFill="1" applyAlignment="1">
      <alignment horizontal="left" wrapText="1"/>
    </xf>
    <xf numFmtId="0" fontId="0" fillId="13" borderId="2" xfId="0" applyFill="1" applyBorder="1" applyAlignment="1">
      <alignment horizontal="center" vertical="center" wrapText="1"/>
    </xf>
    <xf numFmtId="0" fontId="63" fillId="0" borderId="41" xfId="0" applyFont="1" applyBorder="1" applyAlignment="1">
      <alignment horizontal="center"/>
    </xf>
    <xf numFmtId="0" fontId="66" fillId="11" borderId="31" xfId="0" applyFont="1" applyFill="1" applyBorder="1" applyAlignment="1">
      <alignment horizontal="center" vertical="center"/>
    </xf>
    <xf numFmtId="0" fontId="66" fillId="11" borderId="32" xfId="0" applyFont="1" applyFill="1" applyBorder="1" applyAlignment="1">
      <alignment horizontal="center" vertical="center"/>
    </xf>
    <xf numFmtId="0" fontId="66" fillId="11" borderId="33" xfId="0" applyFont="1" applyFill="1" applyBorder="1" applyAlignment="1">
      <alignment horizontal="center" vertical="center"/>
    </xf>
    <xf numFmtId="0" fontId="22" fillId="16" borderId="130" xfId="0" applyFont="1" applyFill="1" applyBorder="1" applyAlignment="1">
      <alignment horizontal="center" vertical="center" wrapText="1"/>
    </xf>
    <xf numFmtId="0" fontId="22" fillId="16" borderId="131" xfId="0" applyFont="1" applyFill="1" applyBorder="1" applyAlignment="1">
      <alignment horizontal="center" vertical="center" wrapText="1"/>
    </xf>
    <xf numFmtId="0" fontId="22" fillId="16" borderId="132" xfId="0" applyFont="1" applyFill="1" applyBorder="1" applyAlignment="1">
      <alignment horizontal="center" vertical="center" wrapText="1"/>
    </xf>
    <xf numFmtId="0" fontId="22" fillId="16" borderId="133" xfId="0" applyFont="1" applyFill="1" applyBorder="1" applyAlignment="1">
      <alignment horizontal="center" vertical="center" wrapText="1"/>
    </xf>
    <xf numFmtId="0" fontId="22" fillId="16" borderId="41" xfId="0" applyFont="1" applyFill="1" applyBorder="1" applyAlignment="1">
      <alignment horizontal="center" vertical="center" wrapText="1"/>
    </xf>
    <xf numFmtId="0" fontId="22" fillId="16" borderId="134" xfId="0" applyFont="1" applyFill="1" applyBorder="1" applyAlignment="1">
      <alignment horizontal="center" vertical="center" wrapText="1"/>
    </xf>
    <xf numFmtId="0" fontId="69" fillId="9" borderId="34" xfId="0" applyFont="1" applyFill="1" applyBorder="1" applyAlignment="1">
      <alignment horizontal="left" vertical="top" wrapText="1"/>
    </xf>
    <xf numFmtId="0" fontId="9" fillId="9" borderId="44" xfId="0" applyFont="1" applyFill="1" applyBorder="1" applyAlignment="1">
      <alignment horizontal="left" vertical="top" wrapText="1"/>
    </xf>
    <xf numFmtId="0" fontId="9" fillId="9" borderId="35" xfId="0" applyFont="1" applyFill="1" applyBorder="1" applyAlignment="1">
      <alignment horizontal="left" vertical="top" wrapText="1"/>
    </xf>
    <xf numFmtId="0" fontId="9" fillId="9" borderId="36" xfId="0" applyFont="1" applyFill="1" applyBorder="1" applyAlignment="1">
      <alignment horizontal="left" vertical="top" wrapText="1"/>
    </xf>
    <xf numFmtId="0" fontId="9" fillId="9" borderId="0" xfId="0" applyFont="1" applyFill="1" applyAlignment="1">
      <alignment horizontal="left" vertical="top" wrapText="1"/>
    </xf>
    <xf numFmtId="0" fontId="9" fillId="9" borderId="37" xfId="0" applyFont="1" applyFill="1" applyBorder="1" applyAlignment="1">
      <alignment horizontal="left" vertical="top" wrapText="1"/>
    </xf>
    <xf numFmtId="0" fontId="9" fillId="9" borderId="39" xfId="0" applyFont="1" applyFill="1" applyBorder="1" applyAlignment="1">
      <alignment horizontal="left" vertical="top" wrapText="1"/>
    </xf>
    <xf numFmtId="0" fontId="9" fillId="9" borderId="41" xfId="0" applyFont="1" applyFill="1" applyBorder="1" applyAlignment="1">
      <alignment horizontal="left" vertical="top" wrapText="1"/>
    </xf>
    <xf numFmtId="0" fontId="9" fillId="9" borderId="45" xfId="0" applyFont="1" applyFill="1" applyBorder="1" applyAlignment="1">
      <alignment horizontal="left" vertical="top" wrapText="1"/>
    </xf>
    <xf numFmtId="0" fontId="0" fillId="12" borderId="122" xfId="0" applyFill="1" applyBorder="1" applyAlignment="1">
      <alignment horizontal="left" vertical="center" wrapText="1"/>
    </xf>
    <xf numFmtId="0" fontId="0" fillId="12" borderId="123" xfId="0" applyFill="1" applyBorder="1" applyAlignment="1">
      <alignment horizontal="left" vertical="center" wrapText="1"/>
    </xf>
    <xf numFmtId="0" fontId="0" fillId="12" borderId="124" xfId="0" applyFill="1" applyBorder="1" applyAlignment="1">
      <alignment horizontal="left" vertical="center" wrapText="1"/>
    </xf>
    <xf numFmtId="0" fontId="0" fillId="12" borderId="125" xfId="0" applyFill="1" applyBorder="1" applyAlignment="1">
      <alignment horizontal="left" vertical="center" wrapText="1"/>
    </xf>
    <xf numFmtId="0" fontId="0" fillId="12" borderId="0" xfId="0" applyFill="1" applyAlignment="1">
      <alignment horizontal="left" vertical="center" wrapText="1"/>
    </xf>
    <xf numFmtId="0" fontId="0" fillId="12" borderId="126" xfId="0" applyFill="1" applyBorder="1" applyAlignment="1">
      <alignment horizontal="left" vertical="center" wrapText="1"/>
    </xf>
    <xf numFmtId="0" fontId="0" fillId="12" borderId="127" xfId="0" applyFill="1" applyBorder="1" applyAlignment="1">
      <alignment horizontal="left" vertical="center" wrapText="1"/>
    </xf>
    <xf numFmtId="0" fontId="0" fillId="12" borderId="128" xfId="0" applyFill="1" applyBorder="1" applyAlignment="1">
      <alignment horizontal="left" vertical="center" wrapText="1"/>
    </xf>
    <xf numFmtId="0" fontId="0" fillId="12" borderId="129" xfId="0" applyFill="1" applyBorder="1" applyAlignment="1">
      <alignment horizontal="left" vertical="center" wrapText="1"/>
    </xf>
    <xf numFmtId="0" fontId="29" fillId="2" borderId="122" xfId="0" applyFont="1" applyFill="1" applyBorder="1" applyAlignment="1">
      <alignment horizontal="left" vertical="top" wrapText="1"/>
    </xf>
    <xf numFmtId="0" fontId="29" fillId="2" borderId="123" xfId="0" applyFont="1" applyFill="1" applyBorder="1" applyAlignment="1">
      <alignment horizontal="left" vertical="top" wrapText="1"/>
    </xf>
    <xf numFmtId="0" fontId="29" fillId="2" borderId="124" xfId="0" applyFont="1" applyFill="1" applyBorder="1" applyAlignment="1">
      <alignment horizontal="left" vertical="top" wrapText="1"/>
    </xf>
    <xf numFmtId="0" fontId="29" fillId="2" borderId="125" xfId="0" applyFont="1" applyFill="1" applyBorder="1" applyAlignment="1">
      <alignment horizontal="left" vertical="top" wrapText="1"/>
    </xf>
    <xf numFmtId="0" fontId="29" fillId="2" borderId="0" xfId="0" applyFont="1" applyFill="1" applyAlignment="1">
      <alignment horizontal="left" vertical="top" wrapText="1"/>
    </xf>
    <xf numFmtId="0" fontId="29" fillId="2" borderId="126" xfId="0" applyFont="1" applyFill="1" applyBorder="1" applyAlignment="1">
      <alignment horizontal="left" vertical="top" wrapText="1"/>
    </xf>
    <xf numFmtId="0" fontId="29" fillId="2" borderId="127" xfId="0" applyFont="1" applyFill="1" applyBorder="1" applyAlignment="1">
      <alignment horizontal="left" vertical="top" wrapText="1"/>
    </xf>
    <xf numFmtId="0" fontId="29" fillId="2" borderId="128" xfId="0" applyFont="1" applyFill="1" applyBorder="1" applyAlignment="1">
      <alignment horizontal="left" vertical="top" wrapText="1"/>
    </xf>
    <xf numFmtId="0" fontId="29" fillId="2" borderId="129" xfId="0" applyFont="1" applyFill="1" applyBorder="1" applyAlignment="1">
      <alignment horizontal="left" vertical="top" wrapText="1"/>
    </xf>
    <xf numFmtId="0" fontId="3" fillId="24" borderId="83" xfId="0" applyFont="1" applyFill="1" applyBorder="1" applyAlignment="1">
      <alignment horizontal="center" vertical="center" wrapText="1"/>
    </xf>
    <xf numFmtId="0" fontId="3" fillId="24" borderId="85" xfId="0" applyFont="1" applyFill="1" applyBorder="1" applyAlignment="1">
      <alignment horizontal="center" vertical="center" wrapText="1"/>
    </xf>
    <xf numFmtId="1" fontId="0" fillId="20" borderId="71" xfId="0" applyNumberFormat="1" applyFill="1" applyBorder="1" applyAlignment="1">
      <alignment horizontal="center"/>
    </xf>
    <xf numFmtId="1" fontId="0" fillId="20" borderId="72" xfId="0" applyNumberFormat="1" applyFill="1" applyBorder="1" applyAlignment="1">
      <alignment horizontal="center"/>
    </xf>
    <xf numFmtId="1" fontId="0" fillId="20" borderId="73" xfId="0" applyNumberFormat="1" applyFill="1" applyBorder="1" applyAlignment="1">
      <alignment horizontal="center"/>
    </xf>
    <xf numFmtId="0" fontId="0" fillId="20" borderId="74" xfId="0" applyFill="1" applyBorder="1" applyAlignment="1">
      <alignment horizontal="center"/>
    </xf>
    <xf numFmtId="0" fontId="0" fillId="20" borderId="0" xfId="0" applyFill="1" applyAlignment="1">
      <alignment horizontal="center"/>
    </xf>
    <xf numFmtId="0" fontId="0" fillId="20" borderId="75" xfId="0" applyFill="1" applyBorder="1" applyAlignment="1">
      <alignment horizontal="center"/>
    </xf>
    <xf numFmtId="0" fontId="3" fillId="7" borderId="34" xfId="0" applyFont="1" applyFill="1" applyBorder="1" applyAlignment="1">
      <alignment horizontal="center"/>
    </xf>
    <xf numFmtId="0" fontId="3" fillId="7" borderId="44" xfId="0" applyFont="1" applyFill="1" applyBorder="1" applyAlignment="1">
      <alignment horizontal="center"/>
    </xf>
    <xf numFmtId="0" fontId="3" fillId="7" borderId="35" xfId="0" applyFont="1" applyFill="1" applyBorder="1" applyAlignment="1">
      <alignment horizontal="center"/>
    </xf>
    <xf numFmtId="0" fontId="33" fillId="19" borderId="93" xfId="0" applyFont="1" applyFill="1" applyBorder="1" applyAlignment="1">
      <alignment horizontal="center" vertical="center" wrapText="1"/>
    </xf>
    <xf numFmtId="0" fontId="33" fillId="19" borderId="94" xfId="0" applyFont="1" applyFill="1" applyBorder="1" applyAlignment="1">
      <alignment horizontal="center" vertical="center" wrapText="1"/>
    </xf>
    <xf numFmtId="0" fontId="33" fillId="19" borderId="95" xfId="0" applyFont="1" applyFill="1" applyBorder="1" applyAlignment="1">
      <alignment horizontal="center" vertical="center" wrapText="1"/>
    </xf>
    <xf numFmtId="0" fontId="34" fillId="34" borderId="87" xfId="0" applyFont="1" applyFill="1" applyBorder="1" applyAlignment="1">
      <alignment horizontal="center" vertical="center" wrapText="1"/>
    </xf>
    <xf numFmtId="0" fontId="34" fillId="34" borderId="99" xfId="0" applyFont="1" applyFill="1" applyBorder="1" applyAlignment="1">
      <alignment horizontal="center" vertical="center" wrapText="1"/>
    </xf>
    <xf numFmtId="0" fontId="34" fillId="34" borderId="92" xfId="0" applyFont="1" applyFill="1" applyBorder="1" applyAlignment="1">
      <alignment horizontal="center" vertical="center" wrapText="1"/>
    </xf>
    <xf numFmtId="0" fontId="0" fillId="37" borderId="70" xfId="0" applyFill="1" applyBorder="1" applyAlignment="1">
      <alignment horizontal="center" wrapText="1"/>
    </xf>
    <xf numFmtId="0" fontId="4" fillId="6" borderId="70" xfId="0" applyFont="1" applyFill="1" applyBorder="1" applyAlignment="1">
      <alignment horizontal="center"/>
    </xf>
    <xf numFmtId="0" fontId="10" fillId="8" borderId="0" xfId="0" applyFont="1" applyFill="1" applyAlignment="1">
      <alignment horizontal="right" wrapText="1" indent="1"/>
    </xf>
    <xf numFmtId="0" fontId="10" fillId="8" borderId="0" xfId="0" applyFont="1" applyFill="1" applyAlignment="1">
      <alignment horizontal="right" indent="1"/>
    </xf>
    <xf numFmtId="167" fontId="8" fillId="20" borderId="70" xfId="2" applyNumberFormat="1" applyFont="1" applyFill="1" applyBorder="1" applyAlignment="1">
      <alignment horizontal="center" vertical="center" wrapText="1"/>
    </xf>
    <xf numFmtId="0" fontId="6" fillId="8" borderId="0" xfId="0" applyFont="1" applyFill="1" applyAlignment="1">
      <alignment horizontal="right" vertical="top" wrapText="1"/>
    </xf>
    <xf numFmtId="167" fontId="3" fillId="20" borderId="80" xfId="2" applyNumberFormat="1" applyFont="1" applyFill="1" applyBorder="1" applyAlignment="1">
      <alignment horizontal="center" vertical="center"/>
    </xf>
    <xf numFmtId="167" fontId="3" fillId="20" borderId="82" xfId="2" applyNumberFormat="1" applyFont="1" applyFill="1" applyBorder="1" applyAlignment="1">
      <alignment horizontal="center" vertical="center"/>
    </xf>
    <xf numFmtId="0" fontId="34" fillId="19" borderId="93" xfId="0" applyFont="1" applyFill="1" applyBorder="1" applyAlignment="1">
      <alignment horizontal="center" vertical="center" wrapText="1"/>
    </xf>
    <xf numFmtId="0" fontId="34" fillId="19" borderId="94" xfId="0" applyFont="1" applyFill="1" applyBorder="1" applyAlignment="1">
      <alignment horizontal="center" vertical="center" wrapText="1"/>
    </xf>
    <xf numFmtId="0" fontId="34" fillId="19" borderId="95" xfId="0" applyFont="1" applyFill="1" applyBorder="1" applyAlignment="1">
      <alignment horizontal="center" vertical="center" wrapText="1"/>
    </xf>
    <xf numFmtId="0" fontId="0" fillId="3" borderId="0" xfId="0" applyFill="1" applyAlignment="1">
      <alignment horizontal="right" wrapText="1" indent="1"/>
    </xf>
    <xf numFmtId="0" fontId="44" fillId="8" borderId="0" xfId="0" applyFont="1" applyFill="1" applyAlignment="1">
      <alignment horizontal="center" wrapText="1"/>
    </xf>
    <xf numFmtId="166" fontId="19" fillId="2" borderId="68" xfId="1" applyNumberFormat="1" applyFont="1" applyFill="1" applyBorder="1" applyAlignment="1">
      <alignment horizontal="center" vertical="center" wrapText="1"/>
    </xf>
    <xf numFmtId="166" fontId="19" fillId="2" borderId="69" xfId="1" applyNumberFormat="1" applyFont="1" applyFill="1" applyBorder="1" applyAlignment="1">
      <alignment horizontal="center" vertical="center" wrapText="1"/>
    </xf>
    <xf numFmtId="0" fontId="34" fillId="22" borderId="0" xfId="0" applyFont="1" applyFill="1" applyAlignment="1">
      <alignment horizontal="center" vertical="center" wrapText="1"/>
    </xf>
    <xf numFmtId="0" fontId="34" fillId="22" borderId="72" xfId="0" applyFont="1" applyFill="1" applyBorder="1" applyAlignment="1">
      <alignment horizontal="center" vertical="center" wrapText="1"/>
    </xf>
    <xf numFmtId="0" fontId="34" fillId="22" borderId="73" xfId="0" applyFont="1" applyFill="1" applyBorder="1" applyAlignment="1">
      <alignment horizontal="center" vertical="center" wrapText="1"/>
    </xf>
    <xf numFmtId="0" fontId="34" fillId="22" borderId="75" xfId="0" applyFont="1" applyFill="1" applyBorder="1" applyAlignment="1">
      <alignment horizontal="center" vertical="center" wrapText="1"/>
    </xf>
    <xf numFmtId="0" fontId="33" fillId="22" borderId="84" xfId="0" applyFont="1" applyFill="1" applyBorder="1" applyAlignment="1">
      <alignment horizontal="center"/>
    </xf>
    <xf numFmtId="0" fontId="33" fillId="22" borderId="85" xfId="0" applyFont="1" applyFill="1" applyBorder="1" applyAlignment="1">
      <alignment horizontal="center"/>
    </xf>
    <xf numFmtId="0" fontId="0" fillId="8" borderId="0" xfId="0" applyFill="1" applyAlignment="1">
      <alignment horizontal="right" vertical="center" wrapText="1" indent="1"/>
    </xf>
    <xf numFmtId="0" fontId="3" fillId="20" borderId="80" xfId="0" applyFont="1" applyFill="1" applyBorder="1" applyAlignment="1">
      <alignment horizontal="center" vertical="center"/>
    </xf>
    <xf numFmtId="0" fontId="3" fillId="20" borderId="82" xfId="0" applyFont="1" applyFill="1" applyBorder="1" applyAlignment="1">
      <alignment horizontal="center" vertical="center"/>
    </xf>
    <xf numFmtId="0" fontId="10" fillId="4" borderId="96" xfId="0" applyFont="1" applyFill="1" applyBorder="1" applyAlignment="1">
      <alignment horizontal="center"/>
    </xf>
    <xf numFmtId="0" fontId="10" fillId="4" borderId="97" xfId="0" applyFont="1" applyFill="1" applyBorder="1" applyAlignment="1">
      <alignment horizontal="center"/>
    </xf>
    <xf numFmtId="0" fontId="10" fillId="4" borderId="98" xfId="0" applyFont="1" applyFill="1" applyBorder="1" applyAlignment="1">
      <alignment horizontal="center"/>
    </xf>
    <xf numFmtId="0" fontId="7" fillId="2" borderId="67" xfId="0" applyFont="1" applyFill="1" applyBorder="1" applyAlignment="1">
      <alignment horizontal="center"/>
    </xf>
    <xf numFmtId="0" fontId="0" fillId="25" borderId="71" xfId="0" applyFill="1" applyBorder="1" applyAlignment="1">
      <alignment horizontal="center" vertical="center" wrapText="1"/>
    </xf>
    <xf numFmtId="0" fontId="0" fillId="25" borderId="72" xfId="0" applyFill="1" applyBorder="1" applyAlignment="1">
      <alignment horizontal="center" vertical="center" wrapText="1"/>
    </xf>
    <xf numFmtId="0" fontId="0" fillId="25" borderId="73" xfId="0" applyFill="1" applyBorder="1" applyAlignment="1">
      <alignment horizontal="center" vertical="center" wrapText="1"/>
    </xf>
    <xf numFmtId="0" fontId="0" fillId="25" borderId="74" xfId="0" applyFill="1" applyBorder="1" applyAlignment="1">
      <alignment horizontal="center" vertical="center" wrapText="1"/>
    </xf>
    <xf numFmtId="0" fontId="0" fillId="25" borderId="0" xfId="0" applyFill="1" applyAlignment="1">
      <alignment horizontal="center" vertical="center" wrapText="1"/>
    </xf>
    <xf numFmtId="0" fontId="0" fillId="25" borderId="75" xfId="0" applyFill="1" applyBorder="1" applyAlignment="1">
      <alignment horizontal="center" vertical="center" wrapText="1"/>
    </xf>
    <xf numFmtId="0" fontId="0" fillId="25" borderId="76" xfId="0" applyFill="1" applyBorder="1" applyAlignment="1">
      <alignment horizontal="center" vertical="center" wrapText="1"/>
    </xf>
    <xf numFmtId="0" fontId="0" fillId="25" borderId="77" xfId="0" applyFill="1" applyBorder="1" applyAlignment="1">
      <alignment horizontal="center" vertical="center" wrapText="1"/>
    </xf>
    <xf numFmtId="0" fontId="0" fillId="25" borderId="78" xfId="0" applyFill="1" applyBorder="1" applyAlignment="1">
      <alignment horizontal="center" vertical="center" wrapText="1"/>
    </xf>
    <xf numFmtId="0" fontId="3" fillId="9" borderId="70" xfId="0" applyFont="1" applyFill="1" applyBorder="1" applyAlignment="1">
      <alignment horizontal="center"/>
    </xf>
    <xf numFmtId="0" fontId="3" fillId="23" borderId="70" xfId="0" applyFont="1" applyFill="1" applyBorder="1" applyAlignment="1">
      <alignment horizontal="center"/>
    </xf>
    <xf numFmtId="0" fontId="36" fillId="21" borderId="72" xfId="0" applyFont="1" applyFill="1" applyBorder="1" applyAlignment="1">
      <alignment horizontal="center" vertical="center" wrapText="1"/>
    </xf>
    <xf numFmtId="0" fontId="36" fillId="21" borderId="0" xfId="0" applyFont="1" applyFill="1" applyAlignment="1">
      <alignment horizontal="center" vertical="center" wrapText="1"/>
    </xf>
    <xf numFmtId="0" fontId="3" fillId="23" borderId="0" xfId="0" applyFont="1" applyFill="1" applyAlignment="1">
      <alignment horizontal="center"/>
    </xf>
    <xf numFmtId="0" fontId="3" fillId="23" borderId="72" xfId="0" applyFont="1" applyFill="1" applyBorder="1" applyAlignment="1">
      <alignment horizontal="center"/>
    </xf>
    <xf numFmtId="0" fontId="3" fillId="23" borderId="73" xfId="0" applyFont="1" applyFill="1" applyBorder="1" applyAlignment="1">
      <alignment horizontal="center"/>
    </xf>
    <xf numFmtId="0" fontId="0" fillId="20" borderId="76" xfId="0" applyFill="1" applyBorder="1" applyAlignment="1">
      <alignment horizontal="center"/>
    </xf>
    <xf numFmtId="0" fontId="0" fillId="20" borderId="77" xfId="0" applyFill="1" applyBorder="1" applyAlignment="1">
      <alignment horizontal="center"/>
    </xf>
    <xf numFmtId="0" fontId="0" fillId="20" borderId="78" xfId="0" applyFill="1" applyBorder="1" applyAlignment="1">
      <alignment horizontal="center"/>
    </xf>
    <xf numFmtId="0" fontId="33" fillId="32" borderId="34" xfId="0" applyFont="1" applyFill="1" applyBorder="1" applyAlignment="1">
      <alignment horizontal="center" vertical="center" wrapText="1"/>
    </xf>
    <xf numFmtId="0" fontId="33" fillId="32" borderId="44" xfId="0" applyFont="1" applyFill="1" applyBorder="1" applyAlignment="1">
      <alignment horizontal="center" vertical="center" wrapText="1"/>
    </xf>
    <xf numFmtId="0" fontId="33" fillId="34" borderId="31" xfId="0" applyFont="1" applyFill="1" applyBorder="1" applyAlignment="1">
      <alignment horizontal="center" vertical="center" wrapText="1"/>
    </xf>
    <xf numFmtId="0" fontId="33" fillId="34" borderId="33" xfId="0" applyFont="1" applyFill="1" applyBorder="1" applyAlignment="1">
      <alignment horizontal="center" vertical="center" wrapText="1"/>
    </xf>
    <xf numFmtId="0" fontId="3" fillId="13" borderId="0" xfId="0" applyFont="1" applyFill="1" applyAlignment="1">
      <alignment horizontal="center" vertical="center"/>
    </xf>
    <xf numFmtId="0" fontId="9" fillId="3" borderId="122" xfId="0" applyFont="1" applyFill="1" applyBorder="1" applyAlignment="1">
      <alignment horizontal="left" vertical="center" wrapText="1"/>
    </xf>
    <xf numFmtId="0" fontId="9" fillId="3" borderId="123" xfId="0" applyFont="1" applyFill="1" applyBorder="1" applyAlignment="1">
      <alignment horizontal="left" vertical="center" wrapText="1"/>
    </xf>
    <xf numFmtId="0" fontId="9" fillId="3" borderId="124" xfId="0" applyFont="1" applyFill="1" applyBorder="1" applyAlignment="1">
      <alignment horizontal="left" vertical="center" wrapText="1"/>
    </xf>
    <xf numFmtId="0" fontId="9" fillId="3" borderId="125"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126" xfId="0" applyFont="1" applyFill="1" applyBorder="1" applyAlignment="1">
      <alignment horizontal="left" vertical="center" wrapText="1"/>
    </xf>
    <xf numFmtId="0" fontId="9" fillId="3" borderId="127" xfId="0" applyFont="1" applyFill="1" applyBorder="1" applyAlignment="1">
      <alignment horizontal="left" vertical="center" wrapText="1"/>
    </xf>
    <xf numFmtId="0" fontId="9" fillId="3" borderId="128" xfId="0" applyFont="1" applyFill="1" applyBorder="1" applyAlignment="1">
      <alignment horizontal="left" vertical="center" wrapText="1"/>
    </xf>
    <xf numFmtId="0" fontId="9" fillId="3" borderId="129" xfId="0" applyFont="1" applyFill="1" applyBorder="1" applyAlignment="1">
      <alignment horizontal="left" vertical="center" wrapText="1"/>
    </xf>
    <xf numFmtId="0" fontId="33" fillId="33" borderId="119" xfId="0" applyFont="1" applyFill="1" applyBorder="1" applyAlignment="1">
      <alignment horizontal="center" vertical="center" wrapText="1"/>
    </xf>
    <xf numFmtId="0" fontId="33" fillId="33" borderId="34" xfId="0" applyFont="1" applyFill="1" applyBorder="1" applyAlignment="1">
      <alignment horizontal="center" vertical="center" wrapText="1"/>
    </xf>
    <xf numFmtId="0" fontId="59" fillId="2" borderId="55" xfId="0" applyFont="1" applyFill="1" applyBorder="1" applyAlignment="1">
      <alignment horizontal="center"/>
    </xf>
    <xf numFmtId="0" fontId="59" fillId="2" borderId="67" xfId="0" applyFont="1" applyFill="1" applyBorder="1" applyAlignment="1">
      <alignment horizontal="center"/>
    </xf>
    <xf numFmtId="0" fontId="59" fillId="2" borderId="56" xfId="0" applyFont="1" applyFill="1" applyBorder="1" applyAlignment="1">
      <alignment horizontal="center"/>
    </xf>
    <xf numFmtId="0" fontId="34" fillId="22" borderId="77" xfId="0" applyFont="1" applyFill="1" applyBorder="1" applyAlignment="1">
      <alignment horizontal="center" vertical="center" wrapText="1"/>
    </xf>
    <xf numFmtId="0" fontId="34" fillId="22" borderId="78" xfId="0" applyFont="1" applyFill="1" applyBorder="1" applyAlignment="1">
      <alignment horizontal="center" vertical="center" wrapText="1"/>
    </xf>
    <xf numFmtId="0" fontId="3" fillId="23" borderId="83" xfId="0" applyFont="1" applyFill="1" applyBorder="1" applyAlignment="1">
      <alignment horizontal="center"/>
    </xf>
    <xf numFmtId="0" fontId="3" fillId="23" borderId="84" xfId="0" applyFont="1" applyFill="1" applyBorder="1" applyAlignment="1">
      <alignment horizontal="center"/>
    </xf>
    <xf numFmtId="0" fontId="10" fillId="4" borderId="96" xfId="0" applyFont="1" applyFill="1" applyBorder="1" applyAlignment="1">
      <alignment horizontal="center" vertical="center"/>
    </xf>
    <xf numFmtId="0" fontId="10" fillId="4" borderId="97" xfId="0" applyFont="1" applyFill="1" applyBorder="1" applyAlignment="1">
      <alignment horizontal="center" vertical="center"/>
    </xf>
    <xf numFmtId="0" fontId="10" fillId="4" borderId="98" xfId="0" applyFont="1" applyFill="1" applyBorder="1" applyAlignment="1">
      <alignment horizontal="center" vertical="center"/>
    </xf>
    <xf numFmtId="0" fontId="8" fillId="26" borderId="0" xfId="0" applyFont="1" applyFill="1" applyAlignment="1">
      <alignment horizontal="center"/>
    </xf>
    <xf numFmtId="0" fontId="36" fillId="27" borderId="0" xfId="0" applyFont="1" applyFill="1" applyAlignment="1">
      <alignment horizontal="center"/>
    </xf>
    <xf numFmtId="44" fontId="56" fillId="13" borderId="104" xfId="2" applyFont="1" applyFill="1" applyBorder="1" applyAlignment="1">
      <alignment horizontal="center" vertical="center"/>
    </xf>
    <xf numFmtId="44" fontId="57" fillId="13" borderId="104" xfId="0" applyNumberFormat="1" applyFont="1" applyFill="1" applyBorder="1" applyAlignment="1">
      <alignment horizontal="center" vertical="center"/>
    </xf>
    <xf numFmtId="44" fontId="57" fillId="13" borderId="105" xfId="0" applyNumberFormat="1" applyFont="1" applyFill="1" applyBorder="1" applyAlignment="1">
      <alignment horizontal="center" vertical="center"/>
    </xf>
    <xf numFmtId="44" fontId="57" fillId="13" borderId="0" xfId="0" applyNumberFormat="1" applyFont="1" applyFill="1" applyAlignment="1">
      <alignment horizontal="center" vertical="center"/>
    </xf>
    <xf numFmtId="0" fontId="3" fillId="7" borderId="106" xfId="0" applyFont="1" applyFill="1" applyBorder="1" applyAlignment="1">
      <alignment horizontal="center" vertical="center"/>
    </xf>
    <xf numFmtId="0" fontId="3" fillId="7" borderId="107" xfId="0" applyFont="1" applyFill="1" applyBorder="1" applyAlignment="1">
      <alignment horizontal="center" vertical="center"/>
    </xf>
    <xf numFmtId="0" fontId="3" fillId="7" borderId="108" xfId="0" applyFont="1" applyFill="1" applyBorder="1" applyAlignment="1">
      <alignment horizontal="center" vertical="center"/>
    </xf>
    <xf numFmtId="0" fontId="4" fillId="6" borderId="83" xfId="0" applyFont="1" applyFill="1" applyBorder="1" applyAlignment="1">
      <alignment horizontal="center"/>
    </xf>
    <xf numFmtId="0" fontId="4" fillId="6" borderId="85" xfId="0" applyFont="1" applyFill="1" applyBorder="1" applyAlignment="1">
      <alignment horizontal="center"/>
    </xf>
    <xf numFmtId="0" fontId="3" fillId="23" borderId="85" xfId="0" applyFont="1" applyFill="1" applyBorder="1" applyAlignment="1">
      <alignment horizontal="center"/>
    </xf>
    <xf numFmtId="0" fontId="8" fillId="7" borderId="115" xfId="0" applyFont="1" applyFill="1" applyBorder="1" applyAlignment="1">
      <alignment horizontal="center"/>
    </xf>
    <xf numFmtId="0" fontId="8" fillId="7" borderId="109" xfId="0" applyFont="1" applyFill="1" applyBorder="1" applyAlignment="1">
      <alignment horizontal="center"/>
    </xf>
    <xf numFmtId="0" fontId="61" fillId="19" borderId="112" xfId="0" applyFont="1" applyFill="1" applyBorder="1" applyAlignment="1">
      <alignment horizontal="center" wrapText="1"/>
    </xf>
    <xf numFmtId="0" fontId="61" fillId="19" borderId="113" xfId="0" applyFont="1" applyFill="1" applyBorder="1" applyAlignment="1">
      <alignment horizontal="center" wrapText="1"/>
    </xf>
    <xf numFmtId="0" fontId="61" fillId="19" borderId="117" xfId="0" applyFont="1" applyFill="1" applyBorder="1" applyAlignment="1">
      <alignment horizontal="center" wrapText="1"/>
    </xf>
    <xf numFmtId="0" fontId="8" fillId="6" borderId="109" xfId="0" applyFont="1" applyFill="1" applyBorder="1" applyAlignment="1">
      <alignment horizontal="center"/>
    </xf>
    <xf numFmtId="0" fontId="8" fillId="6" borderId="118" xfId="0" applyFont="1" applyFill="1" applyBorder="1" applyAlignment="1">
      <alignment horizontal="center"/>
    </xf>
    <xf numFmtId="0" fontId="61" fillId="19" borderId="114" xfId="0" applyFont="1" applyFill="1" applyBorder="1" applyAlignment="1">
      <alignment horizontal="center" wrapText="1"/>
    </xf>
    <xf numFmtId="0" fontId="8" fillId="6" borderId="111" xfId="0" applyFont="1" applyFill="1" applyBorder="1" applyAlignment="1">
      <alignment horizontal="center"/>
    </xf>
    <xf numFmtId="0" fontId="3" fillId="9" borderId="2" xfId="0" applyFont="1" applyFill="1" applyBorder="1" applyAlignment="1">
      <alignment horizontal="center"/>
    </xf>
    <xf numFmtId="0" fontId="3" fillId="6" borderId="83" xfId="0" applyFont="1" applyFill="1" applyBorder="1" applyAlignment="1">
      <alignment horizontal="center"/>
    </xf>
    <xf numFmtId="0" fontId="3" fillId="6" borderId="84" xfId="0" applyFont="1" applyFill="1" applyBorder="1" applyAlignment="1">
      <alignment horizontal="center"/>
    </xf>
    <xf numFmtId="0" fontId="3" fillId="6" borderId="85" xfId="0" applyFont="1" applyFill="1" applyBorder="1" applyAlignment="1">
      <alignment horizontal="center"/>
    </xf>
    <xf numFmtId="0" fontId="0" fillId="0" borderId="0" xfId="0" applyAlignment="1">
      <alignment horizontal="left" wrapText="1"/>
    </xf>
    <xf numFmtId="0" fontId="3" fillId="0" borderId="52" xfId="0" applyFont="1" applyBorder="1" applyAlignment="1">
      <alignment horizontal="right"/>
    </xf>
    <xf numFmtId="0" fontId="3" fillId="0" borderId="53" xfId="0" applyFont="1" applyBorder="1" applyAlignment="1">
      <alignment horizontal="right"/>
    </xf>
    <xf numFmtId="0" fontId="4" fillId="6" borderId="31" xfId="0" applyFont="1" applyFill="1" applyBorder="1" applyAlignment="1">
      <alignment horizontal="center"/>
    </xf>
    <xf numFmtId="0" fontId="4" fillId="6" borderId="32" xfId="0" applyFont="1" applyFill="1" applyBorder="1" applyAlignment="1">
      <alignment horizontal="center"/>
    </xf>
    <xf numFmtId="0" fontId="31" fillId="9" borderId="46" xfId="0" applyFont="1" applyFill="1" applyBorder="1" applyAlignment="1">
      <alignment horizontal="center" vertical="center"/>
    </xf>
    <xf numFmtId="0" fontId="0" fillId="0" borderId="46" xfId="0" applyBorder="1" applyAlignment="1">
      <alignment horizontal="center" vertical="center"/>
    </xf>
    <xf numFmtId="0" fontId="0" fillId="0" borderId="46" xfId="0" applyBorder="1" applyAlignment="1">
      <alignment horizontal="center" vertical="center" wrapText="1"/>
    </xf>
    <xf numFmtId="0" fontId="3" fillId="0" borderId="46" xfId="0" applyFont="1" applyBorder="1" applyAlignment="1">
      <alignment horizontal="right"/>
    </xf>
    <xf numFmtId="0" fontId="31" fillId="9" borderId="46" xfId="0" applyFont="1" applyFill="1" applyBorder="1" applyAlignment="1">
      <alignment horizontal="center" vertical="center" wrapText="1"/>
    </xf>
  </cellXfs>
  <cellStyles count="17">
    <cellStyle name="Body: normal cell" xfId="5" xr:uid="{886C1532-8313-4D73-A83E-6B62E4417FEB}"/>
    <cellStyle name="Comma" xfId="1" builtinId="3"/>
    <cellStyle name="Currency" xfId="2" builtinId="4"/>
    <cellStyle name="Followed Hyperlink" xfId="13" builtinId="9" customBuiltin="1"/>
    <cellStyle name="Font: Calibri, 9pt regular" xfId="11" xr:uid="{AF2C5C90-9CCA-47FF-888F-ADA497F62E15}"/>
    <cellStyle name="Footnotes: all except top row" xfId="14" xr:uid="{D4CCCF9B-55DA-4793-8749-53B1CAC25C4D}"/>
    <cellStyle name="Footnotes: top row" xfId="9" xr:uid="{72A02264-F8BD-4A28-8140-B433B4DB4766}"/>
    <cellStyle name="Header: bottom row" xfId="4" xr:uid="{7CADB6B5-E6AF-4D24-BDA1-D01FE2625FF5}"/>
    <cellStyle name="Header: top rows" xfId="6" xr:uid="{FCAB56BD-0E78-47FA-B14E-047F9C4A15AF}"/>
    <cellStyle name="Hyperlink" xfId="12" builtinId="8" customBuiltin="1"/>
    <cellStyle name="Normal" xfId="0" builtinId="0"/>
    <cellStyle name="Parent row" xfId="8" xr:uid="{38CD8674-2A39-469C-8577-0ED8E3E9DE59}"/>
    <cellStyle name="Percent" xfId="3" builtinId="5"/>
    <cellStyle name="Percent 2" xfId="16" xr:uid="{27FDCE35-E25F-48EF-90EB-C0B97970E3CA}"/>
    <cellStyle name="Section Break" xfId="10" xr:uid="{27798653-8772-45E4-A430-EC9E9E0DC8AE}"/>
    <cellStyle name="Section Break: parent row" xfId="7" xr:uid="{CE095E4C-4AFD-4251-8B83-C97A999B4491}"/>
    <cellStyle name="Table title" xfId="15" xr:uid="{B9D353A8-8B21-4D8F-A950-64131B9B2CF6}"/>
  </cellStyles>
  <dxfs count="35">
    <dxf>
      <fill>
        <patternFill>
          <bgColor theme="0" tint="-0.14996795556505021"/>
        </patternFill>
      </fill>
    </dxf>
    <dxf>
      <fill>
        <patternFill>
          <bgColor theme="0" tint="-0.14996795556505021"/>
        </patternFill>
      </fill>
    </dxf>
    <dxf>
      <font>
        <color theme="9" tint="-0.24994659260841701"/>
      </font>
    </dxf>
    <dxf>
      <font>
        <color rgb="FFC00000"/>
      </font>
    </dxf>
    <dxf>
      <font>
        <color theme="6" tint="0.79998168889431442"/>
      </font>
      <fill>
        <patternFill>
          <bgColor theme="6" tint="0.79998168889431442"/>
        </patternFill>
      </fill>
      <border>
        <left style="thin">
          <color theme="6" tint="0.79998168889431442"/>
        </left>
        <right style="thin">
          <color theme="6" tint="0.79998168889431442"/>
        </right>
        <top style="thin">
          <color theme="6" tint="0.79998168889431442"/>
        </top>
        <bottom style="thin">
          <color theme="6" tint="0.79998168889431442"/>
        </bottom>
        <vertical/>
        <horizontal/>
      </border>
    </dxf>
    <dxf>
      <font>
        <color theme="6" tint="0.79998168889431442"/>
      </font>
      <fill>
        <patternFill>
          <bgColor theme="6" tint="0.79998168889431442"/>
        </patternFill>
      </fill>
      <border>
        <left style="thin">
          <color theme="6" tint="0.79998168889431442"/>
        </left>
        <right style="thin">
          <color theme="6" tint="0.79998168889431442"/>
        </right>
        <top style="thin">
          <color theme="6" tint="0.79998168889431442"/>
        </top>
        <bottom style="thin">
          <color theme="6" tint="0.79998168889431442"/>
        </bottom>
      </border>
    </dxf>
    <dxf>
      <font>
        <color theme="6" tint="0.79998168889431442"/>
      </font>
      <fill>
        <patternFill>
          <bgColor theme="6" tint="0.79998168889431442"/>
        </patternFill>
      </fill>
      <border>
        <left style="thin">
          <color theme="6" tint="0.79998168889431442"/>
        </left>
        <right style="thin">
          <color theme="6" tint="0.79998168889431442"/>
        </right>
        <top style="thin">
          <color theme="6" tint="0.79998168889431442"/>
        </top>
        <bottom style="thin">
          <color theme="6" tint="0.79998168889431442"/>
        </bottom>
        <vertical/>
        <horizontal/>
      </border>
    </dxf>
    <dxf>
      <font>
        <color rgb="FFEDEDED"/>
      </font>
      <fill>
        <patternFill>
          <bgColor theme="6" tint="0.79998168889431442"/>
        </patternFill>
      </fill>
      <border>
        <left/>
        <right/>
        <top/>
        <bottom/>
        <vertical/>
        <horizontal/>
      </border>
    </dxf>
    <dxf>
      <font>
        <color theme="6" tint="0.79998168889431442"/>
      </font>
      <fill>
        <patternFill>
          <bgColor theme="6" tint="0.79998168889431442"/>
        </patternFill>
      </fill>
      <border>
        <left style="thin">
          <color theme="6" tint="0.79998168889431442"/>
        </left>
        <right style="thin">
          <color theme="6" tint="0.79998168889431442"/>
        </right>
        <top style="thin">
          <color theme="6" tint="0.79998168889431442"/>
        </top>
        <bottom style="thin">
          <color theme="6" tint="0.79998168889431442"/>
        </bottom>
        <vertical/>
        <horizontal/>
      </border>
    </dxf>
    <dxf>
      <font>
        <color theme="6" tint="0.79998168889431442"/>
      </font>
      <fill>
        <patternFill>
          <bgColor theme="6" tint="0.79998168889431442"/>
        </patternFill>
      </fill>
      <border>
        <left style="thin">
          <color theme="6" tint="0.79998168889431442"/>
        </left>
        <right style="thin">
          <color theme="6" tint="0.79998168889431442"/>
        </right>
        <top style="thin">
          <color theme="6" tint="0.79998168889431442"/>
        </top>
        <bottom style="thin">
          <color theme="6" tint="0.79998168889431442"/>
        </bottom>
      </border>
    </dxf>
    <dxf>
      <font>
        <color theme="6" tint="0.79998168889431442"/>
      </font>
      <fill>
        <patternFill>
          <bgColor theme="6" tint="0.79998168889431442"/>
        </patternFill>
      </fill>
      <border>
        <left style="thin">
          <color theme="6" tint="0.79998168889431442"/>
        </left>
        <right style="thin">
          <color theme="6" tint="0.79998168889431442"/>
        </right>
        <top style="thin">
          <color theme="6" tint="0.79998168889431442"/>
        </top>
        <bottom style="thin">
          <color theme="6" tint="0.79998168889431442"/>
        </bottom>
        <vertical/>
        <horizontal/>
      </border>
    </dxf>
    <dxf>
      <font>
        <color rgb="FFEDEDED"/>
      </font>
      <fill>
        <patternFill>
          <bgColor theme="6" tint="0.79998168889431442"/>
        </patternFill>
      </fill>
      <border>
        <left/>
        <right/>
        <top/>
        <bottom/>
        <vertical/>
        <horizontal/>
      </border>
    </dxf>
    <dxf>
      <font>
        <color rgb="FFEDEDED"/>
      </font>
    </dxf>
    <dxf>
      <font>
        <color theme="9" tint="-0.24994659260841701"/>
      </font>
    </dxf>
    <dxf>
      <font>
        <color rgb="FFC00000"/>
      </font>
    </dxf>
    <dxf>
      <font>
        <color rgb="FFEDEDED"/>
      </font>
      <fill>
        <patternFill>
          <bgColor theme="6" tint="0.79998168889431442"/>
        </patternFill>
      </fill>
      <border>
        <left/>
        <right/>
        <top/>
        <bottom/>
        <vertical/>
        <horizontal/>
      </border>
    </dxf>
    <dxf>
      <font>
        <color rgb="FFEDEDED"/>
      </font>
      <fill>
        <patternFill>
          <bgColor theme="6" tint="0.79998168889431442"/>
        </patternFill>
      </fill>
    </dxf>
    <dxf>
      <font>
        <color rgb="FFEDEDED"/>
      </font>
    </dxf>
    <dxf>
      <font>
        <color rgb="FFEDEDED"/>
      </font>
      <fill>
        <patternFill patternType="solid">
          <bgColor rgb="FFEDEDED"/>
        </patternFill>
      </fill>
    </dxf>
    <dxf>
      <font>
        <b/>
        <i val="0"/>
        <color auto="1"/>
      </font>
    </dxf>
    <dxf>
      <font>
        <b val="0"/>
        <i val="0"/>
        <color rgb="FFFF0000"/>
      </font>
    </dxf>
    <dxf>
      <font>
        <color theme="6" tint="0.79998168889431442"/>
      </font>
      <fill>
        <patternFill>
          <bgColor theme="6" tint="0.79998168889431442"/>
        </patternFill>
      </fill>
      <border>
        <left style="thin">
          <color theme="6" tint="0.79998168889431442"/>
        </left>
        <right style="thin">
          <color theme="6" tint="0.79998168889431442"/>
        </right>
        <top style="thin">
          <color theme="6" tint="0.79998168889431442"/>
        </top>
        <bottom style="thin">
          <color theme="6" tint="0.79998168889431442"/>
        </bottom>
        <vertical/>
        <horizontal/>
      </border>
    </dxf>
    <dxf>
      <font>
        <color theme="6" tint="0.79998168889431442"/>
      </font>
      <fill>
        <patternFill>
          <bgColor theme="6" tint="0.79998168889431442"/>
        </patternFill>
      </fill>
      <border>
        <left style="thin">
          <color theme="6" tint="0.79998168889431442"/>
        </left>
        <right style="thin">
          <color theme="6" tint="0.79998168889431442"/>
        </right>
        <top style="thin">
          <color theme="6" tint="0.79998168889431442"/>
        </top>
        <bottom style="thin">
          <color theme="6" tint="0.79998168889431442"/>
        </bottom>
      </border>
    </dxf>
    <dxf>
      <font>
        <color theme="6" tint="0.79998168889431442"/>
      </font>
      <fill>
        <patternFill>
          <bgColor theme="6" tint="0.79998168889431442"/>
        </patternFill>
      </fill>
      <border>
        <left style="thin">
          <color theme="6" tint="0.79998168889431442"/>
        </left>
        <right style="thin">
          <color theme="6" tint="0.79998168889431442"/>
        </right>
        <top style="thin">
          <color theme="6" tint="0.79998168889431442"/>
        </top>
        <bottom style="thin">
          <color theme="6" tint="0.79998168889431442"/>
        </bottom>
        <vertical/>
        <horizontal/>
      </border>
    </dxf>
    <dxf>
      <font>
        <color theme="6" tint="0.79998168889431442"/>
      </font>
      <fill>
        <patternFill>
          <bgColor theme="6" tint="0.79998168889431442"/>
        </patternFill>
      </fill>
      <border>
        <left style="thin">
          <color theme="6" tint="0.79998168889431442"/>
        </left>
        <right style="thin">
          <color theme="6" tint="0.79998168889431442"/>
        </right>
        <top style="thin">
          <color theme="6" tint="0.79998168889431442"/>
        </top>
        <bottom style="thin">
          <color theme="6" tint="0.79998168889431442"/>
        </bottom>
        <vertical/>
        <horizontal/>
      </border>
    </dxf>
    <dxf>
      <font>
        <color rgb="FFEDEDED"/>
      </font>
      <fill>
        <patternFill>
          <bgColor theme="6" tint="0.79998168889431442"/>
        </patternFill>
      </fill>
      <border>
        <left/>
        <right/>
        <top/>
        <bottom/>
      </border>
    </dxf>
    <dxf>
      <font>
        <color theme="6" tint="0.79998168889431442"/>
      </font>
      <fill>
        <patternFill>
          <bgColor theme="6" tint="0.79998168889431442"/>
        </patternFill>
      </fill>
      <border>
        <left style="thin">
          <color theme="6" tint="0.79998168889431442"/>
        </left>
        <right style="thin">
          <color theme="6" tint="0.79998168889431442"/>
        </right>
        <top style="thin">
          <color theme="6" tint="0.79998168889431442"/>
        </top>
        <bottom style="thin">
          <color theme="6" tint="0.79998168889431442"/>
        </bottom>
        <vertical/>
        <horizontal/>
      </border>
    </dxf>
    <dxf>
      <font>
        <color theme="6" tint="0.79998168889431442"/>
      </font>
      <fill>
        <patternFill>
          <bgColor theme="6" tint="0.79998168889431442"/>
        </patternFill>
      </fill>
      <border>
        <left style="thin">
          <color theme="6" tint="0.79998168889431442"/>
        </left>
        <right style="thin">
          <color theme="6" tint="0.79998168889431442"/>
        </right>
        <top style="thin">
          <color theme="6" tint="0.79998168889431442"/>
        </top>
        <bottom style="thin">
          <color theme="6" tint="0.79998168889431442"/>
        </bottom>
      </border>
    </dxf>
    <dxf>
      <font>
        <color theme="6" tint="0.79998168889431442"/>
      </font>
      <fill>
        <patternFill>
          <bgColor theme="6" tint="0.79998168889431442"/>
        </patternFill>
      </fill>
      <border>
        <left style="thin">
          <color theme="6" tint="0.79998168889431442"/>
        </left>
        <right style="thin">
          <color theme="6" tint="0.79998168889431442"/>
        </right>
        <top style="thin">
          <color theme="6" tint="0.79998168889431442"/>
        </top>
        <bottom style="thin">
          <color theme="6" tint="0.79998168889431442"/>
        </bottom>
        <vertical/>
        <horizontal/>
      </border>
    </dxf>
    <dxf>
      <font>
        <color rgb="FFEDEDED"/>
      </font>
      <fill>
        <patternFill>
          <bgColor theme="6" tint="0.79998168889431442"/>
        </patternFill>
      </fill>
      <border>
        <left/>
        <right/>
        <top/>
        <bottom/>
      </border>
    </dxf>
    <dxf>
      <font>
        <b val="0"/>
        <i val="0"/>
        <color theme="0" tint="-0.499984740745262"/>
      </font>
    </dxf>
    <dxf>
      <font>
        <b/>
        <i val="0"/>
        <color auto="1"/>
      </font>
    </dxf>
    <dxf>
      <font>
        <b val="0"/>
        <i val="0"/>
        <strike val="0"/>
        <color theme="0" tint="-0.499984740745262"/>
      </font>
    </dxf>
    <dxf>
      <border>
        <left/>
        <right/>
        <top/>
        <bottom style="thick">
          <color theme="4"/>
        </bottom>
        <vertical/>
        <horizontal/>
      </border>
    </dxf>
    <dxf>
      <border>
        <left/>
        <right/>
        <top/>
        <bottom/>
        <vertical/>
        <horizontal style="dotted">
          <color theme="0" tint="-0.24994659260841701"/>
        </horizontal>
      </border>
    </dxf>
  </dxfs>
  <tableStyles count="1" defaultTableStyle="TableStyleMedium2" defaultPivotStyle="PivotStyleLight16">
    <tableStyle name="Table Style 1" pivot="0" count="2" xr9:uid="{F4A2D1D2-7034-4979-8722-ECE78312CBC2}">
      <tableStyleElement type="wholeTable" dxfId="34"/>
      <tableStyleElement type="headerRow" dxfId="33"/>
    </tableStyle>
  </tableStyles>
  <colors>
    <mruColors>
      <color rgb="FFFFF2CC"/>
      <color rgb="FFFFD966"/>
      <color rgb="FFFFE699"/>
      <color rgb="FFD9E1F2"/>
      <color rgb="FF0070C0"/>
      <color rgb="FF808080"/>
      <color rgb="FFA28F00"/>
      <color rgb="FFE7E6E6"/>
      <color rgb="FFFF9BB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9</xdr:col>
      <xdr:colOff>781050</xdr:colOff>
      <xdr:row>0</xdr:row>
      <xdr:rowOff>160019</xdr:rowOff>
    </xdr:from>
    <xdr:to>
      <xdr:col>13</xdr:col>
      <xdr:colOff>712470</xdr:colOff>
      <xdr:row>5</xdr:row>
      <xdr:rowOff>0</xdr:rowOff>
    </xdr:to>
    <xdr:sp macro="" textlink="">
      <xdr:nvSpPr>
        <xdr:cNvPr id="3" name="Rectangle: Diagonal Corners Rounded 1">
          <a:extLst>
            <a:ext uri="{FF2B5EF4-FFF2-40B4-BE49-F238E27FC236}">
              <a16:creationId xmlns:a16="http://schemas.microsoft.com/office/drawing/2014/main" id="{11B998F9-7035-EC76-5FCF-A440ECB19C2F}"/>
            </a:ext>
          </a:extLst>
        </xdr:cNvPr>
        <xdr:cNvSpPr/>
      </xdr:nvSpPr>
      <xdr:spPr>
        <a:xfrm>
          <a:off x="7334250" y="160019"/>
          <a:ext cx="2188845" cy="725806"/>
        </a:xfrm>
        <a:prstGeom prst="round2Diag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1600">
              <a:solidFill>
                <a:sysClr val="windowText" lastClr="000000"/>
              </a:solidFill>
            </a:rPr>
            <a:t>Enter your data in</a:t>
          </a:r>
        </a:p>
        <a:p>
          <a:pPr algn="ctr"/>
          <a:r>
            <a:rPr lang="en-US" sz="1600">
              <a:solidFill>
                <a:sysClr val="windowText" lastClr="000000"/>
              </a:solidFill>
            </a:rPr>
            <a:t>the </a:t>
          </a:r>
          <a:r>
            <a:rPr lang="en-US" sz="1600" b="1">
              <a:solidFill>
                <a:schemeClr val="accent6">
                  <a:lumMod val="75000"/>
                </a:schemeClr>
              </a:solidFill>
            </a:rPr>
            <a:t>GREEN</a:t>
          </a:r>
          <a:r>
            <a:rPr lang="en-US" sz="1600">
              <a:solidFill>
                <a:sysClr val="windowText" lastClr="000000"/>
              </a:solidFill>
            </a:rPr>
            <a:t> boxes!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567690</xdr:colOff>
      <xdr:row>22</xdr:row>
      <xdr:rowOff>171450</xdr:rowOff>
    </xdr:from>
    <xdr:to>
      <xdr:col>4</xdr:col>
      <xdr:colOff>320040</xdr:colOff>
      <xdr:row>24</xdr:row>
      <xdr:rowOff>396240</xdr:rowOff>
    </xdr:to>
    <xdr:pic>
      <xdr:nvPicPr>
        <xdr:cNvPr id="5" name="Picture 1" descr="Department of Energy Logo and Branding Guidelines | Department of Energy">
          <a:extLst>
            <a:ext uri="{FF2B5EF4-FFF2-40B4-BE49-F238E27FC236}">
              <a16:creationId xmlns:a16="http://schemas.microsoft.com/office/drawing/2014/main" id="{9B3AFCDC-719E-4DF0-8065-2E364E8904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7690" y="8039100"/>
          <a:ext cx="2948940"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260984</xdr:colOff>
      <xdr:row>1</xdr:row>
      <xdr:rowOff>131445</xdr:rowOff>
    </xdr:from>
    <xdr:to>
      <xdr:col>3</xdr:col>
      <xdr:colOff>424815</xdr:colOff>
      <xdr:row>4</xdr:row>
      <xdr:rowOff>171450</xdr:rowOff>
    </xdr:to>
    <xdr:sp macro="" textlink="">
      <xdr:nvSpPr>
        <xdr:cNvPr id="2" name="Rectangle: Diagonal Corners Rounded 1">
          <a:extLst>
            <a:ext uri="{FF2B5EF4-FFF2-40B4-BE49-F238E27FC236}">
              <a16:creationId xmlns:a16="http://schemas.microsoft.com/office/drawing/2014/main" id="{48114B25-E5D3-4322-9C4E-A5CE214C7246}"/>
            </a:ext>
          </a:extLst>
        </xdr:cNvPr>
        <xdr:cNvSpPr/>
      </xdr:nvSpPr>
      <xdr:spPr>
        <a:xfrm>
          <a:off x="260984" y="312420"/>
          <a:ext cx="1716406" cy="630555"/>
        </a:xfrm>
        <a:prstGeom prst="round2Diag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1400">
              <a:solidFill>
                <a:sysClr val="windowText" lastClr="000000"/>
              </a:solidFill>
            </a:rPr>
            <a:t>Enter your data in</a:t>
          </a:r>
        </a:p>
        <a:p>
          <a:pPr algn="ctr"/>
          <a:r>
            <a:rPr lang="en-US" sz="1400">
              <a:solidFill>
                <a:sysClr val="windowText" lastClr="000000"/>
              </a:solidFill>
            </a:rPr>
            <a:t>the </a:t>
          </a:r>
          <a:r>
            <a:rPr lang="en-US" sz="1400" b="1">
              <a:solidFill>
                <a:schemeClr val="accent6">
                  <a:lumMod val="75000"/>
                </a:schemeClr>
              </a:solidFill>
            </a:rPr>
            <a:t>GREEN</a:t>
          </a:r>
          <a:r>
            <a:rPr lang="en-US" sz="1400">
              <a:solidFill>
                <a:sysClr val="windowText" lastClr="000000"/>
              </a:solidFill>
            </a:rPr>
            <a:t> boxes!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1113946</xdr:colOff>
      <xdr:row>27</xdr:row>
      <xdr:rowOff>127158</xdr:rowOff>
    </xdr:from>
    <xdr:to>
      <xdr:col>19</xdr:col>
      <xdr:colOff>745648</xdr:colOff>
      <xdr:row>64</xdr:row>
      <xdr:rowOff>18938</xdr:rowOff>
    </xdr:to>
    <xdr:pic>
      <xdr:nvPicPr>
        <xdr:cNvPr id="422" name="Picture 2">
          <a:extLst>
            <a:ext uri="{FF2B5EF4-FFF2-40B4-BE49-F238E27FC236}">
              <a16:creationId xmlns:a16="http://schemas.microsoft.com/office/drawing/2014/main" id="{BEDEEB6F-CA82-4E36-82A8-D46450AB80D2}"/>
            </a:ext>
            <a:ext uri="{147F2762-F138-4A5C-976F-8EAC2B608ADB}">
              <a16:predDERef xmlns:a16="http://schemas.microsoft.com/office/drawing/2014/main" pred="{146B22B5-E8BD-6893-105E-48FC773966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8759" y="9485471"/>
          <a:ext cx="5724845" cy="658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388832</xdr:colOff>
      <xdr:row>6</xdr:row>
      <xdr:rowOff>2062</xdr:rowOff>
    </xdr:from>
    <xdr:ext cx="6483191" cy="6740525"/>
    <xdr:sp macro="" textlink="">
      <xdr:nvSpPr>
        <xdr:cNvPr id="421" name="TextBox 2">
          <a:extLst>
            <a:ext uri="{FF2B5EF4-FFF2-40B4-BE49-F238E27FC236}">
              <a16:creationId xmlns:a16="http://schemas.microsoft.com/office/drawing/2014/main" id="{028FBD56-48EA-58E9-2F36-CC26F35C9BEF}"/>
            </a:ext>
            <a:ext uri="{147F2762-F138-4A5C-976F-8EAC2B608ADB}">
              <a16:predDERef xmlns:a16="http://schemas.microsoft.com/office/drawing/2014/main" pred="{BEDEEB6F-CA82-4E36-82A8-D46450AB80D2}"/>
            </a:ext>
          </a:extLst>
        </xdr:cNvPr>
        <xdr:cNvSpPr txBox="1"/>
      </xdr:nvSpPr>
      <xdr:spPr>
        <a:xfrm>
          <a:off x="388832" y="2552645"/>
          <a:ext cx="6483191" cy="6740525"/>
        </a:xfrm>
        <a:prstGeom prst="rect">
          <a:avLst/>
        </a:prstGeom>
        <a:solidFill>
          <a:schemeClr val="accent1">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tx1"/>
              </a:solidFill>
              <a:effectLst/>
              <a:latin typeface="+mn-lt"/>
              <a:ea typeface="+mn-ea"/>
              <a:cs typeface="+mn-cs"/>
            </a:rPr>
            <a:t>Yellow Boxes for Input</a:t>
          </a:r>
          <a:r>
            <a:rPr lang="en-US" sz="1200">
              <a:solidFill>
                <a:schemeClr val="tx1"/>
              </a:solidFill>
              <a:effectLst/>
              <a:latin typeface="+mn-lt"/>
              <a:ea typeface="+mn-ea"/>
              <a:cs typeface="+mn-cs"/>
            </a:rPr>
            <a:t>:</a:t>
          </a:r>
          <a:br>
            <a:rPr lang="en-US" sz="1200">
              <a:solidFill>
                <a:schemeClr val="tx1"/>
              </a:solidFill>
              <a:effectLst/>
              <a:latin typeface="+mn-lt"/>
              <a:ea typeface="+mn-ea"/>
              <a:cs typeface="+mn-cs"/>
            </a:rPr>
          </a:br>
          <a:r>
            <a:rPr lang="en-US" sz="1200" b="1">
              <a:solidFill>
                <a:schemeClr val="tx1"/>
              </a:solidFill>
              <a:effectLst/>
              <a:latin typeface="+mn-lt"/>
              <a:ea typeface="+mn-ea"/>
              <a:cs typeface="+mn-cs"/>
            </a:rPr>
            <a:t>Only modify the yellow-highlighted cells.</a:t>
          </a:r>
          <a:r>
            <a:rPr lang="en-US" sz="1200">
              <a:solidFill>
                <a:schemeClr val="tx1"/>
              </a:solidFill>
              <a:effectLst/>
              <a:latin typeface="+mn-lt"/>
              <a:ea typeface="+mn-ea"/>
              <a:cs typeface="+mn-cs"/>
            </a:rPr>
            <a:t> All other fields are calculated automatically and should remain unchanged.</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1"/>
        </a:p>
        <a:p>
          <a:r>
            <a:rPr lang="en-US" sz="1200" b="1"/>
            <a:t>Select Your State</a:t>
          </a:r>
          <a:r>
            <a:rPr lang="en-US" sz="1200"/>
            <a:t>:</a:t>
          </a:r>
        </a:p>
        <a:p>
          <a:pPr lvl="0"/>
          <a:r>
            <a:rPr lang="en-US" sz="1200"/>
            <a:t>Begin by selecting your state in cell </a:t>
          </a:r>
          <a:r>
            <a:rPr lang="en-US" sz="1200" b="1"/>
            <a:t>R7</a:t>
          </a:r>
          <a:r>
            <a:rPr lang="en-US" sz="1200" b="0"/>
            <a:t>.</a:t>
          </a:r>
          <a:r>
            <a:rPr lang="en-US" sz="1200" b="0" baseline="0"/>
            <a:t> This will automatically</a:t>
          </a:r>
          <a:r>
            <a:rPr lang="en-US" sz="1200"/>
            <a:t> populate your</a:t>
          </a:r>
          <a:r>
            <a:rPr lang="en-US" sz="1200" baseline="0"/>
            <a:t> state's</a:t>
          </a:r>
          <a:r>
            <a:rPr lang="en-US" sz="1200"/>
            <a:t> average home usage.</a:t>
          </a:r>
        </a:p>
        <a:p>
          <a:pPr lvl="1"/>
          <a:endParaRPr lang="en-US" sz="1200"/>
        </a:p>
        <a:p>
          <a:r>
            <a:rPr lang="en-US" sz="1200" b="1"/>
            <a:t>Standard Statute Low Income Calculations (Columns R-S)</a:t>
          </a:r>
          <a:r>
            <a:rPr lang="en-US" sz="1200"/>
            <a:t>: These columns show the calculations for rebates based on statute for low-income customers. They provide a comparison to the adjusted scenario in columns T</a:t>
          </a:r>
          <a:r>
            <a:rPr lang="en-US" sz="1200" baseline="0"/>
            <a:t> and U.</a:t>
          </a:r>
          <a:endParaRPr lang="en-US" sz="1200"/>
        </a:p>
        <a:p>
          <a:r>
            <a:rPr lang="en-US" sz="1200"/>
            <a:t>- The standard calculation uses values informed by your selected state and household type:</a:t>
          </a:r>
        </a:p>
        <a:p>
          <a:pPr lvl="1"/>
          <a:r>
            <a:rPr lang="en-US" sz="1200" b="1"/>
            <a:t>- Average Home Usage</a:t>
          </a:r>
          <a:endParaRPr lang="en-US" sz="1200"/>
        </a:p>
        <a:p>
          <a:pPr lvl="1"/>
          <a:r>
            <a:rPr lang="en-US" sz="1200" b="1"/>
            <a:t>- Percentage</a:t>
          </a:r>
          <a:r>
            <a:rPr lang="en-US" sz="1200"/>
            <a:t> (default: 20%, per statute)</a:t>
          </a:r>
        </a:p>
        <a:p>
          <a:pPr lvl="1"/>
          <a:r>
            <a:rPr lang="en-US" sz="1200" b="1"/>
            <a:t>- Rebate Level</a:t>
          </a:r>
          <a:r>
            <a:rPr lang="en-US" sz="1200"/>
            <a:t> (default:</a:t>
          </a:r>
          <a:r>
            <a:rPr lang="en-US" sz="1200" baseline="0"/>
            <a:t> </a:t>
          </a:r>
          <a:r>
            <a:rPr lang="en-US" sz="1200"/>
            <a:t>$4,000 for low-income households).</a:t>
          </a:r>
        </a:p>
        <a:p>
          <a:pPr lvl="0"/>
          <a:r>
            <a:rPr lang="en-US" sz="1200"/>
            <a:t>- States can adjust the </a:t>
          </a:r>
          <a:r>
            <a:rPr lang="en-US" sz="1200" b="1"/>
            <a:t>Project Cost ($) </a:t>
          </a:r>
          <a:r>
            <a:rPr lang="en-US" sz="1200"/>
            <a:t>and </a:t>
          </a:r>
          <a:r>
            <a:rPr lang="en-US" sz="1200" b="1"/>
            <a:t>Actual</a:t>
          </a:r>
          <a:r>
            <a:rPr lang="en-US" sz="1200" b="1" baseline="0"/>
            <a:t> </a:t>
          </a:r>
          <a:r>
            <a:rPr lang="en-US" sz="1200" b="1"/>
            <a:t>Project Savings</a:t>
          </a:r>
          <a:r>
            <a:rPr lang="en-US" sz="1200" b="1" baseline="0"/>
            <a:t> (%)</a:t>
          </a:r>
          <a:r>
            <a:rPr lang="en-US" sz="1200"/>
            <a:t> to reflect specific scenarios.</a:t>
          </a:r>
        </a:p>
        <a:p>
          <a:pPr lvl="0"/>
          <a:r>
            <a:rPr lang="en-US" sz="1200"/>
            <a:t>- The savings-based rebate amount (R21 and E21) and project-cost-based rebate amounts (R22 and S22) will automatically update based on any changes made to project cost and savings adjustments.</a:t>
          </a:r>
        </a:p>
        <a:p>
          <a:pPr lvl="0"/>
          <a:endParaRPr lang="en-US" sz="1200"/>
        </a:p>
        <a:p>
          <a:r>
            <a:rPr lang="en-US" sz="1200" b="1"/>
            <a:t>Adjusted Rebate Scenarios (Columns T-U)</a:t>
          </a:r>
          <a:r>
            <a:rPr lang="en-US" sz="1200"/>
            <a:t>:</a:t>
          </a:r>
          <a:r>
            <a:rPr lang="en-US" sz="1200" baseline="0"/>
            <a:t> </a:t>
          </a:r>
          <a:r>
            <a:rPr lang="en-US" sz="1200"/>
            <a:t>These columns allow you to compare rebate levels for the same project, holding project cost and actual savings constant from the standard scenario while adjusting rebate levels.</a:t>
          </a:r>
        </a:p>
        <a:p>
          <a:r>
            <a:rPr lang="en-US" sz="1200"/>
            <a:t>-The </a:t>
          </a:r>
          <a:r>
            <a:rPr lang="en-US" sz="1200" b="1">
              <a:solidFill>
                <a:schemeClr val="tx1"/>
              </a:solidFill>
              <a:effectLst/>
              <a:latin typeface="+mn-lt"/>
              <a:ea typeface="+mn-ea"/>
              <a:cs typeface="+mn-cs"/>
            </a:rPr>
            <a:t>Project Cost ($) </a:t>
          </a:r>
          <a:r>
            <a:rPr lang="en-US" sz="1200">
              <a:solidFill>
                <a:schemeClr val="tx1"/>
              </a:solidFill>
              <a:effectLst/>
              <a:latin typeface="+mn-lt"/>
              <a:ea typeface="+mn-ea"/>
              <a:cs typeface="+mn-cs"/>
            </a:rPr>
            <a:t>and </a:t>
          </a:r>
          <a:r>
            <a:rPr lang="en-US" sz="1200" b="1">
              <a:solidFill>
                <a:schemeClr val="tx1"/>
              </a:solidFill>
              <a:effectLst/>
              <a:latin typeface="+mn-lt"/>
              <a:ea typeface="+mn-ea"/>
              <a:cs typeface="+mn-cs"/>
            </a:rPr>
            <a:t>Actual</a:t>
          </a:r>
          <a:r>
            <a:rPr lang="en-US" sz="1200" b="1" baseline="0">
              <a:solidFill>
                <a:schemeClr val="tx1"/>
              </a:solidFill>
              <a:effectLst/>
              <a:latin typeface="+mn-lt"/>
              <a:ea typeface="+mn-ea"/>
              <a:cs typeface="+mn-cs"/>
            </a:rPr>
            <a:t> </a:t>
          </a:r>
          <a:r>
            <a:rPr lang="en-US" sz="1200" b="1">
              <a:solidFill>
                <a:schemeClr val="tx1"/>
              </a:solidFill>
              <a:effectLst/>
              <a:latin typeface="+mn-lt"/>
              <a:ea typeface="+mn-ea"/>
              <a:cs typeface="+mn-cs"/>
            </a:rPr>
            <a:t>Project Savings</a:t>
          </a:r>
          <a:r>
            <a:rPr lang="en-US" sz="1200" b="1" baseline="0">
              <a:solidFill>
                <a:schemeClr val="tx1"/>
              </a:solidFill>
              <a:effectLst/>
              <a:latin typeface="+mn-lt"/>
              <a:ea typeface="+mn-ea"/>
              <a:cs typeface="+mn-cs"/>
            </a:rPr>
            <a:t> (%)</a:t>
          </a:r>
          <a:r>
            <a:rPr lang="en-US" sz="1200">
              <a:solidFill>
                <a:schemeClr val="tx1"/>
              </a:solidFill>
              <a:effectLst/>
              <a:latin typeface="+mn-lt"/>
              <a:ea typeface="+mn-ea"/>
              <a:cs typeface="+mn-cs"/>
            </a:rPr>
            <a:t> </a:t>
          </a:r>
          <a:r>
            <a:rPr lang="en-US" sz="1200"/>
            <a:t>from columns R-S carry over automatically.</a:t>
          </a:r>
        </a:p>
        <a:p>
          <a:pPr lvl="0"/>
          <a:r>
            <a:rPr lang="en-US" sz="1200"/>
            <a:t>-To explore adjustments, modify the </a:t>
          </a:r>
          <a:r>
            <a:rPr lang="en-US" sz="1200" b="1"/>
            <a:t>Rebate Levels and/or</a:t>
          </a:r>
          <a:r>
            <a:rPr lang="en-US" sz="1200" b="1" baseline="0"/>
            <a:t> the Percent of Project Cost </a:t>
          </a:r>
          <a:r>
            <a:rPr lang="en-US" sz="1200"/>
            <a:t>for the adjusted scenario.</a:t>
          </a:r>
        </a:p>
        <a:p>
          <a:pPr lvl="0"/>
          <a:r>
            <a:rPr lang="en-US" sz="1200"/>
            <a:t>-The </a:t>
          </a:r>
          <a:r>
            <a:rPr lang="en-US" sz="1200" b="1"/>
            <a:t>Rebate Payment Rate </a:t>
          </a:r>
          <a:r>
            <a:rPr lang="en-US" sz="1200"/>
            <a:t>(T19 and U19), savings-based</a:t>
          </a:r>
          <a:r>
            <a:rPr lang="en-US" sz="1200" baseline="0"/>
            <a:t> incentive</a:t>
          </a:r>
          <a:r>
            <a:rPr lang="en-US" sz="1200"/>
            <a:t> rebate (T21 and U21), and project-cost-based</a:t>
          </a:r>
          <a:r>
            <a:rPr lang="en-US" sz="1200" baseline="0"/>
            <a:t> rebate (T22 and U22)</a:t>
          </a:r>
          <a:r>
            <a:rPr lang="en-US" sz="1200"/>
            <a:t> will update automatically based on the new rebate levels.</a:t>
          </a:r>
        </a:p>
        <a:p>
          <a:pPr lvl="0"/>
          <a:endParaRPr lang="en-US" sz="1200"/>
        </a:p>
        <a:p>
          <a:pPr marL="0" marR="0" lvl="0" indent="0" defTabSz="914400" eaLnBrk="1" fontAlgn="auto" latinLnBrk="0" hangingPunct="1">
            <a:lnSpc>
              <a:spcPct val="100000"/>
            </a:lnSpc>
            <a:spcBef>
              <a:spcPts val="0"/>
            </a:spcBef>
            <a:spcAft>
              <a:spcPts val="0"/>
            </a:spcAft>
            <a:buClrTx/>
            <a:buSzTx/>
            <a:buFontTx/>
            <a:buNone/>
            <a:tabLst/>
            <a:defRPr/>
          </a:pPr>
          <a:r>
            <a:rPr lang="en-US" sz="1200" b="1"/>
            <a:t>Standard State Market Rate Calculations</a:t>
          </a:r>
          <a:r>
            <a:rPr lang="en-US" sz="1200" b="1" baseline="0"/>
            <a:t> (Columns V-W): </a:t>
          </a:r>
          <a:r>
            <a:rPr lang="en-US" sz="1200" baseline="0">
              <a:solidFill>
                <a:schemeClr val="tx1"/>
              </a:solidFill>
              <a:effectLst/>
              <a:latin typeface="+mn-lt"/>
              <a:ea typeface="+mn-ea"/>
              <a:cs typeface="+mn-cs"/>
            </a:rPr>
            <a:t>States </a:t>
          </a:r>
          <a:r>
            <a:rPr lang="en-US" sz="1200" b="1" baseline="0">
              <a:solidFill>
                <a:schemeClr val="tx1"/>
              </a:solidFill>
              <a:effectLst/>
              <a:latin typeface="+mn-lt"/>
              <a:ea typeface="+mn-ea"/>
              <a:cs typeface="+mn-cs"/>
            </a:rPr>
            <a:t>cannot</a:t>
          </a:r>
          <a:r>
            <a:rPr lang="en-US" sz="1200" baseline="0">
              <a:solidFill>
                <a:schemeClr val="tx1"/>
              </a:solidFill>
              <a:effectLst/>
              <a:latin typeface="+mn-lt"/>
              <a:ea typeface="+mn-ea"/>
              <a:cs typeface="+mn-cs"/>
            </a:rPr>
            <a:t> adjust rebate levels for market rate customers. </a:t>
          </a:r>
          <a:r>
            <a:rPr lang="en-US" sz="1200" baseline="0"/>
            <a:t>These columns reflect the market rate rebate calculations based on statute. </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t>-Similar to columns R-S, </a:t>
          </a:r>
          <a:r>
            <a:rPr lang="en-US" sz="1200">
              <a:solidFill>
                <a:schemeClr val="tx1"/>
              </a:solidFill>
              <a:effectLst/>
              <a:latin typeface="+mn-lt"/>
              <a:ea typeface="+mn-ea"/>
              <a:cs typeface="+mn-cs"/>
            </a:rPr>
            <a:t>States can adjust the </a:t>
          </a:r>
          <a:r>
            <a:rPr lang="en-US" sz="1200" b="1">
              <a:solidFill>
                <a:schemeClr val="tx1"/>
              </a:solidFill>
              <a:effectLst/>
              <a:latin typeface="+mn-lt"/>
              <a:ea typeface="+mn-ea"/>
              <a:cs typeface="+mn-cs"/>
            </a:rPr>
            <a:t>Project Cost ($) </a:t>
          </a:r>
          <a:r>
            <a:rPr lang="en-US" sz="1200">
              <a:solidFill>
                <a:schemeClr val="tx1"/>
              </a:solidFill>
              <a:effectLst/>
              <a:latin typeface="+mn-lt"/>
              <a:ea typeface="+mn-ea"/>
              <a:cs typeface="+mn-cs"/>
            </a:rPr>
            <a:t>and </a:t>
          </a:r>
          <a:r>
            <a:rPr lang="en-US" sz="1200" b="1">
              <a:solidFill>
                <a:schemeClr val="tx1"/>
              </a:solidFill>
              <a:effectLst/>
              <a:latin typeface="+mn-lt"/>
              <a:ea typeface="+mn-ea"/>
              <a:cs typeface="+mn-cs"/>
            </a:rPr>
            <a:t>Actual</a:t>
          </a:r>
          <a:r>
            <a:rPr lang="en-US" sz="1200" b="1" baseline="0">
              <a:solidFill>
                <a:schemeClr val="tx1"/>
              </a:solidFill>
              <a:effectLst/>
              <a:latin typeface="+mn-lt"/>
              <a:ea typeface="+mn-ea"/>
              <a:cs typeface="+mn-cs"/>
            </a:rPr>
            <a:t> </a:t>
          </a:r>
          <a:r>
            <a:rPr lang="en-US" sz="1200" b="1">
              <a:solidFill>
                <a:schemeClr val="tx1"/>
              </a:solidFill>
              <a:effectLst/>
              <a:latin typeface="+mn-lt"/>
              <a:ea typeface="+mn-ea"/>
              <a:cs typeface="+mn-cs"/>
            </a:rPr>
            <a:t>Project Savings</a:t>
          </a:r>
          <a:r>
            <a:rPr lang="en-US" sz="1200" b="1" baseline="0">
              <a:solidFill>
                <a:schemeClr val="tx1"/>
              </a:solidFill>
              <a:effectLst/>
              <a:latin typeface="+mn-lt"/>
              <a:ea typeface="+mn-ea"/>
              <a:cs typeface="+mn-cs"/>
            </a:rPr>
            <a:t> (%)</a:t>
          </a:r>
          <a:r>
            <a:rPr lang="en-US" sz="1200">
              <a:solidFill>
                <a:schemeClr val="tx1"/>
              </a:solidFill>
              <a:effectLst/>
              <a:latin typeface="+mn-lt"/>
              <a:ea typeface="+mn-ea"/>
              <a:cs typeface="+mn-cs"/>
            </a:rPr>
            <a:t> to reflect specific scenarios. </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-The resulting savings-based rebate amount (V21 and W21) and project-cost-based rebate amounts (V22 and W22) will update automatically</a:t>
          </a:r>
          <a:r>
            <a:rPr lang="en-US" sz="1200" baseline="0">
              <a:solidFill>
                <a:schemeClr val="tx1"/>
              </a:solidFill>
              <a:effectLst/>
              <a:latin typeface="+mn-lt"/>
              <a:ea typeface="+mn-ea"/>
              <a:cs typeface="+mn-cs"/>
            </a:rPr>
            <a:t> based on project cost and savings adjustments.</a:t>
          </a:r>
          <a:endParaRPr lang="en-US" sz="1200">
            <a:effectLst/>
          </a:endParaRPr>
        </a:p>
        <a:p>
          <a:pPr lvl="0"/>
          <a:endParaRPr lang="en-US" sz="12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xdr:col>
      <xdr:colOff>19051</xdr:colOff>
      <xdr:row>7</xdr:row>
      <xdr:rowOff>135255</xdr:rowOff>
    </xdr:from>
    <xdr:ext cx="7829550" cy="843821"/>
    <xdr:sp macro="" textlink="">
      <xdr:nvSpPr>
        <xdr:cNvPr id="3" name="TextBox 2">
          <a:extLst>
            <a:ext uri="{FF2B5EF4-FFF2-40B4-BE49-F238E27FC236}">
              <a16:creationId xmlns:a16="http://schemas.microsoft.com/office/drawing/2014/main" id="{B07F62B4-74CD-40A4-050D-DD400689ACC7}"/>
            </a:ext>
          </a:extLst>
        </xdr:cNvPr>
        <xdr:cNvSpPr txBox="1"/>
      </xdr:nvSpPr>
      <xdr:spPr>
        <a:xfrm>
          <a:off x="1238251" y="1564005"/>
          <a:ext cx="7829550" cy="843821"/>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0" i="0">
              <a:solidFill>
                <a:schemeClr val="tx1"/>
              </a:solidFill>
              <a:effectLst/>
              <a:latin typeface="+mn-lt"/>
              <a:ea typeface="+mn-ea"/>
              <a:cs typeface="+mn-cs"/>
            </a:rPr>
            <a:t>This calculator is designed to determine incentive payments for portfolio submissions, utilizing aggregated data for </a:t>
          </a:r>
          <a:r>
            <a:rPr lang="en-US" sz="1200" b="0" i="0" baseline="0">
              <a:solidFill>
                <a:schemeClr val="tx1"/>
              </a:solidFill>
              <a:effectLst/>
              <a:latin typeface="+mn-lt"/>
              <a:ea typeface="+mn-ea"/>
              <a:cs typeface="+mn-cs"/>
            </a:rPr>
            <a:t>single family and multifamily buildings, as well as LMI and market rate households. </a:t>
          </a:r>
          <a:r>
            <a:rPr lang="en-US" sz="1200" b="0" i="0">
              <a:solidFill>
                <a:schemeClr val="tx1"/>
              </a:solidFill>
              <a:effectLst/>
              <a:latin typeface="+mn-lt"/>
              <a:ea typeface="+mn-ea"/>
              <a:cs typeface="+mn-cs"/>
            </a:rPr>
            <a:t>Begin by selecting your state above, then input the total energy consumption data by fuel type in the designated GREEN boxes. Answer the remaining questions with GREEN boxes. The values in the WHITE boxes will be automatically calculated based on the provided data.</a:t>
          </a:r>
        </a:p>
      </xdr:txBody>
    </xdr:sp>
    <xdr:clientData/>
  </xdr:oneCellAnchor>
  <xdr:twoCellAnchor>
    <xdr:from>
      <xdr:col>0</xdr:col>
      <xdr:colOff>571500</xdr:colOff>
      <xdr:row>1</xdr:row>
      <xdr:rowOff>158115</xdr:rowOff>
    </xdr:from>
    <xdr:to>
      <xdr:col>4</xdr:col>
      <xdr:colOff>653416</xdr:colOff>
      <xdr:row>4</xdr:row>
      <xdr:rowOff>188595</xdr:rowOff>
    </xdr:to>
    <xdr:sp macro="" textlink="">
      <xdr:nvSpPr>
        <xdr:cNvPr id="2" name="Rectangle: Diagonal Corners Rounded 1">
          <a:extLst>
            <a:ext uri="{FF2B5EF4-FFF2-40B4-BE49-F238E27FC236}">
              <a16:creationId xmlns:a16="http://schemas.microsoft.com/office/drawing/2014/main" id="{264EAC68-FA5B-43BA-ACDD-53FBC1495FFA}"/>
            </a:ext>
          </a:extLst>
        </xdr:cNvPr>
        <xdr:cNvSpPr/>
      </xdr:nvSpPr>
      <xdr:spPr>
        <a:xfrm>
          <a:off x="571500" y="339090"/>
          <a:ext cx="1720216" cy="621030"/>
        </a:xfrm>
        <a:prstGeom prst="round2Diag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1400">
              <a:solidFill>
                <a:sysClr val="windowText" lastClr="000000"/>
              </a:solidFill>
            </a:rPr>
            <a:t>Enter your data in</a:t>
          </a:r>
        </a:p>
        <a:p>
          <a:pPr algn="ctr"/>
          <a:r>
            <a:rPr lang="en-US" sz="1400">
              <a:solidFill>
                <a:sysClr val="windowText" lastClr="000000"/>
              </a:solidFill>
            </a:rPr>
            <a:t>the </a:t>
          </a:r>
          <a:r>
            <a:rPr lang="en-US" sz="1400" b="1">
              <a:solidFill>
                <a:schemeClr val="accent6">
                  <a:lumMod val="75000"/>
                </a:schemeClr>
              </a:solidFill>
            </a:rPr>
            <a:t>GREEN</a:t>
          </a:r>
          <a:r>
            <a:rPr lang="en-US" sz="1400">
              <a:solidFill>
                <a:sysClr val="windowText" lastClr="000000"/>
              </a:solidFill>
            </a:rPr>
            <a:t> boxes!</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857250</xdr:colOff>
      <xdr:row>13</xdr:row>
      <xdr:rowOff>62865</xdr:rowOff>
    </xdr:from>
    <xdr:ext cx="7839075" cy="1090748"/>
    <xdr:sp macro="" textlink="">
      <xdr:nvSpPr>
        <xdr:cNvPr id="3" name="TextBox 2">
          <a:extLst>
            <a:ext uri="{FF2B5EF4-FFF2-40B4-BE49-F238E27FC236}">
              <a16:creationId xmlns:a16="http://schemas.microsoft.com/office/drawing/2014/main" id="{BFCCD9B8-954B-477A-A89A-BD9B6D82612D}"/>
            </a:ext>
          </a:extLst>
        </xdr:cNvPr>
        <xdr:cNvSpPr txBox="1"/>
      </xdr:nvSpPr>
      <xdr:spPr>
        <a:xfrm>
          <a:off x="1209675" y="2853690"/>
          <a:ext cx="7839075" cy="1090748"/>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sz="1200" b="0" i="0">
              <a:solidFill>
                <a:schemeClr val="tx1"/>
              </a:solidFill>
              <a:effectLst/>
              <a:latin typeface="+mn-lt"/>
              <a:ea typeface="+mn-ea"/>
              <a:cs typeface="+mn-cs"/>
            </a:rPr>
            <a:t>This calculator is designed to determine incentive</a:t>
          </a:r>
          <a:r>
            <a:rPr lang="en-US" sz="1200" b="0" i="0" baseline="0">
              <a:solidFill>
                <a:schemeClr val="tx1"/>
              </a:solidFill>
              <a:effectLst/>
              <a:latin typeface="+mn-lt"/>
              <a:ea typeface="+mn-ea"/>
              <a:cs typeface="+mn-cs"/>
            </a:rPr>
            <a:t> </a:t>
          </a:r>
          <a:r>
            <a:rPr lang="en-US" sz="1200" b="0" i="0">
              <a:solidFill>
                <a:schemeClr val="tx1"/>
              </a:solidFill>
              <a:effectLst/>
              <a:latin typeface="+mn-lt"/>
              <a:ea typeface="+mn-ea"/>
              <a:cs typeface="+mn-cs"/>
            </a:rPr>
            <a:t>payments for portfolio</a:t>
          </a:r>
          <a:r>
            <a:rPr lang="en-US" sz="1200" b="0" i="0" baseline="0">
              <a:solidFill>
                <a:schemeClr val="tx1"/>
              </a:solidFill>
              <a:effectLst/>
              <a:latin typeface="+mn-lt"/>
              <a:ea typeface="+mn-ea"/>
              <a:cs typeface="+mn-cs"/>
            </a:rPr>
            <a:t> of projects, using</a:t>
          </a:r>
          <a:r>
            <a:rPr lang="en-US" sz="1200" b="0" i="0">
              <a:solidFill>
                <a:schemeClr val="tx1"/>
              </a:solidFill>
              <a:effectLst/>
              <a:latin typeface="+mn-lt"/>
              <a:ea typeface="+mn-ea"/>
              <a:cs typeface="+mn-cs"/>
            </a:rPr>
            <a:t> project-level data. Begin by entering your state, LMI reimbursement rate, and the total number of projects in the portfolio in the above box. Then fill in the grey boxes with specific data for each project. The yellow cells will automatically calculate based on the entered project details. On the right side of the table, you'll find values indicating your percentage savings, along with the incentive payment meticulously calculated by factoring in project cost and measured savings.</a:t>
          </a:r>
          <a:endParaRPr lang="en-US" sz="1400" b="0" i="0" baseline="0">
            <a:solidFill>
              <a:schemeClr val="tx1"/>
            </a:solidFill>
            <a:effectLst/>
            <a:latin typeface="+mn-lt"/>
            <a:ea typeface="+mn-ea"/>
            <a:cs typeface="+mn-cs"/>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74295</xdr:colOff>
      <xdr:row>59</xdr:row>
      <xdr:rowOff>131445</xdr:rowOff>
    </xdr:from>
    <xdr:ext cx="8056246" cy="914353"/>
    <xdr:sp macro="" textlink="">
      <xdr:nvSpPr>
        <xdr:cNvPr id="2" name="TextBox 1">
          <a:extLst>
            <a:ext uri="{FF2B5EF4-FFF2-40B4-BE49-F238E27FC236}">
              <a16:creationId xmlns:a16="http://schemas.microsoft.com/office/drawing/2014/main" id="{C8507052-43C0-4A29-B979-F8D2DDDD4BB0}"/>
            </a:ext>
          </a:extLst>
        </xdr:cNvPr>
        <xdr:cNvSpPr txBox="1"/>
      </xdr:nvSpPr>
      <xdr:spPr>
        <a:xfrm>
          <a:off x="74295" y="11551920"/>
          <a:ext cx="8056246" cy="914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50" b="1"/>
            <a:t>Source</a:t>
          </a:r>
          <a:r>
            <a:rPr lang="en-US" sz="1050"/>
            <a:t>: https://www.eia.gov/consumption/residential/data/2020/index.php?view=state#ce</a:t>
          </a:r>
        </a:p>
        <a:p>
          <a:r>
            <a:rPr lang="en-US" sz="1050"/>
            <a:t>LMI = low- or moderate-income </a:t>
          </a:r>
        </a:p>
        <a:p>
          <a:r>
            <a:rPr lang="en-US" sz="1050"/>
            <a:t>IPR = incentive payment rate</a:t>
          </a:r>
        </a:p>
        <a:p>
          <a:r>
            <a:rPr lang="en-US" sz="1050"/>
            <a:t>*States with </a:t>
          </a:r>
          <a:r>
            <a:rPr lang="en-US" sz="1050">
              <a:solidFill>
                <a:schemeClr val="accent2">
                  <a:lumMod val="75000"/>
                </a:schemeClr>
              </a:solidFill>
            </a:rPr>
            <a:t>brown</a:t>
          </a:r>
          <a:r>
            <a:rPr lang="en-US" sz="1050" baseline="0">
              <a:solidFill>
                <a:schemeClr val="accent2">
                  <a:lumMod val="75000"/>
                </a:schemeClr>
              </a:solidFill>
            </a:rPr>
            <a:t> text color </a:t>
          </a:r>
          <a:r>
            <a:rPr lang="en-US" sz="1050" baseline="0"/>
            <a:t>for</a:t>
          </a:r>
          <a:r>
            <a:rPr lang="en-US" sz="1050"/>
            <a:t> propane</a:t>
          </a:r>
          <a:r>
            <a:rPr lang="en-US" sz="1050" baseline="0"/>
            <a:t> and fuel oil indicate that there is not sufficienct data for households using this fuel type. For these states, we opt to instead us the U.S. average value at the bottom of the table. </a:t>
          </a:r>
        </a:p>
      </xdr:txBody>
    </xdr:sp>
    <xdr:clientData/>
  </xdr:oneCellAnchor>
  <xdr:oneCellAnchor>
    <xdr:from>
      <xdr:col>0</xdr:col>
      <xdr:colOff>112393</xdr:colOff>
      <xdr:row>72</xdr:row>
      <xdr:rowOff>74295</xdr:rowOff>
    </xdr:from>
    <xdr:ext cx="9523731" cy="3677802"/>
    <xdr:sp macro="" textlink="">
      <xdr:nvSpPr>
        <xdr:cNvPr id="3" name="TextBox 2">
          <a:extLst>
            <a:ext uri="{FF2B5EF4-FFF2-40B4-BE49-F238E27FC236}">
              <a16:creationId xmlns:a16="http://schemas.microsoft.com/office/drawing/2014/main" id="{30EAC080-66D9-46A5-95BB-CD8D2E60B46F}"/>
            </a:ext>
          </a:extLst>
        </xdr:cNvPr>
        <xdr:cNvSpPr txBox="1"/>
      </xdr:nvSpPr>
      <xdr:spPr>
        <a:xfrm>
          <a:off x="112393" y="13956983"/>
          <a:ext cx="9523731" cy="3677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solidFill>
                <a:schemeClr val="tx1"/>
              </a:solidFill>
              <a:effectLst/>
              <a:latin typeface="+mn-lt"/>
              <a:ea typeface="+mn-ea"/>
              <a:cs typeface="+mn-cs"/>
            </a:rPr>
            <a:t>Data availability for U.S. territories (American Samoa, Guam, Puerto Rico, and the U.S. Virgin Islands) is not as comprehensive as the state data collected through the Energy Information Administration (EIA) and the Residential Energy Consumption Survey (RECS). Consequently, the consumption data for these territories is derived from a variety of sources and may not be as robust as the data available for states. Additionally, inadequate data was available to evaluate the Northern Mariana Islands as a separate territory. Given their geographic and demographic similarities, we will utilize the values from Guam as a substitute for the Northern Mariana Islands.</a:t>
          </a:r>
          <a:endParaRPr lang="en-US">
            <a:effectLst/>
          </a:endParaRPr>
        </a:p>
        <a:p>
          <a:endParaRPr lang="en-US" sz="1100" b="0" i="0" baseline="0">
            <a:solidFill>
              <a:schemeClr val="tx1"/>
            </a:solidFill>
            <a:effectLst/>
            <a:latin typeface="+mn-lt"/>
            <a:ea typeface="+mn-ea"/>
            <a:cs typeface="+mn-cs"/>
          </a:endParaRPr>
        </a:p>
        <a:p>
          <a:r>
            <a:rPr lang="en-US" sz="1100" b="0" i="0" baseline="0">
              <a:solidFill>
                <a:schemeClr val="tx1"/>
              </a:solidFill>
              <a:effectLst/>
              <a:latin typeface="+mn-lt"/>
              <a:ea typeface="+mn-ea"/>
              <a:cs typeface="+mn-cs"/>
            </a:rPr>
            <a:t>Sources used for territory analysis: </a:t>
          </a:r>
          <a:r>
            <a:rPr lang="en-US" sz="1100">
              <a:solidFill>
                <a:schemeClr val="tx1"/>
              </a:solidFill>
              <a:effectLst/>
              <a:latin typeface="+mn-lt"/>
              <a:ea typeface="+mn-ea"/>
              <a:cs typeface="+mn-cs"/>
            </a:rPr>
            <a:t>https://www.cia.gov/the-world-factbook/countries/ </a:t>
          </a:r>
        </a:p>
        <a:p>
          <a:r>
            <a:rPr lang="en-US" sz="1050" b="0" baseline="0"/>
            <a:t>https://www.eia.gov/beta/states/</a:t>
          </a:r>
        </a:p>
        <a:p>
          <a:r>
            <a:rPr lang="en-US" sz="1050" b="0" baseline="0"/>
            <a:t>https://www.census.gov/library/stories/2021/10/first-2020-census-united-states-island-areas-data-released-today.html</a:t>
          </a:r>
        </a:p>
        <a:p>
          <a:br>
            <a:rPr lang="en-US" sz="1050"/>
          </a:br>
          <a:r>
            <a:rPr lang="en-US" sz="1100" b="0" i="0">
              <a:solidFill>
                <a:schemeClr val="tx1"/>
              </a:solidFill>
              <a:effectLst/>
              <a:latin typeface="+mn-lt"/>
              <a:ea typeface="+mn-ea"/>
              <a:cs typeface="+mn-cs"/>
            </a:rPr>
            <a:t>As data availability varied between territories and states, we've included a sample calculation for Guam's total energy consumption. Similar methods were applied to calculate energy consumption for other territories, drawing from a combination of shared data sources.</a:t>
          </a:r>
        </a:p>
        <a:p>
          <a:endParaRPr lang="en-US" sz="1100" b="0" i="0" baseline="0">
            <a:solidFill>
              <a:schemeClr val="tx1"/>
            </a:solidFill>
            <a:effectLst/>
            <a:latin typeface="+mn-lt"/>
            <a:ea typeface="+mn-ea"/>
            <a:cs typeface="+mn-cs"/>
          </a:endParaRPr>
        </a:p>
        <a:p>
          <a:r>
            <a:rPr lang="en-US" sz="1100" b="0" i="0" baseline="0">
              <a:solidFill>
                <a:schemeClr val="tx1"/>
              </a:solidFill>
              <a:effectLst/>
              <a:latin typeface="+mn-lt"/>
              <a:ea typeface="+mn-ea"/>
              <a:cs typeface="+mn-cs"/>
            </a:rPr>
            <a:t>Guam's total energy consumption per capita: </a:t>
          </a:r>
          <a:r>
            <a:rPr lang="en-US" sz="1100" b="1" i="0" baseline="0">
              <a:solidFill>
                <a:schemeClr val="tx1"/>
              </a:solidFill>
              <a:effectLst/>
              <a:latin typeface="+mn-lt"/>
              <a:ea typeface="+mn-ea"/>
              <a:cs typeface="+mn-cs"/>
            </a:rPr>
            <a:t>152.767 million Btu/person </a:t>
          </a:r>
          <a:r>
            <a:rPr lang="en-US" sz="1100" b="0" i="0" baseline="0">
              <a:solidFill>
                <a:schemeClr val="tx1"/>
              </a:solidFill>
              <a:effectLst/>
              <a:latin typeface="+mn-lt"/>
              <a:ea typeface="+mn-ea"/>
              <a:cs typeface="+mn-cs"/>
            </a:rPr>
            <a:t>(https://www.cia.gov/the-world-factbook/countries/guam/#energy)</a:t>
          </a:r>
        </a:p>
        <a:p>
          <a:r>
            <a:rPr lang="en-US" sz="1100" b="0" i="0" baseline="0">
              <a:solidFill>
                <a:schemeClr val="tx1"/>
              </a:solidFill>
              <a:effectLst/>
              <a:latin typeface="+mn-lt"/>
              <a:ea typeface="+mn-ea"/>
              <a:cs typeface="+mn-cs"/>
            </a:rPr>
            <a:t>Percent of total energy usage attributed to residential sector: </a:t>
          </a:r>
          <a:r>
            <a:rPr lang="en-US" sz="1100" b="1" i="0" baseline="0">
              <a:solidFill>
                <a:schemeClr val="tx1"/>
              </a:solidFill>
              <a:effectLst/>
              <a:latin typeface="+mn-lt"/>
              <a:ea typeface="+mn-ea"/>
              <a:cs typeface="+mn-cs"/>
            </a:rPr>
            <a:t>32% </a:t>
          </a:r>
          <a:r>
            <a:rPr lang="en-US" sz="1100" b="0" i="0" baseline="0">
              <a:solidFill>
                <a:schemeClr val="tx1"/>
              </a:solidFill>
              <a:effectLst/>
              <a:latin typeface="+mn-lt"/>
              <a:ea typeface="+mn-ea"/>
              <a:cs typeface="+mn-cs"/>
            </a:rPr>
            <a:t>(https://www.eia.gov/beta/states/states/GQ/analysis)</a:t>
          </a:r>
        </a:p>
        <a:p>
          <a:r>
            <a:rPr lang="en-US" sz="1100" b="0" i="0" baseline="0">
              <a:solidFill>
                <a:schemeClr val="tx1"/>
              </a:solidFill>
              <a:effectLst/>
              <a:latin typeface="+mn-lt"/>
              <a:ea typeface="+mn-ea"/>
              <a:cs typeface="+mn-cs"/>
            </a:rPr>
            <a:t>Population of Guam:</a:t>
          </a:r>
          <a:r>
            <a:rPr lang="en-US" sz="1100" b="1" i="0" baseline="0">
              <a:solidFill>
                <a:schemeClr val="tx1"/>
              </a:solidFill>
              <a:effectLst/>
              <a:latin typeface="+mn-lt"/>
              <a:ea typeface="+mn-ea"/>
              <a:cs typeface="+mn-cs"/>
            </a:rPr>
            <a:t> 153,836 </a:t>
          </a:r>
          <a:r>
            <a:rPr lang="en-US" sz="1100" b="0" i="0" baseline="0">
              <a:solidFill>
                <a:schemeClr val="tx1"/>
              </a:solidFill>
              <a:effectLst/>
              <a:latin typeface="+mn-lt"/>
              <a:ea typeface="+mn-ea"/>
              <a:cs typeface="+mn-cs"/>
            </a:rPr>
            <a:t>(https://www.census.gov/library/stories/2021/10/first-2020-census-united-states-island-areas-data-released-today.html)</a:t>
          </a:r>
        </a:p>
        <a:p>
          <a:r>
            <a:rPr lang="en-US" sz="1100" b="0" i="0" baseline="0">
              <a:solidFill>
                <a:schemeClr val="tx1"/>
              </a:solidFill>
              <a:effectLst/>
              <a:latin typeface="+mn-lt"/>
              <a:ea typeface="+mn-ea"/>
              <a:cs typeface="+mn-cs"/>
            </a:rPr>
            <a:t>Number of households in Guam: </a:t>
          </a:r>
          <a:r>
            <a:rPr lang="en-US" sz="1100" b="1" i="0" baseline="0">
              <a:solidFill>
                <a:schemeClr val="tx1"/>
              </a:solidFill>
              <a:effectLst/>
              <a:latin typeface="+mn-lt"/>
              <a:ea typeface="+mn-ea"/>
              <a:cs typeface="+mn-cs"/>
            </a:rPr>
            <a:t>51,555</a:t>
          </a:r>
          <a:r>
            <a:rPr lang="en-US" sz="1100" b="0" i="0" baseline="0">
              <a:solidFill>
                <a:schemeClr val="tx1"/>
              </a:solidFill>
              <a:effectLst/>
              <a:latin typeface="+mn-lt"/>
              <a:ea typeface="+mn-ea"/>
              <a:cs typeface="+mn-cs"/>
            </a:rPr>
            <a:t> (https://www.census.gov/library/stories/2021/10/first-2020-census-united-states-island-areas-data-released-today.html) </a:t>
          </a:r>
        </a:p>
        <a:p>
          <a:endParaRPr lang="en-US" sz="1100" b="0" i="0" baseline="0">
            <a:solidFill>
              <a:schemeClr val="tx1"/>
            </a:solidFill>
            <a:effectLst/>
            <a:latin typeface="+mn-lt"/>
            <a:ea typeface="+mn-ea"/>
            <a:cs typeface="+mn-cs"/>
          </a:endParaRPr>
        </a:p>
        <a:p>
          <a:r>
            <a:rPr lang="en-US" sz="1100" b="0" i="0" baseline="0">
              <a:solidFill>
                <a:schemeClr val="tx1"/>
              </a:solidFill>
              <a:effectLst/>
              <a:latin typeface="+mn-lt"/>
              <a:ea typeface="+mn-ea"/>
              <a:cs typeface="+mn-cs"/>
            </a:rPr>
            <a:t>Total residential energy cosumption in Guam (mmBtu/person): </a:t>
          </a:r>
          <a:r>
            <a:rPr lang="en-US" sz="1100" b="1" i="0" baseline="0">
              <a:solidFill>
                <a:schemeClr val="tx1"/>
              </a:solidFill>
              <a:effectLst/>
              <a:latin typeface="+mn-lt"/>
              <a:ea typeface="+mn-ea"/>
              <a:cs typeface="+mn-cs"/>
            </a:rPr>
            <a:t>152.767*0.32 = 48.89</a:t>
          </a:r>
        </a:p>
        <a:p>
          <a:r>
            <a:rPr lang="en-US" sz="1100" b="0" i="0" baseline="0">
              <a:solidFill>
                <a:schemeClr val="tx1"/>
              </a:solidFill>
              <a:effectLst/>
              <a:latin typeface="+mn-lt"/>
              <a:ea typeface="+mn-ea"/>
              <a:cs typeface="+mn-cs"/>
            </a:rPr>
            <a:t>Total residential energy cosumption in Guam </a:t>
          </a:r>
          <a:r>
            <a:rPr lang="en-US" sz="1050" b="0" baseline="0"/>
            <a:t>(mmBtu for total population): </a:t>
          </a:r>
          <a:r>
            <a:rPr lang="en-US" sz="1050" b="1" baseline="0"/>
            <a:t>48.89*153,836 = </a:t>
          </a:r>
          <a:r>
            <a:rPr lang="en-US" sz="1100" b="1" i="0">
              <a:solidFill>
                <a:schemeClr val="tx1"/>
              </a:solidFill>
              <a:effectLst/>
              <a:latin typeface="+mn-lt"/>
              <a:ea typeface="+mn-ea"/>
              <a:cs typeface="+mn-cs"/>
            </a:rPr>
            <a:t>7,521,042.04</a:t>
          </a:r>
        </a:p>
        <a:p>
          <a:r>
            <a:rPr lang="en-US" sz="1100" b="0" i="0" baseline="0">
              <a:solidFill>
                <a:schemeClr val="tx1"/>
              </a:solidFill>
              <a:effectLst/>
              <a:latin typeface="+mn-lt"/>
              <a:ea typeface="+mn-ea"/>
              <a:cs typeface="+mn-cs"/>
            </a:rPr>
            <a:t>Total residential energy cosumption in Guam </a:t>
          </a:r>
          <a:r>
            <a:rPr lang="en-US" sz="1100" b="0" baseline="0">
              <a:solidFill>
                <a:schemeClr val="tx1"/>
              </a:solidFill>
              <a:effectLst/>
              <a:latin typeface="+mn-lt"/>
              <a:ea typeface="+mn-ea"/>
              <a:cs typeface="+mn-cs"/>
            </a:rPr>
            <a:t>(mmBtu per household): </a:t>
          </a:r>
          <a:r>
            <a:rPr lang="en-US" sz="1100" b="1" i="0">
              <a:solidFill>
                <a:schemeClr val="tx1"/>
              </a:solidFill>
              <a:effectLst/>
              <a:latin typeface="+mn-lt"/>
              <a:ea typeface="+mn-ea"/>
              <a:cs typeface="+mn-cs"/>
            </a:rPr>
            <a:t>7,521,042.04/</a:t>
          </a:r>
          <a:r>
            <a:rPr lang="en-US" sz="1100" b="1" i="0" baseline="0">
              <a:solidFill>
                <a:schemeClr val="tx1"/>
              </a:solidFill>
              <a:effectLst/>
              <a:latin typeface="+mn-lt"/>
              <a:ea typeface="+mn-ea"/>
              <a:cs typeface="+mn-cs"/>
            </a:rPr>
            <a:t>51,555 = ~145.88</a:t>
          </a:r>
          <a:endParaRPr lang="en-US" sz="1050" b="1" baseline="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60</xdr:row>
      <xdr:rowOff>0</xdr:rowOff>
    </xdr:from>
    <xdr:ext cx="8056246" cy="1094402"/>
    <xdr:sp macro="" textlink="">
      <xdr:nvSpPr>
        <xdr:cNvPr id="5" name="TextBox 4">
          <a:extLst>
            <a:ext uri="{FF2B5EF4-FFF2-40B4-BE49-F238E27FC236}">
              <a16:creationId xmlns:a16="http://schemas.microsoft.com/office/drawing/2014/main" id="{CBAD15A4-8008-4FCB-BBC3-5A436579D30E}"/>
            </a:ext>
          </a:extLst>
        </xdr:cNvPr>
        <xdr:cNvSpPr txBox="1"/>
      </xdr:nvSpPr>
      <xdr:spPr>
        <a:xfrm>
          <a:off x="0" y="10906125"/>
          <a:ext cx="8056246" cy="10944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50" b="1"/>
            <a:t>Source</a:t>
          </a:r>
          <a:r>
            <a:rPr lang="en-US" sz="1050"/>
            <a:t>: https://www.eia.gov/consumption/residential/data/2020/index.php?view=state#ce</a:t>
          </a:r>
        </a:p>
        <a:p>
          <a:r>
            <a:rPr lang="en-US" sz="1050"/>
            <a:t>LMI = low- or moderate-income </a:t>
          </a:r>
        </a:p>
        <a:p>
          <a:r>
            <a:rPr lang="en-US" sz="1050"/>
            <a:t>IPR = incentive payment rate</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*States with </a:t>
          </a:r>
          <a:r>
            <a:rPr lang="en-US" sz="1100">
              <a:solidFill>
                <a:schemeClr val="accent2">
                  <a:lumMod val="75000"/>
                </a:schemeClr>
              </a:solidFill>
              <a:effectLst/>
              <a:latin typeface="+mn-lt"/>
              <a:ea typeface="+mn-ea"/>
              <a:cs typeface="+mn-cs"/>
            </a:rPr>
            <a:t>brown</a:t>
          </a:r>
          <a:r>
            <a:rPr lang="en-US" sz="1100" baseline="0">
              <a:solidFill>
                <a:schemeClr val="accent2">
                  <a:lumMod val="75000"/>
                </a:schemeClr>
              </a:solidFill>
              <a:effectLst/>
              <a:latin typeface="+mn-lt"/>
              <a:ea typeface="+mn-ea"/>
              <a:cs typeface="+mn-cs"/>
            </a:rPr>
            <a:t> text color </a:t>
          </a:r>
          <a:r>
            <a:rPr lang="en-US" sz="1100" baseline="0">
              <a:solidFill>
                <a:schemeClr val="tx1"/>
              </a:solidFill>
              <a:effectLst/>
              <a:latin typeface="+mn-lt"/>
              <a:ea typeface="+mn-ea"/>
              <a:cs typeface="+mn-cs"/>
            </a:rPr>
            <a:t>for</a:t>
          </a:r>
          <a:r>
            <a:rPr lang="en-US" sz="1100">
              <a:solidFill>
                <a:schemeClr val="tx1"/>
              </a:solidFill>
              <a:effectLst/>
              <a:latin typeface="+mn-lt"/>
              <a:ea typeface="+mn-ea"/>
              <a:cs typeface="+mn-cs"/>
            </a:rPr>
            <a:t> propane</a:t>
          </a:r>
          <a:r>
            <a:rPr lang="en-US" sz="1100" baseline="0">
              <a:solidFill>
                <a:schemeClr val="tx1"/>
              </a:solidFill>
              <a:effectLst/>
              <a:latin typeface="+mn-lt"/>
              <a:ea typeface="+mn-ea"/>
              <a:cs typeface="+mn-cs"/>
            </a:rPr>
            <a:t> and fuel oil indicate that there is not sufficienct data for households using this fuel type. For these states, we opt to instead us the U.S. average value at the bottom of the table. </a:t>
          </a:r>
          <a:endParaRPr lang="en-US" sz="1050">
            <a:effectLst/>
          </a:endParaRPr>
        </a:p>
        <a:p>
          <a:endParaRPr lang="en-US" sz="1050"/>
        </a:p>
      </xdr:txBody>
    </xdr:sp>
    <xdr:clientData/>
  </xdr:oneCellAnchor>
  <xdr:oneCellAnchor>
    <xdr:from>
      <xdr:col>0</xdr:col>
      <xdr:colOff>57150</xdr:colOff>
      <xdr:row>71</xdr:row>
      <xdr:rowOff>173355</xdr:rowOff>
    </xdr:from>
    <xdr:ext cx="8056246" cy="2143407"/>
    <xdr:sp macro="" textlink="">
      <xdr:nvSpPr>
        <xdr:cNvPr id="3" name="TextBox 2">
          <a:extLst>
            <a:ext uri="{FF2B5EF4-FFF2-40B4-BE49-F238E27FC236}">
              <a16:creationId xmlns:a16="http://schemas.microsoft.com/office/drawing/2014/main" id="{F7587160-C010-4456-B33E-7770A8BE3B61}"/>
            </a:ext>
          </a:extLst>
        </xdr:cNvPr>
        <xdr:cNvSpPr txBox="1"/>
      </xdr:nvSpPr>
      <xdr:spPr>
        <a:xfrm>
          <a:off x="57150" y="13794105"/>
          <a:ext cx="8056246" cy="21434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solidFill>
                <a:schemeClr val="tx1"/>
              </a:solidFill>
              <a:effectLst/>
              <a:latin typeface="+mn-lt"/>
              <a:ea typeface="+mn-ea"/>
              <a:cs typeface="+mn-cs"/>
            </a:rPr>
            <a:t>Data availability for U.S. territories (American Samoa, Guam, Puerto Rico, and the U.S. Virgin Islands) is not as comprehensive as the state data collected through the Energy Information Administration (EIA) and the Residential Energy Consumption Survey (RECS). Consequently, the consumption data for these territories is derived from a variety of sources and may not be as robust as the data available for states. Additionally, inadequate data was available to evaluate the Northern Mariana Islands as a separate territory. Given their geographic and demographic similarities, we will utilize the values from Guam as a substitute for the Northern Mariana Islands.</a:t>
          </a:r>
        </a:p>
        <a:p>
          <a:endParaRPr lang="en-US" sz="1100" b="0" i="0">
            <a:solidFill>
              <a:schemeClr val="tx1"/>
            </a:solidFill>
            <a:effectLst/>
            <a:latin typeface="+mn-lt"/>
            <a:ea typeface="+mn-ea"/>
            <a:cs typeface="+mn-cs"/>
          </a:endParaRPr>
        </a:p>
        <a:p>
          <a:r>
            <a:rPr lang="en-US" sz="1100" b="0" i="0">
              <a:solidFill>
                <a:schemeClr val="tx1"/>
              </a:solidFill>
              <a:effectLst/>
              <a:latin typeface="+mn-lt"/>
              <a:ea typeface="+mn-ea"/>
              <a:cs typeface="+mn-cs"/>
            </a:rPr>
            <a:t>Values for multifamily properties in U.S. territories were estimated by leveraging single-family data sourced from the references below, along with the average conversion factor observed between single-family and multifamily valuations across U.S. states.</a:t>
          </a:r>
          <a:br>
            <a:rPr lang="en-US" sz="1100" b="0" i="0">
              <a:solidFill>
                <a:schemeClr val="tx1"/>
              </a:solidFill>
              <a:effectLst/>
              <a:latin typeface="+mn-lt"/>
              <a:ea typeface="+mn-ea"/>
              <a:cs typeface="+mn-cs"/>
            </a:rPr>
          </a:br>
          <a:endParaRPr lang="en-US" sz="1100" b="0" i="0" baseline="0">
            <a:solidFill>
              <a:schemeClr val="tx1"/>
            </a:solidFill>
            <a:effectLst/>
            <a:latin typeface="+mn-lt"/>
            <a:ea typeface="+mn-ea"/>
            <a:cs typeface="+mn-cs"/>
          </a:endParaRPr>
        </a:p>
        <a:p>
          <a:r>
            <a:rPr lang="en-US" sz="1100" b="0" i="0" baseline="0">
              <a:solidFill>
                <a:schemeClr val="tx1"/>
              </a:solidFill>
              <a:effectLst/>
              <a:latin typeface="+mn-lt"/>
              <a:ea typeface="+mn-ea"/>
              <a:cs typeface="+mn-cs"/>
            </a:rPr>
            <a:t>Sources used for territory analysis: </a:t>
          </a:r>
          <a:r>
            <a:rPr lang="en-US" sz="1100">
              <a:solidFill>
                <a:schemeClr val="tx1"/>
              </a:solidFill>
              <a:effectLst/>
              <a:latin typeface="+mn-lt"/>
              <a:ea typeface="+mn-ea"/>
              <a:cs typeface="+mn-cs"/>
            </a:rPr>
            <a:t>https://www.cia.gov/the-world-factbook/countries/ </a:t>
          </a:r>
        </a:p>
        <a:p>
          <a:r>
            <a:rPr lang="en-US" sz="1050" b="0" baseline="0"/>
            <a:t>https://www.eia.gov/beta/states/</a:t>
          </a:r>
        </a:p>
        <a:p>
          <a:r>
            <a:rPr lang="en-US" sz="1050" b="0" baseline="0"/>
            <a:t>https://www.census.gov/library/stories/2021/10/first-2020-census-united-states-island-areas-data-released-today.html</a:t>
          </a:r>
        </a:p>
      </xdr:txBody>
    </xdr:sp>
    <xdr:clientData/>
  </xdr:oneCellAnchor>
</xdr:wsDr>
</file>

<file path=xl/persons/person.xml><?xml version="1.0" encoding="utf-8"?>
<personList xmlns="http://schemas.microsoft.com/office/spreadsheetml/2018/threadedcomments" xmlns:x="http://schemas.openxmlformats.org/spreadsheetml/2006/main">
  <person displayName="Walker, Danielle" id="{29426191-09BB-435E-A34E-B0F581DFEEA9}" userId="S::danielle.walker@hq.doe.gov::001500c2-8897-46e9-b482-8f30d90528c1" providerId="AD"/>
  <person displayName="Rob Carmichael" id="{CD0F8CB9-C141-4F58-ACDE-20154EA15E81}" userId="S::rcarmichael@cadeogroup.com::38a2a619-b8ae-4fcc-9117-3be805115027" providerId="AD"/>
  <person displayName="Mckeon, Leanna" id="{A540F63A-7B98-42B1-9791-1073F6C44F14}" userId="S::leanna.mckeon_hq.doe.gov#ext#@pnnl.onmicrosoft.com::10b8e6ef-ac77-40e8-8176-c1b9e6184733"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2" dT="2023-11-06T20:17:43.28" personId="{29426191-09BB-435E-A34E-B0F581DFEEA9}" id="{ED6C68D6-5659-4640-B4C5-B36AF77B54A7}">
    <text>Should we also show the state average energy consumption on this table?</text>
  </threadedComment>
  <threadedComment ref="E12" dT="2023-11-07T14:27:30.43" personId="{CD0F8CB9-C141-4F58-ACDE-20154EA15E81}" id="{0BF17A60-8F2E-4B0F-9CE5-DCFDD92E1777}" parentId="{ED6C68D6-5659-4640-B4C5-B36AF77B54A7}">
    <text>Jillian, pls pull in average energy use (by dwelling type) in a table on this sheet. So, when user select the state, the table would populate. Also I think that new table and this one should be below. After all the inputs (what do you think)?</text>
  </threadedComment>
  <threadedComment ref="B19" dT="2023-11-06T20:28:31.45" personId="{29426191-09BB-435E-A34E-B0F581DFEEA9}" id="{3376A1F2-65E4-4EB9-A10C-1946B209AA94}">
    <text>Then duplicate table for portfolio?</text>
  </threadedComment>
  <threadedComment ref="B19" dT="2023-11-07T14:23:34.47" personId="{CD0F8CB9-C141-4F58-ACDE-20154EA15E81}" id="{2D2EF7F4-B700-41BC-943F-6E080AC2EF45}" parentId="{3376A1F2-65E4-4EB9-A10C-1946B209AA94}">
    <text xml:space="preserve">Recommend separate tab/calculator for portfolio. </text>
  </threadedComment>
  <threadedComment ref="C21" dT="2023-11-06T20:24:36.90" personId="{29426191-09BB-435E-A34E-B0F581DFEEA9}" id="{A142A415-DC66-4F77-8895-AAB5046BA349}">
    <text>I think we'll need to define this, or tell people how to use it if they are calculating a rebate for a portfolio of homes.</text>
  </threadedComment>
  <threadedComment ref="C21" dT="2023-11-07T14:16:43.11" personId="{CD0F8CB9-C141-4F58-ACDE-20154EA15E81}" id="{466E1F1A-656C-47D5-9812-D9BAF15B3F98}" parentId="{A142A415-DC66-4F77-8895-AAB5046BA349}">
    <text>Used the requirements definition on the readme tab (except for noted modification).</text>
  </threadedComment>
  <threadedComment ref="C21" dT="2023-11-07T14:17:25.74" personId="{CD0F8CB9-C141-4F58-ACDE-20154EA15E81}" id="{5D4E6E40-B51B-4FC0-99E9-BF25EBAB1740}" parentId="{A142A415-DC66-4F77-8895-AAB5046BA349}">
    <text xml:space="preserve">As it relates to portfolio, I recommend a second calculator (or tab). </text>
  </threadedComment>
  <threadedComment ref="E22" dT="2023-11-06T20:27:04.05" personId="{29426191-09BB-435E-A34E-B0F581DFEEA9}" id="{5A573B54-A02B-4D07-A1C0-E15F9C9AFF23}">
    <text>Do we need to split out low and moderate income? The state can request to pay up to 100% of the project cost for low income (I think)</text>
  </threadedComment>
  <threadedComment ref="E22" dT="2023-11-07T14:20:29.04" personId="{CD0F8CB9-C141-4F58-ACDE-20154EA15E81}" id="{BF43A4BD-EF2C-41D8-9937-21356D707A17}" parentId="{5A573B54-A02B-4D07-A1C0-E15F9C9AFF23}">
    <text>For 50121, we do not have to break out between Low and Moderate. There is only one break point: above/below 80% AMI. And, right, below 80%, states and request to pay up to 100% of project cost</text>
  </threadedComment>
  <threadedComment ref="K25" dT="2023-11-06T20:27:33.44" personId="{29426191-09BB-435E-A34E-B0F581DFEEA9}" id="{5B09F621-B999-4F2B-ABFC-2200F6E7F3F0}">
    <text>Should we flag this if its less than the allowed? Which I think is just 1</text>
  </threadedComment>
  <threadedComment ref="K25" dT="2023-11-07T14:28:47.40" personId="{CD0F8CB9-C141-4F58-ACDE-20154EA15E81}" id="{7256CED1-BD41-4FFA-AE51-C6B85254D7EC}" parentId="{5B09F621-B999-4F2B-ABFC-2200F6E7F3F0}">
    <text>Jillian, add data validation that does not allow an input of 0 or 1.</text>
  </threadedComment>
  <threadedComment ref="E33" dT="2023-11-06T20:31:45.01" personId="{29426191-09BB-435E-A34E-B0F581DFEEA9}" id="{9580B7A2-81F4-46C2-96CA-2927330F70BC}" done="1">
    <text>I'm confused about how this would be measured separately. This is possible? I guess I just need to understand how it would be done.</text>
  </threadedComment>
  <threadedComment ref="E33" dT="2023-11-07T14:23:07.58" personId="{CD0F8CB9-C141-4F58-ACDE-20154EA15E81}" id="{7C2C779C-5718-4136-BBBA-FBC3DCE84231}" parentId="{9580B7A2-81F4-46C2-96CA-2927330F70BC}">
    <text>Yes, possible. And getting savings by fuel type will be required to get total whole home energy savings</text>
  </threadedComment>
  <threadedComment ref="C42" dT="2023-11-06T20:33:23.76" personId="{29426191-09BB-435E-A34E-B0F581DFEEA9}" id="{B371611A-D098-4080-8035-D22742AA333A}">
    <text>This box is a little confusing to me. Let's chat. I also wonder if we should have a box that is 'calculated payment' that shows up when &gt;15% is achieved but says 'does not qualify' if it doesn't achieve.</text>
  </threadedComment>
  <threadedComment ref="C42" dT="2023-11-07T14:31:31.70" personId="{CD0F8CB9-C141-4F58-ACDE-20154EA15E81}" id="{9CFC25F9-3E6A-4734-8D1F-9382B96EAE6C}" parentId="{B371611A-D098-4080-8035-D22742AA333A}">
    <text>Jillian,  if the project achieves less than 15%, (the box above is "no"), then have the incentive value  say "does not qualify."</text>
  </threadedComment>
  <threadedComment ref="F45" dT="2023-11-07T14:34:13.72" personId="{CD0F8CB9-C141-4F58-ACDE-20154EA15E81}" id="{E12AB2DE-9557-4C10-BA23-CCC86FDA005C}">
    <text xml:space="preserve">Jillian, turns out the statue was SUPPOSED to say "lesser of" these two options, but congress fat figured it. Whoops.  So DOE is trying to discourage the richer incentive based (% of project cost). So pls put this one lowest. </text>
  </threadedComment>
  <threadedComment ref="F45" dT="2023-11-07T14:49:43.02" personId="{CD0F8CB9-C141-4F58-ACDE-20154EA15E81}" id="{E4734D83-9E2C-4822-A406-0D12A0764B86}" parentId="{E12AB2DE-9557-4C10-BA23-CCC86FDA005C}">
    <text xml:space="preserve">And gray it out a bit. </text>
  </threadedComment>
</ThreadedComments>
</file>

<file path=xl/threadedComments/threadedComment2.xml><?xml version="1.0" encoding="utf-8"?>
<ThreadedComments xmlns="http://schemas.microsoft.com/office/spreadsheetml/2018/threadedcomments" xmlns:x="http://schemas.openxmlformats.org/spreadsheetml/2006/main">
  <threadedComment ref="AI7" dT="2024-12-16T23:36:32.29" personId="{A540F63A-7B98-42B1-9791-1073F6C44F14}" id="{B9A532EB-7B36-4DB6-A5ED-6D20E0980A5B}">
    <text>Consider moving this text box up or to the left of the table so you see instructions first</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hyperlink" Target="https://www.energy.gov/sites/default/files/2024-06/program-requirements-and-application-instructions_061324.pdf" TargetMode="Externa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C09CC-EF88-481E-B1F3-A3276871BD35}">
  <sheetPr codeName="Sheet2">
    <tabColor theme="9"/>
  </sheetPr>
  <dimension ref="B3:R51"/>
  <sheetViews>
    <sheetView showGridLines="0" workbookViewId="0">
      <selection activeCell="F33" sqref="F33"/>
    </sheetView>
  </sheetViews>
  <sheetFormatPr defaultRowHeight="15" x14ac:dyDescent="0.25"/>
  <cols>
    <col min="2" max="2" width="4.7109375" customWidth="1"/>
    <col min="3" max="3" width="35.7109375" customWidth="1"/>
    <col min="4" max="4" width="1.5703125" customWidth="1"/>
    <col min="5" max="5" width="12.42578125" customWidth="1"/>
    <col min="6" max="6" width="12.5703125" customWidth="1"/>
    <col min="7" max="7" width="2" customWidth="1"/>
    <col min="8" max="8" width="9.5703125" customWidth="1"/>
    <col min="9" max="9" width="9.42578125" customWidth="1"/>
    <col min="10" max="10" width="12.42578125" customWidth="1"/>
    <col min="11" max="11" width="11.42578125" customWidth="1"/>
    <col min="12" max="12" width="5" customWidth="1"/>
    <col min="13" max="13" width="5.28515625" customWidth="1"/>
    <col min="14" max="14" width="11.5703125" customWidth="1"/>
    <col min="15" max="15" width="12.7109375" customWidth="1"/>
    <col min="16" max="16" width="7.5703125" customWidth="1"/>
    <col min="17" max="17" width="5.42578125" customWidth="1"/>
  </cols>
  <sheetData>
    <row r="3" spans="2:18" ht="18" customHeight="1" x14ac:dyDescent="0.3">
      <c r="B3" s="356" t="s">
        <v>0</v>
      </c>
      <c r="C3" s="357"/>
      <c r="D3" s="357"/>
      <c r="E3" s="357"/>
      <c r="F3" s="357"/>
      <c r="G3" s="357"/>
      <c r="H3" s="357"/>
      <c r="I3" s="357"/>
      <c r="J3" s="357"/>
      <c r="K3" s="357"/>
      <c r="L3" s="358"/>
    </row>
    <row r="4" spans="2:18" ht="7.35" customHeight="1" thickBot="1" x14ac:dyDescent="0.3">
      <c r="B4" s="9"/>
      <c r="C4" s="10"/>
      <c r="D4" s="10"/>
      <c r="E4" s="65"/>
      <c r="F4" s="10"/>
      <c r="G4" s="10"/>
      <c r="H4" s="10"/>
      <c r="I4" s="10"/>
      <c r="J4" s="10"/>
      <c r="K4" s="10"/>
      <c r="L4" s="69"/>
      <c r="M4" s="68"/>
      <c r="N4" s="68"/>
      <c r="O4" s="68"/>
      <c r="P4" s="68"/>
    </row>
    <row r="5" spans="2:18" ht="15" customHeight="1" thickBot="1" x14ac:dyDescent="0.3">
      <c r="B5" s="9"/>
      <c r="C5" s="79" t="s">
        <v>1</v>
      </c>
      <c r="D5" s="12"/>
      <c r="E5" s="368" t="s">
        <v>2</v>
      </c>
      <c r="F5" s="369"/>
      <c r="G5" s="13"/>
      <c r="H5" s="13"/>
      <c r="I5" s="13"/>
      <c r="J5" s="13"/>
      <c r="K5" s="13"/>
      <c r="L5" s="70"/>
      <c r="M5" s="68"/>
      <c r="N5" s="68"/>
      <c r="O5" s="68"/>
      <c r="P5" s="68"/>
    </row>
    <row r="6" spans="2:18" ht="15" customHeight="1" x14ac:dyDescent="0.25">
      <c r="B6" s="9"/>
      <c r="C6" s="89"/>
      <c r="D6" s="14"/>
      <c r="E6" s="67"/>
      <c r="F6" s="66"/>
      <c r="G6" s="13"/>
      <c r="H6" s="13"/>
      <c r="I6" s="13"/>
      <c r="J6" s="13"/>
      <c r="K6" s="13"/>
      <c r="L6" s="71"/>
      <c r="M6" s="68"/>
      <c r="N6" s="68"/>
      <c r="O6" s="68"/>
      <c r="P6" s="68"/>
    </row>
    <row r="7" spans="2:18" ht="13.35" customHeight="1" x14ac:dyDescent="0.25">
      <c r="B7" s="9"/>
      <c r="C7" s="29"/>
      <c r="D7" s="89"/>
      <c r="E7" s="376" t="s">
        <v>3</v>
      </c>
      <c r="F7" s="377"/>
      <c r="G7" s="13"/>
      <c r="H7" s="13"/>
      <c r="I7" s="13"/>
      <c r="J7" s="13"/>
      <c r="K7" s="13"/>
      <c r="L7" s="71"/>
      <c r="M7" s="68"/>
      <c r="N7" s="68"/>
      <c r="O7" s="68"/>
      <c r="P7" s="68"/>
    </row>
    <row r="8" spans="2:18" ht="13.35" customHeight="1" x14ac:dyDescent="0.25">
      <c r="B8" s="9"/>
      <c r="C8" s="90"/>
      <c r="D8" s="91" t="s">
        <v>4</v>
      </c>
      <c r="E8" s="378" t="str">
        <f>ROUND(VLOOKUP(E5,StateConsumption_SF!B3:Q59,12), 0) &amp; " kWh-equiv."</f>
        <v>34587 kWh-equiv.</v>
      </c>
      <c r="F8" s="379"/>
      <c r="G8" s="13"/>
      <c r="H8" s="13"/>
      <c r="I8" s="13"/>
      <c r="J8" s="13"/>
      <c r="K8" s="13"/>
      <c r="L8" s="71"/>
      <c r="M8" s="68"/>
      <c r="N8" s="68"/>
      <c r="O8" s="68"/>
      <c r="P8" s="68"/>
    </row>
    <row r="9" spans="2:18" ht="13.35" customHeight="1" x14ac:dyDescent="0.25">
      <c r="B9" s="9"/>
      <c r="C9" s="90"/>
      <c r="D9" s="91" t="s">
        <v>5</v>
      </c>
      <c r="E9" s="380" t="str">
        <f>ROUND(VLOOKUP(E5,StateConsumption_MF!B3:Q59,12), 0) &amp; " kWh-equiv."</f>
        <v>11839 kWh-equiv.</v>
      </c>
      <c r="F9" s="381"/>
      <c r="G9" s="13"/>
      <c r="H9" s="13"/>
      <c r="I9" s="13"/>
      <c r="J9" s="13"/>
      <c r="K9" s="13"/>
      <c r="L9" s="71"/>
      <c r="M9" s="68"/>
      <c r="N9" s="68"/>
      <c r="O9" s="68"/>
      <c r="P9" s="68"/>
    </row>
    <row r="10" spans="2:18" ht="17.100000000000001" customHeight="1" x14ac:dyDescent="0.25">
      <c r="B10" s="9"/>
      <c r="C10" s="29"/>
      <c r="D10" s="13"/>
      <c r="E10" s="13"/>
      <c r="F10" s="13"/>
      <c r="G10" s="13"/>
      <c r="H10" s="13"/>
      <c r="I10" s="13"/>
      <c r="J10" s="13"/>
      <c r="K10" s="13"/>
      <c r="L10" s="71"/>
      <c r="M10" s="68"/>
      <c r="N10" s="68"/>
      <c r="O10" s="68"/>
      <c r="P10" s="68"/>
    </row>
    <row r="11" spans="2:18" x14ac:dyDescent="0.25">
      <c r="B11" s="9"/>
      <c r="C11" s="13"/>
      <c r="D11" s="13"/>
      <c r="E11" s="13"/>
      <c r="F11" s="13"/>
      <c r="G11" s="16"/>
      <c r="H11" s="366" t="s">
        <v>6</v>
      </c>
      <c r="I11" s="367"/>
      <c r="J11" s="366" t="s">
        <v>7</v>
      </c>
      <c r="K11" s="367"/>
      <c r="L11" s="70"/>
    </row>
    <row r="12" spans="2:18" ht="15.75" x14ac:dyDescent="0.25">
      <c r="B12" s="9"/>
      <c r="C12" s="365" t="s">
        <v>8</v>
      </c>
      <c r="D12" s="20"/>
      <c r="E12" s="345" t="s">
        <v>9</v>
      </c>
      <c r="F12" s="346"/>
      <c r="G12" s="347"/>
      <c r="H12" s="58" t="s">
        <v>10</v>
      </c>
      <c r="I12" s="59" t="s">
        <v>11</v>
      </c>
      <c r="J12" s="58" t="s">
        <v>10</v>
      </c>
      <c r="K12" s="59" t="s">
        <v>11</v>
      </c>
      <c r="L12" s="11"/>
      <c r="N12" s="362" t="s">
        <v>12</v>
      </c>
      <c r="O12" s="363"/>
      <c r="P12" s="363"/>
      <c r="Q12" s="364"/>
    </row>
    <row r="13" spans="2:18" x14ac:dyDescent="0.25">
      <c r="B13" s="9"/>
      <c r="C13" s="365"/>
      <c r="D13" s="11"/>
      <c r="E13" s="348" t="s">
        <v>13</v>
      </c>
      <c r="F13" s="349"/>
      <c r="G13" s="350"/>
      <c r="H13" s="21">
        <f>VLOOKUP(E5,StateConsumption_SF!B3:Q59,15)</f>
        <v>0.28920306713638344</v>
      </c>
      <c r="I13" s="22">
        <f>VLOOKUP(E5,StateConsumption_SF!B3:Q59,16)</f>
        <v>0.57840613427276688</v>
      </c>
      <c r="J13" s="21">
        <f>VLOOKUP(E5,StateConsumption_MF!B3:Q59,15)</f>
        <v>0.84490837208146585</v>
      </c>
      <c r="K13" s="22">
        <f>VLOOKUP(E5,StateConsumption_MF!B3:Q59,16)</f>
        <v>1.6898167441629317</v>
      </c>
      <c r="L13" s="11"/>
      <c r="N13" s="31" t="s">
        <v>14</v>
      </c>
      <c r="O13" s="31" t="s">
        <v>15</v>
      </c>
      <c r="P13" s="343" t="s">
        <v>16</v>
      </c>
      <c r="Q13" s="344"/>
      <c r="R13" s="32"/>
    </row>
    <row r="14" spans="2:18" x14ac:dyDescent="0.25">
      <c r="B14" s="9"/>
      <c r="C14" s="365"/>
      <c r="D14" s="11"/>
      <c r="E14" s="351" t="s">
        <v>17</v>
      </c>
      <c r="F14" s="349"/>
      <c r="G14" s="352"/>
      <c r="H14" s="21">
        <f>$H$13*P14</f>
        <v>8.4736819975567936</v>
      </c>
      <c r="I14" s="23">
        <f>$I$13*P14</f>
        <v>16.947363995113587</v>
      </c>
      <c r="J14" s="21">
        <f>$J$13*P14</f>
        <v>24.755909171307085</v>
      </c>
      <c r="K14" s="23">
        <f>$K$13*P14</f>
        <v>49.51181834261417</v>
      </c>
      <c r="L14" s="11"/>
      <c r="N14" s="25" t="s">
        <v>18</v>
      </c>
      <c r="O14" s="26" t="s">
        <v>19</v>
      </c>
      <c r="P14" s="36">
        <v>29.300111099999999</v>
      </c>
      <c r="Q14" s="33" t="s">
        <v>20</v>
      </c>
    </row>
    <row r="15" spans="2:18" x14ac:dyDescent="0.25">
      <c r="B15" s="9"/>
      <c r="C15" s="365"/>
      <c r="D15" s="11"/>
      <c r="E15" s="351" t="s">
        <v>21</v>
      </c>
      <c r="F15" s="349"/>
      <c r="G15" s="352"/>
      <c r="H15" s="21">
        <f>$H$13*P15</f>
        <v>7.7540620255239636</v>
      </c>
      <c r="I15" s="23">
        <f>$I$13*P15</f>
        <v>15.508124051047927</v>
      </c>
      <c r="J15" s="21">
        <f>$J$13*P15</f>
        <v>22.653535413283148</v>
      </c>
      <c r="K15" s="23">
        <f>$K$13*P15</f>
        <v>45.307070826566296</v>
      </c>
      <c r="L15" s="11"/>
      <c r="N15" s="25" t="s">
        <v>22</v>
      </c>
      <c r="O15" s="26" t="s">
        <v>23</v>
      </c>
      <c r="P15" s="36">
        <v>26.811824999999999</v>
      </c>
      <c r="Q15" s="33" t="s">
        <v>20</v>
      </c>
    </row>
    <row r="16" spans="2:18" x14ac:dyDescent="0.25">
      <c r="B16" s="9"/>
      <c r="C16" s="365"/>
      <c r="D16" s="11"/>
      <c r="E16" s="353" t="s">
        <v>24</v>
      </c>
      <c r="F16" s="354"/>
      <c r="G16" s="355"/>
      <c r="H16" s="61">
        <f>$H$13*P16</f>
        <v>12.690823452232134</v>
      </c>
      <c r="I16" s="61">
        <f>$I$13*P16</f>
        <v>25.381646904464269</v>
      </c>
      <c r="J16" s="60">
        <f>$J$13*P16</f>
        <v>37.076311429097487</v>
      </c>
      <c r="K16" s="61">
        <f>$K$13*P16</f>
        <v>74.152622858194974</v>
      </c>
      <c r="L16" s="11"/>
      <c r="N16" s="25" t="s">
        <v>25</v>
      </c>
      <c r="O16" s="26" t="s">
        <v>23</v>
      </c>
      <c r="P16" s="36">
        <v>43.88205</v>
      </c>
      <c r="Q16" s="33" t="s">
        <v>20</v>
      </c>
    </row>
    <row r="17" spans="2:17" ht="14.65" customHeight="1" x14ac:dyDescent="0.25">
      <c r="B17" s="62"/>
      <c r="C17" s="63"/>
      <c r="D17" s="63"/>
      <c r="E17" s="63"/>
      <c r="F17" s="63"/>
      <c r="G17" s="63"/>
      <c r="H17" s="63"/>
      <c r="I17" s="63"/>
      <c r="J17" s="63"/>
      <c r="K17" s="63"/>
      <c r="L17" s="64"/>
    </row>
    <row r="19" spans="2:17" ht="18.75" x14ac:dyDescent="0.3">
      <c r="B19" s="356" t="s">
        <v>26</v>
      </c>
      <c r="C19" s="357"/>
      <c r="D19" s="357"/>
      <c r="E19" s="357"/>
      <c r="F19" s="357"/>
      <c r="G19" s="357"/>
      <c r="H19" s="357"/>
      <c r="I19" s="357"/>
      <c r="J19" s="357"/>
      <c r="K19" s="357"/>
      <c r="L19" s="359"/>
    </row>
    <row r="20" spans="2:17" ht="8.65" customHeight="1" thickBot="1" x14ac:dyDescent="0.3">
      <c r="B20" s="9"/>
      <c r="C20" s="10"/>
      <c r="D20" s="10"/>
      <c r="E20" s="10"/>
      <c r="F20" s="10"/>
      <c r="G20" s="10"/>
      <c r="H20" s="10"/>
      <c r="I20" s="10"/>
      <c r="J20" s="10"/>
      <c r="K20" s="10"/>
      <c r="L20" s="11"/>
    </row>
    <row r="21" spans="2:17" ht="16.5" thickBot="1" x14ac:dyDescent="0.3">
      <c r="B21" s="9"/>
      <c r="C21" s="12" t="s">
        <v>27</v>
      </c>
      <c r="D21" s="10"/>
      <c r="E21" s="1">
        <v>8000</v>
      </c>
      <c r="F21" s="13"/>
      <c r="G21" s="13"/>
      <c r="H21" s="29"/>
      <c r="I21" s="13"/>
      <c r="J21" s="13"/>
      <c r="K21" s="13"/>
      <c r="L21" s="11"/>
    </row>
    <row r="22" spans="2:17" ht="28.35" customHeight="1" thickBot="1" x14ac:dyDescent="0.3">
      <c r="B22" s="9"/>
      <c r="C22" s="12" t="s">
        <v>28</v>
      </c>
      <c r="D22" s="12"/>
      <c r="E22" s="73" t="s">
        <v>11</v>
      </c>
      <c r="F22" s="13"/>
      <c r="G22" s="13"/>
      <c r="H22" s="370" t="s">
        <v>29</v>
      </c>
      <c r="I22" s="370"/>
      <c r="J22" s="371"/>
      <c r="K22" s="72" t="s">
        <v>30</v>
      </c>
      <c r="L22" s="11"/>
      <c r="N22" s="74"/>
      <c r="O22" s="74"/>
    </row>
    <row r="23" spans="2:17" ht="17.100000000000001" customHeight="1" thickBot="1" x14ac:dyDescent="0.3">
      <c r="B23" s="9"/>
      <c r="C23" s="12" t="s">
        <v>31</v>
      </c>
      <c r="D23" s="12"/>
      <c r="E23" s="73" t="s">
        <v>32</v>
      </c>
      <c r="F23" s="13"/>
      <c r="G23" s="13"/>
      <c r="H23" s="29"/>
      <c r="I23" s="13"/>
      <c r="J23" s="12"/>
      <c r="K23" s="12"/>
      <c r="L23" s="11"/>
      <c r="N23" s="372" t="s">
        <v>33</v>
      </c>
      <c r="O23" s="373"/>
    </row>
    <row r="24" spans="2:17" ht="0.6" customHeight="1" thickBot="1" x14ac:dyDescent="0.3">
      <c r="B24" s="9"/>
      <c r="C24" s="12"/>
      <c r="D24" s="12"/>
      <c r="E24" s="28"/>
      <c r="F24" s="13"/>
      <c r="G24" s="13"/>
      <c r="H24" s="29"/>
      <c r="I24" s="13"/>
      <c r="J24" s="12"/>
      <c r="K24" s="12"/>
      <c r="L24" s="11"/>
      <c r="N24" s="372"/>
      <c r="O24" s="373"/>
    </row>
    <row r="25" spans="2:17" ht="15" customHeight="1" thickBot="1" x14ac:dyDescent="0.3">
      <c r="B25" s="9"/>
      <c r="C25" s="12"/>
      <c r="D25" s="12"/>
      <c r="E25" s="13"/>
      <c r="F25" s="13"/>
      <c r="G25" s="13"/>
      <c r="H25" s="29"/>
      <c r="I25" s="13"/>
      <c r="J25" s="12" t="s">
        <v>34</v>
      </c>
      <c r="K25" s="73">
        <v>2</v>
      </c>
      <c r="L25" s="11"/>
      <c r="N25" s="372"/>
      <c r="O25" s="373"/>
    </row>
    <row r="26" spans="2:17" ht="15" customHeight="1" thickBot="1" x14ac:dyDescent="0.3">
      <c r="B26" s="9"/>
      <c r="C26" s="13"/>
      <c r="D26" s="13"/>
      <c r="E26" s="13"/>
      <c r="F26" s="13"/>
      <c r="G26" s="13"/>
      <c r="H26" s="13"/>
      <c r="I26" s="13"/>
      <c r="J26" s="13"/>
      <c r="K26" s="13"/>
      <c r="L26" s="11"/>
      <c r="N26" s="374"/>
      <c r="O26" s="375"/>
    </row>
    <row r="27" spans="2:17" ht="15.75" thickBot="1" x14ac:dyDescent="0.3">
      <c r="B27" s="9"/>
      <c r="C27" s="12" t="s">
        <v>35</v>
      </c>
      <c r="D27" s="13"/>
      <c r="E27" s="41">
        <v>8711</v>
      </c>
      <c r="F27" s="13" t="s">
        <v>20</v>
      </c>
      <c r="G27" s="13"/>
      <c r="H27" s="13"/>
      <c r="I27" s="13"/>
      <c r="J27" s="13"/>
      <c r="K27" s="13"/>
      <c r="L27" s="11"/>
      <c r="N27" s="360" t="str">
        <f>IF(E23="SF", "the household", IF(AND(E23="MF", K22="per dwelling unit"), "the average dwelling unit", IF(AND(E23="MF", K22="per building"), "the entire building", "")))</f>
        <v>the average dwelling unit</v>
      </c>
      <c r="O27" s="361"/>
    </row>
    <row r="28" spans="2:17" ht="15.75" thickBot="1" x14ac:dyDescent="0.3">
      <c r="B28" s="9"/>
      <c r="C28" s="12" t="s">
        <v>36</v>
      </c>
      <c r="D28" s="13"/>
      <c r="E28" s="41">
        <v>510</v>
      </c>
      <c r="F28" s="13" t="s">
        <v>37</v>
      </c>
      <c r="G28" s="13"/>
      <c r="H28" s="57" t="s">
        <v>38</v>
      </c>
      <c r="I28" s="15">
        <f>E28*P14</f>
        <v>14943.056660999999</v>
      </c>
      <c r="J28" s="13" t="s">
        <v>39</v>
      </c>
      <c r="K28" s="13"/>
      <c r="L28" s="11"/>
    </row>
    <row r="29" spans="2:17" ht="15.75" thickBot="1" x14ac:dyDescent="0.3">
      <c r="B29" s="9"/>
      <c r="C29" s="12" t="s">
        <v>40</v>
      </c>
      <c r="D29" s="13"/>
      <c r="E29" s="24">
        <v>10</v>
      </c>
      <c r="F29" s="13" t="s">
        <v>41</v>
      </c>
      <c r="G29" s="13"/>
      <c r="H29" s="75" t="s">
        <v>38</v>
      </c>
      <c r="I29" s="15">
        <f>E29*P15</f>
        <v>268.11824999999999</v>
      </c>
      <c r="J29" s="13" t="s">
        <v>39</v>
      </c>
      <c r="K29" s="13"/>
      <c r="L29" s="11"/>
    </row>
    <row r="30" spans="2:17" ht="15.75" thickBot="1" x14ac:dyDescent="0.3">
      <c r="B30" s="9"/>
      <c r="C30" s="12" t="s">
        <v>42</v>
      </c>
      <c r="D30" s="13"/>
      <c r="E30" s="24"/>
      <c r="F30" s="13" t="s">
        <v>41</v>
      </c>
      <c r="G30" s="13"/>
      <c r="H30" s="75" t="s">
        <v>38</v>
      </c>
      <c r="I30" s="15">
        <f>E30*P16</f>
        <v>0</v>
      </c>
      <c r="J30" s="13" t="s">
        <v>39</v>
      </c>
      <c r="K30" s="13"/>
      <c r="L30" s="11"/>
    </row>
    <row r="31" spans="2:17" x14ac:dyDescent="0.25">
      <c r="B31" s="9"/>
      <c r="C31" s="12" t="s">
        <v>43</v>
      </c>
      <c r="D31" s="13"/>
      <c r="E31" s="15">
        <f>SUM(E27,I28:I30)</f>
        <v>23922.174910999998</v>
      </c>
      <c r="F31" s="13" t="s">
        <v>39</v>
      </c>
      <c r="G31" s="13"/>
      <c r="H31" s="75"/>
      <c r="I31" s="15"/>
      <c r="J31" s="13"/>
      <c r="K31" s="13"/>
      <c r="L31" s="11"/>
      <c r="N31" s="334" t="s">
        <v>44</v>
      </c>
      <c r="O31" s="335"/>
      <c r="P31" s="335"/>
      <c r="Q31" s="336"/>
    </row>
    <row r="32" spans="2:17" ht="15.75" thickBot="1" x14ac:dyDescent="0.3">
      <c r="B32" s="9"/>
      <c r="C32" s="13"/>
      <c r="D32" s="13"/>
      <c r="E32" s="13"/>
      <c r="F32" s="13"/>
      <c r="G32" s="13"/>
      <c r="H32" s="75"/>
      <c r="I32" s="15"/>
      <c r="J32" s="13"/>
      <c r="K32" s="13"/>
      <c r="L32" s="11"/>
      <c r="N32" s="337"/>
      <c r="O32" s="338"/>
      <c r="P32" s="338"/>
      <c r="Q32" s="339"/>
    </row>
    <row r="33" spans="2:17" ht="15.75" thickBot="1" x14ac:dyDescent="0.3">
      <c r="B33" s="9"/>
      <c r="C33" s="12" t="s">
        <v>45</v>
      </c>
      <c r="D33" s="13"/>
      <c r="E33" s="2">
        <v>30</v>
      </c>
      <c r="F33" s="13" t="s">
        <v>46</v>
      </c>
      <c r="G33" s="13"/>
      <c r="H33" s="75" t="s">
        <v>38</v>
      </c>
      <c r="I33" s="15">
        <f>E33*E27/100</f>
        <v>2613.3000000000002</v>
      </c>
      <c r="J33" s="13" t="s">
        <v>20</v>
      </c>
      <c r="K33" s="13"/>
      <c r="L33" s="11"/>
      <c r="N33" s="340"/>
      <c r="O33" s="341"/>
      <c r="P33" s="341"/>
      <c r="Q33" s="342"/>
    </row>
    <row r="34" spans="2:17" ht="15.75" thickBot="1" x14ac:dyDescent="0.3">
      <c r="B34" s="9"/>
      <c r="C34" s="12" t="s">
        <v>47</v>
      </c>
      <c r="D34" s="13"/>
      <c r="E34" s="2">
        <v>10</v>
      </c>
      <c r="F34" s="13" t="s">
        <v>46</v>
      </c>
      <c r="G34" s="13"/>
      <c r="H34" s="75" t="s">
        <v>38</v>
      </c>
      <c r="I34" s="15">
        <f>E34*E28/100</f>
        <v>51</v>
      </c>
      <c r="J34" s="13" t="s">
        <v>37</v>
      </c>
      <c r="K34" s="13"/>
      <c r="L34" s="11"/>
    </row>
    <row r="35" spans="2:17" ht="15.75" thickBot="1" x14ac:dyDescent="0.3">
      <c r="B35" s="9"/>
      <c r="C35" s="12" t="s">
        <v>48</v>
      </c>
      <c r="D35" s="13"/>
      <c r="E35" s="2">
        <v>0</v>
      </c>
      <c r="F35" s="13" t="s">
        <v>46</v>
      </c>
      <c r="G35" s="13"/>
      <c r="H35" s="75" t="s">
        <v>38</v>
      </c>
      <c r="I35" s="15">
        <f>E35*E29/100</f>
        <v>0</v>
      </c>
      <c r="J35" s="13" t="s">
        <v>41</v>
      </c>
      <c r="K35" s="13"/>
      <c r="L35" s="11"/>
    </row>
    <row r="36" spans="2:17" ht="15.75" thickBot="1" x14ac:dyDescent="0.3">
      <c r="B36" s="9"/>
      <c r="C36" s="12" t="s">
        <v>49</v>
      </c>
      <c r="D36" s="13"/>
      <c r="E36" s="2">
        <v>0</v>
      </c>
      <c r="F36" s="13" t="s">
        <v>46</v>
      </c>
      <c r="G36" s="13"/>
      <c r="H36" s="75" t="s">
        <v>38</v>
      </c>
      <c r="I36" s="15">
        <f>E36*E30/100</f>
        <v>0</v>
      </c>
      <c r="J36" s="13" t="s">
        <v>41</v>
      </c>
      <c r="K36" s="13"/>
      <c r="L36" s="11"/>
    </row>
    <row r="37" spans="2:17" x14ac:dyDescent="0.25">
      <c r="B37" s="9"/>
      <c r="C37" s="12" t="s">
        <v>50</v>
      </c>
      <c r="D37" s="13"/>
      <c r="E37" s="15">
        <f>SUM(I33, I34*P14, I35*P15, I36*P16)</f>
        <v>4107.6056661000002</v>
      </c>
      <c r="F37" s="13" t="s">
        <v>39</v>
      </c>
      <c r="G37" s="13"/>
      <c r="H37" s="13"/>
      <c r="I37" s="13"/>
      <c r="J37" s="13"/>
      <c r="K37" s="13"/>
      <c r="L37" s="11"/>
    </row>
    <row r="38" spans="2:17" x14ac:dyDescent="0.25">
      <c r="B38" s="9"/>
      <c r="C38" s="12" t="s">
        <v>51</v>
      </c>
      <c r="D38" s="13"/>
      <c r="E38" s="35">
        <f>E37/E31</f>
        <v>0.17170703254958741</v>
      </c>
      <c r="F38" s="13"/>
      <c r="G38" s="13"/>
      <c r="H38" s="13"/>
      <c r="I38" s="13"/>
      <c r="J38" s="13"/>
      <c r="K38" s="13"/>
      <c r="L38" s="11"/>
    </row>
    <row r="39" spans="2:17" x14ac:dyDescent="0.25">
      <c r="B39" s="9"/>
      <c r="C39" s="13"/>
      <c r="D39" s="13"/>
      <c r="E39" s="13"/>
      <c r="F39" s="13"/>
      <c r="G39" s="13"/>
      <c r="H39" s="13"/>
      <c r="I39" s="13"/>
      <c r="J39" s="13"/>
      <c r="K39" s="13"/>
      <c r="L39" s="11"/>
    </row>
    <row r="40" spans="2:17" ht="30" x14ac:dyDescent="0.25">
      <c r="B40" s="9"/>
      <c r="C40" s="34" t="s">
        <v>52</v>
      </c>
      <c r="D40" s="13"/>
      <c r="E40" s="78" t="str">
        <f>IF(E38&gt;=0.15, "Yes", "No")</f>
        <v>Yes</v>
      </c>
      <c r="F40" s="13"/>
      <c r="G40" s="13"/>
      <c r="H40" s="13"/>
      <c r="I40" s="13"/>
      <c r="J40" s="13"/>
      <c r="K40" s="13"/>
      <c r="L40" s="11"/>
    </row>
    <row r="41" spans="2:17" ht="29.1" customHeight="1" x14ac:dyDescent="0.25">
      <c r="B41" s="9"/>
      <c r="C41" s="13"/>
      <c r="D41" s="13"/>
      <c r="E41" s="13"/>
      <c r="F41" s="13"/>
      <c r="G41" s="13"/>
      <c r="H41" s="13"/>
      <c r="I41" s="13"/>
      <c r="J41" s="13"/>
      <c r="K41" s="13"/>
      <c r="L41" s="11"/>
    </row>
    <row r="42" spans="2:17" ht="18.75" x14ac:dyDescent="0.3">
      <c r="B42" s="9"/>
      <c r="C42" s="3"/>
      <c r="D42" s="4"/>
      <c r="E42" s="5" t="s">
        <v>53</v>
      </c>
      <c r="F42" s="4"/>
      <c r="G42" s="4"/>
      <c r="H42" s="6"/>
      <c r="I42" s="13"/>
      <c r="J42" s="13"/>
      <c r="K42" s="13"/>
      <c r="L42" s="11"/>
    </row>
    <row r="43" spans="2:17" ht="18.75" x14ac:dyDescent="0.3">
      <c r="B43" s="9"/>
      <c r="C43" s="30"/>
      <c r="D43" s="7"/>
      <c r="E43" s="8" t="s">
        <v>54</v>
      </c>
      <c r="F43" s="47" cm="1">
        <f t="array" ref="F43">SUMPRODUCT(
    IF((E22="Market")*(E23="SF"), I33:I36*H13:H16,
        IF((E22="Market")*(E23="MF"), I33:I36*J13:J16,
            IF((E22="LMI")*(E23="SF"), I33:I36*I13:I16,
                IF((E22="LMI")*(E23="MF"), I33:I36*K13:K16, 0)
            )
        )
    )
)</f>
        <v>6941.1008329943124</v>
      </c>
      <c r="G43" s="93"/>
      <c r="H43" s="94"/>
      <c r="I43" s="13"/>
      <c r="J43" s="13"/>
      <c r="K43" s="13"/>
      <c r="L43" s="11"/>
    </row>
    <row r="44" spans="2:17" ht="18.75" x14ac:dyDescent="0.3">
      <c r="B44" s="9"/>
      <c r="C44" s="95"/>
      <c r="D44" s="102"/>
      <c r="E44" s="97" t="s">
        <v>55</v>
      </c>
      <c r="F44" s="96" t="str">
        <f>IF(OR(E23="SF", K22="per dwelling unit", ISBLANK(K25), K25=0), "N/A", F43/K25)</f>
        <v>N/A</v>
      </c>
      <c r="G44" s="93"/>
      <c r="H44" s="94"/>
      <c r="I44" s="13"/>
      <c r="J44" s="13"/>
      <c r="K44" s="13"/>
      <c r="L44" s="11"/>
    </row>
    <row r="45" spans="2:17" ht="18.75" x14ac:dyDescent="0.3">
      <c r="B45" s="9"/>
      <c r="C45" s="98"/>
      <c r="D45" s="103"/>
      <c r="E45" s="99" t="s">
        <v>56</v>
      </c>
      <c r="F45" s="100">
        <f>IF(E22="Market", E21*0.5, E21*0.8)</f>
        <v>6400</v>
      </c>
      <c r="G45" s="100"/>
      <c r="H45" s="101"/>
      <c r="I45" s="13" t="s">
        <v>57</v>
      </c>
      <c r="J45" s="13"/>
      <c r="K45" s="13"/>
      <c r="L45" s="11"/>
    </row>
    <row r="46" spans="2:17" x14ac:dyDescent="0.25">
      <c r="B46" s="9"/>
      <c r="C46" s="13"/>
      <c r="D46" s="13"/>
      <c r="E46" s="13"/>
      <c r="F46" s="13"/>
      <c r="G46" s="13"/>
      <c r="H46" s="13"/>
      <c r="I46" s="13"/>
      <c r="J46" s="13"/>
      <c r="K46" s="13"/>
      <c r="L46" s="11"/>
    </row>
    <row r="47" spans="2:17" x14ac:dyDescent="0.25">
      <c r="B47" s="9"/>
      <c r="C47" s="13"/>
      <c r="D47" s="13"/>
      <c r="E47" s="13"/>
      <c r="F47" s="13"/>
      <c r="G47" s="13"/>
      <c r="H47" s="13"/>
      <c r="I47" s="13"/>
      <c r="J47" s="13"/>
      <c r="K47" s="13"/>
      <c r="L47" s="11"/>
    </row>
    <row r="48" spans="2:17" x14ac:dyDescent="0.25">
      <c r="B48" s="17"/>
      <c r="C48" s="18"/>
      <c r="D48" s="18"/>
      <c r="E48" s="18"/>
      <c r="F48" s="18"/>
      <c r="G48" s="18"/>
      <c r="H48" s="18"/>
      <c r="I48" s="18"/>
      <c r="J48" s="18"/>
      <c r="K48" s="18"/>
      <c r="L48" s="19"/>
    </row>
    <row r="51" spans="2:5" x14ac:dyDescent="0.25">
      <c r="B51" s="38"/>
      <c r="C51" s="88" t="s">
        <v>58</v>
      </c>
      <c r="E51" s="92" cm="1">
        <f t="array" ref="E51">IF(E40="No","does not achieve 15% savings qualification",IF(E22="Market",MIN(E21*0.5,SUMPRODUCT(
IF((E22="Market")*(E23="SF"),I33:I36*H13:H16,
IF((E22="Market")*(E23="MF"),I33:I36*J13:J16,0)
)
)
),
IF(E22="LMI",MIN(E21*0.8,SUMPRODUCT(
IF((E22="LMI")*(E23="SF"),I33:I36*I13:I16,
IF((E22="LMI")*(E23="MF"),I33:I36*K13:K16,0)
)
)
),"Not enough information")
))</f>
        <v>6400</v>
      </c>
    </row>
  </sheetData>
  <mergeCells count="20">
    <mergeCell ref="B3:L3"/>
    <mergeCell ref="B19:L19"/>
    <mergeCell ref="N27:O27"/>
    <mergeCell ref="N12:Q12"/>
    <mergeCell ref="C12:C16"/>
    <mergeCell ref="J11:K11"/>
    <mergeCell ref="H11:I11"/>
    <mergeCell ref="E5:F5"/>
    <mergeCell ref="H22:J22"/>
    <mergeCell ref="N23:O26"/>
    <mergeCell ref="E7:F7"/>
    <mergeCell ref="E8:F8"/>
    <mergeCell ref="E9:F9"/>
    <mergeCell ref="N31:Q33"/>
    <mergeCell ref="P13:Q13"/>
    <mergeCell ref="E12:G12"/>
    <mergeCell ref="E13:G13"/>
    <mergeCell ref="E14:G14"/>
    <mergeCell ref="E15:G15"/>
    <mergeCell ref="E16:G16"/>
  </mergeCells>
  <conditionalFormatting sqref="F43:F44">
    <cfRule type="expression" dxfId="32" priority="3">
      <formula>F45&lt;F43</formula>
    </cfRule>
  </conditionalFormatting>
  <conditionalFormatting sqref="F44">
    <cfRule type="expression" dxfId="31" priority="1">
      <formula>AND(F43&lt;F45, K22="per building")</formula>
    </cfRule>
  </conditionalFormatting>
  <conditionalFormatting sqref="F45">
    <cfRule type="expression" dxfId="30" priority="2">
      <formula>F43&lt;F45</formula>
    </cfRule>
  </conditionalFormatting>
  <conditionalFormatting sqref="G25:J25 G22:H22 K22 G23:K24">
    <cfRule type="expression" dxfId="29" priority="13">
      <formula>$E$23="SF"</formula>
    </cfRule>
  </conditionalFormatting>
  <conditionalFormatting sqref="J25:K25">
    <cfRule type="expression" dxfId="28" priority="10">
      <formula>K22="per unit"</formula>
    </cfRule>
  </conditionalFormatting>
  <conditionalFormatting sqref="K25">
    <cfRule type="expression" dxfId="27" priority="14">
      <formula>E23="SF"</formula>
    </cfRule>
    <cfRule type="expression" dxfId="26" priority="15">
      <formula>K22="per unit"</formula>
    </cfRule>
  </conditionalFormatting>
  <dataValidations count="4">
    <dataValidation type="list" allowBlank="1" showInputMessage="1" showErrorMessage="1" sqref="E23:E24" xr:uid="{876DA9CE-D0CD-45A0-8E0C-CCF56115AA67}">
      <formula1>"MF,SF"</formula1>
    </dataValidation>
    <dataValidation type="list" allowBlank="1" showInputMessage="1" showErrorMessage="1" sqref="E22" xr:uid="{5FAA718D-4FB9-4A75-8E5C-E1C38703BCF0}">
      <formula1>"Market, LMI"</formula1>
    </dataValidation>
    <dataValidation type="list" allowBlank="1" showInputMessage="1" showErrorMessage="1" sqref="K22" xr:uid="{E364C3F3-A0A8-438F-A86A-63BEC3A0596F}">
      <formula1>"per dwelling unit,per building"</formula1>
    </dataValidation>
    <dataValidation type="custom" allowBlank="1" showInputMessage="1" showErrorMessage="1" error="Enter a whole number value greater than 1. " sqref="K25" xr:uid="{AA3588B0-D606-4A4D-B267-A50B0EFE89D3}">
      <formula1>AND(ISNUMBER(K25), K25&gt;1, K25=INT(K25))</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6A7F902-F803-406F-BBE7-8F0D51EF6E9A}">
          <x14:formula1>
            <xm:f>StateConsumption_SF!$B$3:$B$58</xm:f>
          </x14:formula1>
          <xm:sqref>E5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AB91A-C5BB-4557-95ED-7AFF52F34CE5}">
  <sheetPr codeName="Sheet6">
    <tabColor theme="7" tint="0.79998168889431442"/>
  </sheetPr>
  <dimension ref="A1:X37"/>
  <sheetViews>
    <sheetView showGridLines="0" workbookViewId="0">
      <selection activeCell="B3" sqref="B3"/>
    </sheetView>
  </sheetViews>
  <sheetFormatPr defaultRowHeight="15" x14ac:dyDescent="0.25"/>
  <cols>
    <col min="1" max="1" width="5.7109375" customWidth="1"/>
    <col min="2" max="2" width="20" bestFit="1" customWidth="1"/>
    <col min="9" max="9" width="7.28515625" customWidth="1"/>
    <col min="11" max="11" width="30.28515625" customWidth="1"/>
    <col min="12" max="12" width="11.7109375" customWidth="1"/>
    <col min="13" max="13" width="29.42578125" customWidth="1"/>
  </cols>
  <sheetData>
    <row r="1" spans="2:24" ht="18.75" x14ac:dyDescent="0.3">
      <c r="B1" s="396"/>
      <c r="C1" s="396"/>
      <c r="D1" s="396"/>
      <c r="E1" s="396"/>
      <c r="F1" s="396"/>
      <c r="G1" s="396"/>
      <c r="H1" s="396"/>
      <c r="I1" s="396"/>
    </row>
    <row r="2" spans="2:24" ht="21" x14ac:dyDescent="0.25">
      <c r="B2" s="397" t="s">
        <v>59</v>
      </c>
      <c r="C2" s="398"/>
      <c r="D2" s="398"/>
      <c r="E2" s="398"/>
      <c r="F2" s="398"/>
      <c r="G2" s="398"/>
      <c r="H2" s="398"/>
      <c r="I2" s="399"/>
    </row>
    <row r="3" spans="2:24" ht="21" x14ac:dyDescent="0.35">
      <c r="B3" s="43" t="s">
        <v>60</v>
      </c>
      <c r="C3" s="42"/>
      <c r="D3" s="42"/>
      <c r="E3" s="42"/>
      <c r="F3" s="42"/>
      <c r="G3" s="42"/>
      <c r="H3" s="42"/>
      <c r="I3" s="42"/>
    </row>
    <row r="4" spans="2:24" x14ac:dyDescent="0.25">
      <c r="R4" s="329"/>
      <c r="S4" s="329"/>
      <c r="T4" s="329"/>
      <c r="U4" s="329"/>
      <c r="V4" s="329"/>
      <c r="W4" s="329"/>
      <c r="X4" s="329"/>
    </row>
    <row r="5" spans="2:24" ht="21.75" customHeight="1" x14ac:dyDescent="0.25">
      <c r="B5" s="406" t="s">
        <v>61</v>
      </c>
      <c r="C5" s="407"/>
      <c r="D5" s="407"/>
      <c r="E5" s="407"/>
      <c r="F5" s="407"/>
      <c r="G5" s="407"/>
      <c r="H5" s="407"/>
      <c r="I5" s="408"/>
      <c r="K5" s="424" t="s">
        <v>62</v>
      </c>
      <c r="L5" s="425"/>
      <c r="M5" s="425"/>
      <c r="N5" s="425"/>
      <c r="O5" s="425"/>
      <c r="P5" s="425"/>
      <c r="Q5" s="425"/>
      <c r="R5" s="425"/>
      <c r="S5" s="426"/>
      <c r="T5" s="329"/>
      <c r="U5" s="329"/>
      <c r="V5" s="329"/>
      <c r="W5" s="329"/>
      <c r="X5" s="329"/>
    </row>
    <row r="6" spans="2:24" x14ac:dyDescent="0.25">
      <c r="B6" s="409"/>
      <c r="C6" s="410"/>
      <c r="D6" s="410"/>
      <c r="E6" s="410"/>
      <c r="F6" s="410"/>
      <c r="G6" s="410"/>
      <c r="H6" s="410"/>
      <c r="I6" s="411"/>
      <c r="K6" s="427"/>
      <c r="L6" s="428"/>
      <c r="M6" s="428"/>
      <c r="N6" s="428"/>
      <c r="O6" s="428"/>
      <c r="P6" s="428"/>
      <c r="Q6" s="428"/>
      <c r="R6" s="428"/>
      <c r="S6" s="429"/>
      <c r="T6" s="329"/>
      <c r="U6" s="329"/>
      <c r="V6" s="329"/>
      <c r="W6" s="329"/>
      <c r="X6" s="329"/>
    </row>
    <row r="7" spans="2:24" ht="19.5" customHeight="1" x14ac:dyDescent="0.25">
      <c r="B7" s="409"/>
      <c r="C7" s="410"/>
      <c r="D7" s="410"/>
      <c r="E7" s="410"/>
      <c r="F7" s="410"/>
      <c r="G7" s="410"/>
      <c r="H7" s="410"/>
      <c r="I7" s="411"/>
      <c r="K7" s="427"/>
      <c r="L7" s="428"/>
      <c r="M7" s="428"/>
      <c r="N7" s="428"/>
      <c r="O7" s="428"/>
      <c r="P7" s="428"/>
      <c r="Q7" s="428"/>
      <c r="R7" s="428"/>
      <c r="S7" s="429"/>
      <c r="T7" s="329"/>
      <c r="U7" s="329"/>
      <c r="V7" s="329"/>
      <c r="W7" s="329"/>
      <c r="X7" s="329"/>
    </row>
    <row r="8" spans="2:24" ht="29.65" customHeight="1" x14ac:dyDescent="0.25">
      <c r="B8" s="409"/>
      <c r="C8" s="410"/>
      <c r="D8" s="410"/>
      <c r="E8" s="410"/>
      <c r="F8" s="410"/>
      <c r="G8" s="410"/>
      <c r="H8" s="410"/>
      <c r="I8" s="411"/>
      <c r="K8" s="427"/>
      <c r="L8" s="428"/>
      <c r="M8" s="428"/>
      <c r="N8" s="428"/>
      <c r="O8" s="428"/>
      <c r="P8" s="428"/>
      <c r="Q8" s="428"/>
      <c r="R8" s="428"/>
      <c r="S8" s="429"/>
      <c r="T8" s="329"/>
      <c r="U8" s="329"/>
      <c r="V8" s="329"/>
      <c r="W8" s="329"/>
      <c r="X8" s="329"/>
    </row>
    <row r="9" spans="2:24" ht="29.65" customHeight="1" x14ac:dyDescent="0.25">
      <c r="B9" s="409"/>
      <c r="C9" s="410"/>
      <c r="D9" s="410"/>
      <c r="E9" s="410"/>
      <c r="F9" s="410"/>
      <c r="G9" s="410"/>
      <c r="H9" s="410"/>
      <c r="I9" s="411"/>
      <c r="K9" s="427"/>
      <c r="L9" s="428"/>
      <c r="M9" s="428"/>
      <c r="N9" s="428"/>
      <c r="O9" s="428"/>
      <c r="P9" s="428"/>
      <c r="Q9" s="428"/>
      <c r="R9" s="428"/>
      <c r="S9" s="429"/>
      <c r="T9" s="329"/>
      <c r="U9" s="329"/>
      <c r="V9" s="329"/>
      <c r="W9" s="329"/>
      <c r="X9" s="329"/>
    </row>
    <row r="10" spans="2:24" ht="45" customHeight="1" x14ac:dyDescent="0.25">
      <c r="B10" s="409"/>
      <c r="C10" s="410"/>
      <c r="D10" s="410"/>
      <c r="E10" s="410"/>
      <c r="F10" s="410"/>
      <c r="G10" s="410"/>
      <c r="H10" s="410"/>
      <c r="I10" s="411"/>
      <c r="K10" s="427"/>
      <c r="L10" s="428"/>
      <c r="M10" s="428"/>
      <c r="N10" s="428"/>
      <c r="O10" s="428"/>
      <c r="P10" s="428"/>
      <c r="Q10" s="428"/>
      <c r="R10" s="428"/>
      <c r="S10" s="429"/>
      <c r="T10" s="329"/>
      <c r="U10" s="329"/>
      <c r="V10" s="329"/>
      <c r="W10" s="329"/>
      <c r="X10" s="329"/>
    </row>
    <row r="11" spans="2:24" ht="26.65" customHeight="1" x14ac:dyDescent="0.25">
      <c r="B11" s="412"/>
      <c r="C11" s="413"/>
      <c r="D11" s="413"/>
      <c r="E11" s="413"/>
      <c r="F11" s="413"/>
      <c r="G11" s="413"/>
      <c r="H11" s="413"/>
      <c r="I11" s="414"/>
      <c r="K11" s="430"/>
      <c r="L11" s="431"/>
      <c r="M11" s="431"/>
      <c r="N11" s="431"/>
      <c r="O11" s="431"/>
      <c r="P11" s="431"/>
      <c r="Q11" s="431"/>
      <c r="R11" s="431"/>
      <c r="S11" s="432"/>
      <c r="T11" s="329"/>
      <c r="U11" s="329"/>
      <c r="V11" s="329"/>
      <c r="W11" s="329"/>
      <c r="X11" s="329"/>
    </row>
    <row r="12" spans="2:24" ht="27.6" customHeight="1" thickBot="1" x14ac:dyDescent="0.3">
      <c r="B12" s="40"/>
      <c r="C12" s="40"/>
      <c r="D12" s="40"/>
      <c r="E12" s="40"/>
      <c r="F12" s="40"/>
      <c r="G12" s="40"/>
      <c r="H12" s="40"/>
      <c r="I12" s="40"/>
      <c r="K12" s="285"/>
      <c r="L12" s="285"/>
      <c r="M12" s="285"/>
      <c r="N12" s="285"/>
      <c r="O12" s="285"/>
      <c r="P12" s="285"/>
      <c r="Q12" s="329"/>
      <c r="R12" s="329"/>
      <c r="S12" s="329"/>
      <c r="T12" s="329"/>
      <c r="U12" s="329"/>
      <c r="V12" s="329"/>
      <c r="W12" s="329"/>
      <c r="X12" s="329"/>
    </row>
    <row r="13" spans="2:24" ht="28.9" customHeight="1" x14ac:dyDescent="0.25">
      <c r="B13" s="415" t="s">
        <v>63</v>
      </c>
      <c r="C13" s="416"/>
      <c r="D13" s="416"/>
      <c r="E13" s="416"/>
      <c r="F13" s="416"/>
      <c r="G13" s="416"/>
      <c r="H13" s="416"/>
      <c r="I13" s="417"/>
      <c r="K13" s="400" t="s">
        <v>64</v>
      </c>
      <c r="L13" s="401"/>
      <c r="M13" s="401"/>
      <c r="N13" s="401"/>
      <c r="O13" s="402"/>
      <c r="Q13" s="329"/>
      <c r="R13" s="329"/>
      <c r="S13" s="329"/>
      <c r="T13" s="329"/>
      <c r="U13" s="329"/>
      <c r="V13" s="329"/>
      <c r="W13" s="329"/>
      <c r="X13" s="329"/>
    </row>
    <row r="14" spans="2:24" x14ac:dyDescent="0.25">
      <c r="B14" s="418"/>
      <c r="C14" s="419"/>
      <c r="D14" s="419"/>
      <c r="E14" s="419"/>
      <c r="F14" s="419"/>
      <c r="G14" s="419"/>
      <c r="H14" s="419"/>
      <c r="I14" s="420"/>
      <c r="K14" s="403"/>
      <c r="L14" s="404"/>
      <c r="M14" s="404"/>
      <c r="N14" s="404"/>
      <c r="O14" s="405"/>
      <c r="Q14" s="329"/>
      <c r="R14" s="329"/>
      <c r="S14" s="329"/>
      <c r="T14" s="329"/>
      <c r="U14" s="329"/>
      <c r="V14" s="329"/>
      <c r="W14" s="329"/>
      <c r="X14" s="329"/>
    </row>
    <row r="15" spans="2:24" x14ac:dyDescent="0.25">
      <c r="B15" s="418"/>
      <c r="C15" s="419"/>
      <c r="D15" s="419"/>
      <c r="E15" s="419"/>
      <c r="F15" s="419"/>
      <c r="G15" s="419"/>
      <c r="H15" s="419"/>
      <c r="I15" s="420"/>
      <c r="K15" s="385" t="s">
        <v>65</v>
      </c>
      <c r="L15" s="386"/>
      <c r="M15" s="386"/>
      <c r="N15" s="386"/>
      <c r="O15" s="387"/>
    </row>
    <row r="16" spans="2:24" x14ac:dyDescent="0.25">
      <c r="B16" s="418"/>
      <c r="C16" s="419"/>
      <c r="D16" s="419"/>
      <c r="E16" s="419"/>
      <c r="F16" s="419"/>
      <c r="G16" s="419"/>
      <c r="H16" s="419"/>
      <c r="I16" s="420"/>
      <c r="K16" s="323" t="s">
        <v>66</v>
      </c>
      <c r="L16" s="388" t="s">
        <v>67</v>
      </c>
      <c r="M16" s="389"/>
      <c r="N16" s="388" t="s">
        <v>68</v>
      </c>
      <c r="O16" s="390"/>
    </row>
    <row r="17" spans="1:16" ht="31.5" customHeight="1" x14ac:dyDescent="0.25">
      <c r="B17" s="418"/>
      <c r="C17" s="419"/>
      <c r="D17" s="419"/>
      <c r="E17" s="419"/>
      <c r="F17" s="419"/>
      <c r="G17" s="419"/>
      <c r="H17" s="419"/>
      <c r="I17" s="420"/>
      <c r="K17" s="324" t="s">
        <v>69</v>
      </c>
      <c r="L17" s="395" t="s">
        <v>70</v>
      </c>
      <c r="M17" s="395"/>
      <c r="N17" s="382" t="s">
        <v>71</v>
      </c>
      <c r="O17" s="384"/>
    </row>
    <row r="18" spans="1:16" ht="30" customHeight="1" x14ac:dyDescent="0.25">
      <c r="B18" s="418"/>
      <c r="C18" s="419"/>
      <c r="D18" s="419"/>
      <c r="E18" s="419"/>
      <c r="F18" s="419"/>
      <c r="G18" s="419"/>
      <c r="H18" s="419"/>
      <c r="I18" s="420"/>
      <c r="K18" s="324" t="s">
        <v>72</v>
      </c>
      <c r="L18" s="382" t="s">
        <v>73</v>
      </c>
      <c r="M18" s="383"/>
      <c r="N18" s="382" t="s">
        <v>74</v>
      </c>
      <c r="O18" s="384"/>
    </row>
    <row r="19" spans="1:16" ht="51" customHeight="1" x14ac:dyDescent="0.25">
      <c r="B19" s="421"/>
      <c r="C19" s="422"/>
      <c r="D19" s="422"/>
      <c r="E19" s="422"/>
      <c r="F19" s="422"/>
      <c r="G19" s="422"/>
      <c r="H19" s="422"/>
      <c r="I19" s="423"/>
      <c r="K19" s="324" t="s">
        <v>75</v>
      </c>
      <c r="L19" s="382" t="s">
        <v>76</v>
      </c>
      <c r="M19" s="383"/>
      <c r="N19" s="382" t="s">
        <v>71</v>
      </c>
      <c r="O19" s="384"/>
    </row>
    <row r="20" spans="1:16" ht="30" customHeight="1" x14ac:dyDescent="0.25">
      <c r="K20" s="324" t="s">
        <v>77</v>
      </c>
      <c r="L20" s="382" t="s">
        <v>78</v>
      </c>
      <c r="M20" s="383"/>
      <c r="N20" s="382" t="s">
        <v>71</v>
      </c>
      <c r="O20" s="384"/>
    </row>
    <row r="21" spans="1:16" ht="33.75" customHeight="1" x14ac:dyDescent="0.25">
      <c r="A21" s="39"/>
      <c r="J21" s="39"/>
      <c r="K21" s="324" t="s">
        <v>79</v>
      </c>
      <c r="L21" s="395" t="s">
        <v>80</v>
      </c>
      <c r="M21" s="395"/>
      <c r="N21" s="382" t="s">
        <v>20</v>
      </c>
      <c r="O21" s="384"/>
      <c r="P21" s="39"/>
    </row>
    <row r="22" spans="1:16" ht="37.5" customHeight="1" x14ac:dyDescent="0.25">
      <c r="B22" s="44" t="s">
        <v>81</v>
      </c>
      <c r="K22" s="324" t="s">
        <v>82</v>
      </c>
      <c r="L22" s="382" t="s">
        <v>83</v>
      </c>
      <c r="M22" s="383"/>
      <c r="N22" s="382" t="s">
        <v>84</v>
      </c>
      <c r="O22" s="384"/>
    </row>
    <row r="23" spans="1:16" ht="29.65" customHeight="1" x14ac:dyDescent="0.25">
      <c r="B23" s="45"/>
      <c r="K23" s="385" t="s">
        <v>85</v>
      </c>
      <c r="L23" s="386"/>
      <c r="M23" s="386"/>
      <c r="N23" s="386"/>
      <c r="O23" s="387"/>
    </row>
    <row r="24" spans="1:16" x14ac:dyDescent="0.25">
      <c r="H24" s="327"/>
      <c r="I24" s="327"/>
      <c r="K24" s="323" t="s">
        <v>66</v>
      </c>
      <c r="L24" s="388" t="s">
        <v>67</v>
      </c>
      <c r="M24" s="389"/>
      <c r="N24" s="388" t="s">
        <v>68</v>
      </c>
      <c r="O24" s="390"/>
    </row>
    <row r="25" spans="1:16" ht="115.15" customHeight="1" x14ac:dyDescent="0.25">
      <c r="B25" s="46"/>
      <c r="H25" s="328"/>
      <c r="I25" s="328"/>
      <c r="K25" s="325" t="s">
        <v>86</v>
      </c>
      <c r="L25" s="382" t="s">
        <v>87</v>
      </c>
      <c r="M25" s="383"/>
      <c r="N25" s="382" t="s">
        <v>71</v>
      </c>
      <c r="O25" s="384"/>
    </row>
    <row r="26" spans="1:16" ht="43.15" customHeight="1" x14ac:dyDescent="0.25">
      <c r="B26" s="394"/>
      <c r="C26" s="394"/>
      <c r="H26" s="328"/>
      <c r="I26" s="328"/>
      <c r="K26" s="325" t="s">
        <v>88</v>
      </c>
      <c r="L26" s="382" t="s">
        <v>89</v>
      </c>
      <c r="M26" s="383"/>
      <c r="N26" s="382" t="s">
        <v>71</v>
      </c>
      <c r="O26" s="384"/>
    </row>
    <row r="27" spans="1:16" ht="72" customHeight="1" x14ac:dyDescent="0.25">
      <c r="B27" s="46"/>
      <c r="K27" s="325" t="s">
        <v>90</v>
      </c>
      <c r="L27" s="382" t="s">
        <v>91</v>
      </c>
      <c r="M27" s="383"/>
      <c r="N27" s="382" t="s">
        <v>92</v>
      </c>
      <c r="O27" s="384"/>
    </row>
    <row r="28" spans="1:16" x14ac:dyDescent="0.25">
      <c r="K28" s="385" t="s">
        <v>93</v>
      </c>
      <c r="L28" s="386"/>
      <c r="M28" s="386"/>
      <c r="N28" s="386"/>
      <c r="O28" s="387"/>
    </row>
    <row r="29" spans="1:16" x14ac:dyDescent="0.25">
      <c r="K29" s="323" t="s">
        <v>66</v>
      </c>
      <c r="L29" s="388" t="s">
        <v>67</v>
      </c>
      <c r="M29" s="389"/>
      <c r="N29" s="388" t="s">
        <v>68</v>
      </c>
      <c r="O29" s="390"/>
    </row>
    <row r="30" spans="1:16" ht="86.45" customHeight="1" x14ac:dyDescent="0.25">
      <c r="K30" s="325" t="s">
        <v>94</v>
      </c>
      <c r="L30" s="382" t="s">
        <v>95</v>
      </c>
      <c r="M30" s="383"/>
      <c r="N30" s="382" t="s">
        <v>96</v>
      </c>
      <c r="O30" s="384"/>
    </row>
    <row r="31" spans="1:16" ht="86.45" customHeight="1" x14ac:dyDescent="0.25">
      <c r="K31" s="325" t="s">
        <v>97</v>
      </c>
      <c r="L31" s="382" t="s">
        <v>98</v>
      </c>
      <c r="M31" s="383"/>
      <c r="N31" s="382" t="s">
        <v>41</v>
      </c>
      <c r="O31" s="384"/>
    </row>
    <row r="32" spans="1:16" ht="100.9" customHeight="1" x14ac:dyDescent="0.25">
      <c r="K32" s="325" t="s">
        <v>99</v>
      </c>
      <c r="L32" s="382" t="s">
        <v>100</v>
      </c>
      <c r="M32" s="383"/>
      <c r="N32" s="382" t="s">
        <v>41</v>
      </c>
      <c r="O32" s="384"/>
    </row>
    <row r="33" spans="8:15" ht="43.15" customHeight="1" x14ac:dyDescent="0.25">
      <c r="K33" s="325" t="s">
        <v>101</v>
      </c>
      <c r="L33" s="382" t="s">
        <v>102</v>
      </c>
      <c r="M33" s="383"/>
      <c r="N33" s="382" t="s">
        <v>103</v>
      </c>
      <c r="O33" s="384"/>
    </row>
    <row r="34" spans="8:15" ht="43.15" customHeight="1" x14ac:dyDescent="0.25">
      <c r="K34" s="325" t="s">
        <v>104</v>
      </c>
      <c r="L34" s="382" t="s">
        <v>105</v>
      </c>
      <c r="M34" s="383"/>
      <c r="N34" s="382" t="s">
        <v>106</v>
      </c>
      <c r="O34" s="384"/>
    </row>
    <row r="35" spans="8:15" ht="58.15" customHeight="1" thickBot="1" x14ac:dyDescent="0.3">
      <c r="K35" s="326" t="s">
        <v>107</v>
      </c>
      <c r="L35" s="391" t="s">
        <v>108</v>
      </c>
      <c r="M35" s="392"/>
      <c r="N35" s="391" t="s">
        <v>106</v>
      </c>
      <c r="O35" s="393"/>
    </row>
    <row r="36" spans="8:15" x14ac:dyDescent="0.25">
      <c r="H36" s="285"/>
      <c r="I36" s="285"/>
    </row>
    <row r="37" spans="8:15" x14ac:dyDescent="0.25">
      <c r="H37" s="285"/>
      <c r="I37" s="285"/>
    </row>
  </sheetData>
  <mergeCells count="46">
    <mergeCell ref="B1:I1"/>
    <mergeCell ref="B2:I2"/>
    <mergeCell ref="K13:O14"/>
    <mergeCell ref="B5:I11"/>
    <mergeCell ref="K15:O15"/>
    <mergeCell ref="B13:I19"/>
    <mergeCell ref="K5:S11"/>
    <mergeCell ref="L19:M19"/>
    <mergeCell ref="N19:O19"/>
    <mergeCell ref="L16:M16"/>
    <mergeCell ref="N16:O16"/>
    <mergeCell ref="L17:M17"/>
    <mergeCell ref="N17:O17"/>
    <mergeCell ref="L18:M18"/>
    <mergeCell ref="N18:O18"/>
    <mergeCell ref="L22:M22"/>
    <mergeCell ref="N22:O22"/>
    <mergeCell ref="B26:C26"/>
    <mergeCell ref="N20:O20"/>
    <mergeCell ref="L21:M21"/>
    <mergeCell ref="N21:O21"/>
    <mergeCell ref="L26:M26"/>
    <mergeCell ref="K23:O23"/>
    <mergeCell ref="L24:M24"/>
    <mergeCell ref="N24:O24"/>
    <mergeCell ref="L25:M25"/>
    <mergeCell ref="N25:O25"/>
    <mergeCell ref="L20:M20"/>
    <mergeCell ref="L34:M34"/>
    <mergeCell ref="N34:O34"/>
    <mergeCell ref="L35:M35"/>
    <mergeCell ref="N35:O35"/>
    <mergeCell ref="L30:M30"/>
    <mergeCell ref="N30:O30"/>
    <mergeCell ref="L31:M31"/>
    <mergeCell ref="N31:O31"/>
    <mergeCell ref="N32:O32"/>
    <mergeCell ref="L32:M32"/>
    <mergeCell ref="L27:M27"/>
    <mergeCell ref="L33:M33"/>
    <mergeCell ref="N33:O33"/>
    <mergeCell ref="N26:O26"/>
    <mergeCell ref="N27:O27"/>
    <mergeCell ref="K28:O28"/>
    <mergeCell ref="L29:M29"/>
    <mergeCell ref="N29:O2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636E8-0A8B-4667-B69F-EFB6B48243DF}">
  <sheetPr codeName="Sheet7">
    <tabColor theme="9"/>
  </sheetPr>
  <dimension ref="B4:V53"/>
  <sheetViews>
    <sheetView showGridLines="0" workbookViewId="0">
      <selection activeCell="A2" sqref="A2"/>
    </sheetView>
  </sheetViews>
  <sheetFormatPr defaultRowHeight="15" x14ac:dyDescent="0.25"/>
  <cols>
    <col min="3" max="3" width="4.7109375" customWidth="1"/>
    <col min="4" max="4" width="35.7109375" customWidth="1"/>
    <col min="5" max="5" width="1.5703125" customWidth="1"/>
    <col min="6" max="6" width="12.42578125" customWidth="1"/>
    <col min="7" max="7" width="1.42578125" customWidth="1"/>
    <col min="8" max="8" width="11.7109375" customWidth="1"/>
    <col min="9" max="9" width="2" customWidth="1"/>
    <col min="10" max="10" width="4.42578125" customWidth="1"/>
    <col min="11" max="11" width="9.42578125" customWidth="1"/>
    <col min="12" max="12" width="12.42578125" customWidth="1"/>
    <col min="13" max="13" width="14.28515625" customWidth="1"/>
    <col min="14" max="14" width="5" customWidth="1"/>
    <col min="15" max="15" width="5.28515625" customWidth="1"/>
    <col min="16" max="17" width="12.7109375" customWidth="1"/>
    <col min="18" max="18" width="7.5703125" customWidth="1"/>
    <col min="19" max="19" width="10.5703125" customWidth="1"/>
    <col min="23" max="23" width="4.28515625" customWidth="1"/>
  </cols>
  <sheetData>
    <row r="4" spans="2:22" ht="18" customHeight="1" x14ac:dyDescent="0.3">
      <c r="C4" s="474" t="s">
        <v>0</v>
      </c>
      <c r="D4" s="475"/>
      <c r="E4" s="475"/>
      <c r="F4" s="475"/>
      <c r="G4" s="475"/>
      <c r="H4" s="475"/>
      <c r="I4" s="475"/>
      <c r="J4" s="475"/>
      <c r="K4" s="475"/>
      <c r="L4" s="475"/>
      <c r="M4" s="475"/>
      <c r="N4" s="476"/>
      <c r="P4" s="489" t="str">
        <f>"State-Specific Data for " &amp; F6</f>
        <v>State-Specific Data for Hawaii</v>
      </c>
      <c r="Q4" s="469" t="s">
        <v>109</v>
      </c>
      <c r="R4" s="469"/>
      <c r="S4" s="469"/>
      <c r="T4" s="469"/>
      <c r="U4" s="469"/>
      <c r="V4" s="470"/>
    </row>
    <row r="5" spans="2:22" ht="16.350000000000001" customHeight="1" thickBot="1" x14ac:dyDescent="0.3">
      <c r="B5" s="447" t="s">
        <v>110</v>
      </c>
      <c r="C5" s="154"/>
      <c r="D5" s="162"/>
      <c r="E5" s="162"/>
      <c r="F5" s="162"/>
      <c r="G5" s="162"/>
      <c r="H5" s="162"/>
      <c r="I5" s="162"/>
      <c r="J5" s="162"/>
      <c r="K5" s="162"/>
      <c r="L5" s="162"/>
      <c r="M5" s="162"/>
      <c r="N5" s="163"/>
      <c r="O5" s="68"/>
      <c r="P5" s="490"/>
      <c r="Q5" s="433"/>
      <c r="R5" s="434"/>
      <c r="S5" s="491" t="s">
        <v>6</v>
      </c>
      <c r="T5" s="491"/>
      <c r="U5" s="492" t="s">
        <v>111</v>
      </c>
      <c r="V5" s="493"/>
    </row>
    <row r="6" spans="2:22" ht="15" customHeight="1" thickBot="1" x14ac:dyDescent="0.3">
      <c r="B6" s="448"/>
      <c r="C6" s="13"/>
      <c r="D6" s="79" t="s">
        <v>112</v>
      </c>
      <c r="E6" s="12"/>
      <c r="F6" s="368" t="s">
        <v>113</v>
      </c>
      <c r="G6" s="477"/>
      <c r="H6" s="369"/>
      <c r="I6" s="13"/>
      <c r="J6" s="13"/>
      <c r="K6" s="13"/>
      <c r="L6" s="13"/>
      <c r="M6" s="13"/>
      <c r="N6" s="129"/>
      <c r="O6" s="68"/>
      <c r="P6" s="490"/>
      <c r="Q6" s="175"/>
      <c r="R6" s="176" t="s">
        <v>114</v>
      </c>
      <c r="S6" s="435" t="str">
        <f>ROUND(VLOOKUP(F6,StateConsumption_SF!B3:Q63,8), 0) &amp; " kWh"</f>
        <v>8912 kWh</v>
      </c>
      <c r="T6" s="436"/>
      <c r="U6" s="435" t="str">
        <f>ROUND(VLOOKUP(F6,StateConsumption_MF!B3:Q63,8), 0) &amp; " kWh"</f>
        <v>5571 kWh</v>
      </c>
      <c r="V6" s="437"/>
    </row>
    <row r="7" spans="2:22" ht="13.35" customHeight="1" thickBot="1" x14ac:dyDescent="0.3">
      <c r="B7" s="448"/>
      <c r="C7" s="13"/>
      <c r="D7" s="29"/>
      <c r="E7" s="29"/>
      <c r="F7" s="29"/>
      <c r="G7" s="104"/>
      <c r="H7" s="13"/>
      <c r="I7" s="29"/>
      <c r="J7" s="29"/>
      <c r="K7" s="29"/>
      <c r="L7" s="131" t="s">
        <v>115</v>
      </c>
      <c r="M7" s="73" t="s">
        <v>11</v>
      </c>
      <c r="N7" s="130"/>
      <c r="O7" s="68"/>
      <c r="P7" s="490"/>
      <c r="Q7" s="173"/>
      <c r="R7" s="177" t="s">
        <v>18</v>
      </c>
      <c r="S7" s="438" t="str">
        <f>ROUND(VLOOKUP(F6,StateConsumption_SF!B3:Q63,9)/M47, 0) &amp; " Therm"</f>
        <v>19 Therm</v>
      </c>
      <c r="T7" s="439"/>
      <c r="U7" s="438" t="str">
        <f>ROUND(VLOOKUP(F6,StateConsumption_MF!B3:Q63,9)/M47, 0) &amp; " Therm"</f>
        <v>22 Therm</v>
      </c>
      <c r="V7" s="440"/>
    </row>
    <row r="8" spans="2:22" ht="15" customHeight="1" thickBot="1" x14ac:dyDescent="0.3">
      <c r="B8" s="448"/>
      <c r="C8" s="13"/>
      <c r="D8" s="12" t="s">
        <v>116</v>
      </c>
      <c r="E8" s="10"/>
      <c r="F8" s="1">
        <v>50000</v>
      </c>
      <c r="G8" s="29"/>
      <c r="H8" s="29"/>
      <c r="I8" s="29"/>
      <c r="J8" s="29"/>
      <c r="K8" s="29"/>
      <c r="L8" s="29"/>
      <c r="M8" s="29"/>
      <c r="N8" s="130"/>
      <c r="O8" s="68"/>
      <c r="P8" s="490"/>
      <c r="Q8" s="173"/>
      <c r="R8" s="177" t="s">
        <v>22</v>
      </c>
      <c r="S8" s="438" t="str">
        <f>IF(OR(F6="Utah", F6="District of Columbia", VLOOKUP(F6, StateConsumption_SF!B3:Q63, 10)=0), ROUND(StateConsumption_SF!K59/M48,0), ROUND(VLOOKUP(F6, StateConsumption_SF!B3:Q63, 10)/M48, 0)) &amp; " gallons"</f>
        <v>15 gallons</v>
      </c>
      <c r="T8" s="439"/>
      <c r="U8" s="438" t="str">
        <f>IF(OR(F6="Utah", F6="District of Columbia", VLOOKUP(F6, StateConsumption_MF!B3:Q63, 10)=0), ROUND(StateConsumption_MF!K59/M48,0), ROUND(VLOOKUP(F6, StateConsumption_MF!B3:Q63, 10)/M48, 0)) &amp; " gallons"</f>
        <v>6 gallons</v>
      </c>
      <c r="V8" s="440"/>
    </row>
    <row r="9" spans="2:22" ht="14.65" customHeight="1" thickBot="1" x14ac:dyDescent="0.3">
      <c r="B9" s="448"/>
      <c r="C9" s="13"/>
      <c r="D9" s="29"/>
      <c r="E9" s="29"/>
      <c r="F9" s="29"/>
      <c r="G9" s="109"/>
      <c r="H9" s="110"/>
      <c r="I9" s="110"/>
      <c r="J9" s="110"/>
      <c r="K9" s="29"/>
      <c r="L9" s="170" t="s">
        <v>117</v>
      </c>
      <c r="M9" s="199">
        <v>80</v>
      </c>
      <c r="N9" s="172" t="s">
        <v>46</v>
      </c>
      <c r="O9" s="68"/>
      <c r="P9" s="490"/>
      <c r="Q9" s="174"/>
      <c r="R9" s="178" t="s">
        <v>25</v>
      </c>
      <c r="S9" s="494" t="str">
        <f>IF(AND(ISNUMBER(MATCH(F6, {"Alaska","Connecticut","Maine","Maryland","Massachusetts","Michigan","New Hampshire","New Jersey","New York","North Carolina","North Dakota","Ohio","Pennsylvania","Rhode Island","Vermont","Virginia"}, 0)), VLOOKUP(F6, StateConsumption_SF!B3:Q63, 11) &gt; 0), ROUND(VLOOKUP(F6, StateConsumption_SF!B3:Q63, 11)/M49,0), ROUND(StateConsumption_SF!L59/M49,0)) &amp; " gallons"</f>
        <v>75 gallons</v>
      </c>
      <c r="T9" s="495"/>
      <c r="U9" s="494" t="str">
        <f>IF(AND(ISNUMBER(MATCH(F6, {"Alaska","Connecticut","Maine","Maryland","Massachusetts","Michigan","New Hampshire","New Jersey","New York","North Carolina","North Dakota","Ohio","Pennsylvania","Rhode Island","Vermont","Virginia"}, 0)), VLOOKUP(F6, StateConsumption_MF!B3:Q63, 11) &gt; 0), ROUND(VLOOKUP(F6, StateConsumption_MF!B3:Q63, 11)/M49,0), ROUND(StateConsumption_MF!L59/M49,0)) &amp; " gallons"</f>
        <v>12 gallons</v>
      </c>
      <c r="V9" s="496"/>
    </row>
    <row r="10" spans="2:22" ht="14.65" customHeight="1" thickBot="1" x14ac:dyDescent="0.3">
      <c r="B10" s="448"/>
      <c r="C10" s="13"/>
      <c r="D10" s="132" t="s">
        <v>118</v>
      </c>
      <c r="E10" s="12"/>
      <c r="F10" s="73" t="s">
        <v>32</v>
      </c>
      <c r="G10" s="13"/>
      <c r="H10" s="110"/>
      <c r="I10" s="110"/>
      <c r="J10" s="110"/>
      <c r="K10" s="110"/>
      <c r="L10" s="110"/>
      <c r="M10" s="29"/>
      <c r="N10" s="129"/>
      <c r="P10" s="490"/>
      <c r="Q10" s="465" t="s">
        <v>119</v>
      </c>
      <c r="R10" s="465"/>
      <c r="S10" s="466"/>
      <c r="T10" s="466"/>
      <c r="U10" s="466"/>
      <c r="V10" s="467"/>
    </row>
    <row r="11" spans="2:22" ht="15.6" customHeight="1" thickBot="1" x14ac:dyDescent="0.3">
      <c r="B11" s="448"/>
      <c r="C11" s="13"/>
      <c r="D11" s="29"/>
      <c r="E11" s="29"/>
      <c r="F11" s="29"/>
      <c r="G11" s="29"/>
      <c r="H11" s="29"/>
      <c r="I11" s="29"/>
      <c r="J11" s="29"/>
      <c r="K11" s="462" t="s">
        <v>120</v>
      </c>
      <c r="L11" s="462"/>
      <c r="M11" s="462"/>
      <c r="N11" s="129"/>
      <c r="P11" s="490"/>
      <c r="Q11" s="465"/>
      <c r="R11" s="465"/>
      <c r="S11" s="465"/>
      <c r="T11" s="465"/>
      <c r="U11" s="465"/>
      <c r="V11" s="468"/>
    </row>
    <row r="12" spans="2:22" ht="15" customHeight="1" x14ac:dyDescent="0.25">
      <c r="B12" s="448"/>
      <c r="C12" s="13"/>
      <c r="D12" s="461" t="s">
        <v>121</v>
      </c>
      <c r="E12" s="168"/>
      <c r="F12" s="463" t="s">
        <v>122</v>
      </c>
      <c r="G12" s="29"/>
      <c r="H12" s="29"/>
      <c r="I12" s="29"/>
      <c r="J12" s="29"/>
      <c r="K12" s="462"/>
      <c r="L12" s="462"/>
      <c r="M12" s="462"/>
      <c r="N12" s="129"/>
      <c r="P12" s="490"/>
      <c r="Q12" s="155"/>
      <c r="R12" s="156"/>
      <c r="S12" s="488" t="s">
        <v>6</v>
      </c>
      <c r="T12" s="488"/>
      <c r="U12" s="488" t="s">
        <v>7</v>
      </c>
      <c r="V12" s="488"/>
    </row>
    <row r="13" spans="2:22" ht="14.65" customHeight="1" thickBot="1" x14ac:dyDescent="0.3">
      <c r="B13" s="448"/>
      <c r="C13" s="13"/>
      <c r="D13" s="461"/>
      <c r="E13" s="29"/>
      <c r="F13" s="464"/>
      <c r="G13" s="29"/>
      <c r="H13" s="29"/>
      <c r="I13" s="29"/>
      <c r="J13" s="29"/>
      <c r="K13" s="29"/>
      <c r="L13" s="29"/>
      <c r="M13" s="29"/>
      <c r="N13" s="129"/>
      <c r="P13" s="490"/>
      <c r="Q13" s="433" t="s">
        <v>9</v>
      </c>
      <c r="R13" s="434"/>
      <c r="S13" s="157" t="s">
        <v>10</v>
      </c>
      <c r="T13" s="157" t="s">
        <v>11</v>
      </c>
      <c r="U13" s="157" t="s">
        <v>10</v>
      </c>
      <c r="V13" s="157" t="s">
        <v>11</v>
      </c>
    </row>
    <row r="14" spans="2:22" ht="14.65" customHeight="1" thickBot="1" x14ac:dyDescent="0.3">
      <c r="B14" s="448"/>
      <c r="C14" s="13"/>
      <c r="D14" s="29"/>
      <c r="E14" s="29"/>
      <c r="F14" s="29"/>
      <c r="G14" s="29"/>
      <c r="H14" s="29"/>
      <c r="I14" s="29"/>
      <c r="J14" s="29"/>
      <c r="K14" s="29"/>
      <c r="L14" s="29"/>
      <c r="M14" s="29"/>
      <c r="N14" s="129"/>
      <c r="P14" s="490"/>
      <c r="Q14" s="158"/>
      <c r="R14" s="159" t="s">
        <v>13</v>
      </c>
      <c r="S14" s="112">
        <f>VLOOKUP(F6,StateConsumption_SF!B3:Q63,15)</f>
        <v>1.0158223861877118</v>
      </c>
      <c r="T14" s="113">
        <f>VLOOKUP(F6,StateConsumption_SF!B3:Q63,16)</f>
        <v>2.0316447723754236</v>
      </c>
      <c r="U14" s="113">
        <f>VLOOKUP(F6,StateConsumption_MF!B3:Q63,15)</f>
        <v>1.5676775691925635</v>
      </c>
      <c r="V14" s="112">
        <f>VLOOKUP(F6,StateConsumption_MF!B3:Q63,16)</f>
        <v>3.135355138385127</v>
      </c>
    </row>
    <row r="15" spans="2:22" ht="14.65" customHeight="1" thickBot="1" x14ac:dyDescent="0.3">
      <c r="B15" s="448"/>
      <c r="C15" s="29"/>
      <c r="D15" s="29"/>
      <c r="E15" s="131" t="s">
        <v>123</v>
      </c>
      <c r="F15" s="73">
        <v>80</v>
      </c>
      <c r="G15" s="29"/>
      <c r="H15" s="29"/>
      <c r="I15" s="29"/>
      <c r="J15" s="29"/>
      <c r="K15" s="29"/>
      <c r="L15" s="29"/>
      <c r="M15" s="29"/>
      <c r="N15" s="138"/>
      <c r="P15" s="490"/>
      <c r="Q15" s="158"/>
      <c r="R15" s="159" t="s">
        <v>17</v>
      </c>
      <c r="S15" s="180">
        <f>$S$14*M47</f>
        <v>29.76370877316706</v>
      </c>
      <c r="T15" s="115">
        <f>$T$14*M47</f>
        <v>59.527417546334121</v>
      </c>
      <c r="U15" s="115">
        <f>$U$14*M47</f>
        <v>45.933126946320044</v>
      </c>
      <c r="V15" s="114">
        <f>$V$14*M47</f>
        <v>91.866253892640088</v>
      </c>
    </row>
    <row r="16" spans="2:22" ht="14.65" customHeight="1" x14ac:dyDescent="0.25">
      <c r="B16" s="449"/>
      <c r="C16" s="133"/>
      <c r="D16" s="133"/>
      <c r="E16" s="133"/>
      <c r="F16" s="133"/>
      <c r="G16" s="133"/>
      <c r="H16" s="133"/>
      <c r="I16" s="133"/>
      <c r="J16" s="133"/>
      <c r="K16" s="133"/>
      <c r="L16" s="133"/>
      <c r="M16" s="133"/>
      <c r="N16" s="134"/>
      <c r="P16" s="490"/>
      <c r="Q16" s="158"/>
      <c r="R16" s="159" t="s">
        <v>21</v>
      </c>
      <c r="S16" s="114">
        <f>$S$14*M48</f>
        <v>27.236052049547347</v>
      </c>
      <c r="T16" s="115">
        <f>$T$14*M48</f>
        <v>54.472104099094693</v>
      </c>
      <c r="U16" s="115">
        <f>$U$14*M48</f>
        <v>42.032296641616405</v>
      </c>
      <c r="V16" s="114">
        <f>$V$14*M48</f>
        <v>84.06459328323281</v>
      </c>
    </row>
    <row r="17" spans="2:22" x14ac:dyDescent="0.25">
      <c r="P17" s="490"/>
      <c r="Q17" s="160"/>
      <c r="R17" s="161" t="s">
        <v>24</v>
      </c>
      <c r="S17" s="116">
        <f>$S$14*M49</f>
        <v>44.57636874180848</v>
      </c>
      <c r="T17" s="117">
        <f>$T$14*M49</f>
        <v>89.15273748361696</v>
      </c>
      <c r="U17" s="117">
        <f>$U$14*M49</f>
        <v>68.792905475186529</v>
      </c>
      <c r="V17" s="116">
        <f>$V$14*M49</f>
        <v>137.58581095037306</v>
      </c>
    </row>
    <row r="18" spans="2:22" ht="15.6" customHeight="1" thickBot="1" x14ac:dyDescent="0.3">
      <c r="B18" s="458" t="s">
        <v>124</v>
      </c>
      <c r="C18" s="135"/>
      <c r="D18" s="135"/>
      <c r="E18" s="135"/>
      <c r="F18" s="135"/>
      <c r="G18" s="135"/>
      <c r="H18" s="135"/>
      <c r="I18" s="135"/>
      <c r="J18" s="135"/>
      <c r="K18" s="135"/>
      <c r="L18" s="135"/>
      <c r="M18" s="135"/>
      <c r="N18" s="136"/>
      <c r="Q18" s="179" t="s">
        <v>125</v>
      </c>
    </row>
    <row r="19" spans="2:22" x14ac:dyDescent="0.25">
      <c r="B19" s="459"/>
      <c r="C19" s="13"/>
      <c r="D19" s="12" t="s">
        <v>126</v>
      </c>
      <c r="E19" s="13"/>
      <c r="F19" s="286">
        <v>8697.2330220696276</v>
      </c>
      <c r="G19" s="105"/>
      <c r="H19" s="13" t="s">
        <v>20</v>
      </c>
      <c r="I19" s="13"/>
      <c r="J19" s="13"/>
      <c r="K19" s="137"/>
      <c r="L19" s="137"/>
      <c r="M19" s="29"/>
      <c r="N19" s="138"/>
      <c r="P19" s="27"/>
      <c r="Q19" s="27"/>
    </row>
    <row r="20" spans="2:22" ht="12.6" customHeight="1" x14ac:dyDescent="0.25">
      <c r="B20" s="459"/>
      <c r="C20" s="13"/>
      <c r="D20" s="12" t="s">
        <v>36</v>
      </c>
      <c r="E20" s="13"/>
      <c r="F20" s="286">
        <f>21977/29.3</f>
        <v>750.06825938566556</v>
      </c>
      <c r="G20" s="105"/>
      <c r="H20" s="13" t="s">
        <v>37</v>
      </c>
      <c r="I20" s="13"/>
      <c r="J20" s="139" t="s">
        <v>38</v>
      </c>
      <c r="K20" s="111">
        <f>F20*M47</f>
        <v>21977.083332583617</v>
      </c>
      <c r="L20" s="137" t="s">
        <v>39</v>
      </c>
      <c r="M20" s="29"/>
      <c r="N20" s="138"/>
      <c r="Q20" s="27"/>
    </row>
    <row r="21" spans="2:22" ht="12" customHeight="1" thickBot="1" x14ac:dyDescent="0.3">
      <c r="B21" s="459"/>
      <c r="C21" s="13"/>
      <c r="D21" s="12" t="s">
        <v>40</v>
      </c>
      <c r="E21" s="13"/>
      <c r="F21" s="24">
        <v>0</v>
      </c>
      <c r="G21" s="105"/>
      <c r="H21" s="13" t="s">
        <v>41</v>
      </c>
      <c r="I21" s="13"/>
      <c r="J21" s="140" t="s">
        <v>38</v>
      </c>
      <c r="K21" s="111">
        <f>F21*M48</f>
        <v>0</v>
      </c>
      <c r="L21" s="137" t="s">
        <v>39</v>
      </c>
      <c r="M21" s="29"/>
      <c r="N21" s="138"/>
      <c r="P21" s="450" t="s">
        <v>33</v>
      </c>
      <c r="Q21" s="450"/>
    </row>
    <row r="22" spans="2:22" ht="15.75" thickBot="1" x14ac:dyDescent="0.3">
      <c r="B22" s="459"/>
      <c r="C22" s="13"/>
      <c r="D22" s="12" t="s">
        <v>42</v>
      </c>
      <c r="E22" s="13"/>
      <c r="F22" s="24">
        <v>0</v>
      </c>
      <c r="G22" s="105"/>
      <c r="H22" s="13" t="s">
        <v>41</v>
      </c>
      <c r="I22" s="13"/>
      <c r="J22" s="140" t="s">
        <v>38</v>
      </c>
      <c r="K22" s="111">
        <f>F22*M49</f>
        <v>0</v>
      </c>
      <c r="L22" s="137" t="s">
        <v>39</v>
      </c>
      <c r="M22" s="29"/>
      <c r="N22" s="138"/>
      <c r="P22" s="450"/>
      <c r="Q22" s="450"/>
    </row>
    <row r="23" spans="2:22" ht="18" customHeight="1" x14ac:dyDescent="0.25">
      <c r="B23" s="460"/>
      <c r="C23" s="144"/>
      <c r="D23" s="141" t="s">
        <v>43</v>
      </c>
      <c r="E23" s="142"/>
      <c r="F23" s="143">
        <f>SUM(F19,K20:K22)</f>
        <v>30674.316354653245</v>
      </c>
      <c r="G23" s="143"/>
      <c r="H23" s="142" t="s">
        <v>39</v>
      </c>
      <c r="I23" s="144"/>
      <c r="J23" s="145"/>
      <c r="K23" s="146"/>
      <c r="L23" s="144"/>
      <c r="M23" s="133"/>
      <c r="N23" s="134"/>
      <c r="P23" s="450"/>
      <c r="Q23" s="450"/>
    </row>
    <row r="24" spans="2:22" ht="15" customHeight="1" x14ac:dyDescent="0.25">
      <c r="P24" s="487" t="str">
        <f>IF(F10="SF", "the household", IF(AND(F10="MF", F12="per dwelling unit"), "the average dwelling unit", IF(AND(F10="MF", F12="per building"), "the entire building", "")))</f>
        <v>the entire building</v>
      </c>
      <c r="Q24" s="487"/>
    </row>
    <row r="25" spans="2:22" ht="9.6" customHeight="1" thickBot="1" x14ac:dyDescent="0.3">
      <c r="B25" s="458" t="s">
        <v>127</v>
      </c>
      <c r="C25" s="135"/>
      <c r="D25" s="135"/>
      <c r="E25" s="135"/>
      <c r="F25" s="135"/>
      <c r="G25" s="135"/>
      <c r="H25" s="135"/>
      <c r="I25" s="135"/>
      <c r="J25" s="135"/>
      <c r="K25" s="135"/>
      <c r="L25" s="135"/>
      <c r="M25" s="135"/>
      <c r="N25" s="136"/>
    </row>
    <row r="26" spans="2:22" ht="15.75" thickBot="1" x14ac:dyDescent="0.3">
      <c r="B26" s="459"/>
      <c r="C26" s="29"/>
      <c r="D26" s="12" t="s">
        <v>128</v>
      </c>
      <c r="E26" s="13"/>
      <c r="F26" s="2">
        <v>15</v>
      </c>
      <c r="G26" s="106"/>
      <c r="H26" s="107" t="s">
        <v>46</v>
      </c>
      <c r="I26" s="13"/>
      <c r="J26" s="140" t="s">
        <v>38</v>
      </c>
      <c r="K26" s="111">
        <f>IF(H26="%", F26*F19/100, IF(H26="kWh", F26))</f>
        <v>1304.584953310444</v>
      </c>
      <c r="L26" s="137" t="s">
        <v>20</v>
      </c>
      <c r="M26" s="29"/>
      <c r="N26" s="138"/>
      <c r="P26" s="478" t="s">
        <v>44</v>
      </c>
      <c r="Q26" s="479"/>
      <c r="R26" s="479"/>
      <c r="S26" s="480"/>
    </row>
    <row r="27" spans="2:22" ht="15.75" thickBot="1" x14ac:dyDescent="0.3">
      <c r="B27" s="459"/>
      <c r="C27" s="29"/>
      <c r="D27" s="12" t="s">
        <v>129</v>
      </c>
      <c r="E27" s="13"/>
      <c r="F27" s="2">
        <v>15</v>
      </c>
      <c r="G27" s="106"/>
      <c r="H27" s="108" t="s">
        <v>46</v>
      </c>
      <c r="I27" s="13"/>
      <c r="J27" s="140" t="s">
        <v>38</v>
      </c>
      <c r="K27" s="111">
        <f>IF(H27="%", F27*F20/100, IF(H27="Therm", F27))</f>
        <v>112.51023890784984</v>
      </c>
      <c r="L27" s="137" t="s">
        <v>37</v>
      </c>
      <c r="M27" s="29"/>
      <c r="N27" s="138"/>
      <c r="P27" s="481"/>
      <c r="Q27" s="482"/>
      <c r="R27" s="482"/>
      <c r="S27" s="483"/>
    </row>
    <row r="28" spans="2:22" ht="15.75" thickBot="1" x14ac:dyDescent="0.3">
      <c r="B28" s="459"/>
      <c r="C28" s="29"/>
      <c r="D28" s="12" t="s">
        <v>130</v>
      </c>
      <c r="E28" s="13"/>
      <c r="F28" s="2">
        <v>0</v>
      </c>
      <c r="G28" s="106"/>
      <c r="H28" s="108" t="s">
        <v>46</v>
      </c>
      <c r="I28" s="13"/>
      <c r="J28" s="140" t="s">
        <v>38</v>
      </c>
      <c r="K28" s="111">
        <f>IF(H28="%", F28*F21/100, IF(H28="gallons", F28))</f>
        <v>0</v>
      </c>
      <c r="L28" s="137" t="s">
        <v>41</v>
      </c>
      <c r="M28" s="29"/>
      <c r="N28" s="138"/>
      <c r="P28" s="484"/>
      <c r="Q28" s="485"/>
      <c r="R28" s="485"/>
      <c r="S28" s="486"/>
    </row>
    <row r="29" spans="2:22" ht="15.75" thickBot="1" x14ac:dyDescent="0.3">
      <c r="B29" s="459"/>
      <c r="C29" s="29"/>
      <c r="D29" s="12" t="s">
        <v>131</v>
      </c>
      <c r="E29" s="13"/>
      <c r="F29" s="2">
        <v>0</v>
      </c>
      <c r="G29" s="106"/>
      <c r="H29" s="108" t="s">
        <v>46</v>
      </c>
      <c r="I29" s="13"/>
      <c r="J29" s="140" t="s">
        <v>38</v>
      </c>
      <c r="K29" s="111">
        <f>IF(H29="%", F29*F22/100, IF(H29="gallons", F29))</f>
        <v>0</v>
      </c>
      <c r="L29" s="137" t="s">
        <v>41</v>
      </c>
      <c r="M29" s="29"/>
      <c r="N29" s="138"/>
    </row>
    <row r="30" spans="2:22" ht="14.65" customHeight="1" x14ac:dyDescent="0.25">
      <c r="B30" s="460"/>
      <c r="C30" s="133"/>
      <c r="D30" s="141" t="s">
        <v>50</v>
      </c>
      <c r="E30" s="142"/>
      <c r="F30" s="143">
        <f>SUM(K26, K27*M47, K28*M48, K29*M49)</f>
        <v>4601.1474531979866</v>
      </c>
      <c r="G30" s="143"/>
      <c r="H30" s="142" t="s">
        <v>39</v>
      </c>
      <c r="I30" s="133"/>
      <c r="J30" s="133"/>
      <c r="K30" s="133"/>
      <c r="L30" s="133"/>
      <c r="M30" s="133"/>
      <c r="N30" s="134"/>
    </row>
    <row r="32" spans="2:22" x14ac:dyDescent="0.25">
      <c r="B32" s="444" t="s">
        <v>132</v>
      </c>
      <c r="C32" s="154"/>
      <c r="D32" s="135"/>
      <c r="E32" s="135"/>
      <c r="F32" s="135"/>
      <c r="G32" s="135"/>
      <c r="H32" s="135"/>
      <c r="I32" s="135"/>
      <c r="J32" s="135"/>
      <c r="K32" s="135"/>
      <c r="L32" s="135"/>
      <c r="M32" s="135"/>
      <c r="N32" s="147"/>
    </row>
    <row r="33" spans="2:14" ht="18.75" x14ac:dyDescent="0.3">
      <c r="B33" s="445"/>
      <c r="C33" s="29"/>
      <c r="D33" s="29"/>
      <c r="E33" s="29"/>
      <c r="F33" s="120"/>
      <c r="G33" s="29"/>
      <c r="H33" s="29"/>
      <c r="I33" s="29"/>
      <c r="J33" s="29"/>
      <c r="K33" s="29"/>
      <c r="L33" s="29"/>
      <c r="M33" s="29"/>
      <c r="N33" s="129"/>
    </row>
    <row r="34" spans="2:14" ht="6" customHeight="1" x14ac:dyDescent="0.3">
      <c r="B34" s="445"/>
      <c r="C34" s="29"/>
      <c r="D34" s="29"/>
      <c r="E34" s="29"/>
      <c r="F34" s="120"/>
      <c r="G34" s="29"/>
      <c r="H34" s="29"/>
      <c r="I34" s="29"/>
      <c r="J34" s="29"/>
      <c r="K34" s="29"/>
      <c r="L34" s="29"/>
      <c r="M34" s="29"/>
      <c r="N34" s="129"/>
    </row>
    <row r="35" spans="2:14" ht="15" customHeight="1" x14ac:dyDescent="0.3">
      <c r="B35" s="445"/>
      <c r="C35" s="29"/>
      <c r="D35" s="452" t="s">
        <v>133</v>
      </c>
      <c r="E35" s="453"/>
      <c r="F35" s="453"/>
      <c r="G35" s="121"/>
      <c r="H35" s="454" cm="1">
        <f t="array" ref="H35">IF(M38="No", "does not qualify",
    SUMPRODUCT(
        IF((M7="Market")*(F10="SF"), K26:K29*S14:S17,
            IF((M7="Market")*(F10="MF"), K26:K29*U14:U17,
                IF((M7="LMI")*(F10="SF"), K26:K29*T14:T17,
                    IF((M7="LMI")*(F10="MF"), K26:K29*V14:V17, 0)
                )
            )
        )
    )
)</f>
        <v>14426.231309851948</v>
      </c>
      <c r="I35" s="29"/>
      <c r="J35" s="29"/>
      <c r="K35" s="29"/>
      <c r="L35" s="148" t="s">
        <v>51</v>
      </c>
      <c r="M35" s="118">
        <f>F30/F23</f>
        <v>0.15</v>
      </c>
      <c r="N35" s="129"/>
    </row>
    <row r="36" spans="2:14" ht="18" customHeight="1" x14ac:dyDescent="0.25">
      <c r="B36" s="445"/>
      <c r="C36" s="29"/>
      <c r="D36" s="453"/>
      <c r="E36" s="453"/>
      <c r="F36" s="453"/>
      <c r="G36" s="29"/>
      <c r="H36" s="454"/>
      <c r="I36" s="29"/>
      <c r="J36" s="29"/>
      <c r="K36" s="29"/>
      <c r="L36" s="149"/>
      <c r="M36" s="29"/>
      <c r="N36" s="129"/>
    </row>
    <row r="37" spans="2:14" ht="9" customHeight="1" x14ac:dyDescent="0.25">
      <c r="B37" s="445"/>
      <c r="C37" s="29"/>
      <c r="D37" s="128"/>
      <c r="E37" s="29"/>
      <c r="F37" s="29"/>
      <c r="G37" s="29"/>
      <c r="H37" s="29"/>
      <c r="I37" s="29"/>
      <c r="J37" s="29"/>
      <c r="K37" s="29"/>
      <c r="L37" s="149"/>
      <c r="M37" s="29"/>
      <c r="N37" s="129"/>
    </row>
    <row r="38" spans="2:14" ht="18" customHeight="1" x14ac:dyDescent="0.25">
      <c r="B38" s="445"/>
      <c r="C38" s="29"/>
      <c r="D38" s="455" t="s">
        <v>134</v>
      </c>
      <c r="E38" s="455"/>
      <c r="F38" s="455"/>
      <c r="G38" s="119"/>
      <c r="H38" s="456">
        <f>IF(OR(F10="SF", F12="per dwelling unit", ISBLANK(F15), F15=0), "N/A", H35/F15)</f>
        <v>180.32789137314936</v>
      </c>
      <c r="I38" s="110"/>
      <c r="J38" s="471" t="s">
        <v>52</v>
      </c>
      <c r="K38" s="471"/>
      <c r="L38" s="471"/>
      <c r="M38" s="472" t="str">
        <f>IF(M35&gt;=0.15, "Yes", "No")</f>
        <v>Yes</v>
      </c>
      <c r="N38" s="129"/>
    </row>
    <row r="39" spans="2:14" ht="8.65" customHeight="1" x14ac:dyDescent="0.25">
      <c r="B39" s="445"/>
      <c r="C39" s="29"/>
      <c r="D39" s="455"/>
      <c r="E39" s="455"/>
      <c r="F39" s="455"/>
      <c r="G39" s="122"/>
      <c r="H39" s="457"/>
      <c r="I39" s="29"/>
      <c r="J39" s="471"/>
      <c r="K39" s="471"/>
      <c r="L39" s="471"/>
      <c r="M39" s="473"/>
      <c r="N39" s="129"/>
    </row>
    <row r="40" spans="2:14" x14ac:dyDescent="0.25">
      <c r="B40" s="445"/>
      <c r="C40" s="29"/>
      <c r="D40" s="455"/>
      <c r="E40" s="455"/>
      <c r="F40" s="455"/>
      <c r="G40" s="29"/>
      <c r="H40" s="29"/>
      <c r="I40" s="29"/>
      <c r="J40" s="29"/>
      <c r="K40" s="29"/>
      <c r="L40" s="29"/>
      <c r="M40" s="13"/>
      <c r="N40" s="129"/>
    </row>
    <row r="41" spans="2:14" ht="18.75" x14ac:dyDescent="0.3">
      <c r="B41" s="445"/>
      <c r="C41" s="29"/>
      <c r="D41" s="29"/>
      <c r="E41" s="29"/>
      <c r="F41" s="169" t="s">
        <v>135</v>
      </c>
      <c r="G41" s="121"/>
      <c r="H41" s="171">
        <f>IF(M38="No", "does not qualify",IF(M7="Market", F8*0.5, F8*(M9/100)))</f>
        <v>40000</v>
      </c>
      <c r="I41" s="29"/>
      <c r="J41" s="29"/>
      <c r="K41" s="29"/>
      <c r="L41" s="29"/>
      <c r="M41" s="13"/>
      <c r="N41" s="129"/>
    </row>
    <row r="42" spans="2:14" ht="9" customHeight="1" x14ac:dyDescent="0.3">
      <c r="B42" s="446"/>
      <c r="C42" s="133"/>
      <c r="D42" s="133"/>
      <c r="E42" s="133"/>
      <c r="F42" s="150"/>
      <c r="G42" s="151"/>
      <c r="H42" s="152"/>
      <c r="I42" s="133"/>
      <c r="J42" s="133"/>
      <c r="K42" s="133"/>
      <c r="L42" s="133"/>
      <c r="M42" s="144"/>
      <c r="N42" s="153"/>
    </row>
    <row r="43" spans="2:14" ht="10.35" customHeight="1" x14ac:dyDescent="0.25"/>
    <row r="44" spans="2:14" ht="18.75" x14ac:dyDescent="0.3">
      <c r="B44" t="s">
        <v>136</v>
      </c>
      <c r="D44" s="37"/>
      <c r="G44" s="123"/>
    </row>
    <row r="45" spans="2:14" x14ac:dyDescent="0.25">
      <c r="B45" t="s">
        <v>137</v>
      </c>
      <c r="K45" s="441" t="s">
        <v>12</v>
      </c>
      <c r="L45" s="442"/>
      <c r="M45" s="442"/>
      <c r="N45" s="443"/>
    </row>
    <row r="46" spans="2:14" x14ac:dyDescent="0.25">
      <c r="B46" t="s">
        <v>138</v>
      </c>
      <c r="K46" s="166" t="s">
        <v>14</v>
      </c>
      <c r="L46" s="167" t="s">
        <v>15</v>
      </c>
      <c r="M46" s="451" t="s">
        <v>16</v>
      </c>
      <c r="N46" s="451"/>
    </row>
    <row r="47" spans="2:14" ht="18.75" x14ac:dyDescent="0.3">
      <c r="D47" s="124"/>
      <c r="E47" s="124"/>
      <c r="I47" s="125"/>
      <c r="J47" s="125"/>
      <c r="K47" s="164" t="s">
        <v>18</v>
      </c>
      <c r="L47" s="165" t="s">
        <v>19</v>
      </c>
      <c r="M47" s="126">
        <v>29.300111099999999</v>
      </c>
      <c r="N47" s="127" t="s">
        <v>20</v>
      </c>
    </row>
    <row r="48" spans="2:14" x14ac:dyDescent="0.25">
      <c r="K48" s="25" t="s">
        <v>22</v>
      </c>
      <c r="L48" s="26" t="s">
        <v>23</v>
      </c>
      <c r="M48" s="36">
        <v>26.811824999999999</v>
      </c>
      <c r="N48" s="33" t="s">
        <v>20</v>
      </c>
    </row>
    <row r="49" spans="3:14" x14ac:dyDescent="0.25">
      <c r="K49" s="25" t="s">
        <v>25</v>
      </c>
      <c r="L49" s="26" t="s">
        <v>23</v>
      </c>
      <c r="M49" s="36">
        <v>43.88205</v>
      </c>
      <c r="N49" s="33" t="s">
        <v>20</v>
      </c>
    </row>
    <row r="53" spans="3:14" x14ac:dyDescent="0.25">
      <c r="C53" s="38"/>
      <c r="D53" s="88"/>
      <c r="F53" s="92"/>
      <c r="G53" s="92"/>
    </row>
  </sheetData>
  <mergeCells count="37">
    <mergeCell ref="Q4:V4"/>
    <mergeCell ref="J38:L39"/>
    <mergeCell ref="M38:M39"/>
    <mergeCell ref="C4:N4"/>
    <mergeCell ref="F6:H6"/>
    <mergeCell ref="P26:S28"/>
    <mergeCell ref="P24:Q24"/>
    <mergeCell ref="S12:T12"/>
    <mergeCell ref="U12:V12"/>
    <mergeCell ref="P4:P17"/>
    <mergeCell ref="S5:T5"/>
    <mergeCell ref="U5:V5"/>
    <mergeCell ref="Q13:R13"/>
    <mergeCell ref="S9:T9"/>
    <mergeCell ref="U8:V8"/>
    <mergeCell ref="U9:V9"/>
    <mergeCell ref="K45:N45"/>
    <mergeCell ref="B32:B42"/>
    <mergeCell ref="B5:B16"/>
    <mergeCell ref="P21:Q23"/>
    <mergeCell ref="M46:N46"/>
    <mergeCell ref="D35:F36"/>
    <mergeCell ref="H35:H36"/>
    <mergeCell ref="D38:F40"/>
    <mergeCell ref="H38:H39"/>
    <mergeCell ref="B25:B30"/>
    <mergeCell ref="B18:B23"/>
    <mergeCell ref="D12:D13"/>
    <mergeCell ref="K11:M12"/>
    <mergeCell ref="F12:F13"/>
    <mergeCell ref="Q10:V11"/>
    <mergeCell ref="S8:T8"/>
    <mergeCell ref="Q5:R5"/>
    <mergeCell ref="S6:T6"/>
    <mergeCell ref="U6:V6"/>
    <mergeCell ref="S7:T7"/>
    <mergeCell ref="U7:V7"/>
  </mergeCells>
  <conditionalFormatting sqref="E15 K11 J12:M13 L9 D12 F12:F13">
    <cfRule type="expression" dxfId="25" priority="64">
      <formula>$F$10="SF"</formula>
    </cfRule>
  </conditionalFormatting>
  <conditionalFormatting sqref="E15">
    <cfRule type="expression" dxfId="24" priority="55">
      <formula>F12="per dwelling unit"</formula>
    </cfRule>
  </conditionalFormatting>
  <conditionalFormatting sqref="F15">
    <cfRule type="expression" dxfId="23" priority="81">
      <formula>N23="per dwelling unit"</formula>
    </cfRule>
    <cfRule type="expression" dxfId="22" priority="82">
      <formula>F10="SF"</formula>
    </cfRule>
    <cfRule type="expression" dxfId="21" priority="83">
      <formula>F12="per dwelling unit"</formula>
    </cfRule>
  </conditionalFormatting>
  <conditionalFormatting sqref="H35:H36">
    <cfRule type="expression" dxfId="20" priority="8">
      <formula>M38="No"</formula>
    </cfRule>
  </conditionalFormatting>
  <conditionalFormatting sqref="H38">
    <cfRule type="expression" dxfId="19" priority="77">
      <formula>F12="per building"</formula>
    </cfRule>
  </conditionalFormatting>
  <conditionalFormatting sqref="K11:M12">
    <cfRule type="expression" dxfId="18" priority="1">
      <formula>$M$7="Market"</formula>
    </cfRule>
    <cfRule type="expression" dxfId="17" priority="2">
      <formula>M7="Market"</formula>
    </cfRule>
  </conditionalFormatting>
  <conditionalFormatting sqref="L9">
    <cfRule type="expression" dxfId="16" priority="5">
      <formula>M7="Market"</formula>
    </cfRule>
  </conditionalFormatting>
  <conditionalFormatting sqref="M9">
    <cfRule type="expression" dxfId="15" priority="4">
      <formula>M7="Market"</formula>
    </cfRule>
  </conditionalFormatting>
  <conditionalFormatting sqref="M38:M39">
    <cfRule type="expression" dxfId="14" priority="6">
      <formula>M35&lt;0.15</formula>
    </cfRule>
    <cfRule type="expression" dxfId="13" priority="7">
      <formula>M35&gt;=0.15</formula>
    </cfRule>
  </conditionalFormatting>
  <conditionalFormatting sqref="N9">
    <cfRule type="expression" dxfId="12" priority="3">
      <formula>M7="Market"</formula>
    </cfRule>
  </conditionalFormatting>
  <dataValidations count="8">
    <dataValidation type="list" allowBlank="1" showInputMessage="1" showErrorMessage="1" sqref="F12" xr:uid="{AD33240A-6704-44E7-A7E2-F8E73F0C9017}">
      <formula1>"per dwelling unit,per building"</formula1>
    </dataValidation>
    <dataValidation type="list" allowBlank="1" showInputMessage="1" showErrorMessage="1" sqref="H26" xr:uid="{F086E708-A969-4076-9A17-4F282C6B135E}">
      <formula1>"%,kWh"</formula1>
    </dataValidation>
    <dataValidation type="list" allowBlank="1" showInputMessage="1" showErrorMessage="1" sqref="H27" xr:uid="{21CFDEE6-FA50-420C-B8CB-FD72C35471BF}">
      <formula1>"%,Therm"</formula1>
    </dataValidation>
    <dataValidation type="list" allowBlank="1" showInputMessage="1" showErrorMessage="1" sqref="H28:H29" xr:uid="{DD4E4FD8-08C8-406D-84C1-EE93F741C4D1}">
      <formula1>"%,gallons"</formula1>
    </dataValidation>
    <dataValidation type="list" allowBlank="1" showInputMessage="1" showErrorMessage="1" sqref="F10" xr:uid="{9B524D6B-33BA-4991-AF4A-8CA1313E1352}">
      <formula1>"MF,SF"</formula1>
    </dataValidation>
    <dataValidation type="list" allowBlank="1" showInputMessage="1" showErrorMessage="1" sqref="M7" xr:uid="{EF112633-B1F0-4E2A-9572-311AEC53C738}">
      <formula1>"Market, LMI"</formula1>
    </dataValidation>
    <dataValidation type="custom" allowBlank="1" showInputMessage="1" showErrorMessage="1" error="Enter a whole number value greater than 1. " sqref="F15" xr:uid="{DAAE5A2A-1DD5-48FE-93BC-5764662B5789}">
      <formula1>AND(ISNUMBER(F15), F15&gt;1, F15=INT(F15))</formula1>
    </dataValidation>
    <dataValidation type="custom" allowBlank="1" showInputMessage="1" showErrorMessage="1" errorTitle="ReimbursementError" error="Input must be between 0 and 100%." sqref="M9" xr:uid="{1FF2D4AE-A423-45A2-B307-0B7F09750B3E}">
      <formula1>AND(M9&gt;=0, M9&lt;=100)</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A8BABA56-FB32-41B2-AF38-82D03CB6DDB8}">
          <x14:formula1>
            <xm:f>StateConsumption_SF!$B$3:$B$58</xm:f>
          </x14:formula1>
          <xm:sqref>F6:H6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81AD3-48EA-4E91-A555-2DD59602B9F6}">
  <sheetPr>
    <tabColor theme="9"/>
  </sheetPr>
  <dimension ref="B2:AI62"/>
  <sheetViews>
    <sheetView showGridLines="0" tabSelected="1" zoomScale="90" zoomScaleNormal="90" workbookViewId="0">
      <selection activeCell="O6" sqref="O6"/>
    </sheetView>
  </sheetViews>
  <sheetFormatPr defaultRowHeight="15" x14ac:dyDescent="0.25"/>
  <cols>
    <col min="1" max="15" width="5.7109375" customWidth="1"/>
    <col min="16" max="16" width="16.85546875" bestFit="1" customWidth="1"/>
    <col min="17" max="17" width="42.7109375" customWidth="1"/>
    <col min="18" max="19" width="17" style="287" customWidth="1"/>
    <col min="20" max="21" width="17.85546875" style="287" customWidth="1"/>
    <col min="22" max="23" width="16.5703125" style="287" customWidth="1"/>
  </cols>
  <sheetData>
    <row r="2" spans="2:35" ht="58.9" customHeight="1" x14ac:dyDescent="0.25">
      <c r="B2" s="502" t="s">
        <v>139</v>
      </c>
      <c r="C2" s="503"/>
      <c r="D2" s="503"/>
      <c r="E2" s="503"/>
      <c r="F2" s="503"/>
      <c r="G2" s="503"/>
      <c r="H2" s="503"/>
      <c r="I2" s="503"/>
      <c r="J2" s="503"/>
      <c r="K2" s="503"/>
      <c r="L2" s="503"/>
      <c r="M2" s="503"/>
      <c r="N2" s="503"/>
      <c r="O2" s="503"/>
      <c r="P2" s="503"/>
      <c r="Q2" s="503"/>
      <c r="R2" s="503"/>
      <c r="S2" s="503"/>
      <c r="T2" s="504"/>
      <c r="AD2" s="27"/>
      <c r="AE2" s="27"/>
      <c r="AF2" s="27"/>
      <c r="AG2" s="27"/>
    </row>
    <row r="3" spans="2:35" ht="84" customHeight="1" x14ac:dyDescent="0.25">
      <c r="B3" s="505"/>
      <c r="C3" s="506"/>
      <c r="D3" s="506"/>
      <c r="E3" s="506"/>
      <c r="F3" s="506"/>
      <c r="G3" s="506"/>
      <c r="H3" s="506"/>
      <c r="I3" s="506"/>
      <c r="J3" s="506"/>
      <c r="K3" s="506"/>
      <c r="L3" s="506"/>
      <c r="M3" s="506"/>
      <c r="N3" s="506"/>
      <c r="O3" s="506"/>
      <c r="P3" s="506"/>
      <c r="Q3" s="506"/>
      <c r="R3" s="506"/>
      <c r="S3" s="506"/>
      <c r="T3" s="507"/>
      <c r="AD3" s="27"/>
      <c r="AE3" s="27"/>
      <c r="AF3" s="27"/>
      <c r="AG3" s="27"/>
    </row>
    <row r="4" spans="2:35" ht="15.6" customHeight="1" x14ac:dyDescent="0.25">
      <c r="B4" s="508"/>
      <c r="C4" s="509"/>
      <c r="D4" s="509"/>
      <c r="E4" s="509"/>
      <c r="F4" s="509"/>
      <c r="G4" s="509"/>
      <c r="H4" s="509"/>
      <c r="I4" s="509"/>
      <c r="J4" s="509"/>
      <c r="K4" s="509"/>
      <c r="L4" s="509"/>
      <c r="M4" s="509"/>
      <c r="N4" s="509"/>
      <c r="O4" s="509"/>
      <c r="P4" s="509"/>
      <c r="Q4" s="509"/>
      <c r="R4" s="509"/>
      <c r="S4" s="509"/>
      <c r="T4" s="510"/>
      <c r="AD4" s="27"/>
      <c r="AE4" s="27"/>
      <c r="AF4" s="27"/>
      <c r="AG4" s="27"/>
    </row>
    <row r="5" spans="2:35" x14ac:dyDescent="0.25">
      <c r="P5" s="27"/>
      <c r="Q5" s="27"/>
      <c r="R5" s="27"/>
      <c r="S5" s="27"/>
      <c r="T5" s="27"/>
      <c r="U5" s="27"/>
      <c r="V5" s="27"/>
      <c r="W5" s="27"/>
      <c r="X5" s="27"/>
      <c r="Y5" s="27"/>
      <c r="Z5" s="27"/>
      <c r="AA5" s="27"/>
      <c r="AB5" s="27"/>
      <c r="AC5" s="27"/>
      <c r="AD5" s="27"/>
      <c r="AE5" s="27"/>
      <c r="AF5" s="27"/>
      <c r="AG5" s="27"/>
    </row>
    <row r="6" spans="2:35" x14ac:dyDescent="0.25">
      <c r="S6" s="314"/>
    </row>
    <row r="7" spans="2:35" ht="21" x14ac:dyDescent="0.25">
      <c r="Q7" s="292" t="s">
        <v>140</v>
      </c>
      <c r="R7" s="330" t="s">
        <v>141</v>
      </c>
      <c r="S7" s="186"/>
      <c r="V7" s="289"/>
      <c r="Z7" s="186"/>
    </row>
    <row r="8" spans="2:35" x14ac:dyDescent="0.25">
      <c r="U8" s="289"/>
    </row>
    <row r="9" spans="2:35" x14ac:dyDescent="0.25">
      <c r="R9" s="289"/>
      <c r="S9" s="289"/>
      <c r="T9" s="289"/>
    </row>
    <row r="10" spans="2:35" ht="43.15" customHeight="1" x14ac:dyDescent="0.25">
      <c r="P10" s="285"/>
      <c r="Q10" s="285"/>
      <c r="R10" s="497" t="s">
        <v>142</v>
      </c>
      <c r="S10" s="498"/>
      <c r="T10" s="511" t="s">
        <v>143</v>
      </c>
      <c r="U10" s="512"/>
      <c r="V10" s="499" t="s">
        <v>144</v>
      </c>
      <c r="W10" s="500"/>
      <c r="Y10" s="288"/>
      <c r="Z10" s="288"/>
      <c r="AA10" s="288"/>
      <c r="AB10" s="288"/>
      <c r="AC10" s="288"/>
      <c r="AD10" s="288"/>
      <c r="AE10" s="288"/>
      <c r="AF10" s="288"/>
    </row>
    <row r="11" spans="2:35" ht="14.45" customHeight="1" x14ac:dyDescent="0.25">
      <c r="P11" s="285"/>
      <c r="Q11" s="333" t="s">
        <v>145</v>
      </c>
      <c r="R11" s="303" t="s">
        <v>146</v>
      </c>
      <c r="S11" s="303" t="s">
        <v>32</v>
      </c>
      <c r="T11" s="303" t="s">
        <v>146</v>
      </c>
      <c r="U11" s="303" t="s">
        <v>32</v>
      </c>
      <c r="V11" s="305" t="s">
        <v>146</v>
      </c>
      <c r="W11" s="305" t="s">
        <v>32</v>
      </c>
      <c r="Y11" s="288"/>
      <c r="Z11" s="288"/>
      <c r="AA11" s="288"/>
      <c r="AB11" s="288"/>
      <c r="AC11" s="288"/>
      <c r="AD11" s="288"/>
      <c r="AE11" s="288"/>
      <c r="AF11" s="288"/>
    </row>
    <row r="12" spans="2:35" x14ac:dyDescent="0.25">
      <c r="P12" s="285"/>
      <c r="Q12" s="315" t="s">
        <v>147</v>
      </c>
      <c r="R12" s="304" t="s">
        <v>11</v>
      </c>
      <c r="S12" s="304" t="s">
        <v>11</v>
      </c>
      <c r="T12" s="304" t="s">
        <v>11</v>
      </c>
      <c r="U12" s="304" t="s">
        <v>11</v>
      </c>
      <c r="V12" s="305" t="s">
        <v>148</v>
      </c>
      <c r="W12" s="305" t="s">
        <v>148</v>
      </c>
      <c r="Y12" s="288"/>
      <c r="Z12" s="288"/>
      <c r="AA12" s="288"/>
      <c r="AB12" s="288"/>
      <c r="AC12" s="288"/>
      <c r="AD12" s="288"/>
      <c r="AE12" s="288"/>
      <c r="AF12" s="288"/>
    </row>
    <row r="13" spans="2:35" x14ac:dyDescent="0.25">
      <c r="P13" s="285"/>
      <c r="Q13" s="315" t="s">
        <v>149</v>
      </c>
      <c r="R13" s="297">
        <f>IF(V$11="SF", VLOOKUP($R$7, StateConsumption_SF!$B:$H, 7, FALSE), IF(V$11="MF", VLOOKUP($R$7, StateConsumption_MF!$B:$H, 7, FALSE), ""))*293</f>
        <v>19840.04981910369</v>
      </c>
      <c r="S13" s="297">
        <f>IF(W$11="SF", VLOOKUP($R$7, StateConsumption_SF!$B:$H, 7, FALSE), IF(W$11="MF", VLOOKUP($R$7, StateConsumption_MF!$B:$H, 7, FALSE), ""))*293</f>
        <v>7656.2218327149203</v>
      </c>
      <c r="T13" s="297">
        <f>IF(T11="SF", VLOOKUP($R$7, StateConsumption_SF!$B:$H, 7, FALSE), IF(T11="MF", VLOOKUP($R$7, StateConsumption_MF!$B:$H, 7, FALSE), ""))*293</f>
        <v>19840.04981910369</v>
      </c>
      <c r="U13" s="297">
        <f>IF(U11="SF", VLOOKUP($R$7, StateConsumption_SF!$B:$H, 7, FALSE), IF(U11="MF", VLOOKUP($R$7, StateConsumption_MF!$B:$H, 7, FALSE), ""))*293</f>
        <v>7656.2218327149203</v>
      </c>
      <c r="V13" s="297">
        <f>IF(V$11="SF", VLOOKUP($R$7, StateConsumption_SF!$B:$H, 7, FALSE), IF(V$11="MF", VLOOKUP($R$7, StateConsumption_MF!$B:$H, 7, FALSE), ""))*293</f>
        <v>19840.04981910369</v>
      </c>
      <c r="W13" s="297">
        <f>IF(W$11="SF", VLOOKUP($R$7, StateConsumption_SF!$B:$H, 7, FALSE), IF(W$11="MF", VLOOKUP($R$7, StateConsumption_MF!$B:$H, 7, FALSE), ""))*293</f>
        <v>7656.2218327149203</v>
      </c>
    </row>
    <row r="14" spans="2:35" ht="23.45" customHeight="1" thickBot="1" x14ac:dyDescent="0.3">
      <c r="P14" s="285"/>
      <c r="Q14" s="333" t="s">
        <v>150</v>
      </c>
      <c r="R14" s="298">
        <v>0.2</v>
      </c>
      <c r="S14" s="298">
        <v>0.2</v>
      </c>
      <c r="T14" s="301">
        <v>0.25</v>
      </c>
      <c r="U14" s="302">
        <v>0.2</v>
      </c>
      <c r="V14" s="298">
        <v>0.2</v>
      </c>
      <c r="W14" s="298">
        <v>0.2</v>
      </c>
    </row>
    <row r="15" spans="2:35" ht="23.45" customHeight="1" thickBot="1" x14ac:dyDescent="0.3">
      <c r="P15" s="285"/>
      <c r="Q15" s="315" t="s">
        <v>151</v>
      </c>
      <c r="R15" s="299">
        <v>4000</v>
      </c>
      <c r="S15" s="300">
        <v>4000</v>
      </c>
      <c r="T15" s="290">
        <v>8000</v>
      </c>
      <c r="U15" s="290">
        <v>15000</v>
      </c>
      <c r="V15" s="299">
        <v>2000</v>
      </c>
      <c r="W15" s="299">
        <v>2000</v>
      </c>
    </row>
    <row r="16" spans="2:35" ht="23.45" customHeight="1" thickBot="1" x14ac:dyDescent="0.3">
      <c r="P16" s="285"/>
      <c r="Q16" s="333" t="s">
        <v>152</v>
      </c>
      <c r="R16" s="290">
        <v>10000</v>
      </c>
      <c r="S16" s="290">
        <v>10000</v>
      </c>
      <c r="T16" s="308">
        <v>15000</v>
      </c>
      <c r="U16" s="309">
        <v>15000</v>
      </c>
      <c r="V16" s="290">
        <v>10000</v>
      </c>
      <c r="W16" s="290">
        <v>10000</v>
      </c>
    </row>
    <row r="17" spans="16:23" ht="23.45" customHeight="1" thickBot="1" x14ac:dyDescent="0.3">
      <c r="P17" s="285"/>
      <c r="Q17" s="333" t="s">
        <v>153</v>
      </c>
      <c r="R17" s="298">
        <v>0.8</v>
      </c>
      <c r="S17" s="298">
        <v>0.8</v>
      </c>
      <c r="T17" s="294">
        <v>1</v>
      </c>
      <c r="U17" s="294">
        <v>1</v>
      </c>
      <c r="V17" s="298">
        <v>0.5</v>
      </c>
      <c r="W17" s="298">
        <v>0.5</v>
      </c>
    </row>
    <row r="18" spans="16:23" ht="23.45" customHeight="1" thickBot="1" x14ac:dyDescent="0.3">
      <c r="P18" s="285"/>
      <c r="Q18" s="333" t="s">
        <v>154</v>
      </c>
      <c r="R18" s="291">
        <v>0.15</v>
      </c>
      <c r="S18" s="291">
        <v>0.15</v>
      </c>
      <c r="T18" s="310">
        <f>R18</f>
        <v>0.15</v>
      </c>
      <c r="U18" s="311">
        <f>S18</f>
        <v>0.15</v>
      </c>
      <c r="V18" s="291">
        <v>0.15</v>
      </c>
      <c r="W18" s="291">
        <v>0.15</v>
      </c>
    </row>
    <row r="19" spans="16:23" ht="23.45" customHeight="1" x14ac:dyDescent="0.25">
      <c r="P19" s="285"/>
      <c r="Q19" s="333" t="s">
        <v>155</v>
      </c>
      <c r="R19" s="307">
        <f t="shared" ref="R19:W19" si="0">R15/(R13*R14)</f>
        <v>1.0080619848415047</v>
      </c>
      <c r="S19" s="307">
        <f t="shared" si="0"/>
        <v>2.612254508423502</v>
      </c>
      <c r="T19" s="295">
        <f t="shared" si="0"/>
        <v>1.6128991757464073</v>
      </c>
      <c r="U19" s="296">
        <f t="shared" si="0"/>
        <v>9.7959544065881339</v>
      </c>
      <c r="V19" s="313">
        <f t="shared" si="0"/>
        <v>0.50403099242075233</v>
      </c>
      <c r="W19" s="313">
        <f t="shared" si="0"/>
        <v>1.306127254211751</v>
      </c>
    </row>
    <row r="20" spans="16:23" ht="23.45" customHeight="1" thickBot="1" x14ac:dyDescent="0.3">
      <c r="P20" s="285"/>
      <c r="Q20" s="316" t="s">
        <v>156</v>
      </c>
      <c r="R20" s="306">
        <f t="shared" ref="R20:W20" si="1">R13*R18</f>
        <v>2976.0074728655532</v>
      </c>
      <c r="S20" s="306">
        <f t="shared" si="1"/>
        <v>1148.433274907238</v>
      </c>
      <c r="T20" s="312">
        <f t="shared" si="1"/>
        <v>2976.0074728655532</v>
      </c>
      <c r="U20" s="306">
        <f t="shared" si="1"/>
        <v>1148.433274907238</v>
      </c>
      <c r="V20" s="306">
        <f t="shared" si="1"/>
        <v>2976.0074728655532</v>
      </c>
      <c r="W20" s="306">
        <f t="shared" si="1"/>
        <v>1148.433274907238</v>
      </c>
    </row>
    <row r="21" spans="16:23" ht="23.45" customHeight="1" x14ac:dyDescent="0.25">
      <c r="P21" s="285"/>
      <c r="Q21" s="317" t="s">
        <v>157</v>
      </c>
      <c r="R21" s="320">
        <f t="shared" ref="R21:W21" si="2">R19*R20</f>
        <v>3000</v>
      </c>
      <c r="S21" s="320">
        <f t="shared" si="2"/>
        <v>2999.9999999999995</v>
      </c>
      <c r="T21" s="320">
        <f t="shared" si="2"/>
        <v>4799.9999999999991</v>
      </c>
      <c r="U21" s="320">
        <f t="shared" si="2"/>
        <v>11250</v>
      </c>
      <c r="V21" s="320">
        <f t="shared" si="2"/>
        <v>1500</v>
      </c>
      <c r="W21" s="320">
        <f t="shared" si="2"/>
        <v>1499.9999999999998</v>
      </c>
    </row>
    <row r="22" spans="16:23" ht="23.45" customHeight="1" x14ac:dyDescent="0.25">
      <c r="P22" s="285"/>
      <c r="Q22" s="318" t="s">
        <v>158</v>
      </c>
      <c r="R22" s="321">
        <f t="shared" ref="R22:W22" si="3">R16*R17</f>
        <v>8000</v>
      </c>
      <c r="S22" s="321">
        <f t="shared" si="3"/>
        <v>8000</v>
      </c>
      <c r="T22" s="321">
        <f t="shared" si="3"/>
        <v>15000</v>
      </c>
      <c r="U22" s="321">
        <f t="shared" si="3"/>
        <v>15000</v>
      </c>
      <c r="V22" s="321">
        <f t="shared" si="3"/>
        <v>5000</v>
      </c>
      <c r="W22" s="321">
        <f t="shared" si="3"/>
        <v>5000</v>
      </c>
    </row>
    <row r="23" spans="16:23" ht="23.45" customHeight="1" x14ac:dyDescent="0.25">
      <c r="P23" s="285"/>
      <c r="Q23" s="501" t="s">
        <v>159</v>
      </c>
      <c r="R23" s="501"/>
      <c r="S23" s="501"/>
      <c r="T23" s="501"/>
      <c r="U23" s="501"/>
      <c r="V23" s="501"/>
      <c r="W23" s="501"/>
    </row>
    <row r="24" spans="16:23" ht="31.9" customHeight="1" x14ac:dyDescent="0.25">
      <c r="P24" s="285"/>
    </row>
    <row r="25" spans="16:23" ht="36.6" customHeight="1" x14ac:dyDescent="0.25">
      <c r="P25" s="285"/>
      <c r="Q25" t="s">
        <v>160</v>
      </c>
      <c r="R25"/>
      <c r="S25"/>
      <c r="T25"/>
    </row>
    <row r="26" spans="16:23" x14ac:dyDescent="0.25">
      <c r="Q26" s="293" t="s">
        <v>161</v>
      </c>
      <c r="R26"/>
      <c r="S26"/>
      <c r="T26"/>
      <c r="U26"/>
    </row>
    <row r="27" spans="16:23" x14ac:dyDescent="0.25">
      <c r="U27"/>
    </row>
    <row r="28" spans="16:23" x14ac:dyDescent="0.25">
      <c r="R28"/>
      <c r="S28"/>
      <c r="T28"/>
      <c r="U28"/>
    </row>
    <row r="29" spans="16:23" x14ac:dyDescent="0.25">
      <c r="R29"/>
      <c r="S29"/>
      <c r="T29"/>
      <c r="U29"/>
    </row>
    <row r="30" spans="16:23" x14ac:dyDescent="0.25">
      <c r="R30"/>
      <c r="S30"/>
      <c r="T30"/>
      <c r="U30"/>
    </row>
    <row r="31" spans="16:23" x14ac:dyDescent="0.25">
      <c r="R31"/>
      <c r="S31"/>
      <c r="T31"/>
      <c r="U31"/>
    </row>
    <row r="32" spans="16:23" x14ac:dyDescent="0.25">
      <c r="R32"/>
      <c r="S32"/>
      <c r="T32"/>
      <c r="U32"/>
      <c r="V32"/>
      <c r="W32"/>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spans="18:23" x14ac:dyDescent="0.25">
      <c r="R49"/>
      <c r="S49"/>
      <c r="T49"/>
      <c r="U49"/>
      <c r="V49"/>
      <c r="W49"/>
    </row>
    <row r="50" spans="18:23" x14ac:dyDescent="0.25">
      <c r="R50"/>
      <c r="S50"/>
      <c r="T50"/>
      <c r="U50"/>
      <c r="V50"/>
      <c r="W50"/>
    </row>
    <row r="51" spans="18:23" x14ac:dyDescent="0.25">
      <c r="R51"/>
      <c r="S51"/>
      <c r="T51"/>
      <c r="U51"/>
      <c r="V51"/>
      <c r="W51"/>
    </row>
    <row r="52" spans="18:23" x14ac:dyDescent="0.25">
      <c r="R52"/>
      <c r="S52"/>
      <c r="T52"/>
      <c r="U52"/>
      <c r="V52"/>
      <c r="W52"/>
    </row>
    <row r="53" spans="18:23" x14ac:dyDescent="0.25">
      <c r="R53"/>
      <c r="S53"/>
      <c r="T53"/>
      <c r="U53"/>
      <c r="V53"/>
      <c r="W53"/>
    </row>
    <row r="54" spans="18:23" x14ac:dyDescent="0.25">
      <c r="R54"/>
      <c r="S54"/>
      <c r="T54"/>
      <c r="U54"/>
      <c r="V54"/>
      <c r="W54"/>
    </row>
    <row r="55" spans="18:23" x14ac:dyDescent="0.25">
      <c r="R55"/>
      <c r="S55"/>
      <c r="T55"/>
      <c r="U55"/>
      <c r="V55"/>
      <c r="W55"/>
    </row>
    <row r="56" spans="18:23" x14ac:dyDescent="0.25">
      <c r="R56"/>
      <c r="S56"/>
      <c r="T56"/>
      <c r="U56"/>
      <c r="V56"/>
      <c r="W56"/>
    </row>
    <row r="57" spans="18:23" x14ac:dyDescent="0.25">
      <c r="V57"/>
      <c r="W57"/>
    </row>
    <row r="58" spans="18:23" x14ac:dyDescent="0.25">
      <c r="V58"/>
      <c r="W58"/>
    </row>
    <row r="59" spans="18:23" x14ac:dyDescent="0.25">
      <c r="V59"/>
      <c r="W59"/>
    </row>
    <row r="60" spans="18:23" x14ac:dyDescent="0.25">
      <c r="V60"/>
      <c r="W60"/>
    </row>
    <row r="61" spans="18:23" x14ac:dyDescent="0.25">
      <c r="V61"/>
      <c r="W61"/>
    </row>
    <row r="62" spans="18:23" x14ac:dyDescent="0.25">
      <c r="V62"/>
      <c r="W62"/>
    </row>
  </sheetData>
  <mergeCells count="5">
    <mergeCell ref="R10:S10"/>
    <mergeCell ref="V10:W10"/>
    <mergeCell ref="Q23:W23"/>
    <mergeCell ref="B2:T4"/>
    <mergeCell ref="T10:U10"/>
  </mergeCells>
  <hyperlinks>
    <hyperlink ref="Q26" r:id="rId1" xr:uid="{C42D6223-9C9C-4915-A9BD-54E090FC0FC8}"/>
  </hyperlinks>
  <pageMargins left="0.7" right="0.7" top="0.75" bottom="0.75" header="0.3" footer="0.3"/>
  <ignoredErrors>
    <ignoredError sqref="T19:U19" 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B2B0E9B-0110-44D0-AC1A-AE91BC553C97}">
          <x14:formula1>
            <xm:f>StateConsumption_SF!$B$3:$B$58</xm:f>
          </x14:formula1>
          <xm:sqre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F5413-B5E9-40E3-ACAF-0FEA8A2921FF}">
  <sheetPr codeName="Sheet8">
    <tabColor theme="9"/>
  </sheetPr>
  <dimension ref="C4:X68"/>
  <sheetViews>
    <sheetView showGridLines="0" zoomScale="80" zoomScaleNormal="80" workbookViewId="0"/>
  </sheetViews>
  <sheetFormatPr defaultRowHeight="15" x14ac:dyDescent="0.25"/>
  <cols>
    <col min="3" max="3" width="4.7109375" customWidth="1"/>
    <col min="4" max="4" width="1.28515625" customWidth="1"/>
    <col min="5" max="5" width="35.7109375" customWidth="1"/>
    <col min="6" max="6" width="1.5703125" customWidth="1"/>
    <col min="7" max="7" width="14.7109375" customWidth="1"/>
    <col min="8" max="8" width="1.42578125" customWidth="1"/>
    <col min="9" max="9" width="9.42578125" customWidth="1"/>
    <col min="10" max="10" width="1" customWidth="1"/>
    <col min="11" max="11" width="2" customWidth="1"/>
    <col min="12" max="12" width="13.28515625" customWidth="1"/>
    <col min="13" max="13" width="1.28515625" customWidth="1"/>
    <col min="14" max="14" width="9.28515625" customWidth="1"/>
    <col min="15" max="15" width="14.28515625" customWidth="1"/>
    <col min="16" max="16" width="5" customWidth="1"/>
    <col min="17" max="17" width="5.28515625" customWidth="1"/>
    <col min="18" max="19" width="12.7109375" customWidth="1"/>
    <col min="20" max="20" width="7.5703125" customWidth="1"/>
    <col min="21" max="21" width="10.5703125" customWidth="1"/>
    <col min="22" max="22" width="12.42578125" customWidth="1"/>
    <col min="24" max="24" width="9.5703125" customWidth="1"/>
    <col min="25" max="25" width="4.28515625" customWidth="1"/>
  </cols>
  <sheetData>
    <row r="4" spans="3:24" ht="18" customHeight="1" x14ac:dyDescent="0.3">
      <c r="C4" s="474" t="s">
        <v>162</v>
      </c>
      <c r="D4" s="475"/>
      <c r="E4" s="475"/>
      <c r="F4" s="475"/>
      <c r="G4" s="475"/>
      <c r="H4" s="475"/>
      <c r="I4" s="475"/>
      <c r="J4" s="475"/>
      <c r="K4" s="475"/>
      <c r="L4" s="475"/>
      <c r="M4" s="475"/>
      <c r="N4" s="475"/>
      <c r="O4" s="475"/>
      <c r="P4" s="476"/>
      <c r="R4" s="489" t="str">
        <f>"State-Specific Data for " &amp; G6</f>
        <v>State-Specific Data for Georgia</v>
      </c>
      <c r="S4" s="469" t="s">
        <v>109</v>
      </c>
      <c r="T4" s="469"/>
      <c r="U4" s="469"/>
      <c r="V4" s="469"/>
      <c r="W4" s="469"/>
      <c r="X4" s="470"/>
    </row>
    <row r="5" spans="3:24" ht="16.350000000000001" customHeight="1" thickBot="1" x14ac:dyDescent="0.3">
      <c r="C5" s="154"/>
      <c r="D5" s="154"/>
      <c r="E5" s="162"/>
      <c r="F5" s="162"/>
      <c r="G5" s="162"/>
      <c r="H5" s="162"/>
      <c r="I5" s="162"/>
      <c r="J5" s="162"/>
      <c r="K5" s="162"/>
      <c r="L5" s="162"/>
      <c r="M5" s="162"/>
      <c r="N5" s="162"/>
      <c r="O5" s="162"/>
      <c r="P5" s="162"/>
      <c r="Q5" s="68"/>
      <c r="R5" s="490"/>
      <c r="S5" s="331"/>
      <c r="T5" s="332"/>
      <c r="U5" s="518" t="s">
        <v>6</v>
      </c>
      <c r="V5" s="519"/>
      <c r="W5" s="518" t="s">
        <v>111</v>
      </c>
      <c r="X5" s="534"/>
    </row>
    <row r="6" spans="3:24" ht="21.75" thickBot="1" x14ac:dyDescent="0.4">
      <c r="C6" s="13"/>
      <c r="D6" s="13"/>
      <c r="E6" s="207" t="s">
        <v>69</v>
      </c>
      <c r="F6" s="208"/>
      <c r="G6" s="513" t="s">
        <v>163</v>
      </c>
      <c r="H6" s="514"/>
      <c r="I6" s="515"/>
      <c r="J6" s="28"/>
      <c r="K6" s="13"/>
      <c r="L6" s="13"/>
      <c r="M6" s="13"/>
      <c r="N6" s="13"/>
      <c r="O6" s="13"/>
      <c r="P6" s="13"/>
      <c r="Q6" s="68"/>
      <c r="R6" s="490"/>
      <c r="S6" s="175"/>
      <c r="T6" s="176" t="s">
        <v>114</v>
      </c>
      <c r="U6" s="435" t="str">
        <f>ROUND(VLOOKUP(G6,StateConsumption_SF!B3:Q63,8), 0) &amp; " kWh"</f>
        <v>14107 kWh</v>
      </c>
      <c r="V6" s="437"/>
      <c r="W6" s="435" t="str">
        <f>ROUND(VLOOKUP(G6,StateConsumption_MF!B3:Q63,8), 0) &amp; " kWh"</f>
        <v>7250 kWh</v>
      </c>
      <c r="X6" s="437"/>
    </row>
    <row r="7" spans="3:24" ht="13.35" customHeight="1" x14ac:dyDescent="0.25">
      <c r="C7" s="13"/>
      <c r="D7" s="13"/>
      <c r="E7" s="29"/>
      <c r="F7" s="29"/>
      <c r="G7" s="29"/>
      <c r="H7" s="104"/>
      <c r="I7" s="13"/>
      <c r="J7" s="13"/>
      <c r="K7" s="29"/>
      <c r="L7" s="29"/>
      <c r="M7" s="29"/>
      <c r="N7" s="131"/>
      <c r="O7" s="13"/>
      <c r="P7" s="13"/>
      <c r="Q7" s="68"/>
      <c r="R7" s="490"/>
      <c r="S7" s="173"/>
      <c r="T7" s="177" t="s">
        <v>18</v>
      </c>
      <c r="U7" s="438" t="str">
        <f>ROUND(VLOOKUP(G6,StateConsumption_SF!B3:Q63,9)/W29, 0) &amp; " Therm"</f>
        <v>288 Therm</v>
      </c>
      <c r="V7" s="440"/>
      <c r="W7" s="438" t="str">
        <f>ROUND(VLOOKUP(G6,StateConsumption_MF!B3:Q63,9)/W29, 0) &amp; " Therm"</f>
        <v>86 Therm</v>
      </c>
      <c r="X7" s="440"/>
    </row>
    <row r="8" spans="3:24" x14ac:dyDescent="0.25">
      <c r="R8" s="490"/>
      <c r="S8" s="173"/>
      <c r="T8" s="177" t="s">
        <v>22</v>
      </c>
      <c r="U8" s="438" t="str">
        <f>IF(OR(G6="Utah", G6="District of Columbia", VLOOKUP(G6, StateConsumption_SF!B3:Q63, 10)=0), ROUND(StateConsumption_SF!K59/W30,0), ROUND(VLOOKUP(G6, StateConsumption_SF!B3:Q63, 10)/W30, 0)) &amp; " gallons"</f>
        <v>26 gallons</v>
      </c>
      <c r="V8" s="440"/>
      <c r="W8" s="438" t="str">
        <f>IF(OR(G6="Utah", G6="District of Columbia", VLOOKUP(G6, StateConsumption_MF!B3:Q63, 10)=0), ROUND(StateConsumption_MF!K59/W30,0), ROUND(VLOOKUP(G6, StateConsumption_MF!B3:Q63, 10)/W30, 0)) &amp; " gallons"</f>
        <v>5 gallons</v>
      </c>
      <c r="X8" s="440"/>
    </row>
    <row r="9" spans="3:24" ht="15.6" customHeight="1" x14ac:dyDescent="0.25">
      <c r="R9" s="490"/>
      <c r="S9" s="174"/>
      <c r="T9" s="178" t="s">
        <v>25</v>
      </c>
      <c r="U9" s="494" t="str">
        <f>IF(AND(ISNUMBER(MATCH(G6, {"Alaska","Connecticut","Maine","Maryland","Massachusetts","Michigan","New Hampshire","New Jersey","New York","North Carolina","North Dakota","Ohio","Pennsylvania","Rhode Island","Vermont","Virginia"}, 0)), VLOOKUP(G6, StateConsumption_SF!B3:Q63, 11) &gt; 0), ROUND(VLOOKUP(G6, StateConsumption_SF!B3:Q63, 11)/W31,0), ROUND(StateConsumption_SF!L59/W31,0)) &amp; " gallons"</f>
        <v>75 gallons</v>
      </c>
      <c r="V9" s="496"/>
      <c r="W9" s="494" t="str">
        <f>IF(AND(ISNUMBER(MATCH(G6, {"Alaska","Connecticut","Maine","Maryland","Massachusetts","Michigan","New Hampshire","New Jersey","New York","North Carolina","North Dakota","Ohio","Pennsylvania","Rhode Island","Vermont","Virginia"}, 0)), VLOOKUP(G6, StateConsumption_MF!B3:Q63, 11) &gt; 0), ROUND(VLOOKUP(G6, StateConsumption_MF!B3:Q63, 11)/W31,0), ROUND(StateConsumption_MF!L59/W31,0)) &amp; " gallons"</f>
        <v>12 gallons</v>
      </c>
      <c r="X9" s="496"/>
    </row>
    <row r="10" spans="3:24" ht="27" customHeight="1" x14ac:dyDescent="0.25">
      <c r="R10" s="490"/>
      <c r="S10" s="466" t="s">
        <v>119</v>
      </c>
      <c r="T10" s="466"/>
      <c r="U10" s="466"/>
      <c r="V10" s="466"/>
      <c r="W10" s="466"/>
      <c r="X10" s="467"/>
    </row>
    <row r="11" spans="3:24" ht="12.6" customHeight="1" x14ac:dyDescent="0.25">
      <c r="R11" s="490"/>
      <c r="S11" s="516"/>
      <c r="T11" s="516"/>
      <c r="U11" s="516"/>
      <c r="V11" s="516"/>
      <c r="W11" s="516"/>
      <c r="X11" s="517"/>
    </row>
    <row r="12" spans="3:24" ht="17.649999999999999" customHeight="1" x14ac:dyDescent="0.25">
      <c r="R12" s="490"/>
      <c r="S12" s="155"/>
      <c r="T12" s="156"/>
      <c r="U12" s="518" t="s">
        <v>6</v>
      </c>
      <c r="V12" s="534"/>
      <c r="W12" s="518" t="s">
        <v>7</v>
      </c>
      <c r="X12" s="534"/>
    </row>
    <row r="13" spans="3:24" ht="15" customHeight="1" x14ac:dyDescent="0.25">
      <c r="C13" s="520" t="s">
        <v>164</v>
      </c>
      <c r="D13" s="521"/>
      <c r="E13" s="521"/>
      <c r="F13" s="521"/>
      <c r="G13" s="521"/>
      <c r="H13" s="521"/>
      <c r="I13" s="521"/>
      <c r="J13" s="521"/>
      <c r="K13" s="521"/>
      <c r="L13" s="521"/>
      <c r="M13" s="521"/>
      <c r="N13" s="521"/>
      <c r="O13" s="521"/>
      <c r="P13" s="522"/>
      <c r="R13" s="490"/>
      <c r="S13" s="433" t="s">
        <v>9</v>
      </c>
      <c r="T13" s="434"/>
      <c r="U13" s="157" t="s">
        <v>10</v>
      </c>
      <c r="V13" s="157" t="s">
        <v>11</v>
      </c>
      <c r="W13" s="157" t="s">
        <v>10</v>
      </c>
      <c r="X13" s="157" t="s">
        <v>11</v>
      </c>
    </row>
    <row r="14" spans="3:24" ht="18" customHeight="1" x14ac:dyDescent="0.25">
      <c r="C14" s="154"/>
      <c r="D14" s="154"/>
      <c r="E14" s="162"/>
      <c r="F14" s="162"/>
      <c r="G14" s="162"/>
      <c r="H14" s="162"/>
      <c r="I14" s="162"/>
      <c r="J14" s="162"/>
      <c r="K14" s="162"/>
      <c r="L14" s="162"/>
      <c r="M14" s="162"/>
      <c r="N14" s="162"/>
      <c r="O14" s="162"/>
      <c r="P14" s="163"/>
      <c r="R14" s="490"/>
      <c r="S14" s="158"/>
      <c r="T14" s="159" t="s">
        <v>13</v>
      </c>
      <c r="U14" s="112">
        <f>VLOOKUP(G6,StateConsumption_SF!B3:Q63,15)</f>
        <v>0.42922395730061996</v>
      </c>
      <c r="V14" s="113">
        <f>VLOOKUP(G6,StateConsumption_SF!B3:Q63,16)</f>
        <v>0.85844791460123993</v>
      </c>
      <c r="W14" s="113">
        <f>VLOOKUP(G6,StateConsumption_MF!B3:Q63,15)</f>
        <v>1.0252364470310589</v>
      </c>
      <c r="X14" s="112">
        <f>VLOOKUP(G6,StateConsumption_MF!B3:Q63,16)</f>
        <v>2.0504728940621177</v>
      </c>
    </row>
    <row r="15" spans="3:24" ht="15" customHeight="1" x14ac:dyDescent="0.25">
      <c r="C15" s="13"/>
      <c r="D15" s="13"/>
      <c r="E15" s="10"/>
      <c r="F15" s="10"/>
      <c r="G15" s="10"/>
      <c r="H15" s="10"/>
      <c r="I15" s="10"/>
      <c r="J15" s="10"/>
      <c r="K15" s="10"/>
      <c r="L15" s="10"/>
      <c r="M15" s="10"/>
      <c r="N15" s="10"/>
      <c r="O15" s="10"/>
      <c r="P15" s="187"/>
      <c r="R15" s="490"/>
      <c r="S15" s="158"/>
      <c r="T15" s="159" t="s">
        <v>17</v>
      </c>
      <c r="U15" s="180">
        <f>$U$14*W29</f>
        <v>12.576309635689821</v>
      </c>
      <c r="V15" s="115">
        <f>$V$14*W29</f>
        <v>25.152619271379642</v>
      </c>
      <c r="W15" s="115">
        <f>$W$14*W29</f>
        <v>30.03954180177929</v>
      </c>
      <c r="X15" s="114">
        <f>$X$14*W29</f>
        <v>60.07908360355858</v>
      </c>
    </row>
    <row r="16" spans="3:24" ht="16.350000000000001" customHeight="1" x14ac:dyDescent="0.3">
      <c r="C16" s="13"/>
      <c r="D16" s="13"/>
      <c r="E16" s="10"/>
      <c r="F16" s="10"/>
      <c r="G16" s="524" t="s">
        <v>165</v>
      </c>
      <c r="H16" s="524"/>
      <c r="I16" s="524"/>
      <c r="J16" s="524"/>
      <c r="K16" s="524"/>
      <c r="L16" s="524"/>
      <c r="M16" s="524"/>
      <c r="N16" s="524"/>
      <c r="O16" s="10"/>
      <c r="P16" s="187"/>
      <c r="R16" s="490"/>
      <c r="S16" s="158"/>
      <c r="T16" s="319" t="s">
        <v>21</v>
      </c>
      <c r="U16" s="114">
        <f>$U$14*W30</f>
        <v>11.508277628951694</v>
      </c>
      <c r="V16" s="115">
        <f>$V$14*W30</f>
        <v>23.016555257903388</v>
      </c>
      <c r="W16" s="115">
        <f>$W$14*W30</f>
        <v>27.488460201418519</v>
      </c>
      <c r="X16" s="114">
        <f>$X$14*W30</f>
        <v>54.976920402837038</v>
      </c>
    </row>
    <row r="17" spans="3:24" ht="16.350000000000001" customHeight="1" x14ac:dyDescent="0.25">
      <c r="C17" s="13"/>
      <c r="D17" s="13"/>
      <c r="E17" s="10"/>
      <c r="F17" s="10"/>
      <c r="G17" s="523" t="s">
        <v>166</v>
      </c>
      <c r="H17" s="523"/>
      <c r="I17" s="523"/>
      <c r="J17" s="190"/>
      <c r="K17" s="523" t="s">
        <v>167</v>
      </c>
      <c r="L17" s="523"/>
      <c r="M17" s="523"/>
      <c r="N17" s="523"/>
      <c r="O17" s="10"/>
      <c r="P17" s="187"/>
      <c r="R17" s="490"/>
      <c r="S17" s="160"/>
      <c r="T17" s="161" t="s">
        <v>24</v>
      </c>
      <c r="U17" s="116">
        <f>$U$14*W31</f>
        <v>18.83522715546367</v>
      </c>
      <c r="V17" s="117">
        <f>$V$14*W31</f>
        <v>37.67045431092734</v>
      </c>
      <c r="W17" s="117">
        <f>$W$14*W31</f>
        <v>44.989477030439275</v>
      </c>
      <c r="X17" s="116">
        <f>$X$14*W31</f>
        <v>89.97895406087855</v>
      </c>
    </row>
    <row r="18" spans="3:24" ht="7.35" customHeight="1" thickBot="1" x14ac:dyDescent="0.3">
      <c r="C18" s="13"/>
      <c r="D18" s="13"/>
      <c r="E18" s="10"/>
      <c r="F18" s="10"/>
      <c r="G18" s="10"/>
      <c r="H18" s="10"/>
      <c r="I18" s="10"/>
      <c r="J18" s="191"/>
      <c r="K18" s="10"/>
      <c r="L18" s="10"/>
      <c r="M18" s="10"/>
      <c r="N18" s="10"/>
      <c r="O18" s="10"/>
      <c r="P18" s="187"/>
      <c r="R18" s="209"/>
    </row>
    <row r="19" spans="3:24" ht="13.35" customHeight="1" thickBot="1" x14ac:dyDescent="0.3">
      <c r="C19" s="13"/>
      <c r="D19" s="192"/>
      <c r="E19" s="132" t="s">
        <v>168</v>
      </c>
      <c r="F19" s="13"/>
      <c r="G19" s="41">
        <v>8000</v>
      </c>
      <c r="H19" s="105"/>
      <c r="I19" s="13" t="s">
        <v>20</v>
      </c>
      <c r="J19" s="189"/>
      <c r="K19" s="10"/>
      <c r="L19" s="41">
        <v>10000</v>
      </c>
      <c r="M19" s="105"/>
      <c r="N19" s="13" t="s">
        <v>20</v>
      </c>
      <c r="O19" s="10"/>
      <c r="P19" s="187"/>
      <c r="R19" s="209"/>
      <c r="S19" s="179" t="s">
        <v>125</v>
      </c>
    </row>
    <row r="20" spans="3:24" ht="13.9" customHeight="1" thickBot="1" x14ac:dyDescent="0.3">
      <c r="C20" s="13"/>
      <c r="D20" s="192"/>
      <c r="E20" s="132" t="s">
        <v>169</v>
      </c>
      <c r="F20" s="13"/>
      <c r="G20" s="41">
        <v>600</v>
      </c>
      <c r="H20" s="105"/>
      <c r="I20" s="13" t="s">
        <v>37</v>
      </c>
      <c r="J20" s="189"/>
      <c r="K20" s="10"/>
      <c r="L20" s="41">
        <v>650</v>
      </c>
      <c r="M20" s="105"/>
      <c r="N20" s="13" t="s">
        <v>37</v>
      </c>
      <c r="O20" s="10"/>
      <c r="P20" s="187"/>
      <c r="R20" s="209"/>
    </row>
    <row r="21" spans="3:24" ht="16.350000000000001" customHeight="1" thickBot="1" x14ac:dyDescent="0.3">
      <c r="C21" s="13"/>
      <c r="D21" s="192"/>
      <c r="E21" s="132" t="s">
        <v>170</v>
      </c>
      <c r="F21" s="13"/>
      <c r="G21" s="24">
        <v>200</v>
      </c>
      <c r="H21" s="105"/>
      <c r="I21" s="13" t="s">
        <v>41</v>
      </c>
      <c r="J21" s="189"/>
      <c r="K21" s="10"/>
      <c r="L21" s="41">
        <v>0</v>
      </c>
      <c r="M21" s="105"/>
      <c r="N21" s="13" t="s">
        <v>41</v>
      </c>
      <c r="O21" s="10"/>
      <c r="P21" s="187"/>
      <c r="R21" s="209"/>
    </row>
    <row r="22" spans="3:24" ht="14.65" customHeight="1" thickBot="1" x14ac:dyDescent="0.3">
      <c r="C22" s="13"/>
      <c r="D22" s="192"/>
      <c r="E22" s="132" t="s">
        <v>171</v>
      </c>
      <c r="F22" s="13"/>
      <c r="G22" s="24">
        <v>0</v>
      </c>
      <c r="H22" s="105"/>
      <c r="I22" s="13" t="s">
        <v>41</v>
      </c>
      <c r="J22" s="189"/>
      <c r="K22" s="10"/>
      <c r="L22" s="41">
        <v>20</v>
      </c>
      <c r="M22" s="105"/>
      <c r="N22" s="13" t="s">
        <v>41</v>
      </c>
      <c r="O22" s="10"/>
      <c r="P22" s="187"/>
      <c r="R22" s="209"/>
    </row>
    <row r="23" spans="3:24" ht="14.65" customHeight="1" x14ac:dyDescent="0.25">
      <c r="C23" s="13"/>
      <c r="D23" s="192"/>
      <c r="E23" s="195" t="s">
        <v>172</v>
      </c>
      <c r="F23" s="13"/>
      <c r="G23" s="198">
        <f>G19+SUMPRODUCT(G20:G22,$W$29:$W$31)</f>
        <v>30942.431660000002</v>
      </c>
      <c r="H23" s="197" t="s">
        <v>173</v>
      </c>
      <c r="I23" s="10"/>
      <c r="J23" s="189"/>
      <c r="K23" s="10"/>
      <c r="L23" s="198">
        <f>L19+SUMPRODUCT(L20:L22,$W$29:$W$31)</f>
        <v>29922.713215</v>
      </c>
      <c r="M23" s="197" t="s">
        <v>173</v>
      </c>
      <c r="N23" s="10"/>
      <c r="O23" s="10"/>
      <c r="P23" s="187"/>
      <c r="R23" s="209"/>
    </row>
    <row r="24" spans="3:24" ht="8.65" customHeight="1" thickBot="1" x14ac:dyDescent="0.3">
      <c r="C24" s="13"/>
      <c r="D24" s="13"/>
      <c r="E24" s="193"/>
      <c r="F24" s="10"/>
      <c r="G24" s="10"/>
      <c r="H24" s="10"/>
      <c r="I24" s="10"/>
      <c r="J24" s="191"/>
      <c r="K24" s="10"/>
      <c r="L24" s="10"/>
      <c r="M24" s="10"/>
      <c r="N24" s="10"/>
      <c r="O24" s="10"/>
      <c r="P24" s="187"/>
      <c r="R24" s="185"/>
    </row>
    <row r="25" spans="3:24" ht="16.350000000000001" customHeight="1" thickBot="1" x14ac:dyDescent="0.3">
      <c r="C25" s="13"/>
      <c r="D25" s="192"/>
      <c r="E25" s="132" t="s">
        <v>174</v>
      </c>
      <c r="F25" s="10"/>
      <c r="G25" s="2">
        <v>500</v>
      </c>
      <c r="H25" s="106"/>
      <c r="I25" s="13" t="s">
        <v>20</v>
      </c>
      <c r="J25" s="191"/>
      <c r="K25" s="10"/>
      <c r="L25" s="2">
        <v>3547</v>
      </c>
      <c r="M25" s="106"/>
      <c r="N25" s="13" t="s">
        <v>20</v>
      </c>
      <c r="O25" s="10"/>
      <c r="P25" s="187"/>
      <c r="R25" s="27"/>
      <c r="S25" s="27"/>
    </row>
    <row r="26" spans="3:24" ht="14.65" customHeight="1" thickBot="1" x14ac:dyDescent="0.3">
      <c r="C26" s="13"/>
      <c r="D26" s="192"/>
      <c r="E26" s="132" t="s">
        <v>175</v>
      </c>
      <c r="F26" s="10"/>
      <c r="G26" s="2">
        <v>15</v>
      </c>
      <c r="H26" s="106"/>
      <c r="I26" s="13" t="s">
        <v>37</v>
      </c>
      <c r="J26" s="191"/>
      <c r="K26" s="10"/>
      <c r="L26" s="2">
        <v>150</v>
      </c>
      <c r="M26" s="106"/>
      <c r="N26" s="13" t="s">
        <v>37</v>
      </c>
      <c r="O26" s="10"/>
      <c r="P26" s="187"/>
    </row>
    <row r="27" spans="3:24" ht="13.35" customHeight="1" thickBot="1" x14ac:dyDescent="0.3">
      <c r="C27" s="13"/>
      <c r="D27" s="192"/>
      <c r="E27" s="132" t="s">
        <v>176</v>
      </c>
      <c r="F27" s="10"/>
      <c r="G27" s="2">
        <v>0</v>
      </c>
      <c r="H27" s="106"/>
      <c r="I27" s="13" t="s">
        <v>41</v>
      </c>
      <c r="J27" s="191"/>
      <c r="K27" s="10"/>
      <c r="L27" s="2">
        <v>0</v>
      </c>
      <c r="M27" s="106"/>
      <c r="N27" s="13" t="s">
        <v>41</v>
      </c>
      <c r="O27" s="10"/>
      <c r="P27" s="187"/>
      <c r="U27" s="529" t="s">
        <v>12</v>
      </c>
      <c r="V27" s="530"/>
      <c r="W27" s="530"/>
      <c r="X27" s="531"/>
    </row>
    <row r="28" spans="3:24" ht="15" customHeight="1" thickBot="1" x14ac:dyDescent="0.3">
      <c r="C28" s="13"/>
      <c r="D28" s="192"/>
      <c r="E28" s="132" t="s">
        <v>177</v>
      </c>
      <c r="F28" s="10"/>
      <c r="G28" s="2">
        <v>0</v>
      </c>
      <c r="H28" s="106"/>
      <c r="I28" s="13" t="s">
        <v>41</v>
      </c>
      <c r="J28" s="191"/>
      <c r="K28" s="10"/>
      <c r="L28" s="2">
        <v>0</v>
      </c>
      <c r="M28" s="106"/>
      <c r="N28" s="13" t="s">
        <v>41</v>
      </c>
      <c r="O28" s="10"/>
      <c r="P28" s="187"/>
      <c r="U28" s="166" t="s">
        <v>14</v>
      </c>
      <c r="V28" s="167" t="s">
        <v>15</v>
      </c>
      <c r="W28" s="532" t="s">
        <v>16</v>
      </c>
      <c r="X28" s="533"/>
    </row>
    <row r="29" spans="3:24" ht="18" customHeight="1" x14ac:dyDescent="0.25">
      <c r="C29" s="13"/>
      <c r="D29" s="192"/>
      <c r="E29" s="195" t="s">
        <v>178</v>
      </c>
      <c r="F29" s="196"/>
      <c r="G29" s="198">
        <f>G25+SUMPRODUCT(G26:G28,$W$29:$W$31)</f>
        <v>939.50166650000006</v>
      </c>
      <c r="H29" s="197" t="s">
        <v>173</v>
      </c>
      <c r="I29" s="10"/>
      <c r="J29" s="191"/>
      <c r="K29" s="10"/>
      <c r="L29" s="198">
        <f>L25+SUMPRODUCT(L26:L28,$W$29:$W$31)</f>
        <v>7942.0166650000001</v>
      </c>
      <c r="M29" s="197" t="s">
        <v>173</v>
      </c>
      <c r="N29" s="10"/>
      <c r="O29" s="10"/>
      <c r="P29" s="187"/>
      <c r="U29" s="164" t="s">
        <v>18</v>
      </c>
      <c r="V29" s="165" t="s">
        <v>19</v>
      </c>
      <c r="W29" s="126">
        <v>29.300111099999999</v>
      </c>
      <c r="X29" s="127" t="s">
        <v>20</v>
      </c>
    </row>
    <row r="30" spans="3:24" ht="18" customHeight="1" x14ac:dyDescent="0.25">
      <c r="C30" s="13"/>
      <c r="D30" s="13"/>
      <c r="E30" s="195" t="s">
        <v>179</v>
      </c>
      <c r="F30" s="10"/>
      <c r="G30" s="201">
        <f>G29/G23</f>
        <v>3.0362890571218926E-2</v>
      </c>
      <c r="H30" s="10"/>
      <c r="I30" s="10"/>
      <c r="J30" s="191"/>
      <c r="K30" s="10"/>
      <c r="L30" s="200">
        <f>L29/L23</f>
        <v>0.26541766476640011</v>
      </c>
      <c r="M30" s="10"/>
      <c r="N30" s="10"/>
      <c r="O30" s="10"/>
      <c r="P30" s="187"/>
      <c r="U30" s="25" t="s">
        <v>22</v>
      </c>
      <c r="V30" s="26" t="s">
        <v>23</v>
      </c>
      <c r="W30" s="36">
        <v>26.811824999999999</v>
      </c>
      <c r="X30" s="33" t="s">
        <v>20</v>
      </c>
    </row>
    <row r="31" spans="3:24" ht="18" customHeight="1" x14ac:dyDescent="0.25">
      <c r="C31" s="13"/>
      <c r="D31" s="13"/>
      <c r="E31" s="10"/>
      <c r="F31" s="10"/>
      <c r="G31" s="10"/>
      <c r="H31" s="10"/>
      <c r="I31" s="10"/>
      <c r="J31" s="10"/>
      <c r="K31" s="10"/>
      <c r="L31" s="10"/>
      <c r="M31" s="10"/>
      <c r="N31" s="10"/>
      <c r="O31" s="10"/>
      <c r="P31" s="187"/>
      <c r="U31" s="25" t="s">
        <v>25</v>
      </c>
      <c r="V31" s="26" t="s">
        <v>23</v>
      </c>
      <c r="W31" s="36">
        <v>43.88205</v>
      </c>
      <c r="X31" s="33" t="s">
        <v>20</v>
      </c>
    </row>
    <row r="32" spans="3:24" ht="9" customHeight="1" x14ac:dyDescent="0.25">
      <c r="C32" s="13"/>
      <c r="D32" s="13"/>
      <c r="E32" s="10"/>
      <c r="F32" s="10"/>
      <c r="G32" s="10"/>
      <c r="H32" s="10"/>
      <c r="I32" s="10"/>
      <c r="J32" s="10"/>
      <c r="K32" s="10"/>
      <c r="L32" s="10"/>
      <c r="M32" s="10"/>
      <c r="N32" s="10"/>
      <c r="O32" s="10"/>
      <c r="P32" s="187"/>
    </row>
    <row r="33" spans="3:16" ht="18" customHeight="1" x14ac:dyDescent="0.3">
      <c r="C33" s="13"/>
      <c r="D33" s="13"/>
      <c r="E33" s="10"/>
      <c r="F33" s="10"/>
      <c r="G33" s="524" t="s">
        <v>180</v>
      </c>
      <c r="H33" s="524"/>
      <c r="I33" s="524"/>
      <c r="J33" s="524"/>
      <c r="K33" s="524"/>
      <c r="L33" s="524"/>
      <c r="M33" s="524"/>
      <c r="N33" s="524"/>
      <c r="O33" s="10"/>
      <c r="P33" s="187"/>
    </row>
    <row r="34" spans="3:16" ht="13.35" customHeight="1" x14ac:dyDescent="0.25">
      <c r="C34" s="13"/>
      <c r="D34" s="13"/>
      <c r="E34" s="10"/>
      <c r="F34" s="10"/>
      <c r="G34" s="523" t="s">
        <v>166</v>
      </c>
      <c r="H34" s="523"/>
      <c r="I34" s="523"/>
      <c r="J34" s="190"/>
      <c r="K34" s="523" t="s">
        <v>167</v>
      </c>
      <c r="L34" s="523"/>
      <c r="M34" s="523"/>
      <c r="N34" s="523"/>
      <c r="O34" s="10"/>
      <c r="P34" s="187"/>
    </row>
    <row r="35" spans="3:16" ht="21.75" thickBot="1" x14ac:dyDescent="0.3">
      <c r="C35" s="13"/>
      <c r="D35" s="13"/>
      <c r="E35" s="10"/>
      <c r="F35" s="10"/>
      <c r="G35" s="10"/>
      <c r="H35" s="10"/>
      <c r="I35" s="10"/>
      <c r="J35" s="191"/>
      <c r="K35" s="10"/>
      <c r="L35" s="10"/>
      <c r="M35" s="10"/>
      <c r="N35" s="10"/>
      <c r="O35" s="10"/>
      <c r="P35" s="187"/>
    </row>
    <row r="36" spans="3:16" ht="13.9" customHeight="1" thickBot="1" x14ac:dyDescent="0.3">
      <c r="C36" s="13"/>
      <c r="D36" s="192"/>
      <c r="E36" s="132" t="s">
        <v>168</v>
      </c>
      <c r="F36" s="13"/>
      <c r="G36" s="41">
        <v>10000</v>
      </c>
      <c r="H36" s="105"/>
      <c r="I36" s="13" t="s">
        <v>20</v>
      </c>
      <c r="J36" s="189"/>
      <c r="K36" s="10"/>
      <c r="L36" s="41">
        <v>10000</v>
      </c>
      <c r="M36" s="105"/>
      <c r="N36" s="13" t="s">
        <v>20</v>
      </c>
      <c r="O36" s="10"/>
      <c r="P36" s="187"/>
    </row>
    <row r="37" spans="3:16" ht="13.9" customHeight="1" thickBot="1" x14ac:dyDescent="0.3">
      <c r="C37" s="13"/>
      <c r="D37" s="192"/>
      <c r="E37" s="132" t="s">
        <v>169</v>
      </c>
      <c r="F37" s="13"/>
      <c r="G37" s="41">
        <v>400</v>
      </c>
      <c r="H37" s="105"/>
      <c r="I37" s="13" t="s">
        <v>37</v>
      </c>
      <c r="J37" s="189"/>
      <c r="K37" s="10"/>
      <c r="L37" s="41">
        <v>400</v>
      </c>
      <c r="M37" s="105"/>
      <c r="N37" s="13" t="s">
        <v>37</v>
      </c>
      <c r="O37" s="10"/>
      <c r="P37" s="187"/>
    </row>
    <row r="38" spans="3:16" ht="13.9" customHeight="1" thickBot="1" x14ac:dyDescent="0.3">
      <c r="C38" s="13"/>
      <c r="D38" s="192"/>
      <c r="E38" s="132" t="s">
        <v>170</v>
      </c>
      <c r="F38" s="13"/>
      <c r="G38" s="24">
        <v>0</v>
      </c>
      <c r="H38" s="105"/>
      <c r="I38" s="13" t="s">
        <v>41</v>
      </c>
      <c r="J38" s="189"/>
      <c r="K38" s="10"/>
      <c r="L38" s="41">
        <v>0</v>
      </c>
      <c r="M38" s="105"/>
      <c r="N38" s="13" t="s">
        <v>41</v>
      </c>
      <c r="O38" s="10"/>
      <c r="P38" s="187"/>
    </row>
    <row r="39" spans="3:16" ht="13.9" customHeight="1" thickBot="1" x14ac:dyDescent="0.3">
      <c r="C39" s="13"/>
      <c r="D39" s="192"/>
      <c r="E39" s="132" t="s">
        <v>171</v>
      </c>
      <c r="F39" s="13"/>
      <c r="G39" s="24">
        <v>0</v>
      </c>
      <c r="H39" s="105"/>
      <c r="I39" s="13" t="s">
        <v>41</v>
      </c>
      <c r="J39" s="189"/>
      <c r="K39" s="10"/>
      <c r="L39" s="41">
        <v>0</v>
      </c>
      <c r="M39" s="105"/>
      <c r="N39" s="13" t="s">
        <v>41</v>
      </c>
      <c r="O39" s="10"/>
      <c r="P39" s="187"/>
    </row>
    <row r="40" spans="3:16" ht="13.9" customHeight="1" x14ac:dyDescent="0.25">
      <c r="C40" s="13"/>
      <c r="D40" s="192"/>
      <c r="E40" s="195" t="s">
        <v>172</v>
      </c>
      <c r="F40" s="13"/>
      <c r="G40" s="198">
        <f>G36+SUMPRODUCT(G37:G39,$W$29:$W$31)</f>
        <v>21720.044439999998</v>
      </c>
      <c r="H40" s="197" t="s">
        <v>173</v>
      </c>
      <c r="I40" s="10"/>
      <c r="J40" s="189"/>
      <c r="K40" s="10"/>
      <c r="L40" s="198">
        <f>L36+SUMPRODUCT(L37:L39,$W$29:$W$31)</f>
        <v>21720.044439999998</v>
      </c>
      <c r="M40" s="197" t="s">
        <v>173</v>
      </c>
      <c r="N40" s="10"/>
      <c r="O40" s="10"/>
      <c r="P40" s="187"/>
    </row>
    <row r="41" spans="3:16" ht="10.35" customHeight="1" thickBot="1" x14ac:dyDescent="0.3">
      <c r="C41" s="13"/>
      <c r="D41" s="13"/>
      <c r="E41" s="193"/>
      <c r="F41" s="10"/>
      <c r="G41" s="10"/>
      <c r="H41" s="10"/>
      <c r="I41" s="10"/>
      <c r="J41" s="191"/>
      <c r="K41" s="10"/>
      <c r="L41" s="10"/>
      <c r="M41" s="10"/>
      <c r="N41" s="10"/>
      <c r="O41" s="10"/>
      <c r="P41" s="187"/>
    </row>
    <row r="42" spans="3:16" ht="15.6" customHeight="1" thickBot="1" x14ac:dyDescent="0.3">
      <c r="C42" s="13"/>
      <c r="D42" s="192"/>
      <c r="E42" s="132" t="s">
        <v>174</v>
      </c>
      <c r="F42" s="10"/>
      <c r="G42" s="24">
        <v>20</v>
      </c>
      <c r="H42" s="106"/>
      <c r="I42" s="13" t="s">
        <v>20</v>
      </c>
      <c r="J42" s="191"/>
      <c r="K42" s="10"/>
      <c r="L42" s="24">
        <v>6000</v>
      </c>
      <c r="M42" s="106"/>
      <c r="N42" s="13" t="s">
        <v>20</v>
      </c>
      <c r="O42" s="10"/>
      <c r="P42" s="187"/>
    </row>
    <row r="43" spans="3:16" ht="15.6" customHeight="1" thickBot="1" x14ac:dyDescent="0.3">
      <c r="C43" s="13"/>
      <c r="D43" s="192"/>
      <c r="E43" s="132" t="s">
        <v>175</v>
      </c>
      <c r="F43" s="10"/>
      <c r="G43" s="24">
        <v>15</v>
      </c>
      <c r="H43" s="106"/>
      <c r="I43" s="13" t="s">
        <v>37</v>
      </c>
      <c r="J43" s="191"/>
      <c r="K43" s="10"/>
      <c r="L43" s="24">
        <v>15</v>
      </c>
      <c r="M43" s="106"/>
      <c r="N43" s="13" t="s">
        <v>37</v>
      </c>
      <c r="O43" s="10"/>
      <c r="P43" s="187"/>
    </row>
    <row r="44" spans="3:16" ht="15.6" customHeight="1" thickBot="1" x14ac:dyDescent="0.3">
      <c r="C44" s="13"/>
      <c r="D44" s="192"/>
      <c r="E44" s="132" t="s">
        <v>176</v>
      </c>
      <c r="F44" s="10"/>
      <c r="G44" s="24">
        <v>0</v>
      </c>
      <c r="H44" s="106"/>
      <c r="I44" s="13" t="s">
        <v>41</v>
      </c>
      <c r="J44" s="191"/>
      <c r="K44" s="10"/>
      <c r="L44" s="24">
        <v>0</v>
      </c>
      <c r="M44" s="106"/>
      <c r="N44" s="13" t="s">
        <v>41</v>
      </c>
      <c r="O44" s="10"/>
      <c r="P44" s="187"/>
    </row>
    <row r="45" spans="3:16" ht="15.6" customHeight="1" thickBot="1" x14ac:dyDescent="0.3">
      <c r="C45" s="13"/>
      <c r="D45" s="192"/>
      <c r="E45" s="132" t="s">
        <v>177</v>
      </c>
      <c r="F45" s="10"/>
      <c r="G45" s="24">
        <v>0</v>
      </c>
      <c r="H45" s="106"/>
      <c r="I45" s="13" t="s">
        <v>41</v>
      </c>
      <c r="J45" s="191"/>
      <c r="K45" s="10"/>
      <c r="L45" s="24">
        <v>0</v>
      </c>
      <c r="M45" s="106"/>
      <c r="N45" s="13" t="s">
        <v>41</v>
      </c>
      <c r="O45" s="10"/>
      <c r="P45" s="187"/>
    </row>
    <row r="46" spans="3:16" ht="13.35" customHeight="1" x14ac:dyDescent="0.25">
      <c r="C46" s="13"/>
      <c r="D46" s="192"/>
      <c r="E46" s="195" t="s">
        <v>178</v>
      </c>
      <c r="F46" s="196"/>
      <c r="G46" s="198">
        <f>G42+SUMPRODUCT(G43:G45,W29:W31)</f>
        <v>459.5016665</v>
      </c>
      <c r="H46" s="197" t="s">
        <v>173</v>
      </c>
      <c r="I46" s="10"/>
      <c r="J46" s="191"/>
      <c r="K46" s="10"/>
      <c r="L46" s="198">
        <f>L42+SUMPRODUCT(L43:L45,$W$29:$W$31)</f>
        <v>6439.5016665000003</v>
      </c>
      <c r="M46" s="197" t="s">
        <v>173</v>
      </c>
      <c r="N46" s="10"/>
      <c r="O46" s="10"/>
      <c r="P46" s="187"/>
    </row>
    <row r="47" spans="3:16" ht="21" x14ac:dyDescent="0.25">
      <c r="C47" s="13"/>
      <c r="D47" s="13"/>
      <c r="E47" s="195" t="s">
        <v>179</v>
      </c>
      <c r="F47" s="10"/>
      <c r="G47" s="201">
        <f>G46/G40</f>
        <v>2.1155650384111279E-2</v>
      </c>
      <c r="H47" s="10"/>
      <c r="I47" s="10"/>
      <c r="J47" s="191"/>
      <c r="K47" s="10"/>
      <c r="L47" s="200">
        <f>L46/L40</f>
        <v>0.29647737067429319</v>
      </c>
      <c r="M47" s="10"/>
      <c r="N47" s="10"/>
      <c r="O47" s="10"/>
      <c r="P47" s="187"/>
    </row>
    <row r="48" spans="3:16" ht="21.75" thickBot="1" x14ac:dyDescent="0.3">
      <c r="C48" s="13"/>
      <c r="D48" s="13"/>
      <c r="E48" s="10"/>
      <c r="F48" s="10"/>
      <c r="G48" s="10"/>
      <c r="H48" s="10"/>
      <c r="I48" s="10"/>
      <c r="J48" s="10"/>
      <c r="K48" s="10"/>
      <c r="L48" s="10"/>
      <c r="M48" s="10"/>
      <c r="N48" s="10"/>
      <c r="O48" s="10"/>
      <c r="P48" s="187"/>
    </row>
    <row r="49" spans="3:18" ht="21.75" thickBot="1" x14ac:dyDescent="0.3">
      <c r="C49" s="13"/>
      <c r="D49" s="13"/>
      <c r="E49" s="10"/>
      <c r="F49" s="10"/>
      <c r="G49" s="10"/>
      <c r="H49" s="10"/>
      <c r="I49" s="268" t="s">
        <v>181</v>
      </c>
      <c r="J49" s="10"/>
      <c r="K49" s="10"/>
      <c r="L49" s="1">
        <v>10000</v>
      </c>
      <c r="M49" s="10"/>
      <c r="N49" s="10"/>
      <c r="O49" s="10"/>
      <c r="P49" s="187"/>
    </row>
    <row r="50" spans="3:18" ht="21.75" thickBot="1" x14ac:dyDescent="0.3">
      <c r="C50" s="13"/>
      <c r="D50" s="13"/>
      <c r="E50" s="13"/>
      <c r="F50" s="13"/>
      <c r="G50" s="13"/>
      <c r="H50" s="13"/>
      <c r="I50" s="268" t="s">
        <v>182</v>
      </c>
      <c r="J50" s="10"/>
      <c r="K50" s="10"/>
      <c r="L50" s="1">
        <v>10000</v>
      </c>
      <c r="M50" s="10"/>
      <c r="N50" s="10"/>
      <c r="O50" s="10"/>
      <c r="P50" s="187"/>
    </row>
    <row r="51" spans="3:18" ht="21.75" thickBot="1" x14ac:dyDescent="0.3">
      <c r="C51" s="13"/>
      <c r="D51" s="13"/>
      <c r="E51" s="13"/>
      <c r="F51" s="10"/>
      <c r="G51" s="10"/>
      <c r="H51" s="10"/>
      <c r="I51" s="268" t="s">
        <v>183</v>
      </c>
      <c r="J51" s="10"/>
      <c r="K51" s="10"/>
      <c r="L51" s="199">
        <v>80</v>
      </c>
      <c r="M51" s="10"/>
      <c r="N51" s="188" t="s">
        <v>46</v>
      </c>
      <c r="O51" s="10"/>
      <c r="P51" s="187"/>
      <c r="R51" t="s">
        <v>184</v>
      </c>
    </row>
    <row r="52" spans="3:18" ht="21.75" thickBot="1" x14ac:dyDescent="0.3">
      <c r="C52" s="13"/>
      <c r="D52" s="13"/>
      <c r="E52" s="10"/>
      <c r="F52" s="10"/>
      <c r="G52" s="10"/>
      <c r="H52" s="10"/>
      <c r="I52" s="268" t="s">
        <v>185</v>
      </c>
      <c r="J52" s="10"/>
      <c r="K52" s="10"/>
      <c r="L52" s="73">
        <v>35</v>
      </c>
      <c r="M52" s="10"/>
      <c r="N52" s="188" t="s">
        <v>186</v>
      </c>
      <c r="O52" s="10"/>
      <c r="P52" s="187"/>
    </row>
    <row r="53" spans="3:18" ht="21.75" thickBot="1" x14ac:dyDescent="0.3">
      <c r="C53" s="13"/>
      <c r="D53" s="13"/>
      <c r="E53" s="10"/>
      <c r="F53" s="10"/>
      <c r="G53" s="10"/>
      <c r="H53" s="10"/>
      <c r="I53" s="268" t="s">
        <v>187</v>
      </c>
      <c r="J53" s="10"/>
      <c r="K53" s="10"/>
      <c r="L53" s="73">
        <v>35</v>
      </c>
      <c r="M53" s="10"/>
      <c r="N53" s="188" t="s">
        <v>188</v>
      </c>
      <c r="O53" s="10"/>
      <c r="P53" s="187"/>
      <c r="R53" t="s">
        <v>189</v>
      </c>
    </row>
    <row r="54" spans="3:18" ht="21" x14ac:dyDescent="0.25">
      <c r="C54" s="13"/>
      <c r="D54" s="13"/>
      <c r="E54" s="10"/>
      <c r="F54" s="10"/>
      <c r="G54" s="10"/>
      <c r="H54" s="10"/>
      <c r="I54" s="10"/>
      <c r="J54" s="10"/>
      <c r="K54" s="10"/>
      <c r="L54" s="10"/>
      <c r="M54" s="10"/>
      <c r="N54" s="10"/>
      <c r="O54" s="10"/>
      <c r="P54" s="187"/>
    </row>
    <row r="55" spans="3:18" ht="21" x14ac:dyDescent="0.25">
      <c r="C55" s="13"/>
      <c r="D55" s="13"/>
      <c r="E55" s="10"/>
      <c r="F55" s="10"/>
      <c r="G55" s="270"/>
      <c r="H55" s="270"/>
      <c r="I55" s="269"/>
      <c r="J55" s="268" t="s">
        <v>190</v>
      </c>
      <c r="K55" s="202"/>
      <c r="L55" s="204">
        <f>SUM(G29,L29,G46,L46)/SUM(G23,L23,G40,L40)</f>
        <v>0.15129175302522671</v>
      </c>
      <c r="M55" s="10"/>
      <c r="N55" s="10"/>
      <c r="O55" s="10"/>
      <c r="P55" s="187"/>
    </row>
    <row r="56" spans="3:18" ht="21" customHeight="1" x14ac:dyDescent="0.25">
      <c r="C56" s="13"/>
      <c r="D56" s="13"/>
      <c r="E56" s="10"/>
      <c r="F56" s="10"/>
      <c r="G56" s="270"/>
      <c r="H56" s="270"/>
      <c r="I56" s="269"/>
      <c r="J56" s="268" t="s">
        <v>191</v>
      </c>
      <c r="K56" s="202"/>
      <c r="L56" s="203" t="str">
        <f>IF(L55&gt;=0.15, "Yes", "No")</f>
        <v>Yes</v>
      </c>
      <c r="M56" s="10"/>
      <c r="N56" s="10"/>
      <c r="O56" s="10"/>
      <c r="P56" s="187"/>
    </row>
    <row r="57" spans="3:18" ht="21" x14ac:dyDescent="0.25">
      <c r="C57" s="13"/>
      <c r="D57" s="13"/>
      <c r="E57" s="10"/>
      <c r="F57" s="10"/>
      <c r="G57" s="10"/>
      <c r="H57" s="10"/>
      <c r="I57" s="10"/>
      <c r="J57" s="10"/>
      <c r="K57" s="10"/>
      <c r="L57" s="193"/>
      <c r="M57" s="10"/>
      <c r="N57" s="10"/>
      <c r="O57" s="10"/>
      <c r="P57" s="187"/>
      <c r="R57" s="186"/>
    </row>
    <row r="58" spans="3:18" ht="21" x14ac:dyDescent="0.25">
      <c r="C58" s="13"/>
      <c r="D58" s="13"/>
      <c r="E58" s="281"/>
      <c r="F58" s="281"/>
      <c r="G58" s="281"/>
      <c r="H58" s="281"/>
      <c r="I58" s="282" t="s">
        <v>192</v>
      </c>
      <c r="J58" s="10"/>
      <c r="K58" s="10"/>
      <c r="L58" s="205">
        <f>IF(L56="No", "does not qualify",SUMPRODUCT(G25:G28,U14:U17)+SUMPRODUCT(L25:L28,V14:V17))</f>
        <v>7221.0642669832014</v>
      </c>
      <c r="M58" s="10"/>
      <c r="N58" s="10"/>
      <c r="O58" s="10"/>
      <c r="P58" s="187"/>
    </row>
    <row r="59" spans="3:18" ht="21" x14ac:dyDescent="0.25">
      <c r="C59" s="13"/>
      <c r="D59" s="13"/>
      <c r="E59" s="281"/>
      <c r="F59" s="281"/>
      <c r="G59" s="281"/>
      <c r="H59" s="281"/>
      <c r="I59" s="282" t="s">
        <v>193</v>
      </c>
      <c r="J59" s="10"/>
      <c r="K59" s="10"/>
      <c r="L59" s="206">
        <f>L58/L52</f>
        <v>206.31612191380574</v>
      </c>
      <c r="M59" s="10"/>
      <c r="N59" s="10"/>
      <c r="O59" s="10"/>
      <c r="P59" s="187"/>
    </row>
    <row r="60" spans="3:18" ht="21" x14ac:dyDescent="0.25">
      <c r="C60" s="13"/>
      <c r="D60" s="13"/>
      <c r="E60" s="281"/>
      <c r="F60" s="281"/>
      <c r="G60" s="281"/>
      <c r="H60" s="281"/>
      <c r="I60" s="282" t="s">
        <v>194</v>
      </c>
      <c r="J60" s="10"/>
      <c r="K60" s="10"/>
      <c r="L60" s="205">
        <f>IF(L56="No", "does not qualify",SUMPRODUCT(G42:G45,W14:W17)+SUMPRODUCT(L42:L45,X14:X17))</f>
        <v>13675.121474393396</v>
      </c>
      <c r="M60" s="10"/>
      <c r="N60" s="10"/>
      <c r="O60" s="10"/>
      <c r="P60" s="187"/>
    </row>
    <row r="61" spans="3:18" ht="21" x14ac:dyDescent="0.25">
      <c r="C61" s="13"/>
      <c r="D61" s="13"/>
      <c r="E61" s="281"/>
      <c r="F61" s="281"/>
      <c r="G61" s="281"/>
      <c r="H61" s="281"/>
      <c r="I61" s="282" t="s">
        <v>195</v>
      </c>
      <c r="J61" s="10"/>
      <c r="K61" s="10"/>
      <c r="L61" s="206">
        <f>L60/L53</f>
        <v>390.71775641123986</v>
      </c>
      <c r="M61" s="10"/>
      <c r="N61" s="10"/>
      <c r="O61" s="10"/>
      <c r="P61" s="187"/>
    </row>
    <row r="62" spans="3:18" ht="21" x14ac:dyDescent="0.25">
      <c r="C62" s="13"/>
      <c r="D62" s="13"/>
      <c r="E62" s="10"/>
      <c r="F62" s="10"/>
      <c r="G62" s="10"/>
      <c r="H62" s="10"/>
      <c r="I62" s="10"/>
      <c r="J62" s="10"/>
      <c r="K62" s="10"/>
      <c r="L62" s="202"/>
      <c r="M62" s="10"/>
      <c r="N62" s="10"/>
      <c r="O62" s="10"/>
      <c r="P62" s="187"/>
    </row>
    <row r="63" spans="3:18" ht="21" x14ac:dyDescent="0.25">
      <c r="C63" s="13"/>
      <c r="D63" s="13"/>
      <c r="E63" s="10"/>
      <c r="F63" s="10"/>
      <c r="G63" s="10"/>
      <c r="H63" s="10"/>
      <c r="I63" s="194" t="s">
        <v>196</v>
      </c>
      <c r="J63" s="10"/>
      <c r="K63" s="10"/>
      <c r="L63" s="526">
        <f>L58+L60</f>
        <v>20896.185741376597</v>
      </c>
      <c r="M63" s="526"/>
      <c r="N63" s="526"/>
      <c r="O63" s="10"/>
      <c r="P63" s="187"/>
    </row>
    <row r="64" spans="3:18" ht="21" x14ac:dyDescent="0.25">
      <c r="C64" s="13"/>
      <c r="D64" s="13"/>
      <c r="E64" s="10"/>
      <c r="F64" s="10"/>
      <c r="G64" s="10"/>
      <c r="H64" s="10"/>
      <c r="I64" s="194" t="s">
        <v>197</v>
      </c>
      <c r="J64" s="10"/>
      <c r="K64" s="10"/>
      <c r="L64" s="527">
        <f>L63/(L52+L53)</f>
        <v>298.51693916252282</v>
      </c>
      <c r="M64" s="528"/>
      <c r="N64" s="528"/>
      <c r="O64" s="10"/>
      <c r="P64" s="187"/>
    </row>
    <row r="65" spans="3:16" ht="21" x14ac:dyDescent="0.25">
      <c r="C65" s="13"/>
      <c r="D65" s="13"/>
      <c r="E65" s="10"/>
      <c r="F65" s="10"/>
      <c r="G65" s="10"/>
      <c r="H65" s="10"/>
      <c r="I65" s="10"/>
      <c r="J65" s="10"/>
      <c r="K65" s="10"/>
      <c r="L65" s="10"/>
      <c r="M65" s="10"/>
      <c r="N65" s="10"/>
      <c r="O65" s="10"/>
      <c r="P65" s="187"/>
    </row>
    <row r="66" spans="3:16" ht="21" x14ac:dyDescent="0.25">
      <c r="C66" s="13"/>
      <c r="D66" s="13"/>
      <c r="E66" s="10"/>
      <c r="F66" s="10"/>
      <c r="G66" s="10"/>
      <c r="H66" s="10"/>
      <c r="I66" s="169" t="s">
        <v>135</v>
      </c>
      <c r="J66" s="10"/>
      <c r="K66" s="10"/>
      <c r="L66" s="525">
        <f>IF(L56="No", "does not qualify",0.5*L49+(L51/100)*L50)</f>
        <v>13000</v>
      </c>
      <c r="M66" s="525"/>
      <c r="N66" s="525"/>
      <c r="O66" s="10"/>
      <c r="P66" s="187"/>
    </row>
    <row r="67" spans="3:16" ht="21" x14ac:dyDescent="0.25">
      <c r="C67" s="13"/>
      <c r="D67" s="13"/>
      <c r="E67" s="10"/>
      <c r="F67" s="10"/>
      <c r="G67" s="10"/>
      <c r="H67" s="10"/>
      <c r="I67" s="10"/>
      <c r="J67" s="10"/>
      <c r="K67" s="10"/>
      <c r="L67" s="10"/>
      <c r="M67" s="10"/>
      <c r="N67" s="10"/>
      <c r="O67" s="10"/>
      <c r="P67" s="187"/>
    </row>
    <row r="68" spans="3:16" ht="21" x14ac:dyDescent="0.25">
      <c r="C68" s="13"/>
      <c r="D68" s="13"/>
      <c r="E68" s="10"/>
      <c r="F68" s="10"/>
      <c r="G68" s="10"/>
      <c r="H68" s="10"/>
      <c r="I68" s="10"/>
      <c r="J68" s="10"/>
      <c r="K68" s="10"/>
      <c r="L68" s="10"/>
      <c r="M68" s="10"/>
      <c r="N68" s="10"/>
      <c r="O68" s="10"/>
      <c r="P68" s="187"/>
    </row>
  </sheetData>
  <mergeCells count="30">
    <mergeCell ref="U27:X27"/>
    <mergeCell ref="W28:X28"/>
    <mergeCell ref="W8:X8"/>
    <mergeCell ref="W9:X9"/>
    <mergeCell ref="W5:X5"/>
    <mergeCell ref="U12:V12"/>
    <mergeCell ref="W12:X12"/>
    <mergeCell ref="G16:N16"/>
    <mergeCell ref="G33:N33"/>
    <mergeCell ref="G34:I34"/>
    <mergeCell ref="K34:N34"/>
    <mergeCell ref="L66:N66"/>
    <mergeCell ref="L63:N63"/>
    <mergeCell ref="L64:N64"/>
    <mergeCell ref="C4:P4"/>
    <mergeCell ref="G6:I6"/>
    <mergeCell ref="S13:T13"/>
    <mergeCell ref="S10:X11"/>
    <mergeCell ref="R4:R17"/>
    <mergeCell ref="S4:X4"/>
    <mergeCell ref="U5:V5"/>
    <mergeCell ref="U6:V6"/>
    <mergeCell ref="U7:V7"/>
    <mergeCell ref="U8:V8"/>
    <mergeCell ref="U9:V9"/>
    <mergeCell ref="W6:X6"/>
    <mergeCell ref="W7:X7"/>
    <mergeCell ref="C13:P13"/>
    <mergeCell ref="G17:I17"/>
    <mergeCell ref="K17:N17"/>
  </mergeCells>
  <conditionalFormatting sqref="L51">
    <cfRule type="expression" dxfId="11" priority="5">
      <formula>L46="Market"</formula>
    </cfRule>
  </conditionalFormatting>
  <conditionalFormatting sqref="L52:L53">
    <cfRule type="expression" dxfId="10" priority="87">
      <formula>U61="per dwelling unit"</formula>
    </cfRule>
    <cfRule type="expression" dxfId="9" priority="88">
      <formula>L44="SF"</formula>
    </cfRule>
    <cfRule type="expression" dxfId="8" priority="89">
      <formula>L46="per dwelling unit"</formula>
    </cfRule>
  </conditionalFormatting>
  <dataValidations count="2">
    <dataValidation type="custom" allowBlank="1" showInputMessage="1" showErrorMessage="1" errorTitle="ReimbursementError" error="Input must be between 0 and 100%." sqref="L51" xr:uid="{40B1598C-595B-4B29-B9BE-DB18D97AF0AA}">
      <formula1>AND(L51&gt;=0, L51&lt;=100)</formula1>
    </dataValidation>
    <dataValidation type="custom" allowBlank="1" showInputMessage="1" showErrorMessage="1" error="Enter a whole number value greater than 1. " sqref="L52:L53" xr:uid="{C99BCF05-5AD6-4312-A477-6A252B8215DE}">
      <formula1>AND(ISNUMBER(L52), L52&gt;1, L52=INT(L52))</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B055FC07-F4BF-46B7-85C7-398326889C60}">
          <x14:formula1>
            <xm:f>StateConsumption_SF!$B$3:$B$58</xm:f>
          </x14:formula1>
          <xm:sqref>G6:I6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4D65A-A6E7-4C98-A165-C9AE57288ECE}">
  <sheetPr codeName="Sheet9">
    <tabColor theme="9"/>
  </sheetPr>
  <dimension ref="B4:AN277"/>
  <sheetViews>
    <sheetView showGridLines="0" zoomScale="60" zoomScaleNormal="60" workbookViewId="0"/>
  </sheetViews>
  <sheetFormatPr defaultRowHeight="15" x14ac:dyDescent="0.25"/>
  <cols>
    <col min="1" max="1" width="5.28515625" customWidth="1"/>
    <col min="2" max="2" width="12.5703125" customWidth="1"/>
    <col min="3" max="3" width="10.42578125" customWidth="1"/>
    <col min="4" max="4" width="19.28515625" customWidth="1"/>
    <col min="5" max="5" width="17.7109375" customWidth="1"/>
    <col min="6" max="6" width="14.5703125" customWidth="1"/>
    <col min="7" max="7" width="14.7109375" customWidth="1"/>
    <col min="8" max="8" width="19.7109375" customWidth="1"/>
    <col min="9" max="9" width="17.28515625" customWidth="1"/>
    <col min="10" max="10" width="14.28515625" customWidth="1"/>
    <col min="11" max="11" width="15.42578125" customWidth="1"/>
    <col min="12" max="12" width="18.7109375" customWidth="1"/>
    <col min="13" max="13" width="16.28515625" customWidth="1"/>
    <col min="14" max="14" width="17.28515625" customWidth="1"/>
    <col min="15" max="15" width="17.7109375" customWidth="1"/>
    <col min="16" max="16" width="17" customWidth="1"/>
    <col min="17" max="17" width="10.5703125" customWidth="1"/>
    <col min="18" max="18" width="17.28515625" customWidth="1"/>
    <col min="19" max="19" width="17.5703125" customWidth="1"/>
    <col min="20" max="20" width="12.28515625" customWidth="1"/>
    <col min="21" max="21" width="13.28515625" customWidth="1"/>
    <col min="22" max="22" width="14.5703125" customWidth="1"/>
    <col min="23" max="23" width="13.42578125" customWidth="1"/>
    <col min="24" max="24" width="14.28515625" customWidth="1"/>
    <col min="25" max="30" width="13.7109375" customWidth="1"/>
    <col min="31" max="31" width="10.7109375" customWidth="1"/>
  </cols>
  <sheetData>
    <row r="4" spans="3:22" ht="22.35" customHeight="1" x14ac:dyDescent="0.3">
      <c r="C4" s="474" t="s">
        <v>198</v>
      </c>
      <c r="D4" s="475"/>
      <c r="E4" s="475"/>
      <c r="F4" s="475"/>
      <c r="G4" s="475"/>
      <c r="H4" s="475"/>
      <c r="I4" s="475"/>
      <c r="K4" s="489" t="str">
        <f>"State-Specific Data for " &amp; E6</f>
        <v>State-Specific Data for Georgia</v>
      </c>
      <c r="L4" s="469" t="s">
        <v>109</v>
      </c>
      <c r="M4" s="469"/>
      <c r="N4" s="469"/>
      <c r="O4" s="469"/>
      <c r="P4" s="469"/>
      <c r="Q4" s="470"/>
    </row>
    <row r="5" spans="3:22" ht="16.350000000000001" customHeight="1" thickBot="1" x14ac:dyDescent="0.3">
      <c r="C5" s="154"/>
      <c r="D5" s="154"/>
      <c r="E5" s="162"/>
      <c r="F5" s="162"/>
      <c r="G5" s="162"/>
      <c r="H5" s="162"/>
      <c r="I5" s="162"/>
      <c r="J5" s="68"/>
      <c r="K5" s="490"/>
      <c r="L5" s="433" t="s">
        <v>9</v>
      </c>
      <c r="M5" s="434"/>
      <c r="N5" s="518" t="s">
        <v>6</v>
      </c>
      <c r="O5" s="519"/>
      <c r="P5" s="518" t="s">
        <v>111</v>
      </c>
      <c r="Q5" s="534"/>
      <c r="S5" s="529" t="s">
        <v>12</v>
      </c>
      <c r="T5" s="530"/>
      <c r="U5" s="530"/>
      <c r="V5" s="531"/>
    </row>
    <row r="6" spans="3:22" ht="21.75" thickBot="1" x14ac:dyDescent="0.4">
      <c r="C6" s="13"/>
      <c r="D6" s="271" t="s">
        <v>69</v>
      </c>
      <c r="E6" s="513" t="s">
        <v>163</v>
      </c>
      <c r="F6" s="514"/>
      <c r="G6" s="515"/>
      <c r="H6" s="13"/>
      <c r="I6" s="13"/>
      <c r="J6" s="68"/>
      <c r="K6" s="490"/>
      <c r="L6" s="175"/>
      <c r="M6" s="176" t="s">
        <v>114</v>
      </c>
      <c r="N6" s="435" t="str">
        <f>ROUND(VLOOKUP(E6,StateConsumption_SF!B3:Q63,8), 0) &amp; " kWh"</f>
        <v>14107 kWh</v>
      </c>
      <c r="O6" s="437"/>
      <c r="P6" s="435" t="str">
        <f>ROUND(VLOOKUP(E6,StateConsumption_MF!B3:Q63,8), 0) &amp; " kWh"</f>
        <v>7250 kWh</v>
      </c>
      <c r="Q6" s="437"/>
      <c r="S6" s="166" t="s">
        <v>14</v>
      </c>
      <c r="T6" s="167" t="s">
        <v>15</v>
      </c>
      <c r="U6" s="532" t="s">
        <v>16</v>
      </c>
      <c r="V6" s="533"/>
    </row>
    <row r="7" spans="3:22" ht="13.35" customHeight="1" x14ac:dyDescent="0.25">
      <c r="C7" s="13"/>
      <c r="D7" s="13"/>
      <c r="E7" s="29"/>
      <c r="F7" s="29"/>
      <c r="G7" s="29"/>
      <c r="H7" s="104"/>
      <c r="I7" s="13"/>
      <c r="J7" s="68"/>
      <c r="K7" s="490"/>
      <c r="L7" s="173"/>
      <c r="M7" s="177" t="s">
        <v>18</v>
      </c>
      <c r="N7" s="438" t="str">
        <f>ROUND(VLOOKUP(E6,StateConsumption_SF!B3:Q63,9)/U7, 0) &amp; " Therm"</f>
        <v>288 Therm</v>
      </c>
      <c r="O7" s="440"/>
      <c r="P7" s="438" t="str">
        <f>ROUND(VLOOKUP(E6,StateConsumption_MF!B3:Q63,9)/U7, 0) &amp; " Therm"</f>
        <v>86 Therm</v>
      </c>
      <c r="Q7" s="440"/>
      <c r="S7" s="164" t="s">
        <v>18</v>
      </c>
      <c r="T7" s="165" t="s">
        <v>19</v>
      </c>
      <c r="U7" s="126">
        <v>29.300111099999999</v>
      </c>
      <c r="V7" s="127" t="s">
        <v>20</v>
      </c>
    </row>
    <row r="8" spans="3:22" ht="15" customHeight="1" thickBot="1" x14ac:dyDescent="0.3">
      <c r="C8" s="13"/>
      <c r="D8" s="13"/>
      <c r="E8" s="13"/>
      <c r="F8" s="13"/>
      <c r="G8" s="13"/>
      <c r="H8" s="13"/>
      <c r="I8" s="13"/>
      <c r="K8" s="490"/>
      <c r="L8" s="173"/>
      <c r="M8" s="177" t="s">
        <v>22</v>
      </c>
      <c r="N8" s="438" t="str">
        <f>IF(OR(E6="Utah", E6="District of Columbia", VLOOKUP(E6, StateConsumption_SF!B3:Q63, 10)=0), ROUND(StateConsumption_SF!K59/U8,0), ROUND(VLOOKUP(E6, StateConsumption_SF!B3:Q63, 10)/U8, 0)) &amp; " gallons"</f>
        <v>26 gallons</v>
      </c>
      <c r="O8" s="440"/>
      <c r="P8" s="438" t="str">
        <f>IF(OR(E6="Utah", E6="District of Columbia", VLOOKUP(E6, StateConsumption_MF!B3:Q63, 10)=0), ROUND(StateConsumption_MF!K59/U8,0), ROUND(VLOOKUP(E6, StateConsumption_MF!B3:Q63, 10)/U8, 0)) &amp; " gallons"</f>
        <v>5 gallons</v>
      </c>
      <c r="Q8" s="440"/>
      <c r="S8" s="25" t="s">
        <v>22</v>
      </c>
      <c r="T8" s="26" t="s">
        <v>23</v>
      </c>
      <c r="U8" s="36">
        <v>26.811824999999999</v>
      </c>
      <c r="V8" s="33" t="s">
        <v>20</v>
      </c>
    </row>
    <row r="9" spans="3:22" ht="15.6" customHeight="1" thickBot="1" x14ac:dyDescent="0.3">
      <c r="C9" s="13"/>
      <c r="D9" s="13"/>
      <c r="E9" s="29"/>
      <c r="F9" s="10"/>
      <c r="G9" s="210" t="s">
        <v>199</v>
      </c>
      <c r="H9" s="199">
        <v>80</v>
      </c>
      <c r="I9" s="188" t="s">
        <v>46</v>
      </c>
      <c r="K9" s="490"/>
      <c r="L9" s="174"/>
      <c r="M9" s="178" t="s">
        <v>25</v>
      </c>
      <c r="N9" s="494" t="str">
        <f>IF(AND(ISNUMBER(MATCH(E6, {"Alaska","Connecticut","Maine","Maryland","Massachusetts","Michigan","New Hampshire","New Jersey","New York","North Carolina","North Dakota","Ohio","Pennsylvania","Rhode Island","Vermont","Virginia"}, 0)), VLOOKUP(E6, StateConsumption_SF!B3:Q63, 11) &gt; 0), ROUND(VLOOKUP(E6, StateConsumption_SF!B3:Q63, 11)/U9,0), ROUND(StateConsumption_SF!L59/U9,0)) &amp; " gallons"</f>
        <v>75 gallons</v>
      </c>
      <c r="O9" s="496"/>
      <c r="P9" s="494" t="str">
        <f>IF(AND(ISNUMBER(MATCH(E6, {"Alaska","Connecticut","Maine","Maryland","Massachusetts","Michigan","New Hampshire","New Jersey","New York","North Carolina","North Dakota","Ohio","Pennsylvania","Rhode Island","Vermont","Virginia"}, 0)), VLOOKUP(E6, StateConsumption_MF!B3:Q63, 11) &gt; 0), ROUND(VLOOKUP(E6, StateConsumption_MF!B3:Q63, 11)/U9,0), ROUND(StateConsumption_MF!L59/U9,0)) &amp; " gallons"</f>
        <v>12 gallons</v>
      </c>
      <c r="Q9" s="496"/>
      <c r="S9" s="25" t="s">
        <v>25</v>
      </c>
      <c r="T9" s="26" t="s">
        <v>23</v>
      </c>
      <c r="U9" s="36">
        <v>43.88205</v>
      </c>
      <c r="V9" s="33" t="s">
        <v>20</v>
      </c>
    </row>
    <row r="10" spans="3:22" ht="27" customHeight="1" thickBot="1" x14ac:dyDescent="0.3">
      <c r="C10" s="13"/>
      <c r="D10" s="13"/>
      <c r="E10" s="13"/>
      <c r="F10" s="13"/>
      <c r="G10" s="13"/>
      <c r="H10" s="13"/>
      <c r="I10" s="13"/>
      <c r="K10" s="490"/>
      <c r="L10" s="466" t="s">
        <v>119</v>
      </c>
      <c r="M10" s="466"/>
      <c r="N10" s="466"/>
      <c r="O10" s="466"/>
      <c r="P10" s="466"/>
      <c r="Q10" s="467"/>
    </row>
    <row r="11" spans="3:22" ht="12.6" customHeight="1" thickBot="1" x14ac:dyDescent="0.3">
      <c r="C11" s="13"/>
      <c r="D11" s="13"/>
      <c r="E11" s="13"/>
      <c r="F11" s="13"/>
      <c r="G11" s="210" t="s">
        <v>200</v>
      </c>
      <c r="H11" s="73">
        <v>11</v>
      </c>
      <c r="I11" s="13"/>
      <c r="K11" s="490"/>
      <c r="L11" s="516"/>
      <c r="M11" s="516"/>
      <c r="N11" s="516"/>
      <c r="O11" s="516"/>
      <c r="P11" s="516"/>
      <c r="Q11" s="517"/>
    </row>
    <row r="12" spans="3:22" ht="17.649999999999999" customHeight="1" x14ac:dyDescent="0.25">
      <c r="C12" s="13"/>
      <c r="D12" s="13"/>
      <c r="E12" s="13"/>
      <c r="F12" s="13"/>
      <c r="G12" s="13"/>
      <c r="H12" s="13"/>
      <c r="I12" s="13"/>
      <c r="K12" s="490"/>
      <c r="L12" s="155"/>
      <c r="M12" s="156"/>
      <c r="N12" s="518" t="s">
        <v>6</v>
      </c>
      <c r="O12" s="534"/>
      <c r="P12" s="518" t="s">
        <v>7</v>
      </c>
      <c r="Q12" s="534"/>
    </row>
    <row r="13" spans="3:22" ht="15" customHeight="1" x14ac:dyDescent="0.25">
      <c r="C13" s="13"/>
      <c r="D13" s="13"/>
      <c r="E13" s="211" t="s">
        <v>184</v>
      </c>
      <c r="F13" s="13"/>
      <c r="G13" s="13"/>
      <c r="H13" s="13"/>
      <c r="I13" s="13"/>
      <c r="K13" s="490"/>
      <c r="L13" s="433" t="s">
        <v>9</v>
      </c>
      <c r="M13" s="434"/>
      <c r="N13" s="157" t="s">
        <v>10</v>
      </c>
      <c r="O13" s="157" t="s">
        <v>11</v>
      </c>
      <c r="P13" s="157" t="s">
        <v>10</v>
      </c>
      <c r="Q13" s="157" t="s">
        <v>11</v>
      </c>
    </row>
    <row r="14" spans="3:22" x14ac:dyDescent="0.25">
      <c r="C14" s="185"/>
      <c r="D14" s="185"/>
      <c r="E14" s="185"/>
      <c r="F14" s="185"/>
      <c r="G14" s="185"/>
      <c r="H14" s="185"/>
      <c r="I14" s="185"/>
      <c r="J14" s="185"/>
      <c r="K14" s="490"/>
      <c r="L14" s="158"/>
      <c r="M14" s="176" t="s">
        <v>13</v>
      </c>
      <c r="N14" s="112">
        <f>VLOOKUP(E6,StateConsumption_SF!B3:Q63,15)</f>
        <v>0.42922395730061996</v>
      </c>
      <c r="O14" s="113">
        <f>VLOOKUP(E6,StateConsumption_SF!B3:Q63,16)</f>
        <v>0.85844791460123993</v>
      </c>
      <c r="P14" s="113">
        <f>VLOOKUP(E6,StateConsumption_MF!B3:Q63,15)</f>
        <v>1.0252364470310589</v>
      </c>
      <c r="Q14" s="112">
        <f>VLOOKUP(E6,StateConsumption_MF!B3:Q63,16)</f>
        <v>2.0504728940621177</v>
      </c>
    </row>
    <row r="15" spans="3:22" ht="15" customHeight="1" x14ac:dyDescent="0.25">
      <c r="C15" s="185"/>
      <c r="D15" s="185"/>
      <c r="E15" s="185"/>
      <c r="F15" s="185"/>
      <c r="G15" s="185"/>
      <c r="H15" s="185"/>
      <c r="I15" s="185"/>
      <c r="J15" s="185"/>
      <c r="K15" s="490"/>
      <c r="L15" s="158"/>
      <c r="M15" s="159" t="s">
        <v>17</v>
      </c>
      <c r="N15" s="180">
        <f>$N$14*U7</f>
        <v>12.576309635689821</v>
      </c>
      <c r="O15" s="115">
        <f>$O$14*U7</f>
        <v>25.152619271379642</v>
      </c>
      <c r="P15" s="115">
        <f>$P$14*U7</f>
        <v>30.03954180177929</v>
      </c>
      <c r="Q15" s="114">
        <f>$Q$14*U7</f>
        <v>60.07908360355858</v>
      </c>
    </row>
    <row r="16" spans="3:22" ht="16.350000000000001" customHeight="1" x14ac:dyDescent="0.25">
      <c r="C16" s="185"/>
      <c r="D16" s="185"/>
      <c r="E16" s="185"/>
      <c r="F16" s="185"/>
      <c r="G16" s="185"/>
      <c r="H16" s="185"/>
      <c r="I16" s="185"/>
      <c r="J16" s="185"/>
      <c r="K16" s="490"/>
      <c r="L16" s="158"/>
      <c r="M16" s="159" t="s">
        <v>21</v>
      </c>
      <c r="N16" s="114">
        <f>$N$14*U8</f>
        <v>11.508277628951694</v>
      </c>
      <c r="O16" s="115">
        <f>$O$14*U8</f>
        <v>23.016555257903388</v>
      </c>
      <c r="P16" s="115">
        <f>$P$14*U8</f>
        <v>27.488460201418519</v>
      </c>
      <c r="Q16" s="114">
        <f>$Q$14*U8</f>
        <v>54.976920402837038</v>
      </c>
    </row>
    <row r="17" spans="2:40" ht="16.350000000000001" customHeight="1" x14ac:dyDescent="0.25">
      <c r="C17" s="185"/>
      <c r="D17" s="185"/>
      <c r="E17" s="185"/>
      <c r="F17" s="185"/>
      <c r="G17" s="185"/>
      <c r="H17" s="185"/>
      <c r="I17" s="185"/>
      <c r="J17" s="185"/>
      <c r="K17" s="490"/>
      <c r="L17" s="160"/>
      <c r="M17" s="178" t="s">
        <v>24</v>
      </c>
      <c r="N17" s="116">
        <f>$N$14*U9</f>
        <v>18.83522715546367</v>
      </c>
      <c r="O17" s="117">
        <f>$O$14*U9</f>
        <v>37.67045431092734</v>
      </c>
      <c r="P17" s="117">
        <f>$P$14*U9</f>
        <v>44.989477030439275</v>
      </c>
      <c r="Q17" s="116">
        <f>$Q$14*U9</f>
        <v>89.97895406087855</v>
      </c>
    </row>
    <row r="18" spans="2:40" ht="7.35" customHeight="1" x14ac:dyDescent="0.25">
      <c r="B18" s="185"/>
      <c r="C18" s="185"/>
      <c r="D18" s="185"/>
      <c r="E18" s="185"/>
      <c r="F18" s="185"/>
      <c r="G18" s="185"/>
      <c r="H18" s="185"/>
      <c r="I18" s="185"/>
      <c r="J18" s="185"/>
      <c r="K18" s="185"/>
      <c r="L18" s="185"/>
      <c r="N18" s="209"/>
    </row>
    <row r="19" spans="2:40" ht="13.35" customHeight="1" x14ac:dyDescent="0.25">
      <c r="C19" s="185"/>
      <c r="D19" s="185"/>
      <c r="E19" s="185"/>
      <c r="F19" s="185"/>
      <c r="G19" s="185"/>
      <c r="H19" s="185"/>
      <c r="I19" s="185"/>
      <c r="J19" s="185"/>
      <c r="K19" s="185"/>
      <c r="L19" s="185"/>
      <c r="N19" s="209"/>
      <c r="O19" s="179" t="s">
        <v>125</v>
      </c>
    </row>
    <row r="20" spans="2:40" ht="13.9" customHeight="1" x14ac:dyDescent="0.25">
      <c r="C20" s="185"/>
      <c r="D20" s="185"/>
      <c r="E20" s="185"/>
      <c r="F20" s="185"/>
      <c r="G20" s="185"/>
      <c r="H20" s="185"/>
      <c r="I20" s="185"/>
      <c r="J20" s="185"/>
      <c r="K20" s="185"/>
      <c r="L20" s="185"/>
      <c r="N20" s="209"/>
      <c r="V20" s="256"/>
    </row>
    <row r="21" spans="2:40" ht="18.75" x14ac:dyDescent="0.3">
      <c r="B21" s="545" t="s">
        <v>201</v>
      </c>
      <c r="C21" s="546"/>
      <c r="D21" s="546"/>
      <c r="E21" s="546"/>
      <c r="F21" s="547"/>
      <c r="G21" s="545" t="s">
        <v>43</v>
      </c>
      <c r="H21" s="546"/>
      <c r="I21" s="546"/>
      <c r="J21" s="547"/>
      <c r="K21" s="545" t="s">
        <v>50</v>
      </c>
      <c r="L21" s="546"/>
      <c r="M21" s="546"/>
      <c r="N21" s="546"/>
      <c r="O21" s="544" t="s">
        <v>202</v>
      </c>
      <c r="P21" s="544"/>
      <c r="Q21" s="544"/>
      <c r="R21" s="544"/>
      <c r="S21" s="544"/>
      <c r="T21" s="252"/>
      <c r="U21" s="252"/>
      <c r="V21" s="255">
        <f>K23*Q14+L23*Q15+M23*Q16+N23*Q17</f>
        <v>14933.09219730507</v>
      </c>
      <c r="W21" s="252"/>
      <c r="X21" s="252"/>
      <c r="Y21" s="252"/>
      <c r="Z21" s="252"/>
      <c r="AA21" s="252"/>
      <c r="AB21" s="252"/>
      <c r="AC21" s="252"/>
      <c r="AD21" s="252"/>
    </row>
    <row r="22" spans="2:40" s="27" customFormat="1" ht="66.599999999999994" customHeight="1" x14ac:dyDescent="0.25">
      <c r="B22" s="217" t="s">
        <v>203</v>
      </c>
      <c r="C22" s="217" t="s">
        <v>77</v>
      </c>
      <c r="D22" s="217" t="s">
        <v>75</v>
      </c>
      <c r="E22" s="217" t="s">
        <v>204</v>
      </c>
      <c r="F22" s="217" t="s">
        <v>205</v>
      </c>
      <c r="G22" s="217" t="s">
        <v>206</v>
      </c>
      <c r="H22" s="217" t="s">
        <v>207</v>
      </c>
      <c r="I22" s="217" t="s">
        <v>208</v>
      </c>
      <c r="J22" s="217" t="s">
        <v>209</v>
      </c>
      <c r="K22" s="217" t="s">
        <v>206</v>
      </c>
      <c r="L22" s="217" t="s">
        <v>207</v>
      </c>
      <c r="M22" s="217" t="s">
        <v>208</v>
      </c>
      <c r="N22" s="251" t="s">
        <v>209</v>
      </c>
      <c r="O22" s="322" t="s">
        <v>210</v>
      </c>
      <c r="P22" s="280" t="s">
        <v>211</v>
      </c>
      <c r="Q22" s="280" t="s">
        <v>212</v>
      </c>
      <c r="R22" s="280" t="s">
        <v>213</v>
      </c>
      <c r="S22" s="280" t="s">
        <v>214</v>
      </c>
      <c r="AG22" s="537" t="s">
        <v>165</v>
      </c>
      <c r="AH22" s="538"/>
      <c r="AI22" s="538"/>
      <c r="AJ22" s="539"/>
      <c r="AK22" s="538" t="s">
        <v>215</v>
      </c>
      <c r="AL22" s="538"/>
      <c r="AM22" s="538"/>
      <c r="AN22" s="542"/>
    </row>
    <row r="23" spans="2:40" ht="15.75" x14ac:dyDescent="0.25">
      <c r="B23" s="218" t="s">
        <v>216</v>
      </c>
      <c r="C23" s="219" t="s">
        <v>32</v>
      </c>
      <c r="D23" s="219" t="s">
        <v>217</v>
      </c>
      <c r="E23" s="219">
        <v>6</v>
      </c>
      <c r="F23" s="220">
        <v>12000</v>
      </c>
      <c r="G23" s="221">
        <v>10000</v>
      </c>
      <c r="H23" s="221">
        <v>400</v>
      </c>
      <c r="I23" s="221">
        <v>50</v>
      </c>
      <c r="J23" s="221">
        <v>0</v>
      </c>
      <c r="K23" s="221">
        <v>3445</v>
      </c>
      <c r="L23" s="221">
        <v>120</v>
      </c>
      <c r="M23" s="222">
        <v>12</v>
      </c>
      <c r="N23" s="222">
        <v>0</v>
      </c>
      <c r="O23" s="272">
        <f t="shared" ref="O23:O54" si="0">G23+H23*$U$7+I23*$U$8+J23*$U$9</f>
        <v>23060.635689999999</v>
      </c>
      <c r="P23" s="272">
        <f t="shared" ref="P23:P54" si="1">O23-(K23+L23*$U$7+M23*$U$8+N23*$U$9)</f>
        <v>15777.880458</v>
      </c>
      <c r="Q23" s="273">
        <f>IF(O23&lt;&gt;0, (O23-P23)/O23, "")</f>
        <v>0.31580895383374402</v>
      </c>
      <c r="R23" s="274">
        <f>IF(AND(C23="MF", D23="Market Rate"), $K23*P$14 + $L23*P$15 + $M23*P$16 + $N23*P$17,
 IF(AND(C23="MF", D23="LMI"), $K23*Q$14 + $L23*Q$15 + $M23*Q$16 + $N23*Q$17,
 IF(AND(C23="SF", D23="Market Rate"), $K23*N$14 + $L23*N$15 + $M23*N$16 + $N23*N$17,
 IF(AND(C23="SF", D23="LMI"), $K23*O$14 + $L23*O$15 + $M23*O$16 + $N23*O$17, ""))))</f>
        <v>7466.546098652535</v>
      </c>
      <c r="S23" s="275">
        <f t="shared" ref="S23:S54" si="2">IF($D23="LMI", $F23*($H$9/100), $F23*0.5)</f>
        <v>6000</v>
      </c>
      <c r="W23" s="257" t="s">
        <v>218</v>
      </c>
      <c r="X23" s="260">
        <f>SUM(O24:INDEX(O:O, 24 + $H$11 - 1))</f>
        <v>0</v>
      </c>
      <c r="AG23" s="535" t="s">
        <v>166</v>
      </c>
      <c r="AH23" s="536"/>
      <c r="AI23" s="540" t="s">
        <v>167</v>
      </c>
      <c r="AJ23" s="541"/>
      <c r="AK23" s="536" t="s">
        <v>166</v>
      </c>
      <c r="AL23" s="536"/>
      <c r="AM23" s="540" t="s">
        <v>167</v>
      </c>
      <c r="AN23" s="543"/>
    </row>
    <row r="24" spans="2:40" x14ac:dyDescent="0.25">
      <c r="B24" s="212" t="str" cm="1">
        <f t="array" ref="B24:B34">"Project " &amp; _xlfn.SEQUENCE($H$11,1,1,1)</f>
        <v>Project 1</v>
      </c>
      <c r="C24" s="213"/>
      <c r="D24" s="213"/>
      <c r="E24" s="213"/>
      <c r="F24" s="214"/>
      <c r="G24" s="215"/>
      <c r="H24" s="215"/>
      <c r="I24" s="215"/>
      <c r="J24" s="215"/>
      <c r="K24" s="215"/>
      <c r="L24" s="215"/>
      <c r="M24" s="216"/>
      <c r="N24" s="216"/>
      <c r="O24" s="276">
        <f t="shared" si="0"/>
        <v>0</v>
      </c>
      <c r="P24" s="276">
        <f t="shared" si="1"/>
        <v>0</v>
      </c>
      <c r="Q24" s="277" t="str">
        <f>IF(O24&lt;&gt;0, (O24-P24)/O24, "-")</f>
        <v>-</v>
      </c>
      <c r="R24" s="278" t="str">
        <f t="shared" ref="R24:R55" si="3">IF(AND(C24="MF", D24="Market Rate"), $K24*P$14 + $L24*P$15 + $M24*P$16 + $N24*P$17,
 IF(AND(C24="MF", D24="LMI"), $K24*Q$14 + $L24*Q$15 + $M24*Q$16 + $N24*Q$17,
 IF(AND(C24="SF", D24="Market Rate"), $K24*N$14 + $L24*N$15 + $M24*N$16 + $N24*N$17,
 IF(AND(C24="SF", D24="LMI"), $K24*O$14 + $L24*O$15 + $M24*O$16 + $N24*O$17, "-"))))</f>
        <v>-</v>
      </c>
      <c r="S24" s="279">
        <f t="shared" si="2"/>
        <v>0</v>
      </c>
      <c r="W24" s="257" t="s">
        <v>219</v>
      </c>
      <c r="X24" s="260">
        <f>SUM(P24:INDEX(P:P, 24 + $H$11 - 1))</f>
        <v>0</v>
      </c>
      <c r="AD24" s="245"/>
      <c r="AE24" s="245"/>
      <c r="AF24" s="246" t="s">
        <v>168</v>
      </c>
      <c r="AG24" s="226">
        <f>SUMIFS(G24:INDEX(G:G, 24 + H11 - 1), C24:INDEX(C:C, 24 + H11 - 1), "SF", D24:INDEX(D:D, 24 + H11 - 1), "Market Rate")</f>
        <v>0</v>
      </c>
      <c r="AH24" s="227" t="s">
        <v>20</v>
      </c>
      <c r="AI24" s="228">
        <f>SUMIFS(G$24:INDEX(G:G, 24 + $H$11 - 1), $C$24:INDEX($C:$C, 24 + $H$11 - 1), "SF", $D$24:INDEX($D:$D, 24 + $H$11 - 1), "LMI")</f>
        <v>0</v>
      </c>
      <c r="AJ24" s="241" t="s">
        <v>20</v>
      </c>
      <c r="AK24" s="229">
        <f>SUMIFS(G24:INDEX(G:G, 24 + $H$11 - 1), C24:INDEX(C:C, 24 + $H$11 - 1), "MF", D24:INDEX(D:D, 24 + $H$11 - 1), "Market Rate")</f>
        <v>0</v>
      </c>
      <c r="AL24" s="227" t="s">
        <v>20</v>
      </c>
      <c r="AM24" s="228">
        <f>SUMIFS(G24:INDEX(G:G, 24 + $H$11 - 1), C24:INDEX(C:C, 24 + $H$11 - 1), "MF", D24:INDEX(D:D, 24 + $H$11 - 1), "LMI")</f>
        <v>0</v>
      </c>
      <c r="AN24" s="224" t="s">
        <v>20</v>
      </c>
    </row>
    <row r="25" spans="2:40" x14ac:dyDescent="0.25">
      <c r="B25" s="212" t="str">
        <v>Project 2</v>
      </c>
      <c r="C25" s="213"/>
      <c r="D25" s="213"/>
      <c r="E25" s="213"/>
      <c r="F25" s="214"/>
      <c r="G25" s="215"/>
      <c r="H25" s="215"/>
      <c r="I25" s="215"/>
      <c r="J25" s="215"/>
      <c r="K25" s="215"/>
      <c r="L25" s="215"/>
      <c r="M25" s="216"/>
      <c r="N25" s="216"/>
      <c r="O25" s="276">
        <f t="shared" si="0"/>
        <v>0</v>
      </c>
      <c r="P25" s="276">
        <f t="shared" si="1"/>
        <v>0</v>
      </c>
      <c r="Q25" s="277" t="str">
        <f t="shared" ref="Q25:Q88" si="4">IF(O25&lt;&gt;0, (O25-P25)/O25, "-")</f>
        <v>-</v>
      </c>
      <c r="R25" s="278" t="str">
        <f t="shared" si="3"/>
        <v>-</v>
      </c>
      <c r="S25" s="279">
        <f t="shared" si="2"/>
        <v>0</v>
      </c>
      <c r="W25" s="258" t="s">
        <v>220</v>
      </c>
      <c r="X25" s="261" t="e">
        <f>(X23-X24)/X23</f>
        <v>#DIV/0!</v>
      </c>
      <c r="AD25" s="245"/>
      <c r="AE25" s="245"/>
      <c r="AF25" s="246" t="s">
        <v>169</v>
      </c>
      <c r="AG25" s="226">
        <f>SUMIFS(H24:INDEX(H:H, 24 + H11 - 1), C24:INDEX(C:C, 24 + H11 - 1), "SF", D24:INDEX(D:D, 24 + H11 - 1), "Market Rate")</f>
        <v>0</v>
      </c>
      <c r="AH25" s="227" t="s">
        <v>37</v>
      </c>
      <c r="AI25" s="228">
        <f>SUMIFS(H$24:INDEX(H:H, 24 + $H$11 - 1), $C$24:INDEX($C:$C, 24 + $H$11 - 1), "SF", $D$24:INDEX($D:$D, 24 + $H$11 - 1), "LMI")</f>
        <v>0</v>
      </c>
      <c r="AJ25" s="242" t="s">
        <v>37</v>
      </c>
      <c r="AK25" s="229">
        <f>SUMIFS(H$24:INDEX(H:H, 24 + $H$11 - 1), $C$24:INDEX($C:$C, 24 + $H$11 - 1), "MF", $D$24:INDEX($D:$D, 24 + $H$11 - 1), "Market Rate")</f>
        <v>0</v>
      </c>
      <c r="AL25" s="227" t="s">
        <v>37</v>
      </c>
      <c r="AM25" s="228">
        <f>SUMIFS(H$24:INDEX(H:H, 24 + $H$11 - 1), $C$24:INDEX($C:$C, 24 + $H$11 - 1), "MF", $D$24:INDEX($D:$D, 24 + $H$11 - 1), "LMI")</f>
        <v>0</v>
      </c>
      <c r="AN25" s="224" t="s">
        <v>37</v>
      </c>
    </row>
    <row r="26" spans="2:40" x14ac:dyDescent="0.25">
      <c r="B26" s="212" t="str">
        <v>Project 3</v>
      </c>
      <c r="C26" s="213"/>
      <c r="D26" s="213"/>
      <c r="E26" s="213"/>
      <c r="F26" s="214"/>
      <c r="G26" s="215"/>
      <c r="H26" s="215"/>
      <c r="I26" s="215"/>
      <c r="J26" s="215"/>
      <c r="K26" s="215"/>
      <c r="L26" s="215"/>
      <c r="M26" s="216"/>
      <c r="N26" s="216"/>
      <c r="O26" s="276">
        <f t="shared" si="0"/>
        <v>0</v>
      </c>
      <c r="P26" s="276">
        <f t="shared" si="1"/>
        <v>0</v>
      </c>
      <c r="Q26" s="277" t="str">
        <f t="shared" si="4"/>
        <v>-</v>
      </c>
      <c r="R26" s="278" t="str">
        <f t="shared" si="3"/>
        <v>-</v>
      </c>
      <c r="S26" s="279">
        <f t="shared" si="2"/>
        <v>0</v>
      </c>
      <c r="AD26" s="245"/>
      <c r="AE26" s="245"/>
      <c r="AF26" s="246" t="s">
        <v>170</v>
      </c>
      <c r="AG26" s="226">
        <f>SUMIFS(I24:INDEX(I:I, 24 + H11 - 1), C24:INDEX(C:C, 24 + H11 - 1), "SF", D24:INDEX(D:D, 24 + H11 - 1), "Market Rate")</f>
        <v>0</v>
      </c>
      <c r="AH26" s="227" t="s">
        <v>41</v>
      </c>
      <c r="AI26" s="228">
        <f>SUMIFS(I$24:INDEX(I:I, 24 + $H$11 - 1), $C$24:INDEX($C:$C, 24 + $H$11 - 1), "SF", $D$24:INDEX($D:$D, 24 + $H$11 - 1), "LMI")</f>
        <v>0</v>
      </c>
      <c r="AJ26" s="242" t="s">
        <v>41</v>
      </c>
      <c r="AK26" s="229">
        <f>SUMIFS(I$24:INDEX(I:I, 24 + $H$11 - 1), $C$24:INDEX($C:$C, 24 + $H$11 - 1), "MF", $D$24:INDEX($D:$D, 24 + $H$11 - 1), "Market Rate")</f>
        <v>0</v>
      </c>
      <c r="AL26" s="227" t="s">
        <v>41</v>
      </c>
      <c r="AM26" s="228">
        <f>SUMIFS(I$24:INDEX(I:I, 24 + $H$11 - 1), $C$24:INDEX($C:$C, 24 + $H$11 - 1), "MF", $D$24:INDEX($D:$D, 24 + $H$11 - 1), "LMI")</f>
        <v>0</v>
      </c>
      <c r="AN26" s="224" t="s">
        <v>41</v>
      </c>
    </row>
    <row r="27" spans="2:40" ht="15.75" x14ac:dyDescent="0.25">
      <c r="B27" s="212" t="str">
        <v>Project 4</v>
      </c>
      <c r="C27" s="213"/>
      <c r="D27" s="213"/>
      <c r="E27" s="213"/>
      <c r="F27" s="214"/>
      <c r="G27" s="215"/>
      <c r="H27" s="215"/>
      <c r="I27" s="215"/>
      <c r="J27" s="215"/>
      <c r="K27" s="215"/>
      <c r="L27" s="215"/>
      <c r="M27" s="216"/>
      <c r="N27" s="216"/>
      <c r="O27" s="276">
        <f t="shared" si="0"/>
        <v>0</v>
      </c>
      <c r="P27" s="276">
        <f t="shared" si="1"/>
        <v>0</v>
      </c>
      <c r="Q27" s="277" t="str">
        <f t="shared" si="4"/>
        <v>-</v>
      </c>
      <c r="R27" s="278" t="str">
        <f t="shared" si="3"/>
        <v>-</v>
      </c>
      <c r="S27" s="279">
        <f t="shared" si="2"/>
        <v>0</v>
      </c>
      <c r="W27" s="258" t="s">
        <v>191</v>
      </c>
      <c r="X27" s="262" t="e">
        <f>IF(X25&gt;=0.15, "Yes", "No")</f>
        <v>#DIV/0!</v>
      </c>
      <c r="AD27" s="245"/>
      <c r="AE27" s="245"/>
      <c r="AF27" s="246" t="s">
        <v>171</v>
      </c>
      <c r="AG27" s="226">
        <f>SUMIFS(J24:INDEX(J:J, 24 + H11 - 1), C24:INDEX(C:C, 24 + H11 - 1), "SF", D24:INDEX(D:D, 24 + H11 - 1), "Market Rate")</f>
        <v>0</v>
      </c>
      <c r="AH27" s="227" t="s">
        <v>41</v>
      </c>
      <c r="AI27" s="228">
        <f>SUMIFS(J$24:INDEX(J:J, 24 + $H$11 - 1), $C$24:INDEX($C:$C, 24 + $H$11 - 1), "SF", $D$24:INDEX($D:$D, 24 + $H$11 - 1), "LMI")</f>
        <v>0</v>
      </c>
      <c r="AJ27" s="242" t="s">
        <v>41</v>
      </c>
      <c r="AK27" s="229">
        <f>SUMIFS(J$24:INDEX(J:J, 24 + $H$11 - 1), $C$24:INDEX($C:$C, 24 + $H$11 - 1), "MF", $D$24:INDEX($D:$D, 24 + $H$11 - 1), "Market Rate")</f>
        <v>0</v>
      </c>
      <c r="AL27" s="227" t="s">
        <v>41</v>
      </c>
      <c r="AM27" s="228">
        <f>SUMIFS(J$24:INDEX(J:J, 24 + $H$11 - 1), $C$24:INDEX($C:$C, 24 + $H$11 - 1), "MF", $D$24:INDEX($D:$D, 24 + $H$11 - 1), "LMI")</f>
        <v>0</v>
      </c>
      <c r="AN27" s="224" t="s">
        <v>41</v>
      </c>
    </row>
    <row r="28" spans="2:40" ht="15.75" x14ac:dyDescent="0.25">
      <c r="B28" s="212" t="str">
        <v>Project 5</v>
      </c>
      <c r="C28" s="213"/>
      <c r="D28" s="213"/>
      <c r="E28" s="213"/>
      <c r="F28" s="214"/>
      <c r="G28" s="215"/>
      <c r="H28" s="215"/>
      <c r="I28" s="215"/>
      <c r="J28" s="215"/>
      <c r="K28" s="215"/>
      <c r="L28" s="215"/>
      <c r="M28" s="216"/>
      <c r="N28" s="216"/>
      <c r="O28" s="276">
        <f t="shared" si="0"/>
        <v>0</v>
      </c>
      <c r="P28" s="276">
        <f t="shared" si="1"/>
        <v>0</v>
      </c>
      <c r="Q28" s="277" t="str">
        <f t="shared" si="4"/>
        <v>-</v>
      </c>
      <c r="R28" s="278" t="str">
        <f t="shared" si="3"/>
        <v>-</v>
      </c>
      <c r="S28" s="279">
        <f t="shared" si="2"/>
        <v>0</v>
      </c>
      <c r="AD28" s="245"/>
      <c r="AE28" s="245"/>
      <c r="AF28" s="247" t="s">
        <v>172</v>
      </c>
      <c r="AG28" s="230">
        <f>SUMPRODUCT(AG24:AG27,N14:N17)</f>
        <v>0</v>
      </c>
      <c r="AH28" s="231" t="s">
        <v>173</v>
      </c>
      <c r="AI28" s="232">
        <f>SUMPRODUCT(AI24:AI27,O14:O17)</f>
        <v>0</v>
      </c>
      <c r="AJ28" s="243" t="s">
        <v>173</v>
      </c>
      <c r="AK28" s="233">
        <f>SUMPRODUCT(AK24:AK27,P14:P17)</f>
        <v>0</v>
      </c>
      <c r="AL28" s="231" t="s">
        <v>173</v>
      </c>
      <c r="AM28" s="232">
        <f>SUMPRODUCT(AM24:AM27,Q14:Q17)</f>
        <v>0</v>
      </c>
      <c r="AN28" s="225" t="s">
        <v>173</v>
      </c>
    </row>
    <row r="29" spans="2:40" x14ac:dyDescent="0.25">
      <c r="B29" s="212" t="str">
        <v>Project 6</v>
      </c>
      <c r="C29" s="213"/>
      <c r="D29" s="213"/>
      <c r="E29" s="213"/>
      <c r="F29" s="214"/>
      <c r="G29" s="215"/>
      <c r="H29" s="215"/>
      <c r="I29" s="215"/>
      <c r="J29" s="215"/>
      <c r="K29" s="215"/>
      <c r="L29" s="215"/>
      <c r="M29" s="216"/>
      <c r="N29" s="216"/>
      <c r="O29" s="276">
        <f t="shared" si="0"/>
        <v>0</v>
      </c>
      <c r="P29" s="276">
        <f t="shared" si="1"/>
        <v>0</v>
      </c>
      <c r="Q29" s="277" t="str">
        <f t="shared" si="4"/>
        <v>-</v>
      </c>
      <c r="R29" s="278" t="str">
        <f t="shared" si="3"/>
        <v>-</v>
      </c>
      <c r="S29" s="279">
        <f t="shared" si="2"/>
        <v>0</v>
      </c>
      <c r="AD29" s="245"/>
      <c r="AE29" s="245"/>
      <c r="AF29" s="245"/>
      <c r="AG29" s="226"/>
      <c r="AH29" s="227"/>
      <c r="AI29" s="228"/>
      <c r="AJ29" s="242"/>
      <c r="AK29" s="229"/>
      <c r="AL29" s="227"/>
      <c r="AM29" s="228"/>
      <c r="AN29" s="224"/>
    </row>
    <row r="30" spans="2:40" x14ac:dyDescent="0.25">
      <c r="B30" s="212" t="str">
        <v>Project 7</v>
      </c>
      <c r="C30" s="213"/>
      <c r="D30" s="213"/>
      <c r="E30" s="213"/>
      <c r="F30" s="214"/>
      <c r="G30" s="215"/>
      <c r="H30" s="215"/>
      <c r="I30" s="215"/>
      <c r="J30" s="215"/>
      <c r="K30" s="215"/>
      <c r="L30" s="215"/>
      <c r="M30" s="216"/>
      <c r="N30" s="216"/>
      <c r="O30" s="276">
        <f t="shared" si="0"/>
        <v>0</v>
      </c>
      <c r="P30" s="276">
        <f t="shared" si="1"/>
        <v>0</v>
      </c>
      <c r="Q30" s="277" t="str">
        <f t="shared" si="4"/>
        <v>-</v>
      </c>
      <c r="R30" s="278" t="str">
        <f t="shared" si="3"/>
        <v>-</v>
      </c>
      <c r="S30" s="279">
        <f t="shared" si="2"/>
        <v>0</v>
      </c>
      <c r="AD30" s="245"/>
      <c r="AE30" s="245"/>
      <c r="AF30" s="248" t="s">
        <v>221</v>
      </c>
      <c r="AG30" s="226">
        <f>SUMIFS(K$24:INDEX(K:K, 24 + $H$11 - 1), $C$24:INDEX($C:$C, 24 + $H$11 - 1), "SF", $D$24:INDEX($D:$D, 24 + $H$11 - 1), "Market Rate")</f>
        <v>0</v>
      </c>
      <c r="AH30" s="227" t="s">
        <v>20</v>
      </c>
      <c r="AI30" s="228">
        <f>SUMIFS(K$24:INDEX(K:K, 24 + $H$11 - 1), $C$24:INDEX($C:$C, 24 + $H$11 - 1), "SF", $D$24:INDEX($D:$D, 24 + $H$11 - 1), "LMI")</f>
        <v>0</v>
      </c>
      <c r="AJ30" s="242" t="s">
        <v>20</v>
      </c>
      <c r="AK30" s="229">
        <f>SUMIFS(K$24:INDEX(K:K, 24 + $H$11 - 1), $C$24:INDEX($C:$C, 24 + $H$11 - 1), "MF", $D$24:INDEX($D:$D, 24 + $H$11 - 1), "Market Rate")</f>
        <v>0</v>
      </c>
      <c r="AL30" s="227" t="s">
        <v>20</v>
      </c>
      <c r="AM30" s="228">
        <f>SUMIFS(K$24:INDEX(K:K, 24 + $H$11 - 1), $C$24:INDEX($C:$C, 24 + $H$11 - 1), "MF", $D$24:INDEX($D:$D, 24 + $H$11 - 1), "LMI")</f>
        <v>0</v>
      </c>
      <c r="AN30" s="224" t="s">
        <v>20</v>
      </c>
    </row>
    <row r="31" spans="2:40" x14ac:dyDescent="0.25">
      <c r="B31" s="212" t="str">
        <v>Project 8</v>
      </c>
      <c r="C31" s="213"/>
      <c r="D31" s="213"/>
      <c r="E31" s="213"/>
      <c r="F31" s="214"/>
      <c r="G31" s="215"/>
      <c r="H31" s="215"/>
      <c r="I31" s="215"/>
      <c r="J31" s="215"/>
      <c r="K31" s="215"/>
      <c r="L31" s="215"/>
      <c r="M31" s="216"/>
      <c r="N31" s="216"/>
      <c r="O31" s="276">
        <f t="shared" si="0"/>
        <v>0</v>
      </c>
      <c r="P31" s="276">
        <f t="shared" si="1"/>
        <v>0</v>
      </c>
      <c r="Q31" s="277" t="str">
        <f t="shared" si="4"/>
        <v>-</v>
      </c>
      <c r="R31" s="278" t="str">
        <f t="shared" si="3"/>
        <v>-</v>
      </c>
      <c r="S31" s="279">
        <f t="shared" si="2"/>
        <v>0</v>
      </c>
      <c r="AD31" s="245"/>
      <c r="AE31" s="245"/>
      <c r="AF31" s="248" t="s">
        <v>222</v>
      </c>
      <c r="AG31" s="226">
        <f>SUMIFS(L$24:INDEX(L:L, 24 + $H$11 - 1), $C$24:INDEX($C:$C, 24 + $H$11 - 1), "SF", $D$24:INDEX($D:$D, 24 + $H$11 - 1), "Market Rate")</f>
        <v>0</v>
      </c>
      <c r="AH31" s="227" t="s">
        <v>37</v>
      </c>
      <c r="AI31" s="228">
        <f>SUMIFS(L$24:INDEX(L:L, 24 + $H$11 - 1), $C$24:INDEX($C:$C, 24 + $H$11 - 1), "SF", $D$24:INDEX($D:$D, 24 + $H$11 - 1), "LMI")</f>
        <v>0</v>
      </c>
      <c r="AJ31" s="242" t="s">
        <v>37</v>
      </c>
      <c r="AK31" s="229">
        <f>SUMIFS(L$24:INDEX(L:L, 24 + $H$11 - 1), $C$24:INDEX($C:$C, 24 + $H$11 - 1), "MF", $D$24:INDEX($D:$D, 24 + $H$11 - 1), "Market Rate")</f>
        <v>0</v>
      </c>
      <c r="AL31" s="227" t="s">
        <v>37</v>
      </c>
      <c r="AM31" s="228">
        <f>SUMIFS(L$24:INDEX(L:L, 24 + $H$11 - 1), $C$24:INDEX($C:$C, 24 + $H$11 - 1), "MF", $D$24:INDEX($D:$D, 24 + $H$11 - 1), "LMI")</f>
        <v>0</v>
      </c>
      <c r="AN31" s="224" t="s">
        <v>37</v>
      </c>
    </row>
    <row r="32" spans="2:40" x14ac:dyDescent="0.25">
      <c r="B32" s="212" t="str">
        <v>Project 9</v>
      </c>
      <c r="C32" s="213"/>
      <c r="D32" s="213"/>
      <c r="E32" s="213"/>
      <c r="F32" s="214"/>
      <c r="G32" s="215"/>
      <c r="H32" s="215"/>
      <c r="I32" s="215"/>
      <c r="J32" s="215"/>
      <c r="K32" s="215"/>
      <c r="L32" s="215"/>
      <c r="M32" s="216"/>
      <c r="N32" s="216"/>
      <c r="O32" s="276">
        <f t="shared" si="0"/>
        <v>0</v>
      </c>
      <c r="P32" s="276">
        <f t="shared" si="1"/>
        <v>0</v>
      </c>
      <c r="Q32" s="277" t="str">
        <f t="shared" si="4"/>
        <v>-</v>
      </c>
      <c r="R32" s="278" t="str">
        <f t="shared" si="3"/>
        <v>-</v>
      </c>
      <c r="S32" s="279">
        <f t="shared" si="2"/>
        <v>0</v>
      </c>
      <c r="W32" s="259" t="s">
        <v>196</v>
      </c>
      <c r="X32" s="263" t="e">
        <f>IF(X25&gt;=0.15, SUM(R24:INDEX(R:R, 24 + $H$11 - 1)), "15% threshold not reached")</f>
        <v>#DIV/0!</v>
      </c>
      <c r="AD32" s="245"/>
      <c r="AE32" s="245"/>
      <c r="AF32" s="248" t="s">
        <v>223</v>
      </c>
      <c r="AG32" s="226">
        <f>SUMIFS(M$24:INDEX(M:M, 24 + $H$11 - 1), $C$24:INDEX($C:$C, 24 + $H$11 - 1), "SF", $D$24:INDEX($D:$D, 24 + $H$11 - 1), "Market Rate")</f>
        <v>0</v>
      </c>
      <c r="AH32" s="227" t="s">
        <v>41</v>
      </c>
      <c r="AI32" s="228">
        <f>SUMIFS(M$24:INDEX(M:M, 24 + $H$11 - 1), $C$24:INDEX($C:$C, 24 + $H$11 - 1), "SF", $D$24:INDEX($D:$D, 24 + $H$11 - 1), "LMI")</f>
        <v>0</v>
      </c>
      <c r="AJ32" s="242" t="s">
        <v>41</v>
      </c>
      <c r="AK32" s="229">
        <f>SUMIFS(M$24:INDEX(M:M, 24 + $H$11 - 1), $C$24:INDEX($C:$C, 24 + $H$11 - 1), "MF", $D$24:INDEX($D:$D, 24 + $H$11 - 1), "Market Rate")</f>
        <v>0</v>
      </c>
      <c r="AL32" s="227" t="s">
        <v>41</v>
      </c>
      <c r="AM32" s="228">
        <f>SUMIFS(M$24:INDEX(M:M, 24 + $H$11 - 1), $C$24:INDEX($C:$C, 24 + $H$11 - 1), "MF", $D$24:INDEX($D:$D, 24 + $H$11 - 1), "LMI")</f>
        <v>0</v>
      </c>
      <c r="AN32" s="224" t="s">
        <v>41</v>
      </c>
    </row>
    <row r="33" spans="2:40" x14ac:dyDescent="0.25">
      <c r="B33" s="212" t="str">
        <v>Project 10</v>
      </c>
      <c r="C33" s="213"/>
      <c r="D33" s="213"/>
      <c r="E33" s="213"/>
      <c r="F33" s="214"/>
      <c r="G33" s="215"/>
      <c r="H33" s="215"/>
      <c r="I33" s="215"/>
      <c r="J33" s="215"/>
      <c r="K33" s="215"/>
      <c r="L33" s="215"/>
      <c r="M33" s="216"/>
      <c r="N33" s="216"/>
      <c r="O33" s="276">
        <f t="shared" si="0"/>
        <v>0</v>
      </c>
      <c r="P33" s="276">
        <f t="shared" si="1"/>
        <v>0</v>
      </c>
      <c r="Q33" s="277" t="str">
        <f t="shared" si="4"/>
        <v>-</v>
      </c>
      <c r="R33" s="278" t="str">
        <f t="shared" si="3"/>
        <v>-</v>
      </c>
      <c r="S33" s="279">
        <f t="shared" si="2"/>
        <v>0</v>
      </c>
      <c r="W33" s="88" t="s">
        <v>224</v>
      </c>
      <c r="X33" s="264" t="e">
        <f>IF(X25&gt;=0.15, X32/H11, "15% threshold not reached")</f>
        <v>#DIV/0!</v>
      </c>
      <c r="AD33" s="245"/>
      <c r="AE33" s="245"/>
      <c r="AF33" s="248" t="s">
        <v>225</v>
      </c>
      <c r="AG33" s="226">
        <f>SUMIFS(N$24:INDEX(N:N, 24 + $H$11 - 1), $C$24:INDEX($C:$C, 24 + $H$11 - 1), "SF", $D$24:INDEX($D:$D, 24 + $H$11 - 1), "Market Rate")</f>
        <v>0</v>
      </c>
      <c r="AH33" s="227" t="s">
        <v>41</v>
      </c>
      <c r="AI33" s="228">
        <f>SUMIFS(N$24:INDEX(N:N, 24 + $H$11 - 1), $C$24:INDEX($C:$C, 24 + $H$11 - 1), "SF", $D$24:INDEX($D:$D, 24 + $H$11 - 1), "LMI")</f>
        <v>0</v>
      </c>
      <c r="AJ33" s="242" t="s">
        <v>41</v>
      </c>
      <c r="AK33" s="229">
        <f>SUMIFS(N$24:INDEX(N:N, 24 + $H$11 - 1), $C$24:INDEX($C:$C, 24 + $H$11 - 1), "MF", $D$24:INDEX($D:$D, 24 + $H$11 - 1), "Market Rate")</f>
        <v>0</v>
      </c>
      <c r="AL33" s="227" t="s">
        <v>41</v>
      </c>
      <c r="AM33" s="228">
        <f>SUMIFS(N$24:INDEX(N:N, 24 + $H$11 - 1), $C$24:INDEX($C:$C, 24 + $H$11 - 1), "MF", $D$24:INDEX($D:$D, 24 + $H$11 - 1), "LMI")</f>
        <v>0</v>
      </c>
      <c r="AN33" s="224" t="s">
        <v>41</v>
      </c>
    </row>
    <row r="34" spans="2:40" ht="15.75" x14ac:dyDescent="0.25">
      <c r="B34" s="212" t="str">
        <v>Project 11</v>
      </c>
      <c r="C34" s="213"/>
      <c r="D34" s="213"/>
      <c r="E34" s="213"/>
      <c r="F34" s="214"/>
      <c r="G34" s="215"/>
      <c r="H34" s="215"/>
      <c r="I34" s="215"/>
      <c r="J34" s="215"/>
      <c r="K34" s="215"/>
      <c r="L34" s="215"/>
      <c r="M34" s="216"/>
      <c r="N34" s="216"/>
      <c r="O34" s="276">
        <f t="shared" si="0"/>
        <v>0</v>
      </c>
      <c r="P34" s="276">
        <f t="shared" si="1"/>
        <v>0</v>
      </c>
      <c r="Q34" s="277" t="str">
        <f t="shared" si="4"/>
        <v>-</v>
      </c>
      <c r="R34" s="278" t="str">
        <f t="shared" si="3"/>
        <v>-</v>
      </c>
      <c r="S34" s="279">
        <f t="shared" si="2"/>
        <v>0</v>
      </c>
      <c r="W34" s="88" t="s">
        <v>226</v>
      </c>
      <c r="X34" s="265" t="e">
        <f>IF(X25&gt;=0.15,X32/SUM(E24:INDEX(E:E, 24 + $H$11 - 1)),"15% threshold not reached")</f>
        <v>#DIV/0!</v>
      </c>
      <c r="AD34" s="245"/>
      <c r="AE34" s="245"/>
      <c r="AF34" s="247" t="s">
        <v>178</v>
      </c>
      <c r="AG34" s="230">
        <f>SUMPRODUCT(AG30:AG33,N14:N17)</f>
        <v>0</v>
      </c>
      <c r="AH34" s="231" t="s">
        <v>173</v>
      </c>
      <c r="AI34" s="232">
        <f>SUMPRODUCT(AI30:AI33,O14:O17)</f>
        <v>0</v>
      </c>
      <c r="AJ34" s="243" t="s">
        <v>173</v>
      </c>
      <c r="AK34" s="233">
        <f>SUMPRODUCT(AK30:AK33,P14:P17)</f>
        <v>0</v>
      </c>
      <c r="AL34" s="231" t="s">
        <v>173</v>
      </c>
      <c r="AM34" s="232">
        <f>SUMPRODUCT(AM30:AM33,Q14:Q17)</f>
        <v>0</v>
      </c>
      <c r="AN34" s="225" t="s">
        <v>173</v>
      </c>
    </row>
    <row r="35" spans="2:40" ht="15.75" x14ac:dyDescent="0.25">
      <c r="B35" s="212"/>
      <c r="C35" s="213"/>
      <c r="D35" s="213"/>
      <c r="E35" s="213"/>
      <c r="F35" s="214"/>
      <c r="G35" s="215"/>
      <c r="H35" s="215"/>
      <c r="I35" s="215"/>
      <c r="J35" s="215"/>
      <c r="K35" s="215"/>
      <c r="L35" s="215"/>
      <c r="M35" s="216"/>
      <c r="N35" s="216"/>
      <c r="O35" s="276">
        <f t="shared" si="0"/>
        <v>0</v>
      </c>
      <c r="P35" s="276">
        <f t="shared" si="1"/>
        <v>0</v>
      </c>
      <c r="Q35" s="277" t="str">
        <f t="shared" si="4"/>
        <v>-</v>
      </c>
      <c r="R35" s="278" t="str">
        <f t="shared" si="3"/>
        <v>-</v>
      </c>
      <c r="S35" s="279">
        <f t="shared" si="2"/>
        <v>0</v>
      </c>
      <c r="AD35" s="245"/>
      <c r="AE35" s="245"/>
      <c r="AF35" s="249" t="s">
        <v>179</v>
      </c>
      <c r="AG35" s="234" t="e">
        <f>AG34/AG28</f>
        <v>#DIV/0!</v>
      </c>
      <c r="AH35" s="235"/>
      <c r="AI35" s="236" t="e">
        <f>AI34/AI28</f>
        <v>#DIV/0!</v>
      </c>
      <c r="AJ35" s="244"/>
      <c r="AK35" s="238" t="e">
        <f>AK34/AK28</f>
        <v>#DIV/0!</v>
      </c>
      <c r="AL35" s="239"/>
      <c r="AM35" s="240" t="e">
        <f>AM34/AM28</f>
        <v>#DIV/0!</v>
      </c>
      <c r="AN35" s="237"/>
    </row>
    <row r="36" spans="2:40" x14ac:dyDescent="0.25">
      <c r="B36" s="212"/>
      <c r="C36" s="213"/>
      <c r="D36" s="213"/>
      <c r="E36" s="213"/>
      <c r="F36" s="214"/>
      <c r="G36" s="215"/>
      <c r="H36" s="215"/>
      <c r="I36" s="215"/>
      <c r="J36" s="215"/>
      <c r="K36" s="215"/>
      <c r="L36" s="215"/>
      <c r="M36" s="216"/>
      <c r="N36" s="216"/>
      <c r="O36" s="276">
        <f t="shared" si="0"/>
        <v>0</v>
      </c>
      <c r="P36" s="276">
        <f t="shared" si="1"/>
        <v>0</v>
      </c>
      <c r="Q36" s="277" t="str">
        <f t="shared" si="4"/>
        <v>-</v>
      </c>
      <c r="R36" s="278" t="str">
        <f t="shared" si="3"/>
        <v>-</v>
      </c>
      <c r="S36" s="279">
        <f t="shared" si="2"/>
        <v>0</v>
      </c>
    </row>
    <row r="37" spans="2:40" x14ac:dyDescent="0.25">
      <c r="B37" s="212"/>
      <c r="C37" s="213"/>
      <c r="D37" s="213"/>
      <c r="E37" s="213"/>
      <c r="F37" s="214"/>
      <c r="G37" s="215"/>
      <c r="H37" s="215"/>
      <c r="I37" s="215"/>
      <c r="J37" s="215"/>
      <c r="K37" s="215"/>
      <c r="L37" s="215"/>
      <c r="M37" s="216"/>
      <c r="N37" s="216"/>
      <c r="O37" s="276">
        <f t="shared" si="0"/>
        <v>0</v>
      </c>
      <c r="P37" s="276">
        <f t="shared" si="1"/>
        <v>0</v>
      </c>
      <c r="Q37" s="277" t="str">
        <f t="shared" si="4"/>
        <v>-</v>
      </c>
      <c r="R37" s="278" t="str">
        <f t="shared" si="3"/>
        <v>-</v>
      </c>
      <c r="S37" s="279">
        <f t="shared" si="2"/>
        <v>0</v>
      </c>
      <c r="V37" s="223"/>
      <c r="W37" s="254" t="s">
        <v>227</v>
      </c>
      <c r="X37" s="267" t="e">
        <f>IF(X25&gt;=0.15, SUM(S24:INDEX(S:S, 24 + $H$11 - 1)), "15% threshold not reached")</f>
        <v>#DIV/0!</v>
      </c>
    </row>
    <row r="38" spans="2:40" x14ac:dyDescent="0.25">
      <c r="B38" s="212"/>
      <c r="C38" s="213"/>
      <c r="D38" s="213"/>
      <c r="E38" s="213"/>
      <c r="F38" s="214"/>
      <c r="G38" s="215"/>
      <c r="H38" s="215"/>
      <c r="I38" s="215"/>
      <c r="J38" s="215"/>
      <c r="K38" s="215"/>
      <c r="L38" s="215"/>
      <c r="M38" s="216"/>
      <c r="N38" s="216"/>
      <c r="O38" s="276">
        <f t="shared" si="0"/>
        <v>0</v>
      </c>
      <c r="P38" s="276">
        <f t="shared" si="1"/>
        <v>0</v>
      </c>
      <c r="Q38" s="277" t="str">
        <f t="shared" si="4"/>
        <v>-</v>
      </c>
      <c r="R38" s="278" t="str">
        <f t="shared" si="3"/>
        <v>-</v>
      </c>
      <c r="S38" s="279">
        <f t="shared" si="2"/>
        <v>0</v>
      </c>
      <c r="V38" s="223"/>
      <c r="W38" s="254" t="s">
        <v>228</v>
      </c>
      <c r="X38" s="266" t="e">
        <f>IF(X25&gt;=0.15,X37/H11,"15% threshold not reached")</f>
        <v>#DIV/0!</v>
      </c>
      <c r="AF38" s="88" t="s">
        <v>190</v>
      </c>
      <c r="AG38" s="250" t="e">
        <f>AVERAGE(AG35,AI35,AK35,AM35)</f>
        <v>#DIV/0!</v>
      </c>
    </row>
    <row r="39" spans="2:40" x14ac:dyDescent="0.25">
      <c r="B39" s="212"/>
      <c r="C39" s="213"/>
      <c r="D39" s="213"/>
      <c r="E39" s="213"/>
      <c r="F39" s="214"/>
      <c r="G39" s="215"/>
      <c r="H39" s="215"/>
      <c r="I39" s="215"/>
      <c r="J39" s="215"/>
      <c r="K39" s="215"/>
      <c r="L39" s="215"/>
      <c r="M39" s="216"/>
      <c r="N39" s="216"/>
      <c r="O39" s="276">
        <f t="shared" si="0"/>
        <v>0</v>
      </c>
      <c r="P39" s="276">
        <f t="shared" si="1"/>
        <v>0</v>
      </c>
      <c r="Q39" s="277" t="str">
        <f t="shared" si="4"/>
        <v>-</v>
      </c>
      <c r="R39" s="278" t="str">
        <f t="shared" si="3"/>
        <v>-</v>
      </c>
      <c r="S39" s="279">
        <f t="shared" si="2"/>
        <v>0</v>
      </c>
      <c r="V39" s="223"/>
      <c r="W39" s="254" t="s">
        <v>229</v>
      </c>
      <c r="X39" s="267" t="e">
        <f>IF(X25&gt;=0.15,X37/SUM(E24:INDEX(E:E, 24 + $H$11 - 1)),"15% threshold not reached")</f>
        <v>#DIV/0!</v>
      </c>
    </row>
    <row r="40" spans="2:40" x14ac:dyDescent="0.25">
      <c r="B40" s="212"/>
      <c r="C40" s="213"/>
      <c r="D40" s="213"/>
      <c r="E40" s="213"/>
      <c r="F40" s="214"/>
      <c r="G40" s="215"/>
      <c r="H40" s="215"/>
      <c r="I40" s="215"/>
      <c r="J40" s="215"/>
      <c r="K40" s="215"/>
      <c r="L40" s="215"/>
      <c r="M40" s="216"/>
      <c r="N40" s="216"/>
      <c r="O40" s="276">
        <f t="shared" si="0"/>
        <v>0</v>
      </c>
      <c r="P40" s="276">
        <f t="shared" si="1"/>
        <v>0</v>
      </c>
      <c r="Q40" s="277" t="str">
        <f t="shared" si="4"/>
        <v>-</v>
      </c>
      <c r="R40" s="278" t="str">
        <f t="shared" si="3"/>
        <v>-</v>
      </c>
      <c r="S40" s="279">
        <f t="shared" si="2"/>
        <v>0</v>
      </c>
    </row>
    <row r="41" spans="2:40" x14ac:dyDescent="0.25">
      <c r="B41" s="212"/>
      <c r="C41" s="213"/>
      <c r="D41" s="213"/>
      <c r="E41" s="213"/>
      <c r="F41" s="214"/>
      <c r="G41" s="215"/>
      <c r="H41" s="215"/>
      <c r="I41" s="215"/>
      <c r="J41" s="215"/>
      <c r="K41" s="215"/>
      <c r="L41" s="215"/>
      <c r="M41" s="216"/>
      <c r="N41" s="216"/>
      <c r="O41" s="276">
        <f t="shared" si="0"/>
        <v>0</v>
      </c>
      <c r="P41" s="276">
        <f t="shared" si="1"/>
        <v>0</v>
      </c>
      <c r="Q41" s="277" t="str">
        <f t="shared" si="4"/>
        <v>-</v>
      </c>
      <c r="R41" s="278" t="str">
        <f t="shared" si="3"/>
        <v>-</v>
      </c>
      <c r="S41" s="279">
        <f t="shared" si="2"/>
        <v>0</v>
      </c>
    </row>
    <row r="42" spans="2:40" x14ac:dyDescent="0.25">
      <c r="B42" s="212"/>
      <c r="C42" s="213"/>
      <c r="D42" s="213"/>
      <c r="E42" s="213"/>
      <c r="F42" s="214"/>
      <c r="G42" s="215"/>
      <c r="H42" s="215"/>
      <c r="I42" s="215"/>
      <c r="J42" s="215"/>
      <c r="K42" s="215"/>
      <c r="L42" s="215"/>
      <c r="M42" s="216"/>
      <c r="N42" s="216"/>
      <c r="O42" s="276">
        <f t="shared" si="0"/>
        <v>0</v>
      </c>
      <c r="P42" s="276">
        <f t="shared" si="1"/>
        <v>0</v>
      </c>
      <c r="Q42" s="277" t="str">
        <f t="shared" si="4"/>
        <v>-</v>
      </c>
      <c r="R42" s="278" t="str">
        <f t="shared" si="3"/>
        <v>-</v>
      </c>
      <c r="S42" s="279">
        <f t="shared" si="2"/>
        <v>0</v>
      </c>
    </row>
    <row r="43" spans="2:40" x14ac:dyDescent="0.25">
      <c r="B43" s="212"/>
      <c r="C43" s="213"/>
      <c r="D43" s="213"/>
      <c r="E43" s="213"/>
      <c r="F43" s="214"/>
      <c r="G43" s="215"/>
      <c r="H43" s="215"/>
      <c r="I43" s="215"/>
      <c r="J43" s="215"/>
      <c r="K43" s="215"/>
      <c r="L43" s="215"/>
      <c r="M43" s="216"/>
      <c r="N43" s="216"/>
      <c r="O43" s="276">
        <f t="shared" si="0"/>
        <v>0</v>
      </c>
      <c r="P43" s="276">
        <f t="shared" si="1"/>
        <v>0</v>
      </c>
      <c r="Q43" s="277" t="str">
        <f t="shared" si="4"/>
        <v>-</v>
      </c>
      <c r="R43" s="278" t="str">
        <f t="shared" si="3"/>
        <v>-</v>
      </c>
      <c r="S43" s="279">
        <f t="shared" si="2"/>
        <v>0</v>
      </c>
    </row>
    <row r="44" spans="2:40" x14ac:dyDescent="0.25">
      <c r="B44" s="212"/>
      <c r="C44" s="213"/>
      <c r="D44" s="213"/>
      <c r="E44" s="213"/>
      <c r="F44" s="214"/>
      <c r="G44" s="215"/>
      <c r="H44" s="215"/>
      <c r="I44" s="215"/>
      <c r="J44" s="215"/>
      <c r="K44" s="215"/>
      <c r="L44" s="215"/>
      <c r="M44" s="216"/>
      <c r="N44" s="216"/>
      <c r="O44" s="276">
        <f t="shared" si="0"/>
        <v>0</v>
      </c>
      <c r="P44" s="276">
        <f t="shared" si="1"/>
        <v>0</v>
      </c>
      <c r="Q44" s="277" t="str">
        <f t="shared" si="4"/>
        <v>-</v>
      </c>
      <c r="R44" s="278" t="str">
        <f t="shared" si="3"/>
        <v>-</v>
      </c>
      <c r="S44" s="279">
        <f t="shared" si="2"/>
        <v>0</v>
      </c>
      <c r="V44" s="253"/>
    </row>
    <row r="45" spans="2:40" x14ac:dyDescent="0.25">
      <c r="B45" s="212"/>
      <c r="C45" s="213"/>
      <c r="D45" s="213"/>
      <c r="E45" s="213"/>
      <c r="F45" s="214"/>
      <c r="G45" s="215"/>
      <c r="H45" s="215"/>
      <c r="I45" s="215"/>
      <c r="J45" s="215"/>
      <c r="K45" s="215"/>
      <c r="L45" s="215"/>
      <c r="M45" s="216"/>
      <c r="N45" s="216"/>
      <c r="O45" s="276">
        <f t="shared" si="0"/>
        <v>0</v>
      </c>
      <c r="P45" s="276">
        <f t="shared" si="1"/>
        <v>0</v>
      </c>
      <c r="Q45" s="277" t="str">
        <f t="shared" si="4"/>
        <v>-</v>
      </c>
      <c r="R45" s="278" t="str">
        <f t="shared" si="3"/>
        <v>-</v>
      </c>
      <c r="S45" s="279">
        <f t="shared" si="2"/>
        <v>0</v>
      </c>
    </row>
    <row r="46" spans="2:40" x14ac:dyDescent="0.25">
      <c r="B46" s="212"/>
      <c r="C46" s="213"/>
      <c r="D46" s="213"/>
      <c r="E46" s="213"/>
      <c r="F46" s="214"/>
      <c r="G46" s="215"/>
      <c r="H46" s="215"/>
      <c r="I46" s="215"/>
      <c r="J46" s="215"/>
      <c r="K46" s="215"/>
      <c r="L46" s="215"/>
      <c r="M46" s="216"/>
      <c r="N46" s="216"/>
      <c r="O46" s="276">
        <f t="shared" si="0"/>
        <v>0</v>
      </c>
      <c r="P46" s="276">
        <f t="shared" si="1"/>
        <v>0</v>
      </c>
      <c r="Q46" s="277" t="str">
        <f t="shared" si="4"/>
        <v>-</v>
      </c>
      <c r="R46" s="278" t="str">
        <f t="shared" si="3"/>
        <v>-</v>
      </c>
      <c r="S46" s="279">
        <f t="shared" si="2"/>
        <v>0</v>
      </c>
    </row>
    <row r="47" spans="2:40" x14ac:dyDescent="0.25">
      <c r="B47" s="212"/>
      <c r="C47" s="213"/>
      <c r="D47" s="213"/>
      <c r="E47" s="213"/>
      <c r="F47" s="214"/>
      <c r="G47" s="215"/>
      <c r="H47" s="215"/>
      <c r="I47" s="215"/>
      <c r="J47" s="215"/>
      <c r="K47" s="215"/>
      <c r="L47" s="215"/>
      <c r="M47" s="216"/>
      <c r="N47" s="216"/>
      <c r="O47" s="276">
        <f t="shared" si="0"/>
        <v>0</v>
      </c>
      <c r="P47" s="276">
        <f t="shared" si="1"/>
        <v>0</v>
      </c>
      <c r="Q47" s="277" t="str">
        <f t="shared" si="4"/>
        <v>-</v>
      </c>
      <c r="R47" s="278" t="str">
        <f t="shared" si="3"/>
        <v>-</v>
      </c>
      <c r="S47" s="279">
        <f t="shared" si="2"/>
        <v>0</v>
      </c>
    </row>
    <row r="48" spans="2:40" x14ac:dyDescent="0.25">
      <c r="B48" s="212"/>
      <c r="C48" s="213"/>
      <c r="D48" s="213"/>
      <c r="E48" s="213"/>
      <c r="F48" s="214"/>
      <c r="G48" s="215"/>
      <c r="H48" s="215"/>
      <c r="I48" s="215"/>
      <c r="J48" s="215"/>
      <c r="K48" s="215"/>
      <c r="L48" s="215"/>
      <c r="M48" s="216"/>
      <c r="N48" s="216"/>
      <c r="O48" s="276">
        <f t="shared" si="0"/>
        <v>0</v>
      </c>
      <c r="P48" s="276">
        <f t="shared" si="1"/>
        <v>0</v>
      </c>
      <c r="Q48" s="277" t="str">
        <f t="shared" si="4"/>
        <v>-</v>
      </c>
      <c r="R48" s="278" t="str">
        <f t="shared" si="3"/>
        <v>-</v>
      </c>
      <c r="S48" s="279">
        <f t="shared" si="2"/>
        <v>0</v>
      </c>
    </row>
    <row r="49" spans="2:19" x14ac:dyDescent="0.25">
      <c r="B49" s="212"/>
      <c r="C49" s="213"/>
      <c r="D49" s="213"/>
      <c r="E49" s="213"/>
      <c r="F49" s="214"/>
      <c r="G49" s="215"/>
      <c r="H49" s="215"/>
      <c r="I49" s="215"/>
      <c r="J49" s="215"/>
      <c r="K49" s="215"/>
      <c r="L49" s="215"/>
      <c r="M49" s="216"/>
      <c r="N49" s="216"/>
      <c r="O49" s="276">
        <f t="shared" si="0"/>
        <v>0</v>
      </c>
      <c r="P49" s="276">
        <f t="shared" si="1"/>
        <v>0</v>
      </c>
      <c r="Q49" s="277" t="str">
        <f t="shared" si="4"/>
        <v>-</v>
      </c>
      <c r="R49" s="278" t="str">
        <f t="shared" si="3"/>
        <v>-</v>
      </c>
      <c r="S49" s="279">
        <f t="shared" si="2"/>
        <v>0</v>
      </c>
    </row>
    <row r="50" spans="2:19" x14ac:dyDescent="0.25">
      <c r="B50" s="212"/>
      <c r="C50" s="213"/>
      <c r="D50" s="213"/>
      <c r="E50" s="213"/>
      <c r="F50" s="214"/>
      <c r="G50" s="215"/>
      <c r="H50" s="215"/>
      <c r="I50" s="215"/>
      <c r="J50" s="215"/>
      <c r="K50" s="215"/>
      <c r="L50" s="215"/>
      <c r="M50" s="216"/>
      <c r="N50" s="216"/>
      <c r="O50" s="276">
        <f t="shared" si="0"/>
        <v>0</v>
      </c>
      <c r="P50" s="276">
        <f t="shared" si="1"/>
        <v>0</v>
      </c>
      <c r="Q50" s="277" t="str">
        <f t="shared" si="4"/>
        <v>-</v>
      </c>
      <c r="R50" s="278" t="str">
        <f t="shared" si="3"/>
        <v>-</v>
      </c>
      <c r="S50" s="279">
        <f t="shared" si="2"/>
        <v>0</v>
      </c>
    </row>
    <row r="51" spans="2:19" x14ac:dyDescent="0.25">
      <c r="B51" s="212"/>
      <c r="C51" s="213"/>
      <c r="D51" s="213"/>
      <c r="E51" s="213"/>
      <c r="F51" s="214"/>
      <c r="G51" s="215"/>
      <c r="H51" s="215"/>
      <c r="I51" s="215"/>
      <c r="J51" s="215"/>
      <c r="K51" s="215"/>
      <c r="L51" s="215"/>
      <c r="M51" s="216"/>
      <c r="N51" s="216"/>
      <c r="O51" s="276">
        <f t="shared" si="0"/>
        <v>0</v>
      </c>
      <c r="P51" s="276">
        <f t="shared" si="1"/>
        <v>0</v>
      </c>
      <c r="Q51" s="277" t="str">
        <f t="shared" si="4"/>
        <v>-</v>
      </c>
      <c r="R51" s="278" t="str">
        <f t="shared" si="3"/>
        <v>-</v>
      </c>
      <c r="S51" s="279">
        <f t="shared" si="2"/>
        <v>0</v>
      </c>
    </row>
    <row r="52" spans="2:19" x14ac:dyDescent="0.25">
      <c r="B52" s="212"/>
      <c r="C52" s="213"/>
      <c r="D52" s="213"/>
      <c r="E52" s="213"/>
      <c r="F52" s="214"/>
      <c r="G52" s="215"/>
      <c r="H52" s="215"/>
      <c r="I52" s="215"/>
      <c r="J52" s="215"/>
      <c r="K52" s="215"/>
      <c r="L52" s="215"/>
      <c r="M52" s="216"/>
      <c r="N52" s="216"/>
      <c r="O52" s="276">
        <f t="shared" si="0"/>
        <v>0</v>
      </c>
      <c r="P52" s="276">
        <f t="shared" si="1"/>
        <v>0</v>
      </c>
      <c r="Q52" s="277" t="str">
        <f t="shared" si="4"/>
        <v>-</v>
      </c>
      <c r="R52" s="278" t="str">
        <f t="shared" si="3"/>
        <v>-</v>
      </c>
      <c r="S52" s="279">
        <f t="shared" si="2"/>
        <v>0</v>
      </c>
    </row>
    <row r="53" spans="2:19" x14ac:dyDescent="0.25">
      <c r="B53" s="212"/>
      <c r="C53" s="213"/>
      <c r="D53" s="213"/>
      <c r="E53" s="213"/>
      <c r="F53" s="214"/>
      <c r="G53" s="215"/>
      <c r="H53" s="215"/>
      <c r="I53" s="215"/>
      <c r="J53" s="215"/>
      <c r="K53" s="215"/>
      <c r="L53" s="215"/>
      <c r="M53" s="216"/>
      <c r="N53" s="216"/>
      <c r="O53" s="276">
        <f t="shared" si="0"/>
        <v>0</v>
      </c>
      <c r="P53" s="276">
        <f t="shared" si="1"/>
        <v>0</v>
      </c>
      <c r="Q53" s="277" t="str">
        <f t="shared" si="4"/>
        <v>-</v>
      </c>
      <c r="R53" s="278" t="str">
        <f t="shared" si="3"/>
        <v>-</v>
      </c>
      <c r="S53" s="279">
        <f t="shared" si="2"/>
        <v>0</v>
      </c>
    </row>
    <row r="54" spans="2:19" x14ac:dyDescent="0.25">
      <c r="B54" s="212"/>
      <c r="C54" s="213"/>
      <c r="D54" s="213"/>
      <c r="E54" s="213"/>
      <c r="F54" s="214"/>
      <c r="G54" s="215"/>
      <c r="H54" s="215"/>
      <c r="I54" s="215"/>
      <c r="J54" s="215"/>
      <c r="K54" s="215"/>
      <c r="L54" s="215"/>
      <c r="M54" s="216"/>
      <c r="N54" s="216"/>
      <c r="O54" s="276">
        <f t="shared" si="0"/>
        <v>0</v>
      </c>
      <c r="P54" s="276">
        <f t="shared" si="1"/>
        <v>0</v>
      </c>
      <c r="Q54" s="277" t="str">
        <f t="shared" si="4"/>
        <v>-</v>
      </c>
      <c r="R54" s="278" t="str">
        <f t="shared" si="3"/>
        <v>-</v>
      </c>
      <c r="S54" s="279">
        <f t="shared" si="2"/>
        <v>0</v>
      </c>
    </row>
    <row r="55" spans="2:19" x14ac:dyDescent="0.25">
      <c r="B55" s="212"/>
      <c r="C55" s="213"/>
      <c r="D55" s="213"/>
      <c r="E55" s="213"/>
      <c r="F55" s="214"/>
      <c r="G55" s="215"/>
      <c r="H55" s="215"/>
      <c r="I55" s="215"/>
      <c r="J55" s="215"/>
      <c r="K55" s="215"/>
      <c r="L55" s="215"/>
      <c r="M55" s="216"/>
      <c r="N55" s="216"/>
      <c r="O55" s="276">
        <f t="shared" ref="O55:O86" si="5">G55+H55*$U$7+I55*$U$8+J55*$U$9</f>
        <v>0</v>
      </c>
      <c r="P55" s="276">
        <f t="shared" ref="P55:P86" si="6">O55-(K55+L55*$U$7+M55*$U$8+N55*$U$9)</f>
        <v>0</v>
      </c>
      <c r="Q55" s="277" t="str">
        <f t="shared" si="4"/>
        <v>-</v>
      </c>
      <c r="R55" s="278" t="str">
        <f t="shared" si="3"/>
        <v>-</v>
      </c>
      <c r="S55" s="279">
        <f t="shared" ref="S55:S86" si="7">IF($D55="LMI", $F55*($H$9/100), $F55*0.5)</f>
        <v>0</v>
      </c>
    </row>
    <row r="56" spans="2:19" x14ac:dyDescent="0.25">
      <c r="B56" s="212"/>
      <c r="C56" s="213"/>
      <c r="D56" s="213"/>
      <c r="E56" s="213"/>
      <c r="F56" s="214"/>
      <c r="G56" s="215"/>
      <c r="H56" s="215"/>
      <c r="I56" s="215"/>
      <c r="J56" s="215"/>
      <c r="K56" s="215"/>
      <c r="L56" s="215"/>
      <c r="M56" s="216"/>
      <c r="N56" s="216"/>
      <c r="O56" s="276">
        <f t="shared" si="5"/>
        <v>0</v>
      </c>
      <c r="P56" s="276">
        <f t="shared" si="6"/>
        <v>0</v>
      </c>
      <c r="Q56" s="277" t="str">
        <f t="shared" si="4"/>
        <v>-</v>
      </c>
      <c r="R56" s="278" t="str">
        <f t="shared" ref="R56:R87" si="8">IF(AND(C56="MF", D56="Market Rate"), $K56*P$14 + $L56*P$15 + $M56*P$16 + $N56*P$17,
 IF(AND(C56="MF", D56="LMI"), $K56*Q$14 + $L56*Q$15 + $M56*Q$16 + $N56*Q$17,
 IF(AND(C56="SF", D56="Market Rate"), $K56*N$14 + $L56*N$15 + $M56*N$16 + $N56*N$17,
 IF(AND(C56="SF", D56="LMI"), $K56*O$14 + $L56*O$15 + $M56*O$16 + $N56*O$17, "-"))))</f>
        <v>-</v>
      </c>
      <c r="S56" s="279">
        <f t="shared" si="7"/>
        <v>0</v>
      </c>
    </row>
    <row r="57" spans="2:19" x14ac:dyDescent="0.25">
      <c r="B57" s="212"/>
      <c r="C57" s="213"/>
      <c r="D57" s="213"/>
      <c r="E57" s="213"/>
      <c r="F57" s="214"/>
      <c r="G57" s="215"/>
      <c r="H57" s="215"/>
      <c r="I57" s="215"/>
      <c r="J57" s="215"/>
      <c r="K57" s="215"/>
      <c r="L57" s="215"/>
      <c r="M57" s="216"/>
      <c r="N57" s="216"/>
      <c r="O57" s="276">
        <f t="shared" si="5"/>
        <v>0</v>
      </c>
      <c r="P57" s="276">
        <f t="shared" si="6"/>
        <v>0</v>
      </c>
      <c r="Q57" s="277" t="str">
        <f t="shared" si="4"/>
        <v>-</v>
      </c>
      <c r="R57" s="278" t="str">
        <f t="shared" si="8"/>
        <v>-</v>
      </c>
      <c r="S57" s="279">
        <f t="shared" si="7"/>
        <v>0</v>
      </c>
    </row>
    <row r="58" spans="2:19" x14ac:dyDescent="0.25">
      <c r="B58" s="212"/>
      <c r="C58" s="213"/>
      <c r="D58" s="213"/>
      <c r="E58" s="213"/>
      <c r="F58" s="214"/>
      <c r="G58" s="215"/>
      <c r="H58" s="215"/>
      <c r="I58" s="215"/>
      <c r="J58" s="215"/>
      <c r="K58" s="215"/>
      <c r="L58" s="215"/>
      <c r="M58" s="216"/>
      <c r="N58" s="216"/>
      <c r="O58" s="276">
        <f t="shared" si="5"/>
        <v>0</v>
      </c>
      <c r="P58" s="276">
        <f t="shared" si="6"/>
        <v>0</v>
      </c>
      <c r="Q58" s="277" t="str">
        <f t="shared" si="4"/>
        <v>-</v>
      </c>
      <c r="R58" s="278" t="str">
        <f t="shared" si="8"/>
        <v>-</v>
      </c>
      <c r="S58" s="279">
        <f t="shared" si="7"/>
        <v>0</v>
      </c>
    </row>
    <row r="59" spans="2:19" x14ac:dyDescent="0.25">
      <c r="B59" s="212"/>
      <c r="C59" s="213"/>
      <c r="D59" s="213"/>
      <c r="E59" s="213"/>
      <c r="F59" s="214"/>
      <c r="G59" s="215"/>
      <c r="H59" s="215"/>
      <c r="I59" s="215"/>
      <c r="J59" s="215"/>
      <c r="K59" s="215"/>
      <c r="L59" s="215"/>
      <c r="M59" s="216"/>
      <c r="N59" s="216"/>
      <c r="O59" s="276">
        <f t="shared" si="5"/>
        <v>0</v>
      </c>
      <c r="P59" s="276">
        <f t="shared" si="6"/>
        <v>0</v>
      </c>
      <c r="Q59" s="277" t="str">
        <f t="shared" si="4"/>
        <v>-</v>
      </c>
      <c r="R59" s="278" t="str">
        <f t="shared" si="8"/>
        <v>-</v>
      </c>
      <c r="S59" s="279">
        <f t="shared" si="7"/>
        <v>0</v>
      </c>
    </row>
    <row r="60" spans="2:19" x14ac:dyDescent="0.25">
      <c r="B60" s="212"/>
      <c r="C60" s="213"/>
      <c r="D60" s="213"/>
      <c r="E60" s="213"/>
      <c r="F60" s="214"/>
      <c r="G60" s="215"/>
      <c r="H60" s="215"/>
      <c r="I60" s="215"/>
      <c r="J60" s="215"/>
      <c r="K60" s="215"/>
      <c r="L60" s="215"/>
      <c r="M60" s="216"/>
      <c r="N60" s="216"/>
      <c r="O60" s="276">
        <f t="shared" si="5"/>
        <v>0</v>
      </c>
      <c r="P60" s="276">
        <f t="shared" si="6"/>
        <v>0</v>
      </c>
      <c r="Q60" s="277" t="str">
        <f t="shared" si="4"/>
        <v>-</v>
      </c>
      <c r="R60" s="278" t="str">
        <f t="shared" si="8"/>
        <v>-</v>
      </c>
      <c r="S60" s="279">
        <f t="shared" si="7"/>
        <v>0</v>
      </c>
    </row>
    <row r="61" spans="2:19" x14ac:dyDescent="0.25">
      <c r="B61" s="212"/>
      <c r="C61" s="213"/>
      <c r="D61" s="213"/>
      <c r="E61" s="213"/>
      <c r="F61" s="214"/>
      <c r="G61" s="215"/>
      <c r="H61" s="215"/>
      <c r="I61" s="215"/>
      <c r="J61" s="215"/>
      <c r="K61" s="215"/>
      <c r="L61" s="215"/>
      <c r="M61" s="216"/>
      <c r="N61" s="216"/>
      <c r="O61" s="276">
        <f t="shared" si="5"/>
        <v>0</v>
      </c>
      <c r="P61" s="276">
        <f t="shared" si="6"/>
        <v>0</v>
      </c>
      <c r="Q61" s="277" t="str">
        <f t="shared" si="4"/>
        <v>-</v>
      </c>
      <c r="R61" s="278" t="str">
        <f t="shared" si="8"/>
        <v>-</v>
      </c>
      <c r="S61" s="279">
        <f t="shared" si="7"/>
        <v>0</v>
      </c>
    </row>
    <row r="62" spans="2:19" x14ac:dyDescent="0.25">
      <c r="B62" s="212"/>
      <c r="C62" s="213"/>
      <c r="D62" s="213"/>
      <c r="E62" s="213"/>
      <c r="F62" s="214"/>
      <c r="G62" s="215"/>
      <c r="H62" s="215"/>
      <c r="I62" s="215"/>
      <c r="J62" s="215"/>
      <c r="K62" s="215"/>
      <c r="L62" s="215"/>
      <c r="M62" s="216"/>
      <c r="N62" s="216"/>
      <c r="O62" s="276">
        <f t="shared" si="5"/>
        <v>0</v>
      </c>
      <c r="P62" s="276">
        <f t="shared" si="6"/>
        <v>0</v>
      </c>
      <c r="Q62" s="277" t="str">
        <f t="shared" si="4"/>
        <v>-</v>
      </c>
      <c r="R62" s="278" t="str">
        <f t="shared" si="8"/>
        <v>-</v>
      </c>
      <c r="S62" s="279">
        <f t="shared" si="7"/>
        <v>0</v>
      </c>
    </row>
    <row r="63" spans="2:19" x14ac:dyDescent="0.25">
      <c r="B63" s="212"/>
      <c r="C63" s="213"/>
      <c r="D63" s="213"/>
      <c r="E63" s="213"/>
      <c r="F63" s="214"/>
      <c r="G63" s="215"/>
      <c r="H63" s="215"/>
      <c r="I63" s="215"/>
      <c r="J63" s="215"/>
      <c r="K63" s="215"/>
      <c r="L63" s="215"/>
      <c r="M63" s="216"/>
      <c r="N63" s="216"/>
      <c r="O63" s="276">
        <f t="shared" si="5"/>
        <v>0</v>
      </c>
      <c r="P63" s="276">
        <f t="shared" si="6"/>
        <v>0</v>
      </c>
      <c r="Q63" s="277" t="str">
        <f t="shared" si="4"/>
        <v>-</v>
      </c>
      <c r="R63" s="278" t="str">
        <f t="shared" si="8"/>
        <v>-</v>
      </c>
      <c r="S63" s="279">
        <f t="shared" si="7"/>
        <v>0</v>
      </c>
    </row>
    <row r="64" spans="2:19" x14ac:dyDescent="0.25">
      <c r="B64" s="212"/>
      <c r="C64" s="213"/>
      <c r="D64" s="213"/>
      <c r="E64" s="213"/>
      <c r="F64" s="214"/>
      <c r="G64" s="215"/>
      <c r="H64" s="215"/>
      <c r="I64" s="215"/>
      <c r="J64" s="215"/>
      <c r="K64" s="215"/>
      <c r="L64" s="215"/>
      <c r="M64" s="216"/>
      <c r="N64" s="216"/>
      <c r="O64" s="276">
        <f t="shared" si="5"/>
        <v>0</v>
      </c>
      <c r="P64" s="276">
        <f t="shared" si="6"/>
        <v>0</v>
      </c>
      <c r="Q64" s="277" t="str">
        <f t="shared" si="4"/>
        <v>-</v>
      </c>
      <c r="R64" s="278" t="str">
        <f t="shared" si="8"/>
        <v>-</v>
      </c>
      <c r="S64" s="279">
        <f t="shared" si="7"/>
        <v>0</v>
      </c>
    </row>
    <row r="65" spans="2:19" x14ac:dyDescent="0.25">
      <c r="B65" s="212"/>
      <c r="C65" s="213"/>
      <c r="D65" s="213"/>
      <c r="E65" s="213"/>
      <c r="F65" s="214"/>
      <c r="G65" s="215"/>
      <c r="H65" s="215"/>
      <c r="I65" s="215"/>
      <c r="J65" s="215"/>
      <c r="K65" s="215"/>
      <c r="L65" s="215"/>
      <c r="M65" s="216"/>
      <c r="N65" s="216"/>
      <c r="O65" s="276">
        <f t="shared" si="5"/>
        <v>0</v>
      </c>
      <c r="P65" s="276">
        <f t="shared" si="6"/>
        <v>0</v>
      </c>
      <c r="Q65" s="277" t="str">
        <f t="shared" si="4"/>
        <v>-</v>
      </c>
      <c r="R65" s="278" t="str">
        <f t="shared" si="8"/>
        <v>-</v>
      </c>
      <c r="S65" s="279">
        <f t="shared" si="7"/>
        <v>0</v>
      </c>
    </row>
    <row r="66" spans="2:19" x14ac:dyDescent="0.25">
      <c r="B66" s="212"/>
      <c r="C66" s="213"/>
      <c r="D66" s="213"/>
      <c r="E66" s="213"/>
      <c r="F66" s="214"/>
      <c r="G66" s="215"/>
      <c r="H66" s="215"/>
      <c r="I66" s="215"/>
      <c r="J66" s="215"/>
      <c r="K66" s="215"/>
      <c r="L66" s="215"/>
      <c r="M66" s="216"/>
      <c r="N66" s="216"/>
      <c r="O66" s="276">
        <f t="shared" si="5"/>
        <v>0</v>
      </c>
      <c r="P66" s="276">
        <f t="shared" si="6"/>
        <v>0</v>
      </c>
      <c r="Q66" s="277" t="str">
        <f t="shared" si="4"/>
        <v>-</v>
      </c>
      <c r="R66" s="278" t="str">
        <f t="shared" si="8"/>
        <v>-</v>
      </c>
      <c r="S66" s="279">
        <f t="shared" si="7"/>
        <v>0</v>
      </c>
    </row>
    <row r="67" spans="2:19" x14ac:dyDescent="0.25">
      <c r="B67" s="212"/>
      <c r="C67" s="213"/>
      <c r="D67" s="213"/>
      <c r="E67" s="213"/>
      <c r="F67" s="214"/>
      <c r="G67" s="215"/>
      <c r="H67" s="215"/>
      <c r="I67" s="215"/>
      <c r="J67" s="215"/>
      <c r="K67" s="215"/>
      <c r="L67" s="215"/>
      <c r="M67" s="216"/>
      <c r="N67" s="216"/>
      <c r="O67" s="276">
        <f t="shared" si="5"/>
        <v>0</v>
      </c>
      <c r="P67" s="276">
        <f t="shared" si="6"/>
        <v>0</v>
      </c>
      <c r="Q67" s="277" t="str">
        <f t="shared" si="4"/>
        <v>-</v>
      </c>
      <c r="R67" s="278" t="str">
        <f t="shared" si="8"/>
        <v>-</v>
      </c>
      <c r="S67" s="279">
        <f t="shared" si="7"/>
        <v>0</v>
      </c>
    </row>
    <row r="68" spans="2:19" x14ac:dyDescent="0.25">
      <c r="B68" s="212"/>
      <c r="C68" s="213"/>
      <c r="D68" s="213"/>
      <c r="E68" s="213"/>
      <c r="F68" s="214"/>
      <c r="G68" s="215"/>
      <c r="H68" s="215"/>
      <c r="I68" s="215"/>
      <c r="J68" s="215"/>
      <c r="K68" s="215"/>
      <c r="L68" s="215"/>
      <c r="M68" s="216"/>
      <c r="N68" s="216"/>
      <c r="O68" s="276">
        <f t="shared" si="5"/>
        <v>0</v>
      </c>
      <c r="P68" s="276">
        <f t="shared" si="6"/>
        <v>0</v>
      </c>
      <c r="Q68" s="277" t="str">
        <f t="shared" si="4"/>
        <v>-</v>
      </c>
      <c r="R68" s="278" t="str">
        <f t="shared" si="8"/>
        <v>-</v>
      </c>
      <c r="S68" s="279">
        <f t="shared" si="7"/>
        <v>0</v>
      </c>
    </row>
    <row r="69" spans="2:19" x14ac:dyDescent="0.25">
      <c r="B69" s="212"/>
      <c r="C69" s="213"/>
      <c r="D69" s="213"/>
      <c r="E69" s="213"/>
      <c r="F69" s="214"/>
      <c r="G69" s="215"/>
      <c r="H69" s="215"/>
      <c r="I69" s="215"/>
      <c r="J69" s="215"/>
      <c r="K69" s="215"/>
      <c r="L69" s="215"/>
      <c r="M69" s="216"/>
      <c r="N69" s="216"/>
      <c r="O69" s="276">
        <f t="shared" si="5"/>
        <v>0</v>
      </c>
      <c r="P69" s="276">
        <f t="shared" si="6"/>
        <v>0</v>
      </c>
      <c r="Q69" s="277" t="str">
        <f t="shared" si="4"/>
        <v>-</v>
      </c>
      <c r="R69" s="278" t="str">
        <f t="shared" si="8"/>
        <v>-</v>
      </c>
      <c r="S69" s="279">
        <f t="shared" si="7"/>
        <v>0</v>
      </c>
    </row>
    <row r="70" spans="2:19" x14ac:dyDescent="0.25">
      <c r="B70" s="212"/>
      <c r="C70" s="213"/>
      <c r="D70" s="213"/>
      <c r="E70" s="213"/>
      <c r="F70" s="214"/>
      <c r="G70" s="215"/>
      <c r="H70" s="215"/>
      <c r="I70" s="215"/>
      <c r="J70" s="215"/>
      <c r="K70" s="215"/>
      <c r="L70" s="215"/>
      <c r="M70" s="216"/>
      <c r="N70" s="216"/>
      <c r="O70" s="276">
        <f t="shared" si="5"/>
        <v>0</v>
      </c>
      <c r="P70" s="276">
        <f t="shared" si="6"/>
        <v>0</v>
      </c>
      <c r="Q70" s="277" t="str">
        <f t="shared" si="4"/>
        <v>-</v>
      </c>
      <c r="R70" s="278" t="str">
        <f t="shared" si="8"/>
        <v>-</v>
      </c>
      <c r="S70" s="279">
        <f t="shared" si="7"/>
        <v>0</v>
      </c>
    </row>
    <row r="71" spans="2:19" x14ac:dyDescent="0.25">
      <c r="B71" s="212"/>
      <c r="C71" s="213"/>
      <c r="D71" s="213"/>
      <c r="E71" s="213"/>
      <c r="F71" s="214"/>
      <c r="G71" s="215"/>
      <c r="H71" s="215"/>
      <c r="I71" s="215"/>
      <c r="J71" s="215"/>
      <c r="K71" s="215"/>
      <c r="L71" s="215"/>
      <c r="M71" s="216"/>
      <c r="N71" s="216"/>
      <c r="O71" s="276">
        <f t="shared" si="5"/>
        <v>0</v>
      </c>
      <c r="P71" s="276">
        <f t="shared" si="6"/>
        <v>0</v>
      </c>
      <c r="Q71" s="277" t="str">
        <f t="shared" si="4"/>
        <v>-</v>
      </c>
      <c r="R71" s="278" t="str">
        <f t="shared" si="8"/>
        <v>-</v>
      </c>
      <c r="S71" s="279">
        <f t="shared" si="7"/>
        <v>0</v>
      </c>
    </row>
    <row r="72" spans="2:19" x14ac:dyDescent="0.25">
      <c r="B72" s="212"/>
      <c r="C72" s="213"/>
      <c r="D72" s="213"/>
      <c r="E72" s="213"/>
      <c r="F72" s="214"/>
      <c r="G72" s="215"/>
      <c r="H72" s="215"/>
      <c r="I72" s="215"/>
      <c r="J72" s="215"/>
      <c r="K72" s="215"/>
      <c r="L72" s="215"/>
      <c r="M72" s="216"/>
      <c r="N72" s="216"/>
      <c r="O72" s="276">
        <f t="shared" si="5"/>
        <v>0</v>
      </c>
      <c r="P72" s="276">
        <f t="shared" si="6"/>
        <v>0</v>
      </c>
      <c r="Q72" s="277" t="str">
        <f t="shared" si="4"/>
        <v>-</v>
      </c>
      <c r="R72" s="278" t="str">
        <f t="shared" si="8"/>
        <v>-</v>
      </c>
      <c r="S72" s="279">
        <f t="shared" si="7"/>
        <v>0</v>
      </c>
    </row>
    <row r="73" spans="2:19" x14ac:dyDescent="0.25">
      <c r="B73" s="212"/>
      <c r="C73" s="213"/>
      <c r="D73" s="213"/>
      <c r="E73" s="213"/>
      <c r="F73" s="214"/>
      <c r="G73" s="215"/>
      <c r="H73" s="215"/>
      <c r="I73" s="215"/>
      <c r="J73" s="215"/>
      <c r="K73" s="215"/>
      <c r="L73" s="215"/>
      <c r="M73" s="216"/>
      <c r="N73" s="216"/>
      <c r="O73" s="276">
        <f t="shared" si="5"/>
        <v>0</v>
      </c>
      <c r="P73" s="276">
        <f t="shared" si="6"/>
        <v>0</v>
      </c>
      <c r="Q73" s="277" t="str">
        <f t="shared" si="4"/>
        <v>-</v>
      </c>
      <c r="R73" s="278" t="str">
        <f t="shared" si="8"/>
        <v>-</v>
      </c>
      <c r="S73" s="279">
        <f t="shared" si="7"/>
        <v>0</v>
      </c>
    </row>
    <row r="74" spans="2:19" x14ac:dyDescent="0.25">
      <c r="B74" s="212"/>
      <c r="C74" s="213"/>
      <c r="D74" s="213"/>
      <c r="E74" s="213"/>
      <c r="F74" s="214"/>
      <c r="G74" s="215"/>
      <c r="H74" s="215"/>
      <c r="I74" s="215"/>
      <c r="J74" s="215"/>
      <c r="K74" s="215"/>
      <c r="L74" s="215"/>
      <c r="M74" s="216"/>
      <c r="N74" s="216"/>
      <c r="O74" s="276">
        <f t="shared" si="5"/>
        <v>0</v>
      </c>
      <c r="P74" s="276">
        <f t="shared" si="6"/>
        <v>0</v>
      </c>
      <c r="Q74" s="277" t="str">
        <f t="shared" si="4"/>
        <v>-</v>
      </c>
      <c r="R74" s="278" t="str">
        <f t="shared" si="8"/>
        <v>-</v>
      </c>
      <c r="S74" s="279">
        <f t="shared" si="7"/>
        <v>0</v>
      </c>
    </row>
    <row r="75" spans="2:19" x14ac:dyDescent="0.25">
      <c r="B75" s="212"/>
      <c r="C75" s="213"/>
      <c r="D75" s="213"/>
      <c r="E75" s="213"/>
      <c r="F75" s="214"/>
      <c r="G75" s="215"/>
      <c r="H75" s="215"/>
      <c r="I75" s="215"/>
      <c r="J75" s="215"/>
      <c r="K75" s="215"/>
      <c r="L75" s="215"/>
      <c r="M75" s="216"/>
      <c r="N75" s="216"/>
      <c r="O75" s="276">
        <f t="shared" si="5"/>
        <v>0</v>
      </c>
      <c r="P75" s="276">
        <f t="shared" si="6"/>
        <v>0</v>
      </c>
      <c r="Q75" s="277" t="str">
        <f t="shared" si="4"/>
        <v>-</v>
      </c>
      <c r="R75" s="278" t="str">
        <f t="shared" si="8"/>
        <v>-</v>
      </c>
      <c r="S75" s="279">
        <f t="shared" si="7"/>
        <v>0</v>
      </c>
    </row>
    <row r="76" spans="2:19" x14ac:dyDescent="0.25">
      <c r="B76" s="212"/>
      <c r="C76" s="213"/>
      <c r="D76" s="213"/>
      <c r="E76" s="213"/>
      <c r="F76" s="214"/>
      <c r="G76" s="215"/>
      <c r="H76" s="215"/>
      <c r="I76" s="215"/>
      <c r="J76" s="215"/>
      <c r="K76" s="215"/>
      <c r="L76" s="215"/>
      <c r="M76" s="216"/>
      <c r="N76" s="216"/>
      <c r="O76" s="276">
        <f t="shared" si="5"/>
        <v>0</v>
      </c>
      <c r="P76" s="276">
        <f t="shared" si="6"/>
        <v>0</v>
      </c>
      <c r="Q76" s="277" t="str">
        <f t="shared" si="4"/>
        <v>-</v>
      </c>
      <c r="R76" s="278" t="str">
        <f t="shared" si="8"/>
        <v>-</v>
      </c>
      <c r="S76" s="279">
        <f t="shared" si="7"/>
        <v>0</v>
      </c>
    </row>
    <row r="77" spans="2:19" x14ac:dyDescent="0.25">
      <c r="B77" s="212"/>
      <c r="C77" s="213"/>
      <c r="D77" s="213"/>
      <c r="E77" s="213"/>
      <c r="F77" s="214"/>
      <c r="G77" s="215"/>
      <c r="H77" s="215"/>
      <c r="I77" s="215"/>
      <c r="J77" s="215"/>
      <c r="K77" s="215"/>
      <c r="L77" s="215"/>
      <c r="M77" s="216"/>
      <c r="N77" s="216"/>
      <c r="O77" s="276">
        <f t="shared" si="5"/>
        <v>0</v>
      </c>
      <c r="P77" s="276">
        <f t="shared" si="6"/>
        <v>0</v>
      </c>
      <c r="Q77" s="277" t="str">
        <f t="shared" si="4"/>
        <v>-</v>
      </c>
      <c r="R77" s="278" t="str">
        <f t="shared" si="8"/>
        <v>-</v>
      </c>
      <c r="S77" s="279">
        <f t="shared" si="7"/>
        <v>0</v>
      </c>
    </row>
    <row r="78" spans="2:19" x14ac:dyDescent="0.25">
      <c r="B78" s="212"/>
      <c r="C78" s="213"/>
      <c r="D78" s="213"/>
      <c r="E78" s="213"/>
      <c r="F78" s="214"/>
      <c r="G78" s="215"/>
      <c r="H78" s="215"/>
      <c r="I78" s="215"/>
      <c r="J78" s="215"/>
      <c r="K78" s="215"/>
      <c r="L78" s="215"/>
      <c r="M78" s="216"/>
      <c r="N78" s="216"/>
      <c r="O78" s="276">
        <f t="shared" si="5"/>
        <v>0</v>
      </c>
      <c r="P78" s="276">
        <f t="shared" si="6"/>
        <v>0</v>
      </c>
      <c r="Q78" s="277" t="str">
        <f t="shared" si="4"/>
        <v>-</v>
      </c>
      <c r="R78" s="278" t="str">
        <f t="shared" si="8"/>
        <v>-</v>
      </c>
      <c r="S78" s="279">
        <f t="shared" si="7"/>
        <v>0</v>
      </c>
    </row>
    <row r="79" spans="2:19" x14ac:dyDescent="0.25">
      <c r="B79" s="212"/>
      <c r="C79" s="213"/>
      <c r="D79" s="213"/>
      <c r="E79" s="213"/>
      <c r="F79" s="214"/>
      <c r="G79" s="215"/>
      <c r="H79" s="215"/>
      <c r="I79" s="215"/>
      <c r="J79" s="215"/>
      <c r="K79" s="215"/>
      <c r="L79" s="215"/>
      <c r="M79" s="216"/>
      <c r="N79" s="216"/>
      <c r="O79" s="276">
        <f t="shared" si="5"/>
        <v>0</v>
      </c>
      <c r="P79" s="276">
        <f t="shared" si="6"/>
        <v>0</v>
      </c>
      <c r="Q79" s="277" t="str">
        <f t="shared" si="4"/>
        <v>-</v>
      </c>
      <c r="R79" s="278" t="str">
        <f t="shared" si="8"/>
        <v>-</v>
      </c>
      <c r="S79" s="279">
        <f t="shared" si="7"/>
        <v>0</v>
      </c>
    </row>
    <row r="80" spans="2:19" x14ac:dyDescent="0.25">
      <c r="B80" s="212"/>
      <c r="C80" s="213"/>
      <c r="D80" s="213"/>
      <c r="E80" s="213"/>
      <c r="F80" s="214"/>
      <c r="G80" s="215"/>
      <c r="H80" s="215"/>
      <c r="I80" s="215"/>
      <c r="J80" s="215"/>
      <c r="K80" s="215"/>
      <c r="L80" s="215"/>
      <c r="M80" s="216"/>
      <c r="N80" s="216"/>
      <c r="O80" s="276">
        <f t="shared" si="5"/>
        <v>0</v>
      </c>
      <c r="P80" s="276">
        <f t="shared" si="6"/>
        <v>0</v>
      </c>
      <c r="Q80" s="277" t="str">
        <f t="shared" si="4"/>
        <v>-</v>
      </c>
      <c r="R80" s="278" t="str">
        <f t="shared" si="8"/>
        <v>-</v>
      </c>
      <c r="S80" s="279">
        <f t="shared" si="7"/>
        <v>0</v>
      </c>
    </row>
    <row r="81" spans="2:19" x14ac:dyDescent="0.25">
      <c r="B81" s="212"/>
      <c r="C81" s="213"/>
      <c r="D81" s="213"/>
      <c r="E81" s="213"/>
      <c r="F81" s="214"/>
      <c r="G81" s="215"/>
      <c r="H81" s="215"/>
      <c r="I81" s="215"/>
      <c r="J81" s="215"/>
      <c r="K81" s="215"/>
      <c r="L81" s="215"/>
      <c r="M81" s="216"/>
      <c r="N81" s="216"/>
      <c r="O81" s="276">
        <f t="shared" si="5"/>
        <v>0</v>
      </c>
      <c r="P81" s="276">
        <f t="shared" si="6"/>
        <v>0</v>
      </c>
      <c r="Q81" s="277" t="str">
        <f t="shared" si="4"/>
        <v>-</v>
      </c>
      <c r="R81" s="278" t="str">
        <f t="shared" si="8"/>
        <v>-</v>
      </c>
      <c r="S81" s="279">
        <f t="shared" si="7"/>
        <v>0</v>
      </c>
    </row>
    <row r="82" spans="2:19" x14ac:dyDescent="0.25">
      <c r="B82" s="212"/>
      <c r="C82" s="213"/>
      <c r="D82" s="213"/>
      <c r="E82" s="213"/>
      <c r="F82" s="214"/>
      <c r="G82" s="215"/>
      <c r="H82" s="215"/>
      <c r="I82" s="215"/>
      <c r="J82" s="215"/>
      <c r="K82" s="215"/>
      <c r="L82" s="215"/>
      <c r="M82" s="216"/>
      <c r="N82" s="216"/>
      <c r="O82" s="276">
        <f t="shared" si="5"/>
        <v>0</v>
      </c>
      <c r="P82" s="276">
        <f t="shared" si="6"/>
        <v>0</v>
      </c>
      <c r="Q82" s="277" t="str">
        <f t="shared" si="4"/>
        <v>-</v>
      </c>
      <c r="R82" s="278" t="str">
        <f t="shared" si="8"/>
        <v>-</v>
      </c>
      <c r="S82" s="279">
        <f t="shared" si="7"/>
        <v>0</v>
      </c>
    </row>
    <row r="83" spans="2:19" x14ac:dyDescent="0.25">
      <c r="B83" s="212"/>
      <c r="C83" s="213"/>
      <c r="D83" s="213"/>
      <c r="E83" s="213"/>
      <c r="F83" s="214"/>
      <c r="G83" s="215"/>
      <c r="H83" s="215"/>
      <c r="I83" s="215"/>
      <c r="J83" s="215"/>
      <c r="K83" s="215"/>
      <c r="L83" s="215"/>
      <c r="M83" s="216"/>
      <c r="N83" s="216"/>
      <c r="O83" s="276">
        <f t="shared" si="5"/>
        <v>0</v>
      </c>
      <c r="P83" s="276">
        <f t="shared" si="6"/>
        <v>0</v>
      </c>
      <c r="Q83" s="277" t="str">
        <f t="shared" si="4"/>
        <v>-</v>
      </c>
      <c r="R83" s="278" t="str">
        <f t="shared" si="8"/>
        <v>-</v>
      </c>
      <c r="S83" s="279">
        <f t="shared" si="7"/>
        <v>0</v>
      </c>
    </row>
    <row r="84" spans="2:19" x14ac:dyDescent="0.25">
      <c r="B84" s="212"/>
      <c r="C84" s="213"/>
      <c r="D84" s="213"/>
      <c r="E84" s="213"/>
      <c r="F84" s="214"/>
      <c r="G84" s="215"/>
      <c r="H84" s="215"/>
      <c r="I84" s="215"/>
      <c r="J84" s="215"/>
      <c r="K84" s="215"/>
      <c r="L84" s="215"/>
      <c r="M84" s="216"/>
      <c r="N84" s="216"/>
      <c r="O84" s="276">
        <f t="shared" si="5"/>
        <v>0</v>
      </c>
      <c r="P84" s="276">
        <f t="shared" si="6"/>
        <v>0</v>
      </c>
      <c r="Q84" s="277" t="str">
        <f t="shared" si="4"/>
        <v>-</v>
      </c>
      <c r="R84" s="278" t="str">
        <f t="shared" si="8"/>
        <v>-</v>
      </c>
      <c r="S84" s="279">
        <f t="shared" si="7"/>
        <v>0</v>
      </c>
    </row>
    <row r="85" spans="2:19" x14ac:dyDescent="0.25">
      <c r="B85" s="212"/>
      <c r="C85" s="213"/>
      <c r="D85" s="213"/>
      <c r="E85" s="213"/>
      <c r="F85" s="214"/>
      <c r="G85" s="215"/>
      <c r="H85" s="215"/>
      <c r="I85" s="215"/>
      <c r="J85" s="215"/>
      <c r="K85" s="215"/>
      <c r="L85" s="215"/>
      <c r="M85" s="216"/>
      <c r="N85" s="216"/>
      <c r="O85" s="276">
        <f t="shared" si="5"/>
        <v>0</v>
      </c>
      <c r="P85" s="276">
        <f t="shared" si="6"/>
        <v>0</v>
      </c>
      <c r="Q85" s="277" t="str">
        <f t="shared" si="4"/>
        <v>-</v>
      </c>
      <c r="R85" s="278" t="str">
        <f t="shared" si="8"/>
        <v>-</v>
      </c>
      <c r="S85" s="279">
        <f t="shared" si="7"/>
        <v>0</v>
      </c>
    </row>
    <row r="86" spans="2:19" x14ac:dyDescent="0.25">
      <c r="B86" s="212"/>
      <c r="C86" s="213"/>
      <c r="D86" s="213"/>
      <c r="E86" s="213"/>
      <c r="F86" s="214"/>
      <c r="G86" s="215"/>
      <c r="H86" s="215"/>
      <c r="I86" s="215"/>
      <c r="J86" s="215"/>
      <c r="K86" s="215"/>
      <c r="L86" s="215"/>
      <c r="M86" s="216"/>
      <c r="N86" s="216"/>
      <c r="O86" s="276">
        <f t="shared" si="5"/>
        <v>0</v>
      </c>
      <c r="P86" s="276">
        <f t="shared" si="6"/>
        <v>0</v>
      </c>
      <c r="Q86" s="277" t="str">
        <f t="shared" si="4"/>
        <v>-</v>
      </c>
      <c r="R86" s="278" t="str">
        <f t="shared" si="8"/>
        <v>-</v>
      </c>
      <c r="S86" s="279">
        <f t="shared" si="7"/>
        <v>0</v>
      </c>
    </row>
    <row r="87" spans="2:19" x14ac:dyDescent="0.25">
      <c r="B87" s="212"/>
      <c r="C87" s="213"/>
      <c r="D87" s="213"/>
      <c r="E87" s="213"/>
      <c r="F87" s="214"/>
      <c r="G87" s="215"/>
      <c r="H87" s="215"/>
      <c r="I87" s="215"/>
      <c r="J87" s="215"/>
      <c r="K87" s="215"/>
      <c r="L87" s="215"/>
      <c r="M87" s="216"/>
      <c r="N87" s="216"/>
      <c r="O87" s="276">
        <f t="shared" ref="O87:O118" si="9">G87+H87*$U$7+I87*$U$8+J87*$U$9</f>
        <v>0</v>
      </c>
      <c r="P87" s="276">
        <f t="shared" ref="P87:P118" si="10">O87-(K87+L87*$U$7+M87*$U$8+N87*$U$9)</f>
        <v>0</v>
      </c>
      <c r="Q87" s="277" t="str">
        <f t="shared" si="4"/>
        <v>-</v>
      </c>
      <c r="R87" s="278" t="str">
        <f t="shared" si="8"/>
        <v>-</v>
      </c>
      <c r="S87" s="279">
        <f t="shared" ref="S87:S118" si="11">IF($D87="LMI", $F87*($H$9/100), $F87*0.5)</f>
        <v>0</v>
      </c>
    </row>
    <row r="88" spans="2:19" x14ac:dyDescent="0.25">
      <c r="B88" s="212"/>
      <c r="C88" s="213"/>
      <c r="D88" s="213"/>
      <c r="E88" s="213"/>
      <c r="F88" s="214"/>
      <c r="G88" s="215"/>
      <c r="H88" s="215"/>
      <c r="I88" s="215"/>
      <c r="J88" s="215"/>
      <c r="K88" s="215"/>
      <c r="L88" s="215"/>
      <c r="M88" s="216"/>
      <c r="N88" s="216"/>
      <c r="O88" s="276">
        <f t="shared" si="9"/>
        <v>0</v>
      </c>
      <c r="P88" s="276">
        <f t="shared" si="10"/>
        <v>0</v>
      </c>
      <c r="Q88" s="277" t="str">
        <f t="shared" si="4"/>
        <v>-</v>
      </c>
      <c r="R88" s="278" t="str">
        <f t="shared" ref="R88:R119" si="12">IF(AND(C88="MF", D88="Market Rate"), $K88*P$14 + $L88*P$15 + $M88*P$16 + $N88*P$17,
 IF(AND(C88="MF", D88="LMI"), $K88*Q$14 + $L88*Q$15 + $M88*Q$16 + $N88*Q$17,
 IF(AND(C88="SF", D88="Market Rate"), $K88*N$14 + $L88*N$15 + $M88*N$16 + $N88*N$17,
 IF(AND(C88="SF", D88="LMI"), $K88*O$14 + $L88*O$15 + $M88*O$16 + $N88*O$17, "-"))))</f>
        <v>-</v>
      </c>
      <c r="S88" s="279">
        <f t="shared" si="11"/>
        <v>0</v>
      </c>
    </row>
    <row r="89" spans="2:19" x14ac:dyDescent="0.25">
      <c r="B89" s="212"/>
      <c r="C89" s="213"/>
      <c r="D89" s="213"/>
      <c r="E89" s="213"/>
      <c r="F89" s="214"/>
      <c r="G89" s="215"/>
      <c r="H89" s="215"/>
      <c r="I89" s="215"/>
      <c r="J89" s="215"/>
      <c r="K89" s="215"/>
      <c r="L89" s="215"/>
      <c r="M89" s="216"/>
      <c r="N89" s="216"/>
      <c r="O89" s="276">
        <f t="shared" si="9"/>
        <v>0</v>
      </c>
      <c r="P89" s="276">
        <f t="shared" si="10"/>
        <v>0</v>
      </c>
      <c r="Q89" s="277" t="str">
        <f t="shared" ref="Q89:Q148" si="13">IF(O89&lt;&gt;0, (O89-P89)/O89, "-")</f>
        <v>-</v>
      </c>
      <c r="R89" s="278" t="str">
        <f t="shared" si="12"/>
        <v>-</v>
      </c>
      <c r="S89" s="279">
        <f t="shared" si="11"/>
        <v>0</v>
      </c>
    </row>
    <row r="90" spans="2:19" x14ac:dyDescent="0.25">
      <c r="B90" s="212"/>
      <c r="C90" s="213"/>
      <c r="D90" s="213"/>
      <c r="E90" s="213"/>
      <c r="F90" s="214"/>
      <c r="G90" s="215"/>
      <c r="H90" s="215"/>
      <c r="I90" s="215"/>
      <c r="J90" s="215"/>
      <c r="K90" s="215"/>
      <c r="L90" s="215"/>
      <c r="M90" s="216"/>
      <c r="N90" s="216"/>
      <c r="O90" s="276">
        <f t="shared" si="9"/>
        <v>0</v>
      </c>
      <c r="P90" s="276">
        <f t="shared" si="10"/>
        <v>0</v>
      </c>
      <c r="Q90" s="277" t="str">
        <f t="shared" si="13"/>
        <v>-</v>
      </c>
      <c r="R90" s="278" t="str">
        <f t="shared" si="12"/>
        <v>-</v>
      </c>
      <c r="S90" s="279">
        <f t="shared" si="11"/>
        <v>0</v>
      </c>
    </row>
    <row r="91" spans="2:19" x14ac:dyDescent="0.25">
      <c r="B91" s="212"/>
      <c r="C91" s="213"/>
      <c r="D91" s="213"/>
      <c r="E91" s="213"/>
      <c r="F91" s="214"/>
      <c r="G91" s="215"/>
      <c r="H91" s="215"/>
      <c r="I91" s="215"/>
      <c r="J91" s="215"/>
      <c r="K91" s="215"/>
      <c r="L91" s="215"/>
      <c r="M91" s="216"/>
      <c r="N91" s="216"/>
      <c r="O91" s="276">
        <f t="shared" si="9"/>
        <v>0</v>
      </c>
      <c r="P91" s="276">
        <f t="shared" si="10"/>
        <v>0</v>
      </c>
      <c r="Q91" s="277" t="str">
        <f t="shared" si="13"/>
        <v>-</v>
      </c>
      <c r="R91" s="278" t="str">
        <f t="shared" si="12"/>
        <v>-</v>
      </c>
      <c r="S91" s="279">
        <f t="shared" si="11"/>
        <v>0</v>
      </c>
    </row>
    <row r="92" spans="2:19" x14ac:dyDescent="0.25">
      <c r="B92" s="212"/>
      <c r="C92" s="213"/>
      <c r="D92" s="213"/>
      <c r="E92" s="213"/>
      <c r="F92" s="214"/>
      <c r="G92" s="215"/>
      <c r="H92" s="215"/>
      <c r="I92" s="215"/>
      <c r="J92" s="215"/>
      <c r="K92" s="215"/>
      <c r="L92" s="215"/>
      <c r="M92" s="216"/>
      <c r="N92" s="216"/>
      <c r="O92" s="276">
        <f t="shared" si="9"/>
        <v>0</v>
      </c>
      <c r="P92" s="276">
        <f t="shared" si="10"/>
        <v>0</v>
      </c>
      <c r="Q92" s="277" t="str">
        <f t="shared" si="13"/>
        <v>-</v>
      </c>
      <c r="R92" s="278" t="str">
        <f t="shared" si="12"/>
        <v>-</v>
      </c>
      <c r="S92" s="279">
        <f t="shared" si="11"/>
        <v>0</v>
      </c>
    </row>
    <row r="93" spans="2:19" x14ac:dyDescent="0.25">
      <c r="B93" s="212"/>
      <c r="C93" s="213"/>
      <c r="D93" s="213"/>
      <c r="E93" s="213"/>
      <c r="F93" s="214"/>
      <c r="G93" s="215"/>
      <c r="H93" s="215"/>
      <c r="I93" s="215"/>
      <c r="J93" s="215"/>
      <c r="K93" s="215"/>
      <c r="L93" s="215"/>
      <c r="M93" s="216"/>
      <c r="N93" s="216"/>
      <c r="O93" s="276">
        <f t="shared" si="9"/>
        <v>0</v>
      </c>
      <c r="P93" s="276">
        <f t="shared" si="10"/>
        <v>0</v>
      </c>
      <c r="Q93" s="277" t="str">
        <f t="shared" si="13"/>
        <v>-</v>
      </c>
      <c r="R93" s="278" t="str">
        <f t="shared" si="12"/>
        <v>-</v>
      </c>
      <c r="S93" s="279">
        <f t="shared" si="11"/>
        <v>0</v>
      </c>
    </row>
    <row r="94" spans="2:19" x14ac:dyDescent="0.25">
      <c r="B94" s="212"/>
      <c r="C94" s="213"/>
      <c r="D94" s="213"/>
      <c r="E94" s="213"/>
      <c r="F94" s="214"/>
      <c r="G94" s="215"/>
      <c r="H94" s="215"/>
      <c r="I94" s="215"/>
      <c r="J94" s="215"/>
      <c r="K94" s="215"/>
      <c r="L94" s="215"/>
      <c r="M94" s="216"/>
      <c r="N94" s="216"/>
      <c r="O94" s="276">
        <f t="shared" si="9"/>
        <v>0</v>
      </c>
      <c r="P94" s="276">
        <f t="shared" si="10"/>
        <v>0</v>
      </c>
      <c r="Q94" s="277" t="str">
        <f t="shared" si="13"/>
        <v>-</v>
      </c>
      <c r="R94" s="278" t="str">
        <f t="shared" si="12"/>
        <v>-</v>
      </c>
      <c r="S94" s="279">
        <f t="shared" si="11"/>
        <v>0</v>
      </c>
    </row>
    <row r="95" spans="2:19" x14ac:dyDescent="0.25">
      <c r="B95" s="212"/>
      <c r="C95" s="213"/>
      <c r="D95" s="213"/>
      <c r="E95" s="213"/>
      <c r="F95" s="214"/>
      <c r="G95" s="215"/>
      <c r="H95" s="215"/>
      <c r="I95" s="215"/>
      <c r="J95" s="215"/>
      <c r="K95" s="215"/>
      <c r="L95" s="215"/>
      <c r="M95" s="216"/>
      <c r="N95" s="216"/>
      <c r="O95" s="276">
        <f t="shared" si="9"/>
        <v>0</v>
      </c>
      <c r="P95" s="276">
        <f t="shared" si="10"/>
        <v>0</v>
      </c>
      <c r="Q95" s="277" t="str">
        <f t="shared" si="13"/>
        <v>-</v>
      </c>
      <c r="R95" s="278" t="str">
        <f t="shared" si="12"/>
        <v>-</v>
      </c>
      <c r="S95" s="279">
        <f t="shared" si="11"/>
        <v>0</v>
      </c>
    </row>
    <row r="96" spans="2:19" x14ac:dyDescent="0.25">
      <c r="B96" s="212"/>
      <c r="C96" s="213"/>
      <c r="D96" s="213"/>
      <c r="E96" s="213"/>
      <c r="F96" s="214"/>
      <c r="G96" s="215"/>
      <c r="H96" s="215"/>
      <c r="I96" s="215"/>
      <c r="J96" s="215"/>
      <c r="K96" s="215"/>
      <c r="L96" s="215"/>
      <c r="M96" s="216"/>
      <c r="N96" s="216"/>
      <c r="O96" s="276">
        <f t="shared" si="9"/>
        <v>0</v>
      </c>
      <c r="P96" s="276">
        <f t="shared" si="10"/>
        <v>0</v>
      </c>
      <c r="Q96" s="277" t="str">
        <f t="shared" si="13"/>
        <v>-</v>
      </c>
      <c r="R96" s="278" t="str">
        <f t="shared" si="12"/>
        <v>-</v>
      </c>
      <c r="S96" s="279">
        <f t="shared" si="11"/>
        <v>0</v>
      </c>
    </row>
    <row r="97" spans="2:19" x14ac:dyDescent="0.25">
      <c r="B97" s="212"/>
      <c r="C97" s="213"/>
      <c r="D97" s="213"/>
      <c r="E97" s="213"/>
      <c r="F97" s="214"/>
      <c r="G97" s="215"/>
      <c r="H97" s="215"/>
      <c r="I97" s="215"/>
      <c r="J97" s="215"/>
      <c r="K97" s="215"/>
      <c r="L97" s="215"/>
      <c r="M97" s="216"/>
      <c r="N97" s="216"/>
      <c r="O97" s="276">
        <f t="shared" si="9"/>
        <v>0</v>
      </c>
      <c r="P97" s="276">
        <f t="shared" si="10"/>
        <v>0</v>
      </c>
      <c r="Q97" s="277" t="str">
        <f t="shared" si="13"/>
        <v>-</v>
      </c>
      <c r="R97" s="278" t="str">
        <f t="shared" si="12"/>
        <v>-</v>
      </c>
      <c r="S97" s="279">
        <f t="shared" si="11"/>
        <v>0</v>
      </c>
    </row>
    <row r="98" spans="2:19" x14ac:dyDescent="0.25">
      <c r="B98" s="212"/>
      <c r="C98" s="213"/>
      <c r="D98" s="213"/>
      <c r="E98" s="213"/>
      <c r="F98" s="214"/>
      <c r="G98" s="215"/>
      <c r="H98" s="215"/>
      <c r="I98" s="215"/>
      <c r="J98" s="215"/>
      <c r="K98" s="215"/>
      <c r="L98" s="215"/>
      <c r="M98" s="216"/>
      <c r="N98" s="216"/>
      <c r="O98" s="276">
        <f t="shared" si="9"/>
        <v>0</v>
      </c>
      <c r="P98" s="276">
        <f t="shared" si="10"/>
        <v>0</v>
      </c>
      <c r="Q98" s="277" t="str">
        <f t="shared" si="13"/>
        <v>-</v>
      </c>
      <c r="R98" s="278" t="str">
        <f t="shared" si="12"/>
        <v>-</v>
      </c>
      <c r="S98" s="279">
        <f t="shared" si="11"/>
        <v>0</v>
      </c>
    </row>
    <row r="99" spans="2:19" x14ac:dyDescent="0.25">
      <c r="B99" s="212"/>
      <c r="C99" s="213"/>
      <c r="D99" s="213"/>
      <c r="E99" s="213"/>
      <c r="F99" s="214"/>
      <c r="G99" s="215"/>
      <c r="H99" s="215"/>
      <c r="I99" s="215"/>
      <c r="J99" s="215"/>
      <c r="K99" s="215"/>
      <c r="L99" s="215"/>
      <c r="M99" s="216"/>
      <c r="N99" s="216"/>
      <c r="O99" s="276">
        <f t="shared" si="9"/>
        <v>0</v>
      </c>
      <c r="P99" s="276">
        <f t="shared" si="10"/>
        <v>0</v>
      </c>
      <c r="Q99" s="277" t="str">
        <f t="shared" si="13"/>
        <v>-</v>
      </c>
      <c r="R99" s="278" t="str">
        <f t="shared" si="12"/>
        <v>-</v>
      </c>
      <c r="S99" s="279">
        <f t="shared" si="11"/>
        <v>0</v>
      </c>
    </row>
    <row r="100" spans="2:19" x14ac:dyDescent="0.25">
      <c r="B100" s="212"/>
      <c r="C100" s="213"/>
      <c r="D100" s="213"/>
      <c r="E100" s="213"/>
      <c r="F100" s="214"/>
      <c r="G100" s="215"/>
      <c r="H100" s="215"/>
      <c r="I100" s="215"/>
      <c r="J100" s="215"/>
      <c r="K100" s="215"/>
      <c r="L100" s="215"/>
      <c r="M100" s="216"/>
      <c r="N100" s="216"/>
      <c r="O100" s="276">
        <f t="shared" si="9"/>
        <v>0</v>
      </c>
      <c r="P100" s="276">
        <f t="shared" si="10"/>
        <v>0</v>
      </c>
      <c r="Q100" s="277" t="str">
        <f t="shared" si="13"/>
        <v>-</v>
      </c>
      <c r="R100" s="278" t="str">
        <f t="shared" si="12"/>
        <v>-</v>
      </c>
      <c r="S100" s="279">
        <f t="shared" si="11"/>
        <v>0</v>
      </c>
    </row>
    <row r="101" spans="2:19" x14ac:dyDescent="0.25">
      <c r="B101" s="212"/>
      <c r="C101" s="213"/>
      <c r="D101" s="213"/>
      <c r="E101" s="213"/>
      <c r="F101" s="214"/>
      <c r="G101" s="215"/>
      <c r="H101" s="215"/>
      <c r="I101" s="215"/>
      <c r="J101" s="215"/>
      <c r="K101" s="215"/>
      <c r="L101" s="215"/>
      <c r="M101" s="216"/>
      <c r="N101" s="216"/>
      <c r="O101" s="276">
        <f t="shared" si="9"/>
        <v>0</v>
      </c>
      <c r="P101" s="276">
        <f t="shared" si="10"/>
        <v>0</v>
      </c>
      <c r="Q101" s="277" t="str">
        <f t="shared" si="13"/>
        <v>-</v>
      </c>
      <c r="R101" s="278" t="str">
        <f t="shared" si="12"/>
        <v>-</v>
      </c>
      <c r="S101" s="279">
        <f t="shared" si="11"/>
        <v>0</v>
      </c>
    </row>
    <row r="102" spans="2:19" x14ac:dyDescent="0.25">
      <c r="B102" s="212"/>
      <c r="C102" s="213"/>
      <c r="D102" s="213"/>
      <c r="E102" s="213"/>
      <c r="F102" s="214"/>
      <c r="G102" s="215"/>
      <c r="H102" s="215"/>
      <c r="I102" s="215"/>
      <c r="J102" s="215"/>
      <c r="K102" s="215"/>
      <c r="L102" s="215"/>
      <c r="M102" s="216"/>
      <c r="N102" s="216"/>
      <c r="O102" s="276">
        <f t="shared" si="9"/>
        <v>0</v>
      </c>
      <c r="P102" s="276">
        <f t="shared" si="10"/>
        <v>0</v>
      </c>
      <c r="Q102" s="277" t="str">
        <f t="shared" si="13"/>
        <v>-</v>
      </c>
      <c r="R102" s="278" t="str">
        <f t="shared" si="12"/>
        <v>-</v>
      </c>
      <c r="S102" s="279">
        <f t="shared" si="11"/>
        <v>0</v>
      </c>
    </row>
    <row r="103" spans="2:19" x14ac:dyDescent="0.25">
      <c r="B103" s="212"/>
      <c r="C103" s="213"/>
      <c r="D103" s="213"/>
      <c r="E103" s="213"/>
      <c r="F103" s="214"/>
      <c r="G103" s="215"/>
      <c r="H103" s="215"/>
      <c r="I103" s="215"/>
      <c r="J103" s="215"/>
      <c r="K103" s="215"/>
      <c r="L103" s="215"/>
      <c r="M103" s="216"/>
      <c r="N103" s="216"/>
      <c r="O103" s="276">
        <f t="shared" si="9"/>
        <v>0</v>
      </c>
      <c r="P103" s="276">
        <f t="shared" si="10"/>
        <v>0</v>
      </c>
      <c r="Q103" s="277" t="str">
        <f t="shared" si="13"/>
        <v>-</v>
      </c>
      <c r="R103" s="278" t="str">
        <f t="shared" si="12"/>
        <v>-</v>
      </c>
      <c r="S103" s="279">
        <f t="shared" si="11"/>
        <v>0</v>
      </c>
    </row>
    <row r="104" spans="2:19" x14ac:dyDescent="0.25">
      <c r="B104" s="212"/>
      <c r="C104" s="213"/>
      <c r="D104" s="213"/>
      <c r="E104" s="213"/>
      <c r="F104" s="214"/>
      <c r="G104" s="215"/>
      <c r="H104" s="215"/>
      <c r="I104" s="215"/>
      <c r="J104" s="215"/>
      <c r="K104" s="215"/>
      <c r="L104" s="215"/>
      <c r="M104" s="216"/>
      <c r="N104" s="216"/>
      <c r="O104" s="276">
        <f t="shared" si="9"/>
        <v>0</v>
      </c>
      <c r="P104" s="276">
        <f t="shared" si="10"/>
        <v>0</v>
      </c>
      <c r="Q104" s="277" t="str">
        <f t="shared" si="13"/>
        <v>-</v>
      </c>
      <c r="R104" s="278" t="str">
        <f t="shared" si="12"/>
        <v>-</v>
      </c>
      <c r="S104" s="279">
        <f t="shared" si="11"/>
        <v>0</v>
      </c>
    </row>
    <row r="105" spans="2:19" x14ac:dyDescent="0.25">
      <c r="B105" s="212"/>
      <c r="C105" s="213"/>
      <c r="D105" s="213"/>
      <c r="E105" s="213"/>
      <c r="F105" s="214"/>
      <c r="G105" s="215"/>
      <c r="H105" s="215"/>
      <c r="I105" s="215"/>
      <c r="J105" s="215"/>
      <c r="K105" s="215"/>
      <c r="L105" s="215"/>
      <c r="M105" s="216"/>
      <c r="N105" s="216"/>
      <c r="O105" s="276">
        <f t="shared" si="9"/>
        <v>0</v>
      </c>
      <c r="P105" s="276">
        <f t="shared" si="10"/>
        <v>0</v>
      </c>
      <c r="Q105" s="277" t="str">
        <f t="shared" si="13"/>
        <v>-</v>
      </c>
      <c r="R105" s="278" t="str">
        <f t="shared" si="12"/>
        <v>-</v>
      </c>
      <c r="S105" s="279">
        <f t="shared" si="11"/>
        <v>0</v>
      </c>
    </row>
    <row r="106" spans="2:19" x14ac:dyDescent="0.25">
      <c r="B106" s="212"/>
      <c r="C106" s="213"/>
      <c r="D106" s="213"/>
      <c r="E106" s="213"/>
      <c r="F106" s="214"/>
      <c r="G106" s="215"/>
      <c r="H106" s="215"/>
      <c r="I106" s="215"/>
      <c r="J106" s="215"/>
      <c r="K106" s="215"/>
      <c r="L106" s="215"/>
      <c r="M106" s="216"/>
      <c r="N106" s="216"/>
      <c r="O106" s="276">
        <f t="shared" si="9"/>
        <v>0</v>
      </c>
      <c r="P106" s="276">
        <f t="shared" si="10"/>
        <v>0</v>
      </c>
      <c r="Q106" s="277" t="str">
        <f t="shared" si="13"/>
        <v>-</v>
      </c>
      <c r="R106" s="278" t="str">
        <f t="shared" si="12"/>
        <v>-</v>
      </c>
      <c r="S106" s="279">
        <f t="shared" si="11"/>
        <v>0</v>
      </c>
    </row>
    <row r="107" spans="2:19" x14ac:dyDescent="0.25">
      <c r="B107" s="212"/>
      <c r="C107" s="213"/>
      <c r="D107" s="213"/>
      <c r="E107" s="213"/>
      <c r="F107" s="214"/>
      <c r="G107" s="215"/>
      <c r="H107" s="215"/>
      <c r="I107" s="215"/>
      <c r="J107" s="215"/>
      <c r="K107" s="215"/>
      <c r="L107" s="215"/>
      <c r="M107" s="216"/>
      <c r="N107" s="216"/>
      <c r="O107" s="276">
        <f t="shared" si="9"/>
        <v>0</v>
      </c>
      <c r="P107" s="276">
        <f t="shared" si="10"/>
        <v>0</v>
      </c>
      <c r="Q107" s="277" t="str">
        <f t="shared" si="13"/>
        <v>-</v>
      </c>
      <c r="R107" s="278" t="str">
        <f t="shared" si="12"/>
        <v>-</v>
      </c>
      <c r="S107" s="279">
        <f t="shared" si="11"/>
        <v>0</v>
      </c>
    </row>
    <row r="108" spans="2:19" x14ac:dyDescent="0.25">
      <c r="B108" s="212"/>
      <c r="C108" s="213"/>
      <c r="D108" s="213"/>
      <c r="E108" s="213"/>
      <c r="F108" s="214"/>
      <c r="G108" s="215"/>
      <c r="H108" s="215"/>
      <c r="I108" s="215"/>
      <c r="J108" s="215"/>
      <c r="K108" s="215"/>
      <c r="L108" s="215"/>
      <c r="M108" s="216"/>
      <c r="N108" s="216"/>
      <c r="O108" s="276">
        <f t="shared" si="9"/>
        <v>0</v>
      </c>
      <c r="P108" s="276">
        <f t="shared" si="10"/>
        <v>0</v>
      </c>
      <c r="Q108" s="277" t="str">
        <f t="shared" si="13"/>
        <v>-</v>
      </c>
      <c r="R108" s="278" t="str">
        <f t="shared" si="12"/>
        <v>-</v>
      </c>
      <c r="S108" s="279">
        <f t="shared" si="11"/>
        <v>0</v>
      </c>
    </row>
    <row r="109" spans="2:19" x14ac:dyDescent="0.25">
      <c r="B109" s="212"/>
      <c r="C109" s="213"/>
      <c r="D109" s="213"/>
      <c r="E109" s="213"/>
      <c r="F109" s="214"/>
      <c r="G109" s="215"/>
      <c r="H109" s="215"/>
      <c r="I109" s="215"/>
      <c r="J109" s="215"/>
      <c r="K109" s="215"/>
      <c r="L109" s="215"/>
      <c r="M109" s="216"/>
      <c r="N109" s="216"/>
      <c r="O109" s="276">
        <f t="shared" si="9"/>
        <v>0</v>
      </c>
      <c r="P109" s="276">
        <f t="shared" si="10"/>
        <v>0</v>
      </c>
      <c r="Q109" s="277" t="str">
        <f t="shared" si="13"/>
        <v>-</v>
      </c>
      <c r="R109" s="278" t="str">
        <f t="shared" si="12"/>
        <v>-</v>
      </c>
      <c r="S109" s="279">
        <f t="shared" si="11"/>
        <v>0</v>
      </c>
    </row>
    <row r="110" spans="2:19" x14ac:dyDescent="0.25">
      <c r="B110" s="212"/>
      <c r="C110" s="213"/>
      <c r="D110" s="213"/>
      <c r="E110" s="213"/>
      <c r="F110" s="214"/>
      <c r="G110" s="215"/>
      <c r="H110" s="215"/>
      <c r="I110" s="215"/>
      <c r="J110" s="215"/>
      <c r="K110" s="215"/>
      <c r="L110" s="215"/>
      <c r="M110" s="216"/>
      <c r="N110" s="216"/>
      <c r="O110" s="276">
        <f t="shared" si="9"/>
        <v>0</v>
      </c>
      <c r="P110" s="276">
        <f t="shared" si="10"/>
        <v>0</v>
      </c>
      <c r="Q110" s="277" t="str">
        <f t="shared" si="13"/>
        <v>-</v>
      </c>
      <c r="R110" s="278" t="str">
        <f t="shared" si="12"/>
        <v>-</v>
      </c>
      <c r="S110" s="279">
        <f t="shared" si="11"/>
        <v>0</v>
      </c>
    </row>
    <row r="111" spans="2:19" x14ac:dyDescent="0.25">
      <c r="B111" s="212"/>
      <c r="C111" s="213"/>
      <c r="D111" s="213"/>
      <c r="E111" s="213"/>
      <c r="F111" s="214"/>
      <c r="G111" s="215"/>
      <c r="H111" s="215"/>
      <c r="I111" s="215"/>
      <c r="J111" s="215"/>
      <c r="K111" s="215"/>
      <c r="L111" s="215"/>
      <c r="M111" s="216"/>
      <c r="N111" s="216"/>
      <c r="O111" s="276">
        <f t="shared" si="9"/>
        <v>0</v>
      </c>
      <c r="P111" s="276">
        <f t="shared" si="10"/>
        <v>0</v>
      </c>
      <c r="Q111" s="277" t="str">
        <f t="shared" si="13"/>
        <v>-</v>
      </c>
      <c r="R111" s="278" t="str">
        <f t="shared" si="12"/>
        <v>-</v>
      </c>
      <c r="S111" s="279">
        <f t="shared" si="11"/>
        <v>0</v>
      </c>
    </row>
    <row r="112" spans="2:19" x14ac:dyDescent="0.25">
      <c r="B112" s="212"/>
      <c r="C112" s="213"/>
      <c r="D112" s="213"/>
      <c r="E112" s="213"/>
      <c r="F112" s="214"/>
      <c r="G112" s="215"/>
      <c r="H112" s="215"/>
      <c r="I112" s="215"/>
      <c r="J112" s="215"/>
      <c r="K112" s="215"/>
      <c r="L112" s="215"/>
      <c r="M112" s="216"/>
      <c r="N112" s="216"/>
      <c r="O112" s="276">
        <f t="shared" si="9"/>
        <v>0</v>
      </c>
      <c r="P112" s="276">
        <f t="shared" si="10"/>
        <v>0</v>
      </c>
      <c r="Q112" s="277" t="str">
        <f t="shared" si="13"/>
        <v>-</v>
      </c>
      <c r="R112" s="278" t="str">
        <f t="shared" si="12"/>
        <v>-</v>
      </c>
      <c r="S112" s="279">
        <f t="shared" si="11"/>
        <v>0</v>
      </c>
    </row>
    <row r="113" spans="2:19" x14ac:dyDescent="0.25">
      <c r="B113" s="212"/>
      <c r="C113" s="213"/>
      <c r="D113" s="213"/>
      <c r="E113" s="213"/>
      <c r="F113" s="214"/>
      <c r="G113" s="215"/>
      <c r="H113" s="215"/>
      <c r="I113" s="215"/>
      <c r="J113" s="215"/>
      <c r="K113" s="215"/>
      <c r="L113" s="215"/>
      <c r="M113" s="216"/>
      <c r="N113" s="216"/>
      <c r="O113" s="276">
        <f t="shared" si="9"/>
        <v>0</v>
      </c>
      <c r="P113" s="276">
        <f t="shared" si="10"/>
        <v>0</v>
      </c>
      <c r="Q113" s="277" t="str">
        <f t="shared" si="13"/>
        <v>-</v>
      </c>
      <c r="R113" s="278" t="str">
        <f t="shared" si="12"/>
        <v>-</v>
      </c>
      <c r="S113" s="279">
        <f t="shared" si="11"/>
        <v>0</v>
      </c>
    </row>
    <row r="114" spans="2:19" x14ac:dyDescent="0.25">
      <c r="B114" s="212"/>
      <c r="C114" s="213"/>
      <c r="D114" s="213"/>
      <c r="E114" s="213"/>
      <c r="F114" s="214"/>
      <c r="G114" s="215"/>
      <c r="H114" s="215"/>
      <c r="I114" s="215"/>
      <c r="J114" s="215"/>
      <c r="K114" s="215"/>
      <c r="L114" s="215"/>
      <c r="M114" s="216"/>
      <c r="N114" s="216"/>
      <c r="O114" s="276">
        <f t="shared" si="9"/>
        <v>0</v>
      </c>
      <c r="P114" s="276">
        <f t="shared" si="10"/>
        <v>0</v>
      </c>
      <c r="Q114" s="277" t="str">
        <f t="shared" si="13"/>
        <v>-</v>
      </c>
      <c r="R114" s="278" t="str">
        <f t="shared" si="12"/>
        <v>-</v>
      </c>
      <c r="S114" s="279">
        <f t="shared" si="11"/>
        <v>0</v>
      </c>
    </row>
    <row r="115" spans="2:19" x14ac:dyDescent="0.25">
      <c r="B115" s="212"/>
      <c r="C115" s="213"/>
      <c r="D115" s="213"/>
      <c r="E115" s="213"/>
      <c r="F115" s="214"/>
      <c r="G115" s="215"/>
      <c r="H115" s="215"/>
      <c r="I115" s="215"/>
      <c r="J115" s="215"/>
      <c r="K115" s="215"/>
      <c r="L115" s="215"/>
      <c r="M115" s="216"/>
      <c r="N115" s="216"/>
      <c r="O115" s="276">
        <f t="shared" si="9"/>
        <v>0</v>
      </c>
      <c r="P115" s="276">
        <f t="shared" si="10"/>
        <v>0</v>
      </c>
      <c r="Q115" s="277" t="str">
        <f t="shared" si="13"/>
        <v>-</v>
      </c>
      <c r="R115" s="278" t="str">
        <f t="shared" si="12"/>
        <v>-</v>
      </c>
      <c r="S115" s="279">
        <f t="shared" si="11"/>
        <v>0</v>
      </c>
    </row>
    <row r="116" spans="2:19" x14ac:dyDescent="0.25">
      <c r="B116" s="212"/>
      <c r="C116" s="213"/>
      <c r="D116" s="213"/>
      <c r="E116" s="213"/>
      <c r="F116" s="214"/>
      <c r="G116" s="215"/>
      <c r="H116" s="215"/>
      <c r="I116" s="215"/>
      <c r="J116" s="215"/>
      <c r="K116" s="215"/>
      <c r="L116" s="215"/>
      <c r="M116" s="216"/>
      <c r="N116" s="216"/>
      <c r="O116" s="276">
        <f t="shared" si="9"/>
        <v>0</v>
      </c>
      <c r="P116" s="276">
        <f t="shared" si="10"/>
        <v>0</v>
      </c>
      <c r="Q116" s="277" t="str">
        <f t="shared" si="13"/>
        <v>-</v>
      </c>
      <c r="R116" s="278" t="str">
        <f t="shared" si="12"/>
        <v>-</v>
      </c>
      <c r="S116" s="279">
        <f t="shared" si="11"/>
        <v>0</v>
      </c>
    </row>
    <row r="117" spans="2:19" x14ac:dyDescent="0.25">
      <c r="B117" s="212"/>
      <c r="C117" s="213"/>
      <c r="D117" s="213"/>
      <c r="E117" s="213"/>
      <c r="F117" s="214"/>
      <c r="G117" s="215"/>
      <c r="H117" s="215"/>
      <c r="I117" s="215"/>
      <c r="J117" s="215"/>
      <c r="K117" s="215"/>
      <c r="L117" s="215"/>
      <c r="M117" s="216"/>
      <c r="N117" s="216"/>
      <c r="O117" s="276">
        <f t="shared" si="9"/>
        <v>0</v>
      </c>
      <c r="P117" s="276">
        <f t="shared" si="10"/>
        <v>0</v>
      </c>
      <c r="Q117" s="277" t="str">
        <f t="shared" si="13"/>
        <v>-</v>
      </c>
      <c r="R117" s="278" t="str">
        <f t="shared" si="12"/>
        <v>-</v>
      </c>
      <c r="S117" s="279">
        <f t="shared" si="11"/>
        <v>0</v>
      </c>
    </row>
    <row r="118" spans="2:19" x14ac:dyDescent="0.25">
      <c r="B118" s="212"/>
      <c r="C118" s="213"/>
      <c r="D118" s="213"/>
      <c r="E118" s="213"/>
      <c r="F118" s="214"/>
      <c r="G118" s="215"/>
      <c r="H118" s="215"/>
      <c r="I118" s="215"/>
      <c r="J118" s="215"/>
      <c r="K118" s="215"/>
      <c r="L118" s="215"/>
      <c r="M118" s="216"/>
      <c r="N118" s="216"/>
      <c r="O118" s="276">
        <f t="shared" si="9"/>
        <v>0</v>
      </c>
      <c r="P118" s="276">
        <f t="shared" si="10"/>
        <v>0</v>
      </c>
      <c r="Q118" s="277" t="str">
        <f t="shared" si="13"/>
        <v>-</v>
      </c>
      <c r="R118" s="278" t="str">
        <f t="shared" si="12"/>
        <v>-</v>
      </c>
      <c r="S118" s="279">
        <f t="shared" si="11"/>
        <v>0</v>
      </c>
    </row>
    <row r="119" spans="2:19" x14ac:dyDescent="0.25">
      <c r="B119" s="212"/>
      <c r="C119" s="213"/>
      <c r="D119" s="213"/>
      <c r="E119" s="213"/>
      <c r="F119" s="214"/>
      <c r="G119" s="215"/>
      <c r="H119" s="215"/>
      <c r="I119" s="215"/>
      <c r="J119" s="215"/>
      <c r="K119" s="215"/>
      <c r="L119" s="215"/>
      <c r="M119" s="216"/>
      <c r="N119" s="216"/>
      <c r="O119" s="276">
        <f t="shared" ref="O119:O148" si="14">G119+H119*$U$7+I119*$U$8+J119*$U$9</f>
        <v>0</v>
      </c>
      <c r="P119" s="276">
        <f t="shared" ref="P119:P148" si="15">O119-(K119+L119*$U$7+M119*$U$8+N119*$U$9)</f>
        <v>0</v>
      </c>
      <c r="Q119" s="277" t="str">
        <f t="shared" si="13"/>
        <v>-</v>
      </c>
      <c r="R119" s="278" t="str">
        <f t="shared" si="12"/>
        <v>-</v>
      </c>
      <c r="S119" s="279">
        <f t="shared" ref="S119:S148" si="16">IF($D119="LMI", $F119*($H$9/100), $F119*0.5)</f>
        <v>0</v>
      </c>
    </row>
    <row r="120" spans="2:19" x14ac:dyDescent="0.25">
      <c r="B120" s="212"/>
      <c r="C120" s="213"/>
      <c r="D120" s="213"/>
      <c r="E120" s="213"/>
      <c r="F120" s="214"/>
      <c r="G120" s="215"/>
      <c r="H120" s="215"/>
      <c r="I120" s="215"/>
      <c r="J120" s="215"/>
      <c r="K120" s="215"/>
      <c r="L120" s="215"/>
      <c r="M120" s="216"/>
      <c r="N120" s="216"/>
      <c r="O120" s="276">
        <f t="shared" si="14"/>
        <v>0</v>
      </c>
      <c r="P120" s="276">
        <f t="shared" si="15"/>
        <v>0</v>
      </c>
      <c r="Q120" s="277" t="str">
        <f t="shared" si="13"/>
        <v>-</v>
      </c>
      <c r="R120" s="278" t="str">
        <f t="shared" ref="R120:R148" si="17">IF(AND(C120="MF", D120="Market Rate"), $K120*P$14 + $L120*P$15 + $M120*P$16 + $N120*P$17,
 IF(AND(C120="MF", D120="LMI"), $K120*Q$14 + $L120*Q$15 + $M120*Q$16 + $N120*Q$17,
 IF(AND(C120="SF", D120="Market Rate"), $K120*N$14 + $L120*N$15 + $M120*N$16 + $N120*N$17,
 IF(AND(C120="SF", D120="LMI"), $K120*O$14 + $L120*O$15 + $M120*O$16 + $N120*O$17, "-"))))</f>
        <v>-</v>
      </c>
      <c r="S120" s="279">
        <f t="shared" si="16"/>
        <v>0</v>
      </c>
    </row>
    <row r="121" spans="2:19" x14ac:dyDescent="0.25">
      <c r="B121" s="212"/>
      <c r="C121" s="213"/>
      <c r="D121" s="213"/>
      <c r="E121" s="213"/>
      <c r="F121" s="214"/>
      <c r="G121" s="215"/>
      <c r="H121" s="215"/>
      <c r="I121" s="215"/>
      <c r="J121" s="215"/>
      <c r="K121" s="215"/>
      <c r="L121" s="215"/>
      <c r="M121" s="216"/>
      <c r="N121" s="216"/>
      <c r="O121" s="276">
        <f t="shared" si="14"/>
        <v>0</v>
      </c>
      <c r="P121" s="276">
        <f t="shared" si="15"/>
        <v>0</v>
      </c>
      <c r="Q121" s="277" t="str">
        <f t="shared" si="13"/>
        <v>-</v>
      </c>
      <c r="R121" s="278" t="str">
        <f t="shared" si="17"/>
        <v>-</v>
      </c>
      <c r="S121" s="279">
        <f t="shared" si="16"/>
        <v>0</v>
      </c>
    </row>
    <row r="122" spans="2:19" x14ac:dyDescent="0.25">
      <c r="B122" s="212"/>
      <c r="C122" s="213"/>
      <c r="D122" s="213"/>
      <c r="E122" s="213"/>
      <c r="F122" s="214"/>
      <c r="G122" s="215"/>
      <c r="H122" s="215"/>
      <c r="I122" s="215"/>
      <c r="J122" s="215"/>
      <c r="K122" s="215"/>
      <c r="L122" s="215"/>
      <c r="M122" s="216"/>
      <c r="N122" s="216"/>
      <c r="O122" s="276">
        <f t="shared" si="14"/>
        <v>0</v>
      </c>
      <c r="P122" s="276">
        <f t="shared" si="15"/>
        <v>0</v>
      </c>
      <c r="Q122" s="277" t="str">
        <f t="shared" si="13"/>
        <v>-</v>
      </c>
      <c r="R122" s="278" t="str">
        <f t="shared" si="17"/>
        <v>-</v>
      </c>
      <c r="S122" s="279">
        <f t="shared" si="16"/>
        <v>0</v>
      </c>
    </row>
    <row r="123" spans="2:19" x14ac:dyDescent="0.25">
      <c r="B123" s="212"/>
      <c r="C123" s="213"/>
      <c r="D123" s="213"/>
      <c r="E123" s="213"/>
      <c r="F123" s="214"/>
      <c r="G123" s="215"/>
      <c r="H123" s="215"/>
      <c r="I123" s="215"/>
      <c r="J123" s="215"/>
      <c r="K123" s="215"/>
      <c r="L123" s="215"/>
      <c r="M123" s="216"/>
      <c r="N123" s="216"/>
      <c r="O123" s="276">
        <f t="shared" si="14"/>
        <v>0</v>
      </c>
      <c r="P123" s="276">
        <f t="shared" si="15"/>
        <v>0</v>
      </c>
      <c r="Q123" s="277" t="str">
        <f t="shared" si="13"/>
        <v>-</v>
      </c>
      <c r="R123" s="278" t="str">
        <f t="shared" si="17"/>
        <v>-</v>
      </c>
      <c r="S123" s="279">
        <f t="shared" si="16"/>
        <v>0</v>
      </c>
    </row>
    <row r="124" spans="2:19" x14ac:dyDescent="0.25">
      <c r="B124" s="212"/>
      <c r="C124" s="213"/>
      <c r="D124" s="213"/>
      <c r="E124" s="213"/>
      <c r="F124" s="214"/>
      <c r="G124" s="215"/>
      <c r="H124" s="215"/>
      <c r="I124" s="215"/>
      <c r="J124" s="215"/>
      <c r="K124" s="215"/>
      <c r="L124" s="215"/>
      <c r="M124" s="216"/>
      <c r="N124" s="216"/>
      <c r="O124" s="276">
        <f t="shared" si="14"/>
        <v>0</v>
      </c>
      <c r="P124" s="276">
        <f t="shared" si="15"/>
        <v>0</v>
      </c>
      <c r="Q124" s="277" t="str">
        <f t="shared" si="13"/>
        <v>-</v>
      </c>
      <c r="R124" s="278" t="str">
        <f t="shared" si="17"/>
        <v>-</v>
      </c>
      <c r="S124" s="279">
        <f t="shared" si="16"/>
        <v>0</v>
      </c>
    </row>
    <row r="125" spans="2:19" x14ac:dyDescent="0.25">
      <c r="B125" s="212"/>
      <c r="C125" s="213"/>
      <c r="D125" s="213"/>
      <c r="E125" s="213"/>
      <c r="F125" s="214"/>
      <c r="G125" s="215"/>
      <c r="H125" s="215"/>
      <c r="I125" s="215"/>
      <c r="J125" s="215"/>
      <c r="K125" s="215"/>
      <c r="L125" s="215"/>
      <c r="M125" s="216"/>
      <c r="N125" s="216"/>
      <c r="O125" s="276">
        <f t="shared" si="14"/>
        <v>0</v>
      </c>
      <c r="P125" s="276">
        <f t="shared" si="15"/>
        <v>0</v>
      </c>
      <c r="Q125" s="277" t="str">
        <f t="shared" si="13"/>
        <v>-</v>
      </c>
      <c r="R125" s="278" t="str">
        <f t="shared" si="17"/>
        <v>-</v>
      </c>
      <c r="S125" s="279">
        <f t="shared" si="16"/>
        <v>0</v>
      </c>
    </row>
    <row r="126" spans="2:19" x14ac:dyDescent="0.25">
      <c r="B126" s="212"/>
      <c r="C126" s="213"/>
      <c r="D126" s="213"/>
      <c r="E126" s="213"/>
      <c r="F126" s="214"/>
      <c r="G126" s="215"/>
      <c r="H126" s="215"/>
      <c r="I126" s="215"/>
      <c r="J126" s="215"/>
      <c r="K126" s="215"/>
      <c r="L126" s="215"/>
      <c r="M126" s="216"/>
      <c r="N126" s="216"/>
      <c r="O126" s="276">
        <f t="shared" si="14"/>
        <v>0</v>
      </c>
      <c r="P126" s="276">
        <f t="shared" si="15"/>
        <v>0</v>
      </c>
      <c r="Q126" s="277" t="str">
        <f t="shared" si="13"/>
        <v>-</v>
      </c>
      <c r="R126" s="278" t="str">
        <f t="shared" si="17"/>
        <v>-</v>
      </c>
      <c r="S126" s="279">
        <f t="shared" si="16"/>
        <v>0</v>
      </c>
    </row>
    <row r="127" spans="2:19" x14ac:dyDescent="0.25">
      <c r="B127" s="212"/>
      <c r="C127" s="213"/>
      <c r="D127" s="213"/>
      <c r="E127" s="213"/>
      <c r="F127" s="214"/>
      <c r="G127" s="215"/>
      <c r="H127" s="215"/>
      <c r="I127" s="215"/>
      <c r="J127" s="215"/>
      <c r="K127" s="215"/>
      <c r="L127" s="215"/>
      <c r="M127" s="216"/>
      <c r="N127" s="216"/>
      <c r="O127" s="276">
        <f t="shared" si="14"/>
        <v>0</v>
      </c>
      <c r="P127" s="276">
        <f t="shared" si="15"/>
        <v>0</v>
      </c>
      <c r="Q127" s="277" t="str">
        <f t="shared" si="13"/>
        <v>-</v>
      </c>
      <c r="R127" s="278" t="str">
        <f t="shared" si="17"/>
        <v>-</v>
      </c>
      <c r="S127" s="279">
        <f t="shared" si="16"/>
        <v>0</v>
      </c>
    </row>
    <row r="128" spans="2:19" x14ac:dyDescent="0.25">
      <c r="B128" s="212"/>
      <c r="C128" s="213"/>
      <c r="D128" s="213"/>
      <c r="E128" s="213"/>
      <c r="F128" s="214"/>
      <c r="G128" s="215"/>
      <c r="H128" s="215"/>
      <c r="I128" s="215"/>
      <c r="J128" s="215"/>
      <c r="K128" s="215"/>
      <c r="L128" s="215"/>
      <c r="M128" s="216"/>
      <c r="N128" s="216"/>
      <c r="O128" s="276">
        <f t="shared" si="14"/>
        <v>0</v>
      </c>
      <c r="P128" s="276">
        <f t="shared" si="15"/>
        <v>0</v>
      </c>
      <c r="Q128" s="277" t="str">
        <f t="shared" si="13"/>
        <v>-</v>
      </c>
      <c r="R128" s="278" t="str">
        <f t="shared" si="17"/>
        <v>-</v>
      </c>
      <c r="S128" s="279">
        <f t="shared" si="16"/>
        <v>0</v>
      </c>
    </row>
    <row r="129" spans="2:19" x14ac:dyDescent="0.25">
      <c r="B129" s="212"/>
      <c r="C129" s="213"/>
      <c r="D129" s="213"/>
      <c r="E129" s="213"/>
      <c r="F129" s="214"/>
      <c r="G129" s="215"/>
      <c r="H129" s="215"/>
      <c r="I129" s="215"/>
      <c r="J129" s="215"/>
      <c r="K129" s="215"/>
      <c r="L129" s="215"/>
      <c r="M129" s="216"/>
      <c r="N129" s="216"/>
      <c r="O129" s="276">
        <f t="shared" si="14"/>
        <v>0</v>
      </c>
      <c r="P129" s="276">
        <f t="shared" si="15"/>
        <v>0</v>
      </c>
      <c r="Q129" s="277" t="str">
        <f t="shared" si="13"/>
        <v>-</v>
      </c>
      <c r="R129" s="278" t="str">
        <f t="shared" si="17"/>
        <v>-</v>
      </c>
      <c r="S129" s="279">
        <f t="shared" si="16"/>
        <v>0</v>
      </c>
    </row>
    <row r="130" spans="2:19" x14ac:dyDescent="0.25">
      <c r="B130" s="212"/>
      <c r="C130" s="213"/>
      <c r="D130" s="213"/>
      <c r="E130" s="213"/>
      <c r="F130" s="214"/>
      <c r="G130" s="215"/>
      <c r="H130" s="215"/>
      <c r="I130" s="215"/>
      <c r="J130" s="215"/>
      <c r="K130" s="215"/>
      <c r="L130" s="215"/>
      <c r="M130" s="216"/>
      <c r="N130" s="216"/>
      <c r="O130" s="276">
        <f t="shared" si="14"/>
        <v>0</v>
      </c>
      <c r="P130" s="276">
        <f t="shared" si="15"/>
        <v>0</v>
      </c>
      <c r="Q130" s="277" t="str">
        <f t="shared" si="13"/>
        <v>-</v>
      </c>
      <c r="R130" s="278" t="str">
        <f t="shared" si="17"/>
        <v>-</v>
      </c>
      <c r="S130" s="279">
        <f t="shared" si="16"/>
        <v>0</v>
      </c>
    </row>
    <row r="131" spans="2:19" x14ac:dyDescent="0.25">
      <c r="B131" s="212"/>
      <c r="C131" s="213"/>
      <c r="D131" s="213"/>
      <c r="E131" s="213"/>
      <c r="F131" s="214"/>
      <c r="G131" s="215"/>
      <c r="H131" s="215"/>
      <c r="I131" s="215"/>
      <c r="J131" s="215"/>
      <c r="K131" s="215"/>
      <c r="L131" s="215"/>
      <c r="M131" s="216"/>
      <c r="N131" s="216"/>
      <c r="O131" s="276">
        <f t="shared" si="14"/>
        <v>0</v>
      </c>
      <c r="P131" s="276">
        <f t="shared" si="15"/>
        <v>0</v>
      </c>
      <c r="Q131" s="277" t="str">
        <f t="shared" si="13"/>
        <v>-</v>
      </c>
      <c r="R131" s="278" t="str">
        <f t="shared" si="17"/>
        <v>-</v>
      </c>
      <c r="S131" s="279">
        <f t="shared" si="16"/>
        <v>0</v>
      </c>
    </row>
    <row r="132" spans="2:19" x14ac:dyDescent="0.25">
      <c r="B132" s="212"/>
      <c r="C132" s="213"/>
      <c r="D132" s="213"/>
      <c r="E132" s="213"/>
      <c r="F132" s="214"/>
      <c r="G132" s="215"/>
      <c r="H132" s="215"/>
      <c r="I132" s="215"/>
      <c r="J132" s="215"/>
      <c r="K132" s="215"/>
      <c r="L132" s="215"/>
      <c r="M132" s="216"/>
      <c r="N132" s="216"/>
      <c r="O132" s="276">
        <f t="shared" si="14"/>
        <v>0</v>
      </c>
      <c r="P132" s="276">
        <f t="shared" si="15"/>
        <v>0</v>
      </c>
      <c r="Q132" s="277" t="str">
        <f t="shared" si="13"/>
        <v>-</v>
      </c>
      <c r="R132" s="278" t="str">
        <f t="shared" si="17"/>
        <v>-</v>
      </c>
      <c r="S132" s="279">
        <f t="shared" si="16"/>
        <v>0</v>
      </c>
    </row>
    <row r="133" spans="2:19" x14ac:dyDescent="0.25">
      <c r="B133" s="212"/>
      <c r="C133" s="213"/>
      <c r="D133" s="213"/>
      <c r="E133" s="213"/>
      <c r="F133" s="214"/>
      <c r="G133" s="215"/>
      <c r="H133" s="215"/>
      <c r="I133" s="215"/>
      <c r="J133" s="215"/>
      <c r="K133" s="215"/>
      <c r="L133" s="215"/>
      <c r="M133" s="216"/>
      <c r="N133" s="216"/>
      <c r="O133" s="276">
        <f t="shared" si="14"/>
        <v>0</v>
      </c>
      <c r="P133" s="276">
        <f t="shared" si="15"/>
        <v>0</v>
      </c>
      <c r="Q133" s="277" t="str">
        <f t="shared" si="13"/>
        <v>-</v>
      </c>
      <c r="R133" s="278" t="str">
        <f t="shared" si="17"/>
        <v>-</v>
      </c>
      <c r="S133" s="279">
        <f t="shared" si="16"/>
        <v>0</v>
      </c>
    </row>
    <row r="134" spans="2:19" x14ac:dyDescent="0.25">
      <c r="B134" s="212"/>
      <c r="C134" s="213"/>
      <c r="D134" s="213"/>
      <c r="E134" s="213"/>
      <c r="F134" s="214"/>
      <c r="G134" s="215"/>
      <c r="H134" s="215"/>
      <c r="I134" s="215"/>
      <c r="J134" s="215"/>
      <c r="K134" s="215"/>
      <c r="L134" s="215"/>
      <c r="M134" s="216"/>
      <c r="N134" s="216"/>
      <c r="O134" s="276">
        <f t="shared" si="14"/>
        <v>0</v>
      </c>
      <c r="P134" s="276">
        <f t="shared" si="15"/>
        <v>0</v>
      </c>
      <c r="Q134" s="277" t="str">
        <f t="shared" si="13"/>
        <v>-</v>
      </c>
      <c r="R134" s="278" t="str">
        <f t="shared" si="17"/>
        <v>-</v>
      </c>
      <c r="S134" s="279">
        <f t="shared" si="16"/>
        <v>0</v>
      </c>
    </row>
    <row r="135" spans="2:19" x14ac:dyDescent="0.25">
      <c r="B135" s="212"/>
      <c r="C135" s="213"/>
      <c r="D135" s="213"/>
      <c r="E135" s="213"/>
      <c r="F135" s="214"/>
      <c r="G135" s="215"/>
      <c r="H135" s="215"/>
      <c r="I135" s="215"/>
      <c r="J135" s="215"/>
      <c r="K135" s="215"/>
      <c r="L135" s="215"/>
      <c r="M135" s="216"/>
      <c r="N135" s="216"/>
      <c r="O135" s="276">
        <f t="shared" si="14"/>
        <v>0</v>
      </c>
      <c r="P135" s="276">
        <f t="shared" si="15"/>
        <v>0</v>
      </c>
      <c r="Q135" s="277" t="str">
        <f t="shared" si="13"/>
        <v>-</v>
      </c>
      <c r="R135" s="278" t="str">
        <f t="shared" si="17"/>
        <v>-</v>
      </c>
      <c r="S135" s="279">
        <f t="shared" si="16"/>
        <v>0</v>
      </c>
    </row>
    <row r="136" spans="2:19" x14ac:dyDescent="0.25">
      <c r="B136" s="212"/>
      <c r="C136" s="213"/>
      <c r="D136" s="213"/>
      <c r="E136" s="213"/>
      <c r="F136" s="214"/>
      <c r="G136" s="215"/>
      <c r="H136" s="215"/>
      <c r="I136" s="215"/>
      <c r="J136" s="215"/>
      <c r="K136" s="215"/>
      <c r="L136" s="215"/>
      <c r="M136" s="216"/>
      <c r="N136" s="216"/>
      <c r="O136" s="276">
        <f t="shared" si="14"/>
        <v>0</v>
      </c>
      <c r="P136" s="276">
        <f t="shared" si="15"/>
        <v>0</v>
      </c>
      <c r="Q136" s="277" t="str">
        <f t="shared" si="13"/>
        <v>-</v>
      </c>
      <c r="R136" s="278" t="str">
        <f t="shared" si="17"/>
        <v>-</v>
      </c>
      <c r="S136" s="279">
        <f t="shared" si="16"/>
        <v>0</v>
      </c>
    </row>
    <row r="137" spans="2:19" x14ac:dyDescent="0.25">
      <c r="B137" s="212"/>
      <c r="C137" s="213"/>
      <c r="D137" s="213"/>
      <c r="E137" s="213"/>
      <c r="F137" s="214"/>
      <c r="G137" s="215"/>
      <c r="H137" s="215"/>
      <c r="I137" s="215"/>
      <c r="J137" s="215"/>
      <c r="K137" s="215"/>
      <c r="L137" s="215"/>
      <c r="M137" s="216"/>
      <c r="N137" s="216"/>
      <c r="O137" s="276">
        <f t="shared" si="14"/>
        <v>0</v>
      </c>
      <c r="P137" s="276">
        <f t="shared" si="15"/>
        <v>0</v>
      </c>
      <c r="Q137" s="277" t="str">
        <f t="shared" si="13"/>
        <v>-</v>
      </c>
      <c r="R137" s="278" t="str">
        <f t="shared" si="17"/>
        <v>-</v>
      </c>
      <c r="S137" s="279">
        <f t="shared" si="16"/>
        <v>0</v>
      </c>
    </row>
    <row r="138" spans="2:19" x14ac:dyDescent="0.25">
      <c r="B138" s="212"/>
      <c r="C138" s="213"/>
      <c r="D138" s="213"/>
      <c r="E138" s="213"/>
      <c r="F138" s="214"/>
      <c r="G138" s="215"/>
      <c r="H138" s="215"/>
      <c r="I138" s="215"/>
      <c r="J138" s="215"/>
      <c r="K138" s="215"/>
      <c r="L138" s="215"/>
      <c r="M138" s="216"/>
      <c r="N138" s="216"/>
      <c r="O138" s="276">
        <f t="shared" si="14"/>
        <v>0</v>
      </c>
      <c r="P138" s="276">
        <f t="shared" si="15"/>
        <v>0</v>
      </c>
      <c r="Q138" s="277" t="str">
        <f t="shared" si="13"/>
        <v>-</v>
      </c>
      <c r="R138" s="278" t="str">
        <f t="shared" si="17"/>
        <v>-</v>
      </c>
      <c r="S138" s="279">
        <f t="shared" si="16"/>
        <v>0</v>
      </c>
    </row>
    <row r="139" spans="2:19" x14ac:dyDescent="0.25">
      <c r="B139" s="212"/>
      <c r="C139" s="213"/>
      <c r="D139" s="213"/>
      <c r="E139" s="213"/>
      <c r="F139" s="214"/>
      <c r="G139" s="215"/>
      <c r="H139" s="215"/>
      <c r="I139" s="215"/>
      <c r="J139" s="215"/>
      <c r="K139" s="215"/>
      <c r="L139" s="215"/>
      <c r="M139" s="216"/>
      <c r="N139" s="216"/>
      <c r="O139" s="276">
        <f t="shared" si="14"/>
        <v>0</v>
      </c>
      <c r="P139" s="276">
        <f t="shared" si="15"/>
        <v>0</v>
      </c>
      <c r="Q139" s="277" t="str">
        <f t="shared" si="13"/>
        <v>-</v>
      </c>
      <c r="R139" s="278" t="str">
        <f t="shared" si="17"/>
        <v>-</v>
      </c>
      <c r="S139" s="279">
        <f t="shared" si="16"/>
        <v>0</v>
      </c>
    </row>
    <row r="140" spans="2:19" x14ac:dyDescent="0.25">
      <c r="B140" s="212"/>
      <c r="C140" s="213"/>
      <c r="D140" s="213"/>
      <c r="E140" s="213"/>
      <c r="F140" s="214"/>
      <c r="G140" s="215"/>
      <c r="H140" s="215"/>
      <c r="I140" s="215"/>
      <c r="J140" s="215"/>
      <c r="K140" s="215"/>
      <c r="L140" s="215"/>
      <c r="M140" s="216"/>
      <c r="N140" s="216"/>
      <c r="O140" s="276">
        <f t="shared" si="14"/>
        <v>0</v>
      </c>
      <c r="P140" s="276">
        <f t="shared" si="15"/>
        <v>0</v>
      </c>
      <c r="Q140" s="277" t="str">
        <f t="shared" si="13"/>
        <v>-</v>
      </c>
      <c r="R140" s="278" t="str">
        <f t="shared" si="17"/>
        <v>-</v>
      </c>
      <c r="S140" s="279">
        <f t="shared" si="16"/>
        <v>0</v>
      </c>
    </row>
    <row r="141" spans="2:19" x14ac:dyDescent="0.25">
      <c r="B141" s="212"/>
      <c r="C141" s="213"/>
      <c r="D141" s="213"/>
      <c r="E141" s="213"/>
      <c r="F141" s="214"/>
      <c r="G141" s="215"/>
      <c r="H141" s="215"/>
      <c r="I141" s="215"/>
      <c r="J141" s="215"/>
      <c r="K141" s="215"/>
      <c r="L141" s="215"/>
      <c r="M141" s="216"/>
      <c r="N141" s="216"/>
      <c r="O141" s="276">
        <f t="shared" si="14"/>
        <v>0</v>
      </c>
      <c r="P141" s="276">
        <f t="shared" si="15"/>
        <v>0</v>
      </c>
      <c r="Q141" s="277" t="str">
        <f t="shared" si="13"/>
        <v>-</v>
      </c>
      <c r="R141" s="278" t="str">
        <f t="shared" si="17"/>
        <v>-</v>
      </c>
      <c r="S141" s="279">
        <f t="shared" si="16"/>
        <v>0</v>
      </c>
    </row>
    <row r="142" spans="2:19" x14ac:dyDescent="0.25">
      <c r="B142" s="212"/>
      <c r="C142" s="213"/>
      <c r="D142" s="213"/>
      <c r="E142" s="213"/>
      <c r="F142" s="214"/>
      <c r="G142" s="215"/>
      <c r="H142" s="215"/>
      <c r="I142" s="215"/>
      <c r="J142" s="215"/>
      <c r="K142" s="215"/>
      <c r="L142" s="215"/>
      <c r="M142" s="216"/>
      <c r="N142" s="216"/>
      <c r="O142" s="276">
        <f t="shared" si="14"/>
        <v>0</v>
      </c>
      <c r="P142" s="276">
        <f t="shared" si="15"/>
        <v>0</v>
      </c>
      <c r="Q142" s="277" t="str">
        <f t="shared" si="13"/>
        <v>-</v>
      </c>
      <c r="R142" s="278" t="str">
        <f t="shared" si="17"/>
        <v>-</v>
      </c>
      <c r="S142" s="279">
        <f t="shared" si="16"/>
        <v>0</v>
      </c>
    </row>
    <row r="143" spans="2:19" x14ac:dyDescent="0.25">
      <c r="B143" s="212"/>
      <c r="C143" s="213"/>
      <c r="D143" s="213"/>
      <c r="E143" s="213"/>
      <c r="F143" s="214"/>
      <c r="G143" s="215"/>
      <c r="H143" s="215"/>
      <c r="I143" s="215"/>
      <c r="J143" s="215"/>
      <c r="K143" s="215"/>
      <c r="L143" s="215"/>
      <c r="M143" s="216"/>
      <c r="N143" s="216"/>
      <c r="O143" s="276">
        <f t="shared" si="14"/>
        <v>0</v>
      </c>
      <c r="P143" s="276">
        <f t="shared" si="15"/>
        <v>0</v>
      </c>
      <c r="Q143" s="277" t="str">
        <f t="shared" si="13"/>
        <v>-</v>
      </c>
      <c r="R143" s="278" t="str">
        <f t="shared" si="17"/>
        <v>-</v>
      </c>
      <c r="S143" s="279">
        <f t="shared" si="16"/>
        <v>0</v>
      </c>
    </row>
    <row r="144" spans="2:19" x14ac:dyDescent="0.25">
      <c r="B144" s="212"/>
      <c r="C144" s="213"/>
      <c r="D144" s="213"/>
      <c r="E144" s="213"/>
      <c r="F144" s="214"/>
      <c r="G144" s="215"/>
      <c r="H144" s="215"/>
      <c r="I144" s="215"/>
      <c r="J144" s="215"/>
      <c r="K144" s="215"/>
      <c r="L144" s="215"/>
      <c r="M144" s="216"/>
      <c r="N144" s="216"/>
      <c r="O144" s="276">
        <f t="shared" si="14"/>
        <v>0</v>
      </c>
      <c r="P144" s="276">
        <f t="shared" si="15"/>
        <v>0</v>
      </c>
      <c r="Q144" s="277" t="str">
        <f t="shared" si="13"/>
        <v>-</v>
      </c>
      <c r="R144" s="278" t="str">
        <f t="shared" si="17"/>
        <v>-</v>
      </c>
      <c r="S144" s="279">
        <f t="shared" si="16"/>
        <v>0</v>
      </c>
    </row>
    <row r="145" spans="2:19" x14ac:dyDescent="0.25">
      <c r="B145" s="212"/>
      <c r="C145" s="213"/>
      <c r="D145" s="213"/>
      <c r="E145" s="213"/>
      <c r="F145" s="214"/>
      <c r="G145" s="215"/>
      <c r="H145" s="215"/>
      <c r="I145" s="215"/>
      <c r="J145" s="215"/>
      <c r="K145" s="215"/>
      <c r="L145" s="215"/>
      <c r="M145" s="216"/>
      <c r="N145" s="216"/>
      <c r="O145" s="276">
        <f t="shared" si="14"/>
        <v>0</v>
      </c>
      <c r="P145" s="276">
        <f t="shared" si="15"/>
        <v>0</v>
      </c>
      <c r="Q145" s="277" t="str">
        <f t="shared" si="13"/>
        <v>-</v>
      </c>
      <c r="R145" s="278" t="str">
        <f t="shared" si="17"/>
        <v>-</v>
      </c>
      <c r="S145" s="279">
        <f t="shared" si="16"/>
        <v>0</v>
      </c>
    </row>
    <row r="146" spans="2:19" x14ac:dyDescent="0.25">
      <c r="B146" s="212"/>
      <c r="C146" s="213"/>
      <c r="D146" s="213"/>
      <c r="E146" s="213"/>
      <c r="F146" s="214"/>
      <c r="G146" s="215"/>
      <c r="H146" s="215"/>
      <c r="I146" s="215"/>
      <c r="J146" s="215"/>
      <c r="K146" s="215"/>
      <c r="L146" s="215"/>
      <c r="M146" s="216"/>
      <c r="N146" s="216"/>
      <c r="O146" s="276">
        <f t="shared" si="14"/>
        <v>0</v>
      </c>
      <c r="P146" s="276">
        <f t="shared" si="15"/>
        <v>0</v>
      </c>
      <c r="Q146" s="277" t="str">
        <f t="shared" si="13"/>
        <v>-</v>
      </c>
      <c r="R146" s="278" t="str">
        <f t="shared" si="17"/>
        <v>-</v>
      </c>
      <c r="S146" s="279">
        <f t="shared" si="16"/>
        <v>0</v>
      </c>
    </row>
    <row r="147" spans="2:19" x14ac:dyDescent="0.25">
      <c r="B147" s="212"/>
      <c r="C147" s="213"/>
      <c r="D147" s="213"/>
      <c r="E147" s="213"/>
      <c r="F147" s="214"/>
      <c r="G147" s="215"/>
      <c r="H147" s="215"/>
      <c r="I147" s="215"/>
      <c r="J147" s="215"/>
      <c r="K147" s="215"/>
      <c r="L147" s="215"/>
      <c r="M147" s="216"/>
      <c r="N147" s="216"/>
      <c r="O147" s="276">
        <f t="shared" si="14"/>
        <v>0</v>
      </c>
      <c r="P147" s="276">
        <f t="shared" si="15"/>
        <v>0</v>
      </c>
      <c r="Q147" s="277" t="str">
        <f t="shared" si="13"/>
        <v>-</v>
      </c>
      <c r="R147" s="278" t="str">
        <f t="shared" si="17"/>
        <v>-</v>
      </c>
      <c r="S147" s="279">
        <f t="shared" si="16"/>
        <v>0</v>
      </c>
    </row>
    <row r="148" spans="2:19" x14ac:dyDescent="0.25">
      <c r="B148" s="212"/>
      <c r="C148" s="213"/>
      <c r="D148" s="213"/>
      <c r="E148" s="213"/>
      <c r="F148" s="214"/>
      <c r="G148" s="215"/>
      <c r="H148" s="215"/>
      <c r="I148" s="215"/>
      <c r="J148" s="215"/>
      <c r="K148" s="215"/>
      <c r="L148" s="215"/>
      <c r="M148" s="216"/>
      <c r="N148" s="216"/>
      <c r="O148" s="276">
        <f t="shared" si="14"/>
        <v>0</v>
      </c>
      <c r="P148" s="276">
        <f t="shared" si="15"/>
        <v>0</v>
      </c>
      <c r="Q148" s="277" t="str">
        <f t="shared" si="13"/>
        <v>-</v>
      </c>
      <c r="R148" s="278" t="str">
        <f t="shared" si="17"/>
        <v>-</v>
      </c>
      <c r="S148" s="279">
        <f t="shared" si="16"/>
        <v>0</v>
      </c>
    </row>
    <row r="149" spans="2:19" x14ac:dyDescent="0.25">
      <c r="C149" s="185"/>
      <c r="D149" s="185"/>
      <c r="E149" s="185"/>
      <c r="F149" s="185"/>
      <c r="G149" s="185"/>
      <c r="H149" s="185"/>
      <c r="I149" s="185"/>
      <c r="J149" s="185"/>
      <c r="K149" s="185"/>
      <c r="L149" s="185"/>
    </row>
    <row r="150" spans="2:19" x14ac:dyDescent="0.25">
      <c r="C150" s="185"/>
      <c r="D150" s="185"/>
      <c r="E150" s="185"/>
      <c r="F150" s="185"/>
      <c r="G150" s="185"/>
      <c r="H150" s="185"/>
      <c r="I150" s="185"/>
      <c r="J150" s="185"/>
      <c r="K150" s="185"/>
      <c r="L150" s="185"/>
    </row>
    <row r="151" spans="2:19" x14ac:dyDescent="0.25">
      <c r="C151" s="185"/>
      <c r="D151" s="185"/>
      <c r="E151" s="185"/>
      <c r="F151" s="185"/>
      <c r="G151" s="185"/>
      <c r="H151" s="185"/>
      <c r="I151" s="185"/>
      <c r="J151" s="185"/>
      <c r="K151" s="185"/>
      <c r="L151" s="185"/>
    </row>
    <row r="152" spans="2:19" x14ac:dyDescent="0.25">
      <c r="C152" s="185"/>
      <c r="D152" s="185"/>
      <c r="E152" s="185"/>
      <c r="F152" s="185"/>
      <c r="G152" s="185"/>
      <c r="H152" s="185"/>
      <c r="I152" s="185"/>
      <c r="J152" s="185"/>
      <c r="K152" s="185"/>
      <c r="L152" s="185"/>
    </row>
    <row r="153" spans="2:19" x14ac:dyDescent="0.25">
      <c r="C153" s="185"/>
      <c r="D153" s="185"/>
      <c r="E153" s="185"/>
      <c r="F153" s="185"/>
      <c r="G153" s="185"/>
      <c r="H153" s="185"/>
      <c r="I153" s="185"/>
      <c r="J153" s="185"/>
      <c r="K153" s="185"/>
      <c r="L153" s="185"/>
    </row>
    <row r="154" spans="2:19" x14ac:dyDescent="0.25">
      <c r="C154" s="185"/>
      <c r="D154" s="185"/>
      <c r="E154" s="185"/>
      <c r="F154" s="185"/>
      <c r="G154" s="185"/>
      <c r="H154" s="185"/>
      <c r="I154" s="185"/>
      <c r="J154" s="185"/>
      <c r="K154" s="185"/>
      <c r="L154" s="185"/>
    </row>
    <row r="155" spans="2:19" x14ac:dyDescent="0.25">
      <c r="C155" s="185"/>
      <c r="D155" s="185"/>
      <c r="E155" s="185"/>
      <c r="F155" s="185"/>
      <c r="G155" s="185"/>
      <c r="H155" s="185"/>
      <c r="I155" s="185"/>
      <c r="J155" s="185"/>
      <c r="K155" s="185"/>
      <c r="L155" s="185"/>
    </row>
    <row r="156" spans="2:19" x14ac:dyDescent="0.25">
      <c r="C156" s="185"/>
      <c r="D156" s="185"/>
      <c r="E156" s="185"/>
      <c r="F156" s="185"/>
      <c r="G156" s="185"/>
      <c r="H156" s="185"/>
      <c r="I156" s="185"/>
      <c r="J156" s="185"/>
      <c r="K156" s="185"/>
      <c r="L156" s="185"/>
    </row>
    <row r="157" spans="2:19" x14ac:dyDescent="0.25">
      <c r="C157" s="185"/>
      <c r="D157" s="185"/>
      <c r="E157" s="185"/>
      <c r="F157" s="185"/>
      <c r="G157" s="185"/>
      <c r="H157" s="185"/>
      <c r="I157" s="185"/>
      <c r="J157" s="185"/>
      <c r="K157" s="185"/>
      <c r="L157" s="185"/>
    </row>
    <row r="158" spans="2:19" x14ac:dyDescent="0.25">
      <c r="C158" s="185"/>
      <c r="D158" s="185"/>
      <c r="E158" s="185"/>
      <c r="F158" s="185"/>
      <c r="G158" s="185"/>
      <c r="H158" s="185"/>
      <c r="I158" s="185"/>
      <c r="J158" s="185"/>
      <c r="K158" s="185"/>
      <c r="L158" s="185"/>
    </row>
    <row r="159" spans="2:19" x14ac:dyDescent="0.25">
      <c r="C159" s="185"/>
      <c r="D159" s="185"/>
      <c r="E159" s="185"/>
      <c r="F159" s="185"/>
      <c r="G159" s="185"/>
      <c r="H159" s="185"/>
      <c r="I159" s="185"/>
      <c r="J159" s="185"/>
      <c r="K159" s="185"/>
      <c r="L159" s="185"/>
    </row>
    <row r="160" spans="2:19" x14ac:dyDescent="0.25">
      <c r="C160" s="185"/>
      <c r="D160" s="185"/>
      <c r="E160" s="185"/>
      <c r="F160" s="185"/>
      <c r="G160" s="185"/>
      <c r="H160" s="185"/>
      <c r="I160" s="185"/>
      <c r="J160" s="185"/>
      <c r="K160" s="185"/>
      <c r="L160" s="185"/>
    </row>
    <row r="161" spans="3:12" x14ac:dyDescent="0.25">
      <c r="C161" s="185"/>
      <c r="D161" s="185"/>
      <c r="E161" s="185"/>
      <c r="F161" s="185"/>
      <c r="G161" s="185"/>
      <c r="H161" s="185"/>
      <c r="I161" s="185"/>
      <c r="J161" s="185"/>
      <c r="K161" s="185"/>
      <c r="L161" s="185"/>
    </row>
    <row r="162" spans="3:12" x14ac:dyDescent="0.25">
      <c r="C162" s="185"/>
      <c r="D162" s="185"/>
      <c r="E162" s="185"/>
      <c r="F162" s="185"/>
      <c r="G162" s="185"/>
      <c r="H162" s="185"/>
      <c r="I162" s="185"/>
      <c r="J162" s="185"/>
      <c r="K162" s="185"/>
      <c r="L162" s="185"/>
    </row>
    <row r="163" spans="3:12" x14ac:dyDescent="0.25">
      <c r="C163" s="185"/>
      <c r="D163" s="185"/>
      <c r="E163" s="185"/>
      <c r="F163" s="185"/>
      <c r="G163" s="185"/>
      <c r="H163" s="185"/>
      <c r="I163" s="185"/>
      <c r="J163" s="185"/>
      <c r="K163" s="185"/>
      <c r="L163" s="185"/>
    </row>
    <row r="164" spans="3:12" x14ac:dyDescent="0.25">
      <c r="C164" s="185"/>
      <c r="D164" s="185"/>
      <c r="E164" s="185"/>
      <c r="F164" s="185"/>
      <c r="G164" s="185"/>
      <c r="H164" s="185"/>
      <c r="I164" s="185"/>
      <c r="J164" s="185"/>
      <c r="K164" s="185"/>
      <c r="L164" s="185"/>
    </row>
    <row r="165" spans="3:12" x14ac:dyDescent="0.25">
      <c r="C165" s="185"/>
      <c r="D165" s="185"/>
      <c r="E165" s="185"/>
      <c r="F165" s="185"/>
      <c r="G165" s="185"/>
      <c r="H165" s="185"/>
      <c r="I165" s="185"/>
      <c r="J165" s="185"/>
      <c r="K165" s="185"/>
      <c r="L165" s="185"/>
    </row>
    <row r="166" spans="3:12" x14ac:dyDescent="0.25">
      <c r="C166" s="185"/>
      <c r="D166" s="185"/>
      <c r="E166" s="185"/>
      <c r="F166" s="185"/>
      <c r="G166" s="185"/>
      <c r="H166" s="185"/>
      <c r="I166" s="185"/>
      <c r="J166" s="185"/>
      <c r="K166" s="185"/>
      <c r="L166" s="185"/>
    </row>
    <row r="167" spans="3:12" x14ac:dyDescent="0.25">
      <c r="C167" s="185"/>
      <c r="D167" s="185"/>
      <c r="E167" s="185"/>
      <c r="F167" s="185"/>
      <c r="G167" s="185"/>
      <c r="H167" s="185"/>
      <c r="I167" s="185"/>
      <c r="J167" s="185"/>
      <c r="K167" s="185"/>
      <c r="L167" s="185"/>
    </row>
    <row r="168" spans="3:12" x14ac:dyDescent="0.25">
      <c r="C168" s="185"/>
      <c r="D168" s="185"/>
      <c r="E168" s="185"/>
      <c r="F168" s="185"/>
      <c r="G168" s="185"/>
      <c r="H168" s="185"/>
      <c r="I168" s="185"/>
      <c r="J168" s="185"/>
      <c r="K168" s="185"/>
      <c r="L168" s="185"/>
    </row>
    <row r="169" spans="3:12" x14ac:dyDescent="0.25">
      <c r="C169" s="185"/>
      <c r="D169" s="185"/>
      <c r="E169" s="185"/>
      <c r="F169" s="185"/>
      <c r="G169" s="185"/>
      <c r="H169" s="185"/>
      <c r="I169" s="185"/>
      <c r="J169" s="185"/>
      <c r="K169" s="185"/>
      <c r="L169" s="185"/>
    </row>
    <row r="170" spans="3:12" x14ac:dyDescent="0.25">
      <c r="C170" s="185"/>
      <c r="D170" s="185"/>
      <c r="E170" s="185"/>
      <c r="F170" s="185"/>
      <c r="G170" s="185"/>
      <c r="H170" s="185"/>
      <c r="I170" s="185"/>
      <c r="J170" s="185"/>
      <c r="K170" s="185"/>
      <c r="L170" s="185"/>
    </row>
    <row r="171" spans="3:12" x14ac:dyDescent="0.25">
      <c r="C171" s="185"/>
      <c r="D171" s="185"/>
      <c r="E171" s="185"/>
      <c r="F171" s="185"/>
      <c r="G171" s="185"/>
      <c r="H171" s="185"/>
      <c r="I171" s="185"/>
      <c r="J171" s="185"/>
      <c r="K171" s="185"/>
      <c r="L171" s="185"/>
    </row>
    <row r="172" spans="3:12" x14ac:dyDescent="0.25">
      <c r="C172" s="185"/>
      <c r="D172" s="185"/>
      <c r="E172" s="185"/>
      <c r="F172" s="185"/>
      <c r="G172" s="185"/>
      <c r="H172" s="185"/>
      <c r="I172" s="185"/>
      <c r="J172" s="185"/>
      <c r="K172" s="185"/>
      <c r="L172" s="185"/>
    </row>
    <row r="173" spans="3:12" x14ac:dyDescent="0.25">
      <c r="C173" s="185"/>
      <c r="D173" s="185"/>
      <c r="E173" s="185"/>
      <c r="F173" s="185"/>
      <c r="G173" s="185"/>
      <c r="H173" s="185"/>
      <c r="I173" s="185"/>
      <c r="J173" s="185"/>
      <c r="K173" s="185"/>
      <c r="L173" s="185"/>
    </row>
    <row r="174" spans="3:12" x14ac:dyDescent="0.25">
      <c r="C174" s="185"/>
      <c r="D174" s="185"/>
      <c r="E174" s="185"/>
      <c r="F174" s="185"/>
      <c r="G174" s="185"/>
      <c r="H174" s="185"/>
      <c r="I174" s="185"/>
      <c r="J174" s="185"/>
      <c r="K174" s="185"/>
      <c r="L174" s="185"/>
    </row>
    <row r="175" spans="3:12" x14ac:dyDescent="0.25">
      <c r="C175" s="185"/>
      <c r="D175" s="185"/>
      <c r="E175" s="185"/>
      <c r="F175" s="185"/>
      <c r="G175" s="185"/>
      <c r="H175" s="185"/>
      <c r="I175" s="185"/>
      <c r="J175" s="185"/>
      <c r="K175" s="185"/>
      <c r="L175" s="185"/>
    </row>
    <row r="176" spans="3:12" x14ac:dyDescent="0.25">
      <c r="C176" s="185"/>
      <c r="D176" s="185"/>
      <c r="E176" s="185"/>
      <c r="F176" s="185"/>
      <c r="G176" s="185"/>
      <c r="H176" s="185"/>
      <c r="I176" s="185"/>
      <c r="J176" s="185"/>
      <c r="K176" s="185"/>
      <c r="L176" s="185"/>
    </row>
    <row r="177" spans="3:12" x14ac:dyDescent="0.25">
      <c r="C177" s="185"/>
      <c r="D177" s="185"/>
      <c r="E177" s="185"/>
      <c r="F177" s="185"/>
      <c r="G177" s="185"/>
      <c r="H177" s="185"/>
      <c r="I177" s="185"/>
      <c r="J177" s="185"/>
      <c r="K177" s="185"/>
      <c r="L177" s="185"/>
    </row>
    <row r="178" spans="3:12" x14ac:dyDescent="0.25">
      <c r="C178" s="185"/>
      <c r="D178" s="185"/>
      <c r="E178" s="185"/>
      <c r="F178" s="185"/>
      <c r="G178" s="185"/>
      <c r="H178" s="185"/>
      <c r="I178" s="185"/>
      <c r="J178" s="185"/>
      <c r="K178" s="185"/>
      <c r="L178" s="185"/>
    </row>
    <row r="179" spans="3:12" x14ac:dyDescent="0.25">
      <c r="C179" s="185"/>
      <c r="D179" s="185"/>
      <c r="E179" s="185"/>
      <c r="F179" s="185"/>
      <c r="G179" s="185"/>
      <c r="H179" s="185"/>
      <c r="I179" s="185"/>
      <c r="J179" s="185"/>
      <c r="K179" s="185"/>
      <c r="L179" s="185"/>
    </row>
    <row r="180" spans="3:12" x14ac:dyDescent="0.25">
      <c r="C180" s="185"/>
      <c r="D180" s="185"/>
      <c r="E180" s="185"/>
      <c r="F180" s="185"/>
      <c r="G180" s="185"/>
      <c r="H180" s="185"/>
      <c r="I180" s="185"/>
      <c r="J180" s="185"/>
      <c r="K180" s="185"/>
      <c r="L180" s="185"/>
    </row>
    <row r="181" spans="3:12" x14ac:dyDescent="0.25">
      <c r="C181" s="185"/>
      <c r="D181" s="185"/>
      <c r="E181" s="185"/>
      <c r="F181" s="185"/>
      <c r="G181" s="185"/>
      <c r="H181" s="185"/>
      <c r="I181" s="185"/>
      <c r="J181" s="185"/>
      <c r="K181" s="185"/>
      <c r="L181" s="185"/>
    </row>
    <row r="182" spans="3:12" x14ac:dyDescent="0.25">
      <c r="C182" s="185"/>
      <c r="D182" s="185"/>
      <c r="E182" s="185"/>
      <c r="F182" s="185"/>
      <c r="G182" s="185"/>
      <c r="H182" s="185"/>
      <c r="I182" s="185"/>
      <c r="J182" s="185"/>
      <c r="K182" s="185"/>
      <c r="L182" s="185"/>
    </row>
    <row r="183" spans="3:12" x14ac:dyDescent="0.25">
      <c r="C183" s="185"/>
      <c r="D183" s="185"/>
      <c r="E183" s="185"/>
      <c r="F183" s="185"/>
      <c r="G183" s="185"/>
      <c r="H183" s="185"/>
      <c r="I183" s="185"/>
      <c r="J183" s="185"/>
      <c r="K183" s="185"/>
      <c r="L183" s="185"/>
    </row>
    <row r="184" spans="3:12" x14ac:dyDescent="0.25">
      <c r="C184" s="185"/>
      <c r="D184" s="185"/>
      <c r="E184" s="185"/>
      <c r="F184" s="185"/>
      <c r="G184" s="185"/>
      <c r="H184" s="185"/>
      <c r="I184" s="185"/>
      <c r="J184" s="185"/>
      <c r="K184" s="185"/>
      <c r="L184" s="185"/>
    </row>
    <row r="185" spans="3:12" x14ac:dyDescent="0.25">
      <c r="C185" s="185"/>
      <c r="D185" s="185"/>
      <c r="E185" s="185"/>
      <c r="F185" s="185"/>
      <c r="G185" s="185"/>
      <c r="H185" s="185"/>
      <c r="I185" s="185"/>
      <c r="J185" s="185"/>
      <c r="K185" s="185"/>
      <c r="L185" s="185"/>
    </row>
    <row r="186" spans="3:12" x14ac:dyDescent="0.25">
      <c r="C186" s="185"/>
      <c r="D186" s="185"/>
      <c r="E186" s="185"/>
      <c r="F186" s="185"/>
      <c r="G186" s="185"/>
      <c r="H186" s="185"/>
      <c r="I186" s="185"/>
      <c r="J186" s="185"/>
      <c r="K186" s="185"/>
      <c r="L186" s="185"/>
    </row>
    <row r="187" spans="3:12" x14ac:dyDescent="0.25">
      <c r="C187" s="185"/>
      <c r="D187" s="185"/>
      <c r="E187" s="185"/>
      <c r="F187" s="185"/>
      <c r="G187" s="185"/>
      <c r="H187" s="185"/>
      <c r="I187" s="185"/>
      <c r="J187" s="185"/>
      <c r="K187" s="185"/>
      <c r="L187" s="185"/>
    </row>
    <row r="188" spans="3:12" x14ac:dyDescent="0.25">
      <c r="C188" s="185"/>
      <c r="D188" s="185"/>
      <c r="E188" s="185"/>
      <c r="F188" s="185"/>
      <c r="G188" s="185"/>
      <c r="H188" s="185"/>
      <c r="I188" s="185"/>
      <c r="J188" s="185"/>
      <c r="K188" s="185"/>
      <c r="L188" s="185"/>
    </row>
    <row r="189" spans="3:12" x14ac:dyDescent="0.25">
      <c r="C189" s="185"/>
      <c r="D189" s="185"/>
      <c r="E189" s="185"/>
      <c r="F189" s="185"/>
      <c r="G189" s="185"/>
      <c r="H189" s="185"/>
      <c r="I189" s="185"/>
      <c r="J189" s="185"/>
      <c r="K189" s="185"/>
      <c r="L189" s="185"/>
    </row>
    <row r="190" spans="3:12" x14ac:dyDescent="0.25">
      <c r="C190" s="185"/>
      <c r="D190" s="185"/>
      <c r="E190" s="185"/>
      <c r="F190" s="185"/>
      <c r="G190" s="185"/>
      <c r="H190" s="185"/>
      <c r="I190" s="185"/>
      <c r="J190" s="185"/>
      <c r="K190" s="185"/>
      <c r="L190" s="185"/>
    </row>
    <row r="191" spans="3:12" x14ac:dyDescent="0.25">
      <c r="C191" s="185"/>
      <c r="D191" s="185"/>
      <c r="E191" s="185"/>
      <c r="F191" s="185"/>
      <c r="G191" s="185"/>
      <c r="H191" s="185"/>
      <c r="I191" s="185"/>
      <c r="J191" s="185"/>
      <c r="K191" s="185"/>
      <c r="L191" s="185"/>
    </row>
    <row r="192" spans="3:12" x14ac:dyDescent="0.25">
      <c r="C192" s="185"/>
      <c r="D192" s="185"/>
      <c r="E192" s="185"/>
      <c r="F192" s="185"/>
      <c r="G192" s="185"/>
      <c r="H192" s="185"/>
      <c r="I192" s="185"/>
      <c r="J192" s="185"/>
      <c r="K192" s="185"/>
      <c r="L192" s="185"/>
    </row>
    <row r="193" spans="3:12" x14ac:dyDescent="0.25">
      <c r="C193" s="185"/>
      <c r="D193" s="185"/>
      <c r="E193" s="185"/>
      <c r="F193" s="185"/>
      <c r="G193" s="185"/>
      <c r="H193" s="185"/>
      <c r="I193" s="185"/>
      <c r="J193" s="185"/>
      <c r="K193" s="185"/>
      <c r="L193" s="185"/>
    </row>
    <row r="194" spans="3:12" x14ac:dyDescent="0.25">
      <c r="C194" s="185"/>
      <c r="D194" s="185"/>
      <c r="E194" s="185"/>
      <c r="F194" s="185"/>
      <c r="G194" s="185"/>
      <c r="H194" s="185"/>
      <c r="I194" s="185"/>
      <c r="J194" s="185"/>
      <c r="K194" s="185"/>
      <c r="L194" s="185"/>
    </row>
    <row r="195" spans="3:12" x14ac:dyDescent="0.25">
      <c r="C195" s="185"/>
      <c r="D195" s="185"/>
      <c r="E195" s="185"/>
      <c r="F195" s="185"/>
      <c r="G195" s="185"/>
      <c r="H195" s="185"/>
      <c r="I195" s="185"/>
      <c r="J195" s="185"/>
      <c r="K195" s="185"/>
      <c r="L195" s="185"/>
    </row>
    <row r="196" spans="3:12" x14ac:dyDescent="0.25">
      <c r="C196" s="185"/>
      <c r="D196" s="185"/>
      <c r="E196" s="185"/>
      <c r="F196" s="185"/>
      <c r="G196" s="185"/>
      <c r="H196" s="185"/>
      <c r="I196" s="185"/>
      <c r="J196" s="185"/>
      <c r="K196" s="185"/>
      <c r="L196" s="185"/>
    </row>
    <row r="197" spans="3:12" x14ac:dyDescent="0.25">
      <c r="C197" s="185"/>
      <c r="D197" s="185"/>
      <c r="E197" s="185"/>
      <c r="F197" s="185"/>
      <c r="G197" s="185"/>
      <c r="H197" s="185"/>
      <c r="I197" s="185"/>
      <c r="J197" s="185"/>
      <c r="K197" s="185"/>
      <c r="L197" s="185"/>
    </row>
    <row r="198" spans="3:12" x14ac:dyDescent="0.25">
      <c r="C198" s="185"/>
      <c r="D198" s="185"/>
      <c r="E198" s="185"/>
      <c r="F198" s="185"/>
      <c r="G198" s="185"/>
      <c r="H198" s="185"/>
      <c r="I198" s="185"/>
      <c r="J198" s="185"/>
      <c r="K198" s="185"/>
      <c r="L198" s="185"/>
    </row>
    <row r="199" spans="3:12" x14ac:dyDescent="0.25">
      <c r="C199" s="185"/>
      <c r="D199" s="185"/>
      <c r="E199" s="185"/>
      <c r="F199" s="185"/>
      <c r="G199" s="185"/>
      <c r="H199" s="185"/>
      <c r="I199" s="185"/>
      <c r="J199" s="185"/>
      <c r="K199" s="185"/>
      <c r="L199" s="185"/>
    </row>
    <row r="200" spans="3:12" x14ac:dyDescent="0.25">
      <c r="C200" s="185"/>
      <c r="D200" s="185"/>
      <c r="E200" s="185"/>
      <c r="F200" s="185"/>
      <c r="G200" s="185"/>
      <c r="H200" s="185"/>
      <c r="I200" s="185"/>
      <c r="J200" s="185"/>
      <c r="K200" s="185"/>
      <c r="L200" s="185"/>
    </row>
    <row r="201" spans="3:12" x14ac:dyDescent="0.25">
      <c r="C201" s="185"/>
      <c r="D201" s="185"/>
      <c r="E201" s="185"/>
      <c r="F201" s="185"/>
      <c r="G201" s="185"/>
      <c r="H201" s="185"/>
      <c r="I201" s="185"/>
      <c r="J201" s="185"/>
      <c r="K201" s="185"/>
      <c r="L201" s="185"/>
    </row>
    <row r="202" spans="3:12" x14ac:dyDescent="0.25">
      <c r="C202" s="185"/>
      <c r="D202" s="185"/>
      <c r="E202" s="185"/>
      <c r="F202" s="185"/>
      <c r="G202" s="185"/>
      <c r="H202" s="185"/>
      <c r="I202" s="185"/>
      <c r="J202" s="185"/>
      <c r="K202" s="185"/>
      <c r="L202" s="185"/>
    </row>
    <row r="203" spans="3:12" x14ac:dyDescent="0.25">
      <c r="C203" s="185"/>
      <c r="D203" s="185"/>
      <c r="E203" s="185"/>
      <c r="F203" s="185"/>
      <c r="G203" s="185"/>
      <c r="H203" s="185"/>
      <c r="I203" s="185"/>
      <c r="J203" s="185"/>
      <c r="K203" s="185"/>
      <c r="L203" s="185"/>
    </row>
    <row r="204" spans="3:12" x14ac:dyDescent="0.25">
      <c r="C204" s="185"/>
      <c r="D204" s="185"/>
      <c r="E204" s="185"/>
      <c r="F204" s="185"/>
      <c r="G204" s="185"/>
      <c r="H204" s="185"/>
      <c r="I204" s="185"/>
      <c r="J204" s="185"/>
      <c r="K204" s="185"/>
      <c r="L204" s="185"/>
    </row>
    <row r="205" spans="3:12" x14ac:dyDescent="0.25">
      <c r="C205" s="185"/>
      <c r="D205" s="185"/>
      <c r="E205" s="185"/>
      <c r="F205" s="185"/>
      <c r="G205" s="185"/>
      <c r="H205" s="185"/>
      <c r="I205" s="185"/>
      <c r="J205" s="185"/>
      <c r="K205" s="185"/>
      <c r="L205" s="185"/>
    </row>
    <row r="206" spans="3:12" x14ac:dyDescent="0.25">
      <c r="C206" s="185"/>
      <c r="D206" s="185"/>
      <c r="E206" s="185"/>
      <c r="F206" s="185"/>
      <c r="G206" s="185"/>
      <c r="H206" s="185"/>
      <c r="I206" s="185"/>
      <c r="J206" s="185"/>
      <c r="K206" s="185"/>
      <c r="L206" s="185"/>
    </row>
    <row r="207" spans="3:12" x14ac:dyDescent="0.25">
      <c r="C207" s="185"/>
      <c r="D207" s="185"/>
      <c r="E207" s="185"/>
      <c r="F207" s="185"/>
      <c r="G207" s="185"/>
      <c r="H207" s="185"/>
      <c r="I207" s="185"/>
      <c r="J207" s="185"/>
      <c r="K207" s="185"/>
      <c r="L207" s="185"/>
    </row>
    <row r="208" spans="3:12" x14ac:dyDescent="0.25">
      <c r="C208" s="185"/>
      <c r="D208" s="185"/>
      <c r="E208" s="185"/>
      <c r="F208" s="185"/>
      <c r="G208" s="185"/>
      <c r="H208" s="185"/>
      <c r="I208" s="185"/>
      <c r="J208" s="185"/>
      <c r="K208" s="185"/>
      <c r="L208" s="185"/>
    </row>
    <row r="209" spans="3:12" x14ac:dyDescent="0.25">
      <c r="C209" s="185"/>
      <c r="D209" s="185"/>
      <c r="E209" s="185"/>
      <c r="F209" s="185"/>
      <c r="G209" s="185"/>
      <c r="H209" s="185"/>
      <c r="I209" s="185"/>
      <c r="J209" s="185"/>
      <c r="K209" s="185"/>
      <c r="L209" s="185"/>
    </row>
    <row r="210" spans="3:12" x14ac:dyDescent="0.25">
      <c r="C210" s="185"/>
      <c r="D210" s="185"/>
      <c r="E210" s="185"/>
      <c r="F210" s="185"/>
      <c r="G210" s="185"/>
      <c r="H210" s="185"/>
      <c r="I210" s="185"/>
      <c r="J210" s="185"/>
      <c r="K210" s="185"/>
      <c r="L210" s="185"/>
    </row>
    <row r="211" spans="3:12" x14ac:dyDescent="0.25">
      <c r="C211" s="185"/>
      <c r="D211" s="185"/>
      <c r="E211" s="185"/>
      <c r="F211" s="185"/>
      <c r="G211" s="185"/>
      <c r="H211" s="185"/>
      <c r="I211" s="185"/>
      <c r="J211" s="185"/>
      <c r="K211" s="185"/>
      <c r="L211" s="185"/>
    </row>
    <row r="212" spans="3:12" x14ac:dyDescent="0.25">
      <c r="C212" s="185"/>
      <c r="D212" s="185"/>
      <c r="E212" s="185"/>
      <c r="F212" s="185"/>
      <c r="G212" s="185"/>
      <c r="H212" s="185"/>
      <c r="I212" s="185"/>
      <c r="J212" s="185"/>
      <c r="K212" s="185"/>
      <c r="L212" s="185"/>
    </row>
    <row r="213" spans="3:12" x14ac:dyDescent="0.25">
      <c r="C213" s="185"/>
      <c r="D213" s="185"/>
      <c r="E213" s="185"/>
      <c r="F213" s="185"/>
      <c r="G213" s="185"/>
      <c r="H213" s="185"/>
      <c r="I213" s="185"/>
      <c r="J213" s="185"/>
      <c r="K213" s="185"/>
      <c r="L213" s="185"/>
    </row>
    <row r="214" spans="3:12" x14ac:dyDescent="0.25">
      <c r="C214" s="185"/>
      <c r="D214" s="185"/>
      <c r="E214" s="185"/>
      <c r="F214" s="185"/>
      <c r="G214" s="185"/>
      <c r="H214" s="185"/>
      <c r="I214" s="185"/>
      <c r="J214" s="185"/>
      <c r="K214" s="185"/>
      <c r="L214" s="185"/>
    </row>
    <row r="215" spans="3:12" x14ac:dyDescent="0.25">
      <c r="C215" s="185"/>
      <c r="D215" s="185"/>
      <c r="E215" s="185"/>
      <c r="F215" s="185"/>
      <c r="G215" s="185"/>
      <c r="H215" s="185"/>
      <c r="I215" s="185"/>
      <c r="J215" s="185"/>
      <c r="K215" s="185"/>
      <c r="L215" s="185"/>
    </row>
    <row r="216" spans="3:12" x14ac:dyDescent="0.25">
      <c r="C216" s="185"/>
      <c r="D216" s="185"/>
      <c r="E216" s="185"/>
      <c r="F216" s="185"/>
      <c r="G216" s="185"/>
      <c r="H216" s="185"/>
      <c r="I216" s="185"/>
      <c r="J216" s="185"/>
      <c r="K216" s="185"/>
      <c r="L216" s="185"/>
    </row>
    <row r="217" spans="3:12" x14ac:dyDescent="0.25">
      <c r="C217" s="185"/>
      <c r="D217" s="185"/>
      <c r="E217" s="185"/>
      <c r="F217" s="185"/>
      <c r="G217" s="185"/>
      <c r="H217" s="185"/>
      <c r="I217" s="185"/>
      <c r="J217" s="185"/>
      <c r="K217" s="185"/>
      <c r="L217" s="185"/>
    </row>
    <row r="218" spans="3:12" x14ac:dyDescent="0.25">
      <c r="C218" s="185"/>
      <c r="D218" s="185"/>
      <c r="E218" s="185"/>
      <c r="F218" s="185"/>
      <c r="G218" s="185"/>
      <c r="H218" s="185"/>
      <c r="I218" s="185"/>
      <c r="J218" s="185"/>
      <c r="K218" s="185"/>
      <c r="L218" s="185"/>
    </row>
    <row r="219" spans="3:12" x14ac:dyDescent="0.25">
      <c r="C219" s="185"/>
      <c r="D219" s="185"/>
      <c r="E219" s="185"/>
      <c r="F219" s="185"/>
      <c r="G219" s="185"/>
      <c r="H219" s="185"/>
      <c r="I219" s="185"/>
      <c r="J219" s="185"/>
      <c r="K219" s="185"/>
      <c r="L219" s="185"/>
    </row>
    <row r="220" spans="3:12" x14ac:dyDescent="0.25">
      <c r="C220" s="185"/>
      <c r="D220" s="185"/>
      <c r="E220" s="185"/>
      <c r="F220" s="185"/>
      <c r="G220" s="185"/>
      <c r="H220" s="185"/>
      <c r="I220" s="185"/>
      <c r="J220" s="185"/>
      <c r="K220" s="185"/>
      <c r="L220" s="185"/>
    </row>
    <row r="221" spans="3:12" x14ac:dyDescent="0.25">
      <c r="C221" s="185"/>
      <c r="D221" s="185"/>
      <c r="E221" s="185"/>
      <c r="F221" s="185"/>
      <c r="G221" s="185"/>
      <c r="H221" s="185"/>
      <c r="I221" s="185"/>
      <c r="J221" s="185"/>
      <c r="K221" s="185"/>
      <c r="L221" s="185"/>
    </row>
    <row r="222" spans="3:12" x14ac:dyDescent="0.25">
      <c r="C222" s="185"/>
      <c r="D222" s="185"/>
      <c r="E222" s="185"/>
      <c r="F222" s="185"/>
      <c r="G222" s="185"/>
      <c r="H222" s="185"/>
      <c r="I222" s="185"/>
      <c r="J222" s="185"/>
      <c r="K222" s="185"/>
      <c r="L222" s="185"/>
    </row>
    <row r="223" spans="3:12" x14ac:dyDescent="0.25">
      <c r="C223" s="185"/>
      <c r="D223" s="185"/>
      <c r="E223" s="185"/>
      <c r="F223" s="185"/>
      <c r="G223" s="185"/>
      <c r="H223" s="185"/>
      <c r="I223" s="185"/>
      <c r="J223" s="185"/>
      <c r="K223" s="185"/>
      <c r="L223" s="185"/>
    </row>
    <row r="224" spans="3:12" x14ac:dyDescent="0.25">
      <c r="C224" s="185"/>
      <c r="D224" s="185"/>
      <c r="E224" s="185"/>
      <c r="F224" s="185"/>
      <c r="G224" s="185"/>
      <c r="H224" s="185"/>
      <c r="I224" s="185"/>
      <c r="J224" s="185"/>
      <c r="K224" s="185"/>
      <c r="L224" s="185"/>
    </row>
    <row r="225" spans="3:12" x14ac:dyDescent="0.25">
      <c r="C225" s="185"/>
      <c r="D225" s="185"/>
      <c r="E225" s="185"/>
      <c r="F225" s="185"/>
      <c r="G225" s="185"/>
      <c r="H225" s="185"/>
      <c r="I225" s="185"/>
      <c r="J225" s="185"/>
      <c r="K225" s="185"/>
      <c r="L225" s="185"/>
    </row>
    <row r="226" spans="3:12" x14ac:dyDescent="0.25">
      <c r="C226" s="185"/>
      <c r="D226" s="185"/>
      <c r="E226" s="185"/>
      <c r="F226" s="185"/>
      <c r="G226" s="185"/>
      <c r="H226" s="185"/>
      <c r="I226" s="185"/>
      <c r="J226" s="185"/>
      <c r="K226" s="185"/>
      <c r="L226" s="185"/>
    </row>
    <row r="227" spans="3:12" x14ac:dyDescent="0.25">
      <c r="C227" s="185"/>
      <c r="D227" s="185"/>
      <c r="E227" s="185"/>
      <c r="F227" s="185"/>
      <c r="G227" s="185"/>
      <c r="H227" s="185"/>
      <c r="I227" s="185"/>
      <c r="J227" s="185"/>
      <c r="K227" s="185"/>
      <c r="L227" s="185"/>
    </row>
    <row r="228" spans="3:12" x14ac:dyDescent="0.25">
      <c r="C228" s="185"/>
      <c r="D228" s="185"/>
      <c r="E228" s="185"/>
      <c r="F228" s="185"/>
      <c r="G228" s="185"/>
      <c r="H228" s="185"/>
      <c r="I228" s="185"/>
      <c r="J228" s="185"/>
      <c r="K228" s="185"/>
      <c r="L228" s="185"/>
    </row>
    <row r="229" spans="3:12" x14ac:dyDescent="0.25">
      <c r="C229" s="185"/>
      <c r="D229" s="185"/>
      <c r="E229" s="185"/>
      <c r="F229" s="185"/>
      <c r="G229" s="185"/>
      <c r="H229" s="185"/>
      <c r="I229" s="185"/>
      <c r="J229" s="185"/>
      <c r="K229" s="185"/>
      <c r="L229" s="185"/>
    </row>
    <row r="230" spans="3:12" x14ac:dyDescent="0.25">
      <c r="C230" s="185"/>
      <c r="D230" s="185"/>
      <c r="E230" s="185"/>
      <c r="F230" s="185"/>
      <c r="G230" s="185"/>
      <c r="H230" s="185"/>
      <c r="I230" s="185"/>
      <c r="J230" s="185"/>
      <c r="K230" s="185"/>
      <c r="L230" s="185"/>
    </row>
    <row r="231" spans="3:12" x14ac:dyDescent="0.25">
      <c r="C231" s="185"/>
      <c r="D231" s="185"/>
      <c r="E231" s="185"/>
      <c r="F231" s="185"/>
      <c r="G231" s="185"/>
      <c r="H231" s="185"/>
      <c r="I231" s="185"/>
      <c r="J231" s="185"/>
      <c r="K231" s="185"/>
      <c r="L231" s="185"/>
    </row>
    <row r="232" spans="3:12" x14ac:dyDescent="0.25">
      <c r="C232" s="185"/>
      <c r="D232" s="185"/>
      <c r="E232" s="185"/>
      <c r="F232" s="185"/>
      <c r="G232" s="185"/>
      <c r="H232" s="185"/>
      <c r="I232" s="185"/>
      <c r="J232" s="185"/>
      <c r="K232" s="185"/>
      <c r="L232" s="185"/>
    </row>
    <row r="233" spans="3:12" x14ac:dyDescent="0.25">
      <c r="C233" s="185"/>
      <c r="D233" s="185"/>
      <c r="E233" s="185"/>
      <c r="F233" s="185"/>
      <c r="G233" s="185"/>
      <c r="H233" s="185"/>
      <c r="I233" s="185"/>
      <c r="J233" s="185"/>
      <c r="K233" s="185"/>
      <c r="L233" s="185"/>
    </row>
    <row r="234" spans="3:12" x14ac:dyDescent="0.25">
      <c r="C234" s="185"/>
      <c r="D234" s="185"/>
      <c r="E234" s="185"/>
      <c r="F234" s="185"/>
      <c r="G234" s="185"/>
      <c r="H234" s="185"/>
      <c r="I234" s="185"/>
      <c r="J234" s="185"/>
      <c r="K234" s="185"/>
      <c r="L234" s="185"/>
    </row>
    <row r="235" spans="3:12" x14ac:dyDescent="0.25">
      <c r="C235" s="185"/>
      <c r="D235" s="185"/>
      <c r="E235" s="185"/>
      <c r="F235" s="185"/>
      <c r="G235" s="185"/>
      <c r="H235" s="185"/>
      <c r="I235" s="185"/>
      <c r="J235" s="185"/>
      <c r="K235" s="185"/>
      <c r="L235" s="185"/>
    </row>
    <row r="236" spans="3:12" x14ac:dyDescent="0.25">
      <c r="C236" s="185"/>
      <c r="D236" s="185"/>
      <c r="E236" s="185"/>
      <c r="F236" s="185"/>
      <c r="G236" s="185"/>
      <c r="H236" s="185"/>
      <c r="I236" s="185"/>
      <c r="J236" s="185"/>
      <c r="K236" s="185"/>
      <c r="L236" s="185"/>
    </row>
    <row r="237" spans="3:12" x14ac:dyDescent="0.25">
      <c r="C237" s="185"/>
      <c r="D237" s="185"/>
      <c r="E237" s="185"/>
      <c r="F237" s="185"/>
      <c r="G237" s="185"/>
      <c r="H237" s="185"/>
      <c r="I237" s="185"/>
      <c r="J237" s="185"/>
      <c r="K237" s="185"/>
      <c r="L237" s="185"/>
    </row>
    <row r="238" spans="3:12" x14ac:dyDescent="0.25">
      <c r="C238" s="185"/>
      <c r="D238" s="185"/>
      <c r="E238" s="185"/>
      <c r="F238" s="185"/>
      <c r="G238" s="185"/>
      <c r="H238" s="185"/>
      <c r="I238" s="185"/>
      <c r="J238" s="185"/>
      <c r="K238" s="185"/>
      <c r="L238" s="185"/>
    </row>
    <row r="239" spans="3:12" x14ac:dyDescent="0.25">
      <c r="C239" s="185"/>
      <c r="D239" s="185"/>
      <c r="E239" s="185"/>
      <c r="F239" s="185"/>
      <c r="G239" s="185"/>
      <c r="H239" s="185"/>
      <c r="I239" s="185"/>
      <c r="J239" s="185"/>
      <c r="K239" s="185"/>
      <c r="L239" s="185"/>
    </row>
    <row r="240" spans="3:12" x14ac:dyDescent="0.25">
      <c r="C240" s="185"/>
      <c r="D240" s="185"/>
      <c r="E240" s="185"/>
      <c r="F240" s="185"/>
      <c r="G240" s="185"/>
      <c r="H240" s="185"/>
      <c r="I240" s="185"/>
      <c r="J240" s="185"/>
      <c r="K240" s="185"/>
      <c r="L240" s="185"/>
    </row>
    <row r="241" spans="3:12" x14ac:dyDescent="0.25">
      <c r="C241" s="185"/>
      <c r="D241" s="185"/>
      <c r="E241" s="185"/>
      <c r="F241" s="185"/>
      <c r="G241" s="185"/>
      <c r="H241" s="185"/>
      <c r="I241" s="185"/>
      <c r="J241" s="185"/>
      <c r="K241" s="185"/>
      <c r="L241" s="185"/>
    </row>
    <row r="242" spans="3:12" x14ac:dyDescent="0.25">
      <c r="C242" s="185"/>
      <c r="D242" s="185"/>
      <c r="E242" s="185"/>
      <c r="F242" s="185"/>
      <c r="G242" s="185"/>
      <c r="H242" s="185"/>
      <c r="I242" s="185"/>
      <c r="J242" s="185"/>
      <c r="K242" s="185"/>
      <c r="L242" s="185"/>
    </row>
    <row r="243" spans="3:12" x14ac:dyDescent="0.25">
      <c r="C243" s="185"/>
      <c r="D243" s="185"/>
      <c r="E243" s="185"/>
      <c r="F243" s="185"/>
      <c r="G243" s="185"/>
      <c r="H243" s="185"/>
      <c r="I243" s="185"/>
      <c r="J243" s="185"/>
      <c r="K243" s="185"/>
      <c r="L243" s="185"/>
    </row>
    <row r="244" spans="3:12" x14ac:dyDescent="0.25">
      <c r="C244" s="185"/>
      <c r="D244" s="185"/>
      <c r="E244" s="185"/>
      <c r="F244" s="185"/>
      <c r="G244" s="185"/>
      <c r="H244" s="185"/>
      <c r="I244" s="185"/>
      <c r="J244" s="185"/>
      <c r="K244" s="185"/>
      <c r="L244" s="185"/>
    </row>
    <row r="245" spans="3:12" x14ac:dyDescent="0.25">
      <c r="C245" s="185"/>
      <c r="D245" s="185"/>
      <c r="E245" s="185"/>
      <c r="F245" s="185"/>
      <c r="G245" s="185"/>
      <c r="H245" s="185"/>
      <c r="I245" s="185"/>
      <c r="J245" s="185"/>
      <c r="K245" s="185"/>
      <c r="L245" s="185"/>
    </row>
    <row r="246" spans="3:12" x14ac:dyDescent="0.25">
      <c r="C246" s="185"/>
      <c r="D246" s="185"/>
      <c r="E246" s="185"/>
      <c r="F246" s="185"/>
      <c r="G246" s="185"/>
      <c r="H246" s="185"/>
      <c r="I246" s="185"/>
      <c r="J246" s="185"/>
      <c r="K246" s="185"/>
      <c r="L246" s="185"/>
    </row>
    <row r="247" spans="3:12" x14ac:dyDescent="0.25">
      <c r="C247" s="185"/>
      <c r="D247" s="185"/>
      <c r="E247" s="185"/>
      <c r="F247" s="185"/>
      <c r="G247" s="185"/>
      <c r="H247" s="185"/>
      <c r="I247" s="185"/>
      <c r="J247" s="185"/>
      <c r="K247" s="185"/>
      <c r="L247" s="185"/>
    </row>
    <row r="248" spans="3:12" x14ac:dyDescent="0.25">
      <c r="C248" s="185"/>
      <c r="D248" s="185"/>
      <c r="E248" s="185"/>
      <c r="F248" s="185"/>
      <c r="G248" s="185"/>
      <c r="H248" s="185"/>
      <c r="I248" s="185"/>
      <c r="J248" s="185"/>
      <c r="K248" s="185"/>
      <c r="L248" s="185"/>
    </row>
    <row r="249" spans="3:12" x14ac:dyDescent="0.25">
      <c r="C249" s="185"/>
      <c r="D249" s="185"/>
      <c r="E249" s="185"/>
      <c r="F249" s="185"/>
      <c r="G249" s="185"/>
      <c r="H249" s="185"/>
      <c r="I249" s="185"/>
      <c r="J249" s="185"/>
      <c r="K249" s="185"/>
      <c r="L249" s="185"/>
    </row>
    <row r="250" spans="3:12" x14ac:dyDescent="0.25">
      <c r="C250" s="185"/>
      <c r="D250" s="185"/>
      <c r="E250" s="185"/>
      <c r="F250" s="185"/>
      <c r="G250" s="185"/>
      <c r="H250" s="185"/>
      <c r="I250" s="185"/>
      <c r="J250" s="185"/>
      <c r="K250" s="185"/>
      <c r="L250" s="185"/>
    </row>
    <row r="251" spans="3:12" x14ac:dyDescent="0.25">
      <c r="C251" s="185"/>
      <c r="D251" s="185"/>
      <c r="E251" s="185"/>
      <c r="F251" s="185"/>
      <c r="G251" s="185"/>
      <c r="H251" s="185"/>
      <c r="I251" s="185"/>
      <c r="J251" s="185"/>
      <c r="K251" s="185"/>
      <c r="L251" s="185"/>
    </row>
    <row r="252" spans="3:12" x14ac:dyDescent="0.25">
      <c r="C252" s="185"/>
      <c r="D252" s="185"/>
      <c r="E252" s="185"/>
      <c r="F252" s="185"/>
      <c r="G252" s="185"/>
      <c r="H252" s="185"/>
      <c r="I252" s="185"/>
      <c r="J252" s="185"/>
      <c r="K252" s="185"/>
      <c r="L252" s="185"/>
    </row>
    <row r="253" spans="3:12" x14ac:dyDescent="0.25">
      <c r="C253" s="185"/>
      <c r="D253" s="185"/>
      <c r="E253" s="185"/>
      <c r="F253" s="185"/>
      <c r="G253" s="185"/>
      <c r="H253" s="185"/>
      <c r="I253" s="185"/>
      <c r="J253" s="185"/>
      <c r="K253" s="185"/>
      <c r="L253" s="185"/>
    </row>
    <row r="254" spans="3:12" x14ac:dyDescent="0.25">
      <c r="C254" s="185"/>
      <c r="D254" s="185"/>
      <c r="E254" s="185"/>
      <c r="F254" s="185"/>
      <c r="G254" s="185"/>
      <c r="H254" s="185"/>
      <c r="I254" s="185"/>
      <c r="J254" s="185"/>
      <c r="K254" s="185"/>
      <c r="L254" s="185"/>
    </row>
    <row r="255" spans="3:12" x14ac:dyDescent="0.25">
      <c r="C255" s="185"/>
      <c r="D255" s="185"/>
      <c r="E255" s="185"/>
      <c r="F255" s="185"/>
      <c r="G255" s="185"/>
      <c r="H255" s="185"/>
      <c r="I255" s="185"/>
      <c r="J255" s="185"/>
      <c r="K255" s="185"/>
      <c r="L255" s="185"/>
    </row>
    <row r="256" spans="3:12" x14ac:dyDescent="0.25">
      <c r="C256" s="185"/>
      <c r="D256" s="185"/>
      <c r="E256" s="185"/>
      <c r="F256" s="185"/>
      <c r="G256" s="185"/>
      <c r="H256" s="185"/>
      <c r="I256" s="185"/>
      <c r="J256" s="185"/>
      <c r="K256" s="185"/>
      <c r="L256" s="185"/>
    </row>
    <row r="257" spans="3:12" x14ac:dyDescent="0.25">
      <c r="C257" s="185"/>
      <c r="D257" s="185"/>
      <c r="E257" s="185"/>
      <c r="F257" s="185"/>
      <c r="G257" s="185"/>
      <c r="H257" s="185"/>
      <c r="I257" s="185"/>
      <c r="J257" s="185"/>
      <c r="K257" s="185"/>
      <c r="L257" s="185"/>
    </row>
    <row r="258" spans="3:12" x14ac:dyDescent="0.25">
      <c r="C258" s="185"/>
      <c r="D258" s="185"/>
      <c r="E258" s="185"/>
      <c r="F258" s="185"/>
      <c r="G258" s="185"/>
      <c r="H258" s="185"/>
      <c r="I258" s="185"/>
      <c r="J258" s="185"/>
      <c r="K258" s="185"/>
      <c r="L258" s="185"/>
    </row>
    <row r="259" spans="3:12" x14ac:dyDescent="0.25">
      <c r="C259" s="185"/>
      <c r="D259" s="185"/>
      <c r="E259" s="185"/>
      <c r="F259" s="185"/>
      <c r="G259" s="185"/>
      <c r="H259" s="185"/>
      <c r="I259" s="185"/>
      <c r="J259" s="185"/>
      <c r="K259" s="185"/>
      <c r="L259" s="185"/>
    </row>
    <row r="260" spans="3:12" x14ac:dyDescent="0.25">
      <c r="C260" s="185"/>
      <c r="D260" s="185"/>
      <c r="E260" s="185"/>
      <c r="F260" s="185"/>
      <c r="G260" s="185"/>
      <c r="H260" s="185"/>
      <c r="I260" s="185"/>
      <c r="J260" s="185"/>
      <c r="K260" s="185"/>
      <c r="L260" s="185"/>
    </row>
    <row r="261" spans="3:12" x14ac:dyDescent="0.25">
      <c r="C261" s="185"/>
      <c r="D261" s="185"/>
      <c r="E261" s="185"/>
      <c r="F261" s="185"/>
      <c r="G261" s="185"/>
      <c r="H261" s="185"/>
      <c r="I261" s="185"/>
      <c r="J261" s="185"/>
      <c r="K261" s="185"/>
      <c r="L261" s="185"/>
    </row>
    <row r="262" spans="3:12" x14ac:dyDescent="0.25">
      <c r="C262" s="185"/>
      <c r="D262" s="185"/>
      <c r="E262" s="185"/>
      <c r="F262" s="185"/>
      <c r="G262" s="185"/>
      <c r="H262" s="185"/>
      <c r="I262" s="185"/>
      <c r="J262" s="185"/>
      <c r="K262" s="185"/>
      <c r="L262" s="185"/>
    </row>
    <row r="263" spans="3:12" x14ac:dyDescent="0.25">
      <c r="C263" s="185"/>
      <c r="D263" s="185"/>
      <c r="E263" s="185"/>
      <c r="F263" s="185"/>
      <c r="G263" s="185"/>
      <c r="H263" s="185"/>
      <c r="I263" s="185"/>
      <c r="J263" s="185"/>
      <c r="K263" s="185"/>
      <c r="L263" s="185"/>
    </row>
    <row r="264" spans="3:12" x14ac:dyDescent="0.25">
      <c r="C264" s="185"/>
      <c r="D264" s="185"/>
      <c r="E264" s="185"/>
      <c r="F264" s="185"/>
      <c r="G264" s="185"/>
      <c r="H264" s="185"/>
      <c r="I264" s="185"/>
      <c r="J264" s="185"/>
      <c r="K264" s="185"/>
      <c r="L264" s="185"/>
    </row>
    <row r="265" spans="3:12" x14ac:dyDescent="0.25">
      <c r="C265" s="185"/>
      <c r="D265" s="185"/>
      <c r="E265" s="185"/>
      <c r="F265" s="185"/>
      <c r="G265" s="185"/>
      <c r="H265" s="185"/>
      <c r="I265" s="185"/>
      <c r="J265" s="185"/>
      <c r="K265" s="185"/>
      <c r="L265" s="185"/>
    </row>
    <row r="266" spans="3:12" x14ac:dyDescent="0.25">
      <c r="C266" s="185"/>
      <c r="D266" s="185"/>
      <c r="E266" s="185"/>
      <c r="F266" s="185"/>
      <c r="G266" s="185"/>
      <c r="H266" s="185"/>
      <c r="I266" s="185"/>
      <c r="J266" s="185"/>
      <c r="K266" s="185"/>
      <c r="L266" s="185"/>
    </row>
    <row r="267" spans="3:12" x14ac:dyDescent="0.25">
      <c r="C267" s="185"/>
      <c r="D267" s="185"/>
      <c r="E267" s="185"/>
      <c r="F267" s="185"/>
      <c r="G267" s="185"/>
      <c r="H267" s="185"/>
      <c r="I267" s="185"/>
      <c r="J267" s="185"/>
      <c r="K267" s="185"/>
      <c r="L267" s="185"/>
    </row>
    <row r="268" spans="3:12" x14ac:dyDescent="0.25">
      <c r="C268" s="185"/>
      <c r="D268" s="185"/>
      <c r="E268" s="185"/>
      <c r="F268" s="185"/>
      <c r="G268" s="185"/>
      <c r="H268" s="185"/>
      <c r="I268" s="185"/>
      <c r="J268" s="185"/>
      <c r="K268" s="185"/>
      <c r="L268" s="185"/>
    </row>
    <row r="269" spans="3:12" x14ac:dyDescent="0.25">
      <c r="C269" s="185"/>
      <c r="D269" s="185"/>
      <c r="E269" s="185"/>
      <c r="F269" s="185"/>
      <c r="G269" s="185"/>
      <c r="H269" s="185"/>
      <c r="I269" s="185"/>
      <c r="J269" s="185"/>
      <c r="K269" s="185"/>
      <c r="L269" s="185"/>
    </row>
    <row r="270" spans="3:12" x14ac:dyDescent="0.25">
      <c r="C270" s="185"/>
      <c r="D270" s="185"/>
      <c r="E270" s="185"/>
      <c r="F270" s="185"/>
      <c r="G270" s="185"/>
      <c r="H270" s="185"/>
      <c r="I270" s="185"/>
      <c r="J270" s="185"/>
      <c r="K270" s="185"/>
      <c r="L270" s="185"/>
    </row>
    <row r="271" spans="3:12" x14ac:dyDescent="0.25">
      <c r="C271" s="185"/>
      <c r="D271" s="185"/>
      <c r="E271" s="185"/>
      <c r="F271" s="185"/>
      <c r="G271" s="185"/>
      <c r="H271" s="185"/>
      <c r="I271" s="185"/>
      <c r="J271" s="185"/>
      <c r="K271" s="185"/>
      <c r="L271" s="185"/>
    </row>
    <row r="272" spans="3:12" x14ac:dyDescent="0.25">
      <c r="C272" s="185"/>
      <c r="D272" s="185"/>
      <c r="E272" s="185"/>
      <c r="F272" s="185"/>
      <c r="G272" s="185"/>
      <c r="H272" s="185"/>
      <c r="I272" s="185"/>
      <c r="J272" s="185"/>
      <c r="K272" s="185"/>
      <c r="L272" s="185"/>
    </row>
    <row r="273" spans="3:12" x14ac:dyDescent="0.25">
      <c r="C273" s="185"/>
      <c r="D273" s="185"/>
      <c r="E273" s="185"/>
      <c r="F273" s="185"/>
      <c r="G273" s="185"/>
      <c r="H273" s="185"/>
      <c r="I273" s="185"/>
      <c r="J273" s="185"/>
      <c r="K273" s="185"/>
      <c r="L273" s="185"/>
    </row>
    <row r="274" spans="3:12" x14ac:dyDescent="0.25">
      <c r="C274" s="185"/>
      <c r="D274" s="185"/>
      <c r="E274" s="185"/>
      <c r="F274" s="185"/>
      <c r="G274" s="185"/>
      <c r="H274" s="185"/>
      <c r="I274" s="185"/>
      <c r="J274" s="185"/>
      <c r="K274" s="185"/>
      <c r="L274" s="185"/>
    </row>
    <row r="275" spans="3:12" x14ac:dyDescent="0.25">
      <c r="C275" s="185"/>
      <c r="D275" s="185"/>
      <c r="E275" s="185"/>
      <c r="F275" s="185"/>
      <c r="G275" s="185"/>
      <c r="H275" s="185"/>
      <c r="I275" s="185"/>
      <c r="J275" s="185"/>
      <c r="K275" s="185"/>
      <c r="L275" s="185"/>
    </row>
    <row r="276" spans="3:12" x14ac:dyDescent="0.25">
      <c r="C276" s="185"/>
      <c r="D276" s="185"/>
      <c r="E276" s="185"/>
      <c r="F276" s="185"/>
      <c r="G276" s="185"/>
      <c r="H276" s="185"/>
      <c r="I276" s="185"/>
      <c r="J276" s="185"/>
      <c r="K276" s="185"/>
      <c r="L276" s="185"/>
    </row>
    <row r="277" spans="3:12" x14ac:dyDescent="0.25">
      <c r="C277" s="185"/>
      <c r="D277" s="185"/>
      <c r="E277" s="185"/>
      <c r="F277" s="185"/>
      <c r="G277" s="185"/>
      <c r="H277" s="185"/>
      <c r="I277" s="185"/>
      <c r="J277" s="185"/>
      <c r="K277" s="185"/>
      <c r="L277" s="185"/>
    </row>
  </sheetData>
  <mergeCells count="31">
    <mergeCell ref="O21:S21"/>
    <mergeCell ref="E6:G6"/>
    <mergeCell ref="C4:I4"/>
    <mergeCell ref="K4:K17"/>
    <mergeCell ref="L10:Q11"/>
    <mergeCell ref="L4:Q4"/>
    <mergeCell ref="S5:V5"/>
    <mergeCell ref="L5:M5"/>
    <mergeCell ref="G21:J21"/>
    <mergeCell ref="K21:N21"/>
    <mergeCell ref="B21:F21"/>
    <mergeCell ref="L13:M13"/>
    <mergeCell ref="N8:O8"/>
    <mergeCell ref="P8:Q8"/>
    <mergeCell ref="N9:O9"/>
    <mergeCell ref="P9:Q9"/>
    <mergeCell ref="AG23:AH23"/>
    <mergeCell ref="AG22:AJ22"/>
    <mergeCell ref="AI23:AJ23"/>
    <mergeCell ref="U6:V6"/>
    <mergeCell ref="AK22:AN22"/>
    <mergeCell ref="AK23:AL23"/>
    <mergeCell ref="AM23:AN23"/>
    <mergeCell ref="N12:O12"/>
    <mergeCell ref="P12:Q12"/>
    <mergeCell ref="N5:O5"/>
    <mergeCell ref="P5:Q5"/>
    <mergeCell ref="N6:O6"/>
    <mergeCell ref="P6:Q6"/>
    <mergeCell ref="N7:O7"/>
    <mergeCell ref="P7:Q7"/>
  </mergeCells>
  <phoneticPr fontId="60" type="noConversion"/>
  <conditionalFormatting sqref="H9">
    <cfRule type="expression" dxfId="7" priority="6">
      <formula>#REF!="Market"</formula>
    </cfRule>
  </conditionalFormatting>
  <conditionalFormatting sqref="H11">
    <cfRule type="expression" dxfId="6" priority="96">
      <formula>S20="per dwelling unit"</formula>
    </cfRule>
    <cfRule type="expression" dxfId="5" priority="97">
      <formula>J3="SF"</formula>
    </cfRule>
    <cfRule type="expression" dxfId="4" priority="98">
      <formula>J5="per dwelling unit"</formula>
    </cfRule>
  </conditionalFormatting>
  <conditionalFormatting sqref="X27">
    <cfRule type="expression" dxfId="3" priority="1">
      <formula>$X$25&lt;0.15</formula>
    </cfRule>
    <cfRule type="expression" dxfId="2" priority="2">
      <formula>$X$25&gt;=0.15</formula>
    </cfRule>
  </conditionalFormatting>
  <dataValidations count="5">
    <dataValidation type="custom" allowBlank="1" showInputMessage="1" showErrorMessage="1" errorTitle="ReimbursementError" error="Input must be between 0 and 100%." sqref="H9" xr:uid="{D0EE0D22-7092-4043-9BD6-397151223F3C}">
      <formula1>AND(H9&gt;=0, H9&lt;=100)</formula1>
    </dataValidation>
    <dataValidation type="list" allowBlank="1" showInputMessage="1" showErrorMessage="1" sqref="C23:C148" xr:uid="{629B5E8D-1707-4B2F-9FF5-EFA71479A4A8}">
      <formula1>"SF,MF"</formula1>
    </dataValidation>
    <dataValidation type="list" allowBlank="1" showInputMessage="1" showErrorMessage="1" sqref="D23:D148" xr:uid="{CB6820D1-5297-4748-991D-2557FB4E7AF8}">
      <formula1>"LMI,Market Rate"</formula1>
    </dataValidation>
    <dataValidation type="whole" operator="greaterThan" allowBlank="1" showInputMessage="1" showErrorMessage="1" error="Enter a whole number greater than 0. If your site is single family, then enter a 1. " sqref="E23:E148" xr:uid="{F3152E1F-EBB3-4BC5-ADF3-3B97B50339E7}">
      <formula1>0</formula1>
    </dataValidation>
    <dataValidation type="custom" allowBlank="1" showInputMessage="1" showErrorMessage="1" error="Enter a whole number value greater than 1. " sqref="H11" xr:uid="{8DBCD3AB-CBA3-4342-87EE-A89C4F05D3D7}">
      <formula1>AND(ISNUMBER(H11), H11&gt;1, H11=INT(H11))</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EB40D60-6AB5-4BCC-A77C-5368A9E6E9EB}">
          <x14:formula1>
            <xm:f>StateConsumption_SF!$B$3:$B$58</xm:f>
          </x14:formula1>
          <xm:sqref>E6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58B4F-05A3-4376-B097-F3D58C95407F}">
  <sheetPr codeName="Sheet3">
    <tabColor theme="0" tint="-0.499984740745262"/>
  </sheetPr>
  <dimension ref="A1:V72"/>
  <sheetViews>
    <sheetView showGridLines="0" zoomScaleNormal="100" workbookViewId="0">
      <pane xSplit="3" ySplit="2" topLeftCell="D3" activePane="bottomRight" state="frozen"/>
      <selection pane="topRight"/>
      <selection pane="bottomLeft"/>
      <selection pane="bottomRight" sqref="A1:C1"/>
    </sheetView>
  </sheetViews>
  <sheetFormatPr defaultRowHeight="15" x14ac:dyDescent="0.25"/>
  <cols>
    <col min="1" max="1" width="13.28515625" customWidth="1"/>
    <col min="2" max="2" width="18.42578125" bestFit="1" customWidth="1"/>
    <col min="3" max="3" width="12.5703125" customWidth="1"/>
    <col min="4" max="4" width="11.5703125" customWidth="1"/>
    <col min="5" max="5" width="11.42578125" customWidth="1"/>
    <col min="8" max="8" width="20" customWidth="1"/>
    <col min="9" max="9" width="9.42578125" bestFit="1" customWidth="1"/>
    <col min="10" max="10" width="11.28515625" customWidth="1"/>
    <col min="13" max="13" width="12.7109375" customWidth="1"/>
    <col min="14" max="15" width="13.42578125" customWidth="1"/>
    <col min="16" max="16" width="14.5703125" customWidth="1"/>
    <col min="17" max="17" width="14.42578125" customWidth="1"/>
    <col min="19" max="19" width="9.7109375" customWidth="1"/>
    <col min="20" max="20" width="13.42578125" customWidth="1"/>
  </cols>
  <sheetData>
    <row r="1" spans="1:22" s="48" customFormat="1" ht="57.6" customHeight="1" x14ac:dyDescent="0.25">
      <c r="A1" s="553" t="s">
        <v>6</v>
      </c>
      <c r="B1" s="553"/>
      <c r="C1" s="553"/>
      <c r="D1" s="554" t="s">
        <v>230</v>
      </c>
      <c r="E1" s="554"/>
      <c r="F1" s="554"/>
      <c r="G1" s="554"/>
      <c r="H1" s="56" t="s">
        <v>231</v>
      </c>
      <c r="I1" s="555" t="s">
        <v>232</v>
      </c>
      <c r="J1" s="555"/>
      <c r="K1" s="555"/>
      <c r="L1" s="555"/>
      <c r="M1" s="555"/>
      <c r="N1" s="555" t="s">
        <v>233</v>
      </c>
      <c r="O1" s="555"/>
      <c r="P1" s="555"/>
      <c r="Q1" s="555"/>
    </row>
    <row r="2" spans="1:22" s="37" customFormat="1" ht="60" x14ac:dyDescent="0.25">
      <c r="A2" s="81" t="s">
        <v>234</v>
      </c>
      <c r="B2" s="81" t="s">
        <v>1</v>
      </c>
      <c r="C2" s="81" t="s">
        <v>235</v>
      </c>
      <c r="D2" s="81" t="s">
        <v>236</v>
      </c>
      <c r="E2" s="81" t="s">
        <v>237</v>
      </c>
      <c r="F2" s="81" t="s">
        <v>22</v>
      </c>
      <c r="G2" s="81" t="s">
        <v>238</v>
      </c>
      <c r="H2" s="77" t="s">
        <v>239</v>
      </c>
      <c r="I2" s="81" t="s">
        <v>236</v>
      </c>
      <c r="J2" s="81" t="s">
        <v>237</v>
      </c>
      <c r="K2" s="81" t="s">
        <v>240</v>
      </c>
      <c r="L2" s="81" t="s">
        <v>241</v>
      </c>
      <c r="M2" s="81" t="s">
        <v>242</v>
      </c>
      <c r="N2" s="81" t="s">
        <v>243</v>
      </c>
      <c r="O2" s="81" t="s">
        <v>244</v>
      </c>
      <c r="P2" s="81" t="s">
        <v>245</v>
      </c>
      <c r="Q2" s="81" t="s">
        <v>246</v>
      </c>
    </row>
    <row r="3" spans="1:22" x14ac:dyDescent="0.25">
      <c r="A3" s="82" t="s">
        <v>247</v>
      </c>
      <c r="B3" s="82" t="s">
        <v>141</v>
      </c>
      <c r="C3" s="83">
        <v>1.7500421307230001</v>
      </c>
      <c r="D3" s="84">
        <v>85.892656864752823</v>
      </c>
      <c r="E3" s="84">
        <v>27.812558833517414</v>
      </c>
      <c r="F3" s="84">
        <v>4.4304260529034121</v>
      </c>
      <c r="G3" s="84">
        <v>0.36580213645328508</v>
      </c>
      <c r="H3" s="85">
        <v>67.713480611275386</v>
      </c>
      <c r="I3" s="86">
        <v>14384.623988730491</v>
      </c>
      <c r="J3" s="86">
        <v>4657.6332573949712</v>
      </c>
      <c r="K3" s="86">
        <v>741.94179154648771</v>
      </c>
      <c r="L3" s="181">
        <v>0</v>
      </c>
      <c r="M3" s="86">
        <v>19845.458133124816</v>
      </c>
      <c r="N3" s="87">
        <f>2000/(0.2*H3)</f>
        <v>147.68108077928042</v>
      </c>
      <c r="O3" s="87">
        <f>4000/(0.2*H3)</f>
        <v>295.36216155856084</v>
      </c>
      <c r="P3" s="83">
        <f>N3/$U$8</f>
        <v>0.50403099242075233</v>
      </c>
      <c r="Q3" s="87">
        <f>O3/$U$8</f>
        <v>1.0080619848415047</v>
      </c>
      <c r="R3" s="80"/>
      <c r="S3" s="362" t="s">
        <v>12</v>
      </c>
      <c r="T3" s="363"/>
      <c r="U3" s="363"/>
      <c r="V3" s="364"/>
    </row>
    <row r="4" spans="1:22" x14ac:dyDescent="0.25">
      <c r="A4" s="82" t="s">
        <v>248</v>
      </c>
      <c r="B4" s="82" t="s">
        <v>249</v>
      </c>
      <c r="C4" s="83">
        <v>0.22496893612460001</v>
      </c>
      <c r="D4" s="84">
        <v>5.9975047951610199</v>
      </c>
      <c r="E4" s="84">
        <v>18.136585390012769</v>
      </c>
      <c r="F4" s="84">
        <v>0.39079059989323822</v>
      </c>
      <c r="G4" s="84">
        <v>6.1707698904646868</v>
      </c>
      <c r="H4" s="85">
        <v>136.443951793108</v>
      </c>
      <c r="I4" s="86">
        <v>7813.3810546901814</v>
      </c>
      <c r="J4" s="86">
        <v>23626.849592659029</v>
      </c>
      <c r="K4" s="86">
        <v>509.08980534929879</v>
      </c>
      <c r="L4" s="86">
        <v>8038.7707464053547</v>
      </c>
      <c r="M4" s="86">
        <v>39988.091199103867</v>
      </c>
      <c r="N4" s="87">
        <f>2000/(0.2*H4)</f>
        <v>73.290166904306233</v>
      </c>
      <c r="O4" s="87">
        <f t="shared" ref="O4:O58" si="0">4000/(0.2*H4)</f>
        <v>146.58033380861247</v>
      </c>
      <c r="P4" s="83">
        <f>N4/$U$8</f>
        <v>0.25013708841060145</v>
      </c>
      <c r="Q4" s="87">
        <f t="shared" ref="Q4:Q40" si="1">O4/$U$8</f>
        <v>0.5002741768212029</v>
      </c>
      <c r="R4" s="80"/>
      <c r="S4" s="31" t="s">
        <v>14</v>
      </c>
      <c r="T4" s="31" t="s">
        <v>15</v>
      </c>
      <c r="U4" s="551" t="s">
        <v>16</v>
      </c>
      <c r="V4" s="552"/>
    </row>
    <row r="5" spans="1:22" x14ac:dyDescent="0.25">
      <c r="A5" s="82" t="s">
        <v>250</v>
      </c>
      <c r="B5" s="82" t="s">
        <v>251</v>
      </c>
      <c r="C5" s="83">
        <v>1.1807E-2</v>
      </c>
      <c r="D5" s="84"/>
      <c r="E5" s="84"/>
      <c r="F5" s="84"/>
      <c r="G5" s="84"/>
      <c r="H5" s="85">
        <v>46.675628322599998</v>
      </c>
      <c r="I5" s="86">
        <v>6676.808</v>
      </c>
      <c r="J5" s="86">
        <v>0</v>
      </c>
      <c r="K5" s="86">
        <v>0</v>
      </c>
      <c r="L5" s="86">
        <v>14633.2285569</v>
      </c>
      <c r="M5" s="86">
        <f>SUM(I5:L5)</f>
        <v>21310.036556899999</v>
      </c>
      <c r="N5" s="87">
        <f>2000/(0.2*H5)</f>
        <v>214.24457172562737</v>
      </c>
      <c r="O5" s="87">
        <f>4000/(0.2*H5)</f>
        <v>428.48914345125473</v>
      </c>
      <c r="P5" s="83">
        <f t="shared" ref="P5:P40" si="2">N5/$U$8</f>
        <v>0.73121014240828452</v>
      </c>
      <c r="Q5" s="87">
        <f t="shared" si="1"/>
        <v>1.462420284816569</v>
      </c>
      <c r="R5" s="80"/>
      <c r="S5" s="25" t="s">
        <v>18</v>
      </c>
      <c r="T5" s="26" t="s">
        <v>19</v>
      </c>
      <c r="U5" s="36">
        <v>29.300111099999999</v>
      </c>
      <c r="V5" s="33" t="s">
        <v>20</v>
      </c>
    </row>
    <row r="6" spans="1:22" x14ac:dyDescent="0.25">
      <c r="A6" s="82" t="s">
        <v>252</v>
      </c>
      <c r="B6" s="82" t="s">
        <v>253</v>
      </c>
      <c r="C6" s="83">
        <v>2.2813003205749998</v>
      </c>
      <c r="D6" s="84">
        <v>113.15747800360337</v>
      </c>
      <c r="E6" s="84">
        <v>36.792802375449313</v>
      </c>
      <c r="F6" s="84">
        <v>3.28335135439466</v>
      </c>
      <c r="G6" s="84">
        <v>0.29477864137937099</v>
      </c>
      <c r="H6" s="85">
        <v>67.298640599905767</v>
      </c>
      <c r="I6" s="86">
        <v>14537.568892764517</v>
      </c>
      <c r="J6" s="86">
        <v>4726.647906776906</v>
      </c>
      <c r="K6" s="86">
        <v>421.80113512685796</v>
      </c>
      <c r="L6" s="181">
        <v>37.869223279606999</v>
      </c>
      <c r="M6" s="86">
        <v>19723.887157947887</v>
      </c>
      <c r="N6" s="87">
        <f t="shared" ref="N6:N58" si="3">2000/(0.2*H6)</f>
        <v>148.59141151825884</v>
      </c>
      <c r="O6" s="87">
        <f t="shared" si="0"/>
        <v>297.18282303651768</v>
      </c>
      <c r="P6" s="83">
        <f t="shared" si="2"/>
        <v>0.507137923270508</v>
      </c>
      <c r="Q6" s="87">
        <f t="shared" si="1"/>
        <v>1.014275846541016</v>
      </c>
      <c r="R6" s="80"/>
      <c r="S6" s="25" t="s">
        <v>22</v>
      </c>
      <c r="T6" s="26" t="s">
        <v>23</v>
      </c>
      <c r="U6" s="36">
        <v>26.811824999999999</v>
      </c>
      <c r="V6" s="33" t="s">
        <v>20</v>
      </c>
    </row>
    <row r="7" spans="1:22" x14ac:dyDescent="0.25">
      <c r="A7" s="82" t="s">
        <v>254</v>
      </c>
      <c r="B7" s="82" t="s">
        <v>255</v>
      </c>
      <c r="C7" s="83">
        <v>1.0342308334130002</v>
      </c>
      <c r="D7" s="84">
        <v>49.221413920943725</v>
      </c>
      <c r="E7" s="84">
        <v>30.874202308872846</v>
      </c>
      <c r="F7" s="84">
        <v>3.1084059445074304</v>
      </c>
      <c r="G7" s="84">
        <v>0</v>
      </c>
      <c r="H7" s="85">
        <v>80.450146607742923</v>
      </c>
      <c r="I7" s="86">
        <v>13948.50216034896</v>
      </c>
      <c r="J7" s="86">
        <v>8748.8528213801528</v>
      </c>
      <c r="K7" s="86">
        <v>880.83202427494689</v>
      </c>
      <c r="L7" s="181">
        <v>0</v>
      </c>
      <c r="M7" s="86">
        <v>23578.18700600406</v>
      </c>
      <c r="N7" s="87">
        <f t="shared" si="3"/>
        <v>124.30058143657317</v>
      </c>
      <c r="O7" s="87">
        <f t="shared" si="0"/>
        <v>248.60116287314634</v>
      </c>
      <c r="P7" s="83">
        <f t="shared" si="2"/>
        <v>0.42423406633642718</v>
      </c>
      <c r="Q7" s="87">
        <f t="shared" si="1"/>
        <v>0.84846813267285437</v>
      </c>
      <c r="R7" s="80"/>
      <c r="S7" s="25" t="s">
        <v>25</v>
      </c>
      <c r="T7" s="26" t="s">
        <v>23</v>
      </c>
      <c r="U7" s="36">
        <v>43.88205</v>
      </c>
      <c r="V7" s="33" t="s">
        <v>20</v>
      </c>
    </row>
    <row r="8" spans="1:22" x14ac:dyDescent="0.25">
      <c r="A8" s="82" t="s">
        <v>256</v>
      </c>
      <c r="B8" s="82" t="s">
        <v>257</v>
      </c>
      <c r="C8" s="83">
        <v>10.102709773593999</v>
      </c>
      <c r="D8" s="84">
        <v>250.9802134552742</v>
      </c>
      <c r="E8" s="84">
        <v>353.7550041482109</v>
      </c>
      <c r="F8" s="84">
        <v>19.861574707059486</v>
      </c>
      <c r="G8" s="84">
        <v>0.27651447204487301</v>
      </c>
      <c r="H8" s="85">
        <v>61.852049676400171</v>
      </c>
      <c r="I8" s="86">
        <v>7281.0260885326079</v>
      </c>
      <c r="J8" s="86">
        <v>10262.131165214936</v>
      </c>
      <c r="K8" s="86">
        <v>576.16735424657327</v>
      </c>
      <c r="L8" s="181">
        <v>8.0214491609446501</v>
      </c>
      <c r="M8" s="86">
        <v>18127.34605715506</v>
      </c>
      <c r="N8" s="87">
        <f t="shared" si="3"/>
        <v>161.67612960796558</v>
      </c>
      <c r="O8" s="87">
        <f t="shared" si="0"/>
        <v>323.35225921593116</v>
      </c>
      <c r="P8" s="83">
        <f t="shared" si="2"/>
        <v>0.55179566419100878</v>
      </c>
      <c r="Q8" s="87">
        <f t="shared" si="1"/>
        <v>1.1035913283820176</v>
      </c>
      <c r="R8" s="80"/>
      <c r="S8" s="25" t="s">
        <v>258</v>
      </c>
      <c r="T8" s="26" t="s">
        <v>259</v>
      </c>
      <c r="U8" s="36">
        <v>293</v>
      </c>
      <c r="V8" s="33" t="s">
        <v>20</v>
      </c>
    </row>
    <row r="9" spans="1:22" x14ac:dyDescent="0.25">
      <c r="A9" s="82" t="s">
        <v>260</v>
      </c>
      <c r="B9" s="82" t="s">
        <v>261</v>
      </c>
      <c r="C9" s="83">
        <v>1.7965562416130001</v>
      </c>
      <c r="D9" s="84">
        <v>54.614120205444863</v>
      </c>
      <c r="E9" s="84">
        <v>118.6494676752279</v>
      </c>
      <c r="F9" s="84">
        <v>7.4215049729416132</v>
      </c>
      <c r="G9" s="84">
        <v>0.12065494233790799</v>
      </c>
      <c r="H9" s="85">
        <v>100.64018237114563</v>
      </c>
      <c r="I9" s="86">
        <v>8909.5365776342169</v>
      </c>
      <c r="J9" s="86">
        <v>19355.207109924377</v>
      </c>
      <c r="K9" s="86">
        <v>1210.6650677254422</v>
      </c>
      <c r="L9" s="181">
        <v>19.682358830116812</v>
      </c>
      <c r="M9" s="86">
        <v>29495.091114114151</v>
      </c>
      <c r="N9" s="87">
        <f t="shared" si="3"/>
        <v>99.363889893616502</v>
      </c>
      <c r="O9" s="87">
        <f t="shared" si="0"/>
        <v>198.727779787233</v>
      </c>
      <c r="P9" s="83">
        <f t="shared" si="2"/>
        <v>0.33912590407377646</v>
      </c>
      <c r="Q9" s="87">
        <f t="shared" si="1"/>
        <v>0.67825180814755293</v>
      </c>
      <c r="R9" s="80"/>
    </row>
    <row r="10" spans="1:22" x14ac:dyDescent="0.25">
      <c r="A10" s="82" t="s">
        <v>262</v>
      </c>
      <c r="B10" s="82" t="s">
        <v>263</v>
      </c>
      <c r="C10" s="83">
        <v>1.12758984599</v>
      </c>
      <c r="D10" s="84">
        <v>32.555292726440832</v>
      </c>
      <c r="E10" s="84">
        <v>31.658378348847915</v>
      </c>
      <c r="F10" s="84">
        <v>4.898109648911082</v>
      </c>
      <c r="G10" s="84">
        <v>47.495761733909056</v>
      </c>
      <c r="H10" s="85">
        <v>103.41308311066771</v>
      </c>
      <c r="I10" s="86">
        <v>8461.7737993371393</v>
      </c>
      <c r="J10" s="86">
        <v>8228.3044974825771</v>
      </c>
      <c r="K10" s="86">
        <v>1273.0638698290895</v>
      </c>
      <c r="L10" s="86">
        <v>12344.586497138294</v>
      </c>
      <c r="M10" s="86">
        <v>30307.7286637871</v>
      </c>
      <c r="N10" s="87">
        <f t="shared" si="3"/>
        <v>96.699563529098924</v>
      </c>
      <c r="O10" s="87">
        <f t="shared" si="0"/>
        <v>193.39912705819785</v>
      </c>
      <c r="P10" s="83">
        <f t="shared" si="2"/>
        <v>0.33003264003105437</v>
      </c>
      <c r="Q10" s="87">
        <f t="shared" si="1"/>
        <v>0.66006528006210874</v>
      </c>
      <c r="R10" s="80"/>
    </row>
    <row r="11" spans="1:22" x14ac:dyDescent="0.25">
      <c r="A11" s="82" t="s">
        <v>264</v>
      </c>
      <c r="B11" s="82" t="s">
        <v>265</v>
      </c>
      <c r="C11" s="83">
        <v>0.33809507332800004</v>
      </c>
      <c r="D11" s="84">
        <v>13.64101884246859</v>
      </c>
      <c r="E11" s="84">
        <v>8.5119202124069737</v>
      </c>
      <c r="F11" s="84">
        <v>2.1615463014102665</v>
      </c>
      <c r="G11" s="84">
        <v>1.8648818199070127</v>
      </c>
      <c r="H11" s="85">
        <v>77.431968820187905</v>
      </c>
      <c r="I11" s="86">
        <v>11824.939748000237</v>
      </c>
      <c r="J11" s="86">
        <v>7378.3889957787487</v>
      </c>
      <c r="K11" s="86">
        <v>1873.6934846904385</v>
      </c>
      <c r="L11" s="86">
        <v>1616.53577043326</v>
      </c>
      <c r="M11" s="86">
        <v>22693.557998902681</v>
      </c>
      <c r="N11" s="87">
        <f t="shared" si="3"/>
        <v>129.14562489327818</v>
      </c>
      <c r="O11" s="87">
        <f t="shared" si="0"/>
        <v>258.29124978655636</v>
      </c>
      <c r="P11" s="83">
        <f t="shared" si="2"/>
        <v>0.44077005083030096</v>
      </c>
      <c r="Q11" s="87">
        <f t="shared" si="1"/>
        <v>0.88154010166060193</v>
      </c>
      <c r="R11" s="80"/>
    </row>
    <row r="12" spans="1:22" x14ac:dyDescent="0.25">
      <c r="A12" s="82" t="s">
        <v>266</v>
      </c>
      <c r="B12" s="82" t="s">
        <v>267</v>
      </c>
      <c r="C12" s="83">
        <v>0.11408660551970001</v>
      </c>
      <c r="D12" s="84">
        <v>3.6615390643041019</v>
      </c>
      <c r="E12" s="84">
        <v>5.9859049156795665</v>
      </c>
      <c r="F12" s="84">
        <v>1.87484882268527E-2</v>
      </c>
      <c r="G12" s="84">
        <v>2.9622686909828801E-2</v>
      </c>
      <c r="H12" s="85">
        <v>84.986446138465524</v>
      </c>
      <c r="I12" s="86">
        <v>9406.3254452314686</v>
      </c>
      <c r="J12" s="86">
        <v>15376.872083727678</v>
      </c>
      <c r="K12" s="181">
        <v>48.161992094533552</v>
      </c>
      <c r="L12" s="181">
        <v>76.096141486577622</v>
      </c>
      <c r="M12" s="86">
        <v>24907.455662540258</v>
      </c>
      <c r="N12" s="87">
        <f t="shared" si="3"/>
        <v>117.66582148531472</v>
      </c>
      <c r="O12" s="87">
        <f t="shared" si="0"/>
        <v>235.33164297062945</v>
      </c>
      <c r="P12" s="83">
        <f t="shared" si="2"/>
        <v>0.40158983442086937</v>
      </c>
      <c r="Q12" s="87">
        <f t="shared" si="1"/>
        <v>0.80317966884173875</v>
      </c>
      <c r="R12" s="80"/>
    </row>
    <row r="13" spans="1:22" x14ac:dyDescent="0.25">
      <c r="A13" s="82" t="s">
        <v>268</v>
      </c>
      <c r="B13" s="82" t="s">
        <v>269</v>
      </c>
      <c r="C13" s="83">
        <v>6.2350571773930001</v>
      </c>
      <c r="D13" s="84">
        <v>334.0033128980532</v>
      </c>
      <c r="E13" s="84">
        <v>17.413858578581419</v>
      </c>
      <c r="F13" s="84">
        <v>3.9626977978167366</v>
      </c>
      <c r="G13" s="84">
        <v>0</v>
      </c>
      <c r="H13" s="85">
        <v>56.997050574449212</v>
      </c>
      <c r="I13" s="86">
        <v>15700.059896021694</v>
      </c>
      <c r="J13" s="86">
        <v>818.51646300657126</v>
      </c>
      <c r="K13" s="86">
        <v>186.26161288701002</v>
      </c>
      <c r="L13" s="181">
        <v>0</v>
      </c>
      <c r="M13" s="86">
        <v>16704.837971915276</v>
      </c>
      <c r="N13" s="87">
        <f t="shared" si="3"/>
        <v>175.44767490974044</v>
      </c>
      <c r="O13" s="87">
        <f t="shared" si="0"/>
        <v>350.89534981948088</v>
      </c>
      <c r="P13" s="83">
        <f t="shared" si="2"/>
        <v>0.59879752528921648</v>
      </c>
      <c r="Q13" s="87">
        <f t="shared" si="1"/>
        <v>1.197595050578433</v>
      </c>
      <c r="R13" s="80"/>
    </row>
    <row r="14" spans="1:22" x14ac:dyDescent="0.25">
      <c r="A14" s="82" t="s">
        <v>270</v>
      </c>
      <c r="B14" s="82" t="s">
        <v>163</v>
      </c>
      <c r="C14" s="83">
        <v>3.4079814792069993</v>
      </c>
      <c r="D14" s="84">
        <v>164.03243050733897</v>
      </c>
      <c r="E14" s="84">
        <v>98.114061696377519</v>
      </c>
      <c r="F14" s="84">
        <v>8.240088387564855</v>
      </c>
      <c r="G14" s="84">
        <v>0.5986686864557863</v>
      </c>
      <c r="H14" s="85">
        <v>79.514883203177646</v>
      </c>
      <c r="I14" s="86">
        <v>14106.636399868519</v>
      </c>
      <c r="J14" s="86">
        <v>8437.3657400596749</v>
      </c>
      <c r="K14" s="86">
        <v>708.61034854976413</v>
      </c>
      <c r="L14" s="181">
        <v>51.482800501929063</v>
      </c>
      <c r="M14" s="86">
        <v>23304.095288979886</v>
      </c>
      <c r="N14" s="87">
        <f t="shared" si="3"/>
        <v>125.76261948908164</v>
      </c>
      <c r="O14" s="87">
        <f t="shared" si="0"/>
        <v>251.52523897816329</v>
      </c>
      <c r="P14" s="83">
        <f t="shared" si="2"/>
        <v>0.42922395730061996</v>
      </c>
      <c r="Q14" s="87">
        <f t="shared" si="1"/>
        <v>0.85844791460123993</v>
      </c>
      <c r="R14" s="80"/>
    </row>
    <row r="15" spans="1:22" x14ac:dyDescent="0.25">
      <c r="A15" s="82" t="s">
        <v>271</v>
      </c>
      <c r="B15" s="82" t="s">
        <v>272</v>
      </c>
      <c r="C15" s="83">
        <v>5.1554999999999997E-2</v>
      </c>
      <c r="D15" s="84"/>
      <c r="E15" s="84"/>
      <c r="F15" s="84"/>
      <c r="G15" s="84"/>
      <c r="H15" s="85">
        <v>145.87024629696441</v>
      </c>
      <c r="I15" s="86">
        <v>14254.94</v>
      </c>
      <c r="J15" s="86">
        <v>0</v>
      </c>
      <c r="K15" s="86">
        <v>0</v>
      </c>
      <c r="L15" s="182">
        <v>15272.191153399999</v>
      </c>
      <c r="M15" s="86">
        <f>SUM(I15:L15)</f>
        <v>29527.131153399998</v>
      </c>
      <c r="N15" s="87">
        <f>2000/(0.2*H15)</f>
        <v>68.554076337417555</v>
      </c>
      <c r="O15" s="87">
        <f t="shared" si="0"/>
        <v>137.10815267483511</v>
      </c>
      <c r="P15" s="83">
        <f t="shared" si="2"/>
        <v>0.23397295678299507</v>
      </c>
      <c r="Q15" s="87">
        <f t="shared" si="1"/>
        <v>0.46794591356599013</v>
      </c>
      <c r="R15" s="80"/>
    </row>
    <row r="16" spans="1:22" x14ac:dyDescent="0.25">
      <c r="A16" s="82" t="s">
        <v>273</v>
      </c>
      <c r="B16" s="82" t="s">
        <v>113</v>
      </c>
      <c r="C16" s="83">
        <v>0.34153850360960003</v>
      </c>
      <c r="D16" s="84">
        <v>10.385248173637359</v>
      </c>
      <c r="E16" s="84">
        <v>0.63171837889136939</v>
      </c>
      <c r="F16" s="84">
        <v>0.45807512528253241</v>
      </c>
      <c r="G16" s="84">
        <v>0</v>
      </c>
      <c r="H16" s="85">
        <v>33.59809086394533</v>
      </c>
      <c r="I16" s="86">
        <v>8911.8566535543141</v>
      </c>
      <c r="J16" s="86">
        <v>542.07164071813452</v>
      </c>
      <c r="K16" s="86">
        <v>393.06998661308006</v>
      </c>
      <c r="L16" s="181">
        <v>0</v>
      </c>
      <c r="M16" s="86">
        <v>9846.9982808855293</v>
      </c>
      <c r="N16" s="87">
        <f t="shared" si="3"/>
        <v>297.63595915299953</v>
      </c>
      <c r="O16" s="87">
        <f t="shared" si="0"/>
        <v>595.27191830599907</v>
      </c>
      <c r="P16" s="83">
        <f t="shared" si="2"/>
        <v>1.0158223861877118</v>
      </c>
      <c r="Q16" s="87">
        <f t="shared" si="1"/>
        <v>2.0316447723754236</v>
      </c>
      <c r="R16" s="80"/>
    </row>
    <row r="17" spans="1:18" x14ac:dyDescent="0.25">
      <c r="A17" s="82" t="s">
        <v>274</v>
      </c>
      <c r="B17" s="82" t="s">
        <v>275</v>
      </c>
      <c r="C17" s="83">
        <v>0.60394836875299984</v>
      </c>
      <c r="D17" s="84">
        <v>23.937557435984729</v>
      </c>
      <c r="E17" s="84">
        <v>29.651060852629801</v>
      </c>
      <c r="F17" s="84">
        <v>3.0335572824294137</v>
      </c>
      <c r="G17" s="84">
        <v>0.30761713323502099</v>
      </c>
      <c r="H17" s="85">
        <v>94.262681463689603</v>
      </c>
      <c r="I17" s="86">
        <v>11616.38514452585</v>
      </c>
      <c r="J17" s="86">
        <v>14388.425409747268</v>
      </c>
      <c r="K17" s="86">
        <v>1472.0590572245917</v>
      </c>
      <c r="L17" s="181">
        <v>149.27378815587406</v>
      </c>
      <c r="M17" s="86">
        <v>27626.143399653585</v>
      </c>
      <c r="N17" s="87">
        <f t="shared" si="3"/>
        <v>106.08652167243984</v>
      </c>
      <c r="O17" s="87">
        <f t="shared" si="0"/>
        <v>212.17304334487969</v>
      </c>
      <c r="P17" s="83">
        <f t="shared" si="2"/>
        <v>0.36207003983767866</v>
      </c>
      <c r="Q17" s="87">
        <f t="shared" si="1"/>
        <v>0.72414007967535732</v>
      </c>
      <c r="R17" s="80"/>
    </row>
    <row r="18" spans="1:18" x14ac:dyDescent="0.25">
      <c r="A18" s="82" t="s">
        <v>276</v>
      </c>
      <c r="B18" s="82" t="s">
        <v>2</v>
      </c>
      <c r="C18" s="83">
        <v>3.7203874815540003</v>
      </c>
      <c r="D18" s="84">
        <v>122.25569891013086</v>
      </c>
      <c r="E18" s="84">
        <v>299.45412291372793</v>
      </c>
      <c r="F18" s="84">
        <v>17.112093456433168</v>
      </c>
      <c r="G18" s="84">
        <v>0.2318030000217797</v>
      </c>
      <c r="H18" s="85">
        <v>118.01290066079936</v>
      </c>
      <c r="I18" s="86">
        <v>9631.0117513137393</v>
      </c>
      <c r="J18" s="86">
        <v>23589.295386993268</v>
      </c>
      <c r="K18" s="86">
        <v>1347.9935534229785</v>
      </c>
      <c r="L18" s="181">
        <v>18.260124074766221</v>
      </c>
      <c r="M18" s="86">
        <v>34586.560815804754</v>
      </c>
      <c r="N18" s="87">
        <f t="shared" si="3"/>
        <v>84.736498670960344</v>
      </c>
      <c r="O18" s="87">
        <f t="shared" si="0"/>
        <v>169.47299734192069</v>
      </c>
      <c r="P18" s="83">
        <f t="shared" si="2"/>
        <v>0.28920306713638344</v>
      </c>
      <c r="Q18" s="87">
        <f t="shared" si="1"/>
        <v>0.57840613427276688</v>
      </c>
      <c r="R18" s="80"/>
    </row>
    <row r="19" spans="1:18" x14ac:dyDescent="0.25">
      <c r="A19" s="82" t="s">
        <v>277</v>
      </c>
      <c r="B19" s="82" t="s">
        <v>278</v>
      </c>
      <c r="C19" s="83">
        <v>2.3871915479369998</v>
      </c>
      <c r="D19" s="84">
        <v>98.205239587476072</v>
      </c>
      <c r="E19" s="84">
        <v>130.32685857087552</v>
      </c>
      <c r="F19" s="84">
        <v>13.713310153616501</v>
      </c>
      <c r="G19" s="84">
        <v>0.32852182298390198</v>
      </c>
      <c r="H19" s="85">
        <v>101.61477420803675</v>
      </c>
      <c r="I19" s="86">
        <v>12056.974973996697</v>
      </c>
      <c r="J19" s="86">
        <v>15999.982406620446</v>
      </c>
      <c r="K19" s="86">
        <v>1683.5572007213827</v>
      </c>
      <c r="L19" s="181">
        <v>40.332004051756989</v>
      </c>
      <c r="M19" s="86">
        <v>29780.846585390282</v>
      </c>
      <c r="N19" s="87">
        <f t="shared" si="3"/>
        <v>98.410886388694991</v>
      </c>
      <c r="O19" s="87">
        <f t="shared" si="0"/>
        <v>196.82177277738998</v>
      </c>
      <c r="P19" s="83">
        <f t="shared" si="2"/>
        <v>0.33587333238462452</v>
      </c>
      <c r="Q19" s="87">
        <f t="shared" si="1"/>
        <v>0.67174666476924905</v>
      </c>
      <c r="R19" s="80"/>
    </row>
    <row r="20" spans="1:18" x14ac:dyDescent="0.25">
      <c r="A20" s="82" t="s">
        <v>279</v>
      </c>
      <c r="B20" s="82" t="s">
        <v>280</v>
      </c>
      <c r="C20" s="83">
        <v>1.1238890684140002</v>
      </c>
      <c r="D20" s="84">
        <v>42.083547541282108</v>
      </c>
      <c r="E20" s="84">
        <v>62.815161843334138</v>
      </c>
      <c r="F20" s="84">
        <v>15.044310909981384</v>
      </c>
      <c r="G20" s="84">
        <v>0.75085841127804698</v>
      </c>
      <c r="H20" s="85">
        <v>107.38949429964239</v>
      </c>
      <c r="I20" s="86">
        <v>10974.377010945487</v>
      </c>
      <c r="J20" s="86">
        <v>16379.99942695987</v>
      </c>
      <c r="K20" s="86">
        <v>3923.0306323035024</v>
      </c>
      <c r="L20" s="181">
        <v>195.79763842903378</v>
      </c>
      <c r="M20" s="86">
        <v>31473.204708637895</v>
      </c>
      <c r="N20" s="87">
        <f t="shared" si="3"/>
        <v>93.118978399298598</v>
      </c>
      <c r="O20" s="87">
        <f t="shared" si="0"/>
        <v>186.2379567985972</v>
      </c>
      <c r="P20" s="83">
        <f t="shared" si="2"/>
        <v>0.31781221296688944</v>
      </c>
      <c r="Q20" s="87">
        <f t="shared" si="1"/>
        <v>0.63562442593377888</v>
      </c>
      <c r="R20" s="80"/>
    </row>
    <row r="21" spans="1:18" x14ac:dyDescent="0.25">
      <c r="A21" s="82" t="s">
        <v>281</v>
      </c>
      <c r="B21" s="82" t="s">
        <v>282</v>
      </c>
      <c r="C21" s="83">
        <v>0.96671398012499976</v>
      </c>
      <c r="D21" s="84">
        <v>37.782990855354953</v>
      </c>
      <c r="E21" s="84">
        <v>52.795208730312602</v>
      </c>
      <c r="F21" s="84">
        <v>5.9634303165710083</v>
      </c>
      <c r="G21" s="84">
        <v>0</v>
      </c>
      <c r="H21" s="85">
        <v>99.865763697505813</v>
      </c>
      <c r="I21" s="86">
        <v>11454.847194387965</v>
      </c>
      <c r="J21" s="86">
        <v>16005.504146946047</v>
      </c>
      <c r="K21" s="86">
        <v>1807.8858092874527</v>
      </c>
      <c r="L21" s="181">
        <v>0</v>
      </c>
      <c r="M21" s="86">
        <v>29268.237150621466</v>
      </c>
      <c r="N21" s="87">
        <f t="shared" si="3"/>
        <v>100.13441673855395</v>
      </c>
      <c r="O21" s="87">
        <f t="shared" si="0"/>
        <v>200.2688334771079</v>
      </c>
      <c r="P21" s="83">
        <f t="shared" si="2"/>
        <v>0.34175568852748789</v>
      </c>
      <c r="Q21" s="87">
        <f t="shared" si="1"/>
        <v>0.68351137705497578</v>
      </c>
      <c r="R21" s="80"/>
    </row>
    <row r="22" spans="1:18" x14ac:dyDescent="0.25">
      <c r="A22" s="82" t="s">
        <v>283</v>
      </c>
      <c r="B22" s="82" t="s">
        <v>284</v>
      </c>
      <c r="C22" s="83">
        <v>1.5407863103549999</v>
      </c>
      <c r="D22" s="84">
        <v>73.946922006224611</v>
      </c>
      <c r="E22" s="84">
        <v>44.103812217872559</v>
      </c>
      <c r="F22" s="84">
        <v>3.9530244893887359</v>
      </c>
      <c r="G22" s="84">
        <v>0.94718017022794432</v>
      </c>
      <c r="H22" s="85">
        <v>79.797528091605201</v>
      </c>
      <c r="I22" s="86">
        <v>14065.936935560116</v>
      </c>
      <c r="J22" s="86">
        <v>8388.9299013346445</v>
      </c>
      <c r="K22" s="86">
        <v>751.89974907209353</v>
      </c>
      <c r="L22" s="181">
        <v>180.161932776334</v>
      </c>
      <c r="M22" s="86">
        <v>23386.928518743189</v>
      </c>
      <c r="N22" s="87">
        <f t="shared" si="3"/>
        <v>125.31716506957829</v>
      </c>
      <c r="O22" s="87">
        <f t="shared" si="0"/>
        <v>250.63433013915659</v>
      </c>
      <c r="P22" s="83">
        <f t="shared" si="2"/>
        <v>0.42770363504975528</v>
      </c>
      <c r="Q22" s="87">
        <f t="shared" si="1"/>
        <v>0.85540727009951056</v>
      </c>
    </row>
    <row r="23" spans="1:18" x14ac:dyDescent="0.25">
      <c r="A23" s="82" t="s">
        <v>285</v>
      </c>
      <c r="B23" s="82" t="s">
        <v>286</v>
      </c>
      <c r="C23" s="83">
        <v>1.5056717906550001</v>
      </c>
      <c r="D23" s="84">
        <v>79.708432872001481</v>
      </c>
      <c r="E23" s="84">
        <v>27.89238131576295</v>
      </c>
      <c r="F23" s="84">
        <v>1.4654933539829282</v>
      </c>
      <c r="G23" s="84">
        <v>0</v>
      </c>
      <c r="H23" s="85">
        <v>72.436973461727092</v>
      </c>
      <c r="I23" s="86">
        <v>15515.470277197463</v>
      </c>
      <c r="J23" s="86">
        <v>5429.103563822443</v>
      </c>
      <c r="K23" s="86">
        <v>285.25048115452307</v>
      </c>
      <c r="L23" s="181">
        <v>0</v>
      </c>
      <c r="M23" s="86">
        <v>21229.824322174427</v>
      </c>
      <c r="N23" s="87">
        <f t="shared" si="3"/>
        <v>138.05104661480115</v>
      </c>
      <c r="O23" s="87">
        <f t="shared" si="0"/>
        <v>276.1020932296023</v>
      </c>
      <c r="P23" s="83">
        <f t="shared" si="2"/>
        <v>0.47116398162048173</v>
      </c>
      <c r="Q23" s="87">
        <f t="shared" si="1"/>
        <v>0.94232796324096346</v>
      </c>
    </row>
    <row r="24" spans="1:18" x14ac:dyDescent="0.25">
      <c r="A24" s="82" t="s">
        <v>287</v>
      </c>
      <c r="B24" s="82" t="s">
        <v>288</v>
      </c>
      <c r="C24" s="83">
        <v>0.49614318193599993</v>
      </c>
      <c r="D24" s="84">
        <v>12.758454157999195</v>
      </c>
      <c r="E24" s="84">
        <v>5.1005653262775086</v>
      </c>
      <c r="F24" s="84">
        <v>6.3804917487587716</v>
      </c>
      <c r="G24" s="84">
        <v>23.712718313866358</v>
      </c>
      <c r="H24" s="85">
        <v>96.649981885848902</v>
      </c>
      <c r="I24" s="86">
        <v>7536.7135976878089</v>
      </c>
      <c r="J24" s="86">
        <v>3012.8959444822185</v>
      </c>
      <c r="K24" s="86">
        <v>3768.9464763050905</v>
      </c>
      <c r="L24" s="86">
        <v>14007.065544759564</v>
      </c>
      <c r="M24" s="86">
        <v>28325.621563234679</v>
      </c>
      <c r="N24" s="87">
        <f t="shared" si="3"/>
        <v>103.46613423901903</v>
      </c>
      <c r="O24" s="87">
        <f t="shared" si="0"/>
        <v>206.93226847803805</v>
      </c>
      <c r="P24" s="83">
        <f t="shared" si="2"/>
        <v>0.35312673801712979</v>
      </c>
      <c r="Q24" s="87">
        <f t="shared" si="1"/>
        <v>0.70625347603425959</v>
      </c>
    </row>
    <row r="25" spans="1:18" x14ac:dyDescent="0.25">
      <c r="A25" s="82" t="s">
        <v>289</v>
      </c>
      <c r="B25" s="82" t="s">
        <v>290</v>
      </c>
      <c r="C25" s="83">
        <v>1.7236500229080001</v>
      </c>
      <c r="D25" s="84">
        <v>76.990533258928608</v>
      </c>
      <c r="E25" s="84">
        <v>63.667075126083695</v>
      </c>
      <c r="F25" s="84">
        <v>1.7266158417902808</v>
      </c>
      <c r="G25" s="84">
        <v>9.7886727508974811</v>
      </c>
      <c r="H25" s="85">
        <v>88.285263803707977</v>
      </c>
      <c r="I25" s="86">
        <v>13091.192756909168</v>
      </c>
      <c r="J25" s="86">
        <v>10825.267964082752</v>
      </c>
      <c r="K25" s="86">
        <v>293.57527609671286</v>
      </c>
      <c r="L25" s="86">
        <v>1664.3611369193777</v>
      </c>
      <c r="M25" s="86">
        <v>25874.39713400801</v>
      </c>
      <c r="N25" s="87">
        <f t="shared" si="3"/>
        <v>113.26918637558627</v>
      </c>
      <c r="O25" s="87">
        <f t="shared" si="0"/>
        <v>226.53837275117255</v>
      </c>
      <c r="P25" s="83">
        <f t="shared" si="2"/>
        <v>0.3865842538415914</v>
      </c>
      <c r="Q25" s="87">
        <f t="shared" si="1"/>
        <v>0.77316850768318279</v>
      </c>
    </row>
    <row r="26" spans="1:18" x14ac:dyDescent="0.25">
      <c r="A26" s="82" t="s">
        <v>291</v>
      </c>
      <c r="B26" s="82" t="s">
        <v>292</v>
      </c>
      <c r="C26" s="83">
        <v>2.1447193065300003</v>
      </c>
      <c r="D26" s="84">
        <v>58.164409115511958</v>
      </c>
      <c r="E26" s="84">
        <v>96.291802589333145</v>
      </c>
      <c r="F26" s="84">
        <v>6.2937678594985007</v>
      </c>
      <c r="G26" s="84">
        <v>58.248826921795086</v>
      </c>
      <c r="H26" s="85">
        <v>102.11070782985715</v>
      </c>
      <c r="I26" s="86">
        <v>7948.3657747731604</v>
      </c>
      <c r="J26" s="86">
        <v>13158.055131380754</v>
      </c>
      <c r="K26" s="86">
        <v>860.02901859235726</v>
      </c>
      <c r="L26" s="86">
        <v>7959.5693025289775</v>
      </c>
      <c r="M26" s="86">
        <v>29926.01922727525</v>
      </c>
      <c r="N26" s="87">
        <f t="shared" si="3"/>
        <v>97.932922144292519</v>
      </c>
      <c r="O26" s="87">
        <f t="shared" si="0"/>
        <v>195.86584428858504</v>
      </c>
      <c r="P26" s="83">
        <f t="shared" si="2"/>
        <v>0.33424205509997446</v>
      </c>
      <c r="Q26" s="87">
        <f t="shared" si="1"/>
        <v>0.66848411019994891</v>
      </c>
    </row>
    <row r="27" spans="1:18" x14ac:dyDescent="0.25">
      <c r="A27" s="82" t="s">
        <v>293</v>
      </c>
      <c r="B27" s="82" t="s">
        <v>294</v>
      </c>
      <c r="C27" s="83">
        <v>3.4987448862589998</v>
      </c>
      <c r="D27" s="84">
        <v>103.825109884282</v>
      </c>
      <c r="E27" s="84">
        <v>262.34787531827294</v>
      </c>
      <c r="F27" s="84">
        <v>32.364293771967908</v>
      </c>
      <c r="G27" s="84">
        <v>7.23125883920798</v>
      </c>
      <c r="H27" s="85">
        <v>115.97545720105205</v>
      </c>
      <c r="I27" s="86">
        <v>8697.2330220696276</v>
      </c>
      <c r="J27" s="86">
        <v>21975.467393855019</v>
      </c>
      <c r="K27" s="86">
        <v>2710.9824375295357</v>
      </c>
      <c r="L27" s="86">
        <v>605.72357464208631</v>
      </c>
      <c r="M27" s="86">
        <v>33989.40642809627</v>
      </c>
      <c r="N27" s="87">
        <f t="shared" si="3"/>
        <v>86.225139709208108</v>
      </c>
      <c r="O27" s="87">
        <f t="shared" si="0"/>
        <v>172.45027941841622</v>
      </c>
      <c r="P27" s="83">
        <f>N27/$U$8</f>
        <v>0.29428375327374778</v>
      </c>
      <c r="Q27" s="87">
        <f t="shared" si="1"/>
        <v>0.58856750654749557</v>
      </c>
    </row>
    <row r="28" spans="1:18" x14ac:dyDescent="0.25">
      <c r="A28" s="82" t="s">
        <v>295</v>
      </c>
      <c r="B28" s="82" t="s">
        <v>296</v>
      </c>
      <c r="C28" s="83">
        <v>1.8505388429179996</v>
      </c>
      <c r="D28" s="84">
        <v>65.758020142796312</v>
      </c>
      <c r="E28" s="84">
        <v>118.19702328743688</v>
      </c>
      <c r="F28" s="84">
        <v>23.304852268834157</v>
      </c>
      <c r="G28" s="84">
        <v>2.3960851557657898</v>
      </c>
      <c r="H28" s="85">
        <v>113.29455831591173</v>
      </c>
      <c r="I28" s="86">
        <v>10414.573959791567</v>
      </c>
      <c r="J28" s="86">
        <v>18718.936889349847</v>
      </c>
      <c r="K28" s="86">
        <v>3690.8041057434589</v>
      </c>
      <c r="L28" s="181">
        <v>379.46951255459464</v>
      </c>
      <c r="M28" s="86">
        <v>33203.784467439466</v>
      </c>
      <c r="N28" s="87">
        <f t="shared" si="3"/>
        <v>88.265492611886046</v>
      </c>
      <c r="O28" s="87">
        <f t="shared" si="0"/>
        <v>176.53098522377209</v>
      </c>
      <c r="P28" s="83">
        <f t="shared" si="2"/>
        <v>0.30124741505763153</v>
      </c>
      <c r="Q28" s="87">
        <f t="shared" si="1"/>
        <v>0.60249483011526306</v>
      </c>
    </row>
    <row r="29" spans="1:18" x14ac:dyDescent="0.25">
      <c r="A29" s="82" t="s">
        <v>297</v>
      </c>
      <c r="B29" s="82" t="s">
        <v>298</v>
      </c>
      <c r="C29" s="83">
        <v>0.92637432569300004</v>
      </c>
      <c r="D29" s="84">
        <v>47.655338423877566</v>
      </c>
      <c r="E29" s="84">
        <v>18.665987070286334</v>
      </c>
      <c r="F29" s="84">
        <v>5.8530599138974297</v>
      </c>
      <c r="G29" s="84">
        <v>0.201386531621598</v>
      </c>
      <c r="H29" s="85">
        <v>78.127998512415829</v>
      </c>
      <c r="I29" s="86">
        <v>15077.038112704811</v>
      </c>
      <c r="J29" s="86">
        <v>5905.2365171968258</v>
      </c>
      <c r="K29" s="86">
        <v>1851.694368518482</v>
      </c>
      <c r="L29" s="181">
        <v>63.711342782218665</v>
      </c>
      <c r="M29" s="86">
        <v>22897.680341202336</v>
      </c>
      <c r="N29" s="87">
        <f t="shared" si="3"/>
        <v>127.99508742580721</v>
      </c>
      <c r="O29" s="87">
        <f t="shared" si="0"/>
        <v>255.99017485161443</v>
      </c>
      <c r="P29" s="83">
        <f t="shared" si="2"/>
        <v>0.43684330179456388</v>
      </c>
      <c r="Q29" s="87">
        <f t="shared" si="1"/>
        <v>0.87368660358912775</v>
      </c>
    </row>
    <row r="30" spans="1:18" x14ac:dyDescent="0.25">
      <c r="A30" s="82" t="s">
        <v>299</v>
      </c>
      <c r="B30" s="82" t="s">
        <v>300</v>
      </c>
      <c r="C30" s="83">
        <v>2.1709308587009986</v>
      </c>
      <c r="D30" s="84">
        <v>92.949153236727938</v>
      </c>
      <c r="E30" s="84">
        <v>106.40850716592998</v>
      </c>
      <c r="F30" s="84">
        <v>8.4298935217163269</v>
      </c>
      <c r="G30" s="84">
        <v>0</v>
      </c>
      <c r="H30" s="85">
        <v>95.713575165957295</v>
      </c>
      <c r="I30" s="86">
        <v>12548.45997289323</v>
      </c>
      <c r="J30" s="86">
        <v>14364.919766392897</v>
      </c>
      <c r="K30" s="86">
        <v>1138.0175072831244</v>
      </c>
      <c r="L30" s="181">
        <v>0</v>
      </c>
      <c r="M30" s="86">
        <v>28051.39724656925</v>
      </c>
      <c r="N30" s="87">
        <f t="shared" si="3"/>
        <v>104.47838755015731</v>
      </c>
      <c r="O30" s="87">
        <f t="shared" si="0"/>
        <v>208.95677510031462</v>
      </c>
      <c r="P30" s="83">
        <f t="shared" si="2"/>
        <v>0.3565815274749396</v>
      </c>
      <c r="Q30" s="87">
        <f t="shared" si="1"/>
        <v>0.71316305494987919</v>
      </c>
    </row>
    <row r="31" spans="1:18" x14ac:dyDescent="0.25">
      <c r="A31" s="82" t="s">
        <v>301</v>
      </c>
      <c r="B31" s="82" t="s">
        <v>302</v>
      </c>
      <c r="C31" s="83">
        <v>0.39289075156099995</v>
      </c>
      <c r="D31" s="84">
        <v>13.086835746445507</v>
      </c>
      <c r="E31" s="84">
        <v>20.777610706794967</v>
      </c>
      <c r="F31" s="84">
        <v>2.555140710937061</v>
      </c>
      <c r="G31" s="84">
        <v>0.16959890128577601</v>
      </c>
      <c r="H31" s="85">
        <v>93.128142925457738</v>
      </c>
      <c r="I31" s="86">
        <v>9762.3372852899865</v>
      </c>
      <c r="J31" s="86">
        <v>15498.749011672033</v>
      </c>
      <c r="K31" s="86">
        <v>1905.9691283641021</v>
      </c>
      <c r="L31" s="181">
        <v>126.50977250353172</v>
      </c>
      <c r="M31" s="86">
        <v>27293.565197829652</v>
      </c>
      <c r="N31" s="87">
        <f t="shared" si="3"/>
        <v>107.37892634672494</v>
      </c>
      <c r="O31" s="87">
        <f t="shared" si="0"/>
        <v>214.75785269344988</v>
      </c>
      <c r="P31" s="83">
        <f t="shared" si="2"/>
        <v>0.36648097729257656</v>
      </c>
      <c r="Q31" s="87">
        <f t="shared" si="1"/>
        <v>0.73296195458515312</v>
      </c>
    </row>
    <row r="32" spans="1:18" x14ac:dyDescent="0.25">
      <c r="A32" s="82" t="s">
        <v>303</v>
      </c>
      <c r="B32" s="82" t="s">
        <v>304</v>
      </c>
      <c r="C32" s="83">
        <v>1.8290000000000001E-2</v>
      </c>
      <c r="D32" s="84"/>
      <c r="E32" s="84"/>
      <c r="F32" s="84"/>
      <c r="G32" s="84"/>
      <c r="H32" s="284">
        <f>H15</f>
        <v>145.87024629696441</v>
      </c>
      <c r="I32" s="86">
        <f t="shared" ref="I32:Q32" si="4">I15</f>
        <v>14254.94</v>
      </c>
      <c r="J32" s="86">
        <f t="shared" si="4"/>
        <v>0</v>
      </c>
      <c r="K32" s="86">
        <f t="shared" si="4"/>
        <v>0</v>
      </c>
      <c r="L32" s="86">
        <f t="shared" si="4"/>
        <v>15272.191153399999</v>
      </c>
      <c r="M32" s="86">
        <f t="shared" si="4"/>
        <v>29527.131153399998</v>
      </c>
      <c r="N32" s="87">
        <f t="shared" si="4"/>
        <v>68.554076337417555</v>
      </c>
      <c r="O32" s="87">
        <f t="shared" si="4"/>
        <v>137.10815267483511</v>
      </c>
      <c r="P32" s="83">
        <f t="shared" si="4"/>
        <v>0.23397295678299507</v>
      </c>
      <c r="Q32" s="87">
        <f t="shared" si="4"/>
        <v>0.46794591356599013</v>
      </c>
    </row>
    <row r="33" spans="1:17" x14ac:dyDescent="0.25">
      <c r="A33" s="82" t="s">
        <v>305</v>
      </c>
      <c r="B33" s="82" t="s">
        <v>306</v>
      </c>
      <c r="C33" s="83">
        <v>0.60441489748700006</v>
      </c>
      <c r="D33" s="84">
        <v>24.888697817167877</v>
      </c>
      <c r="E33" s="84">
        <v>33.28065750338309</v>
      </c>
      <c r="F33" s="84">
        <v>2.1110763471130398</v>
      </c>
      <c r="G33" s="84">
        <v>0</v>
      </c>
      <c r="H33" s="85">
        <v>99.733530590153151</v>
      </c>
      <c r="I33" s="86">
        <v>12068.630838731449</v>
      </c>
      <c r="J33" s="86">
        <v>16137.252102366967</v>
      </c>
      <c r="K33" s="86">
        <v>1023.6267482769549</v>
      </c>
      <c r="L33" s="181">
        <v>0</v>
      </c>
      <c r="M33" s="86">
        <v>29229.509689375373</v>
      </c>
      <c r="N33" s="87">
        <f t="shared" si="3"/>
        <v>100.26718136645725</v>
      </c>
      <c r="O33" s="87">
        <f t="shared" si="0"/>
        <v>200.5343627329145</v>
      </c>
      <c r="P33" s="83">
        <f t="shared" si="2"/>
        <v>0.3422088101244275</v>
      </c>
      <c r="Q33" s="87">
        <f t="shared" si="1"/>
        <v>0.684417620248855</v>
      </c>
    </row>
    <row r="34" spans="1:17" x14ac:dyDescent="0.25">
      <c r="A34" s="82" t="s">
        <v>307</v>
      </c>
      <c r="B34" s="82" t="s">
        <v>308</v>
      </c>
      <c r="C34" s="83">
        <v>0.87188567577799991</v>
      </c>
      <c r="D34" s="84">
        <v>36.043643760586178</v>
      </c>
      <c r="E34" s="84">
        <v>37.300120722641019</v>
      </c>
      <c r="F34" s="84">
        <v>3.0761629424935322</v>
      </c>
      <c r="G34" s="84">
        <v>0</v>
      </c>
      <c r="H34" s="85">
        <v>87.649022743182257</v>
      </c>
      <c r="I34" s="86">
        <v>12116.023901903027</v>
      </c>
      <c r="J34" s="86">
        <v>12537.863602989795</v>
      </c>
      <c r="K34" s="86">
        <v>1034.0050017624922</v>
      </c>
      <c r="L34" s="181">
        <v>0</v>
      </c>
      <c r="M34" s="86">
        <v>25687.892506655317</v>
      </c>
      <c r="N34" s="87">
        <f t="shared" si="3"/>
        <v>114.09140326984244</v>
      </c>
      <c r="O34" s="87">
        <f t="shared" si="0"/>
        <v>228.18280653968489</v>
      </c>
      <c r="P34" s="83">
        <f t="shared" si="2"/>
        <v>0.38939045484587864</v>
      </c>
      <c r="Q34" s="87">
        <f t="shared" si="1"/>
        <v>0.77878090969175728</v>
      </c>
    </row>
    <row r="35" spans="1:17" x14ac:dyDescent="0.25">
      <c r="A35" s="82" t="s">
        <v>309</v>
      </c>
      <c r="B35" s="82" t="s">
        <v>310</v>
      </c>
      <c r="C35" s="83">
        <v>0.43419474589999996</v>
      </c>
      <c r="D35" s="84">
        <v>11.938145446467761</v>
      </c>
      <c r="E35" s="84">
        <v>7.2803893705939053</v>
      </c>
      <c r="F35" s="84">
        <v>7.3418261729852565</v>
      </c>
      <c r="G35" s="84">
        <v>18.601522252439626</v>
      </c>
      <c r="H35" s="85">
        <v>104.01296576925381</v>
      </c>
      <c r="I35" s="86">
        <v>8058.2965323457593</v>
      </c>
      <c r="J35" s="86">
        <v>4914.0875456856184</v>
      </c>
      <c r="K35" s="86">
        <v>4955.5559081742404</v>
      </c>
      <c r="L35" s="86">
        <v>12555.57967829554</v>
      </c>
      <c r="M35" s="86">
        <v>30483.519664501157</v>
      </c>
      <c r="N35" s="87">
        <f t="shared" si="3"/>
        <v>96.141860065641879</v>
      </c>
      <c r="O35" s="87">
        <f t="shared" si="0"/>
        <v>192.28372013128376</v>
      </c>
      <c r="P35" s="83">
        <f t="shared" si="2"/>
        <v>0.32812921524109856</v>
      </c>
      <c r="Q35" s="87">
        <f t="shared" si="1"/>
        <v>0.65625843048219712</v>
      </c>
    </row>
    <row r="36" spans="1:17" x14ac:dyDescent="0.25">
      <c r="A36" s="82" t="s">
        <v>311</v>
      </c>
      <c r="B36" s="82" t="s">
        <v>312</v>
      </c>
      <c r="C36" s="83">
        <v>2.6952002629039993</v>
      </c>
      <c r="D36" s="84">
        <v>83.154801610693099</v>
      </c>
      <c r="E36" s="84">
        <v>225.06409721272294</v>
      </c>
      <c r="F36" s="84">
        <v>2.9581427097575701</v>
      </c>
      <c r="G36" s="84">
        <v>14.125788019341392</v>
      </c>
      <c r="H36" s="85">
        <v>120.69709031640222</v>
      </c>
      <c r="I36" s="86">
        <v>9042.4742142124287</v>
      </c>
      <c r="J36" s="86">
        <v>24473.046007779914</v>
      </c>
      <c r="K36" s="86">
        <v>321.66286640134615</v>
      </c>
      <c r="L36" s="86">
        <v>1536.011582365996</v>
      </c>
      <c r="M36" s="86">
        <v>35373.194670759687</v>
      </c>
      <c r="N36" s="87">
        <f t="shared" si="3"/>
        <v>82.852038717631302</v>
      </c>
      <c r="O36" s="87">
        <f t="shared" si="0"/>
        <v>165.7040774352626</v>
      </c>
      <c r="P36" s="83">
        <f t="shared" si="2"/>
        <v>0.28277146320010682</v>
      </c>
      <c r="Q36" s="87">
        <f t="shared" si="1"/>
        <v>0.56554292640021364</v>
      </c>
    </row>
    <row r="37" spans="1:17" x14ac:dyDescent="0.25">
      <c r="A37" s="82" t="s">
        <v>313</v>
      </c>
      <c r="B37" s="82" t="s">
        <v>314</v>
      </c>
      <c r="C37" s="83">
        <v>0.71084300368799991</v>
      </c>
      <c r="D37" s="84">
        <v>20.746918013388804</v>
      </c>
      <c r="E37" s="84">
        <v>33.181904224999862</v>
      </c>
      <c r="F37" s="84">
        <v>3.2984867002600406</v>
      </c>
      <c r="G37" s="84">
        <v>0</v>
      </c>
      <c r="H37" s="85">
        <v>80.506256151838926</v>
      </c>
      <c r="I37" s="86">
        <v>8554.0316542295441</v>
      </c>
      <c r="J37" s="86">
        <v>13680.452368063585</v>
      </c>
      <c r="K37" s="86">
        <v>1359.9216574075006</v>
      </c>
      <c r="L37" s="181">
        <v>0</v>
      </c>
      <c r="M37" s="86">
        <v>23594.405679700631</v>
      </c>
      <c r="N37" s="87">
        <f t="shared" si="3"/>
        <v>124.21394905185365</v>
      </c>
      <c r="O37" s="87">
        <f t="shared" si="0"/>
        <v>248.42789810370729</v>
      </c>
      <c r="P37" s="83">
        <f t="shared" si="2"/>
        <v>0.42393839266844247</v>
      </c>
      <c r="Q37" s="87">
        <f t="shared" si="1"/>
        <v>0.84787678533688493</v>
      </c>
    </row>
    <row r="38" spans="1:17" x14ac:dyDescent="0.25">
      <c r="A38" s="82" t="s">
        <v>315</v>
      </c>
      <c r="B38" s="82" t="s">
        <v>316</v>
      </c>
      <c r="C38" s="83">
        <v>4.9232375852779997</v>
      </c>
      <c r="D38" s="84">
        <v>139.52629290747288</v>
      </c>
      <c r="E38" s="84">
        <v>274.53341449206903</v>
      </c>
      <c r="F38" s="84">
        <v>26.413412820222881</v>
      </c>
      <c r="G38" s="84">
        <v>80.068138557180518</v>
      </c>
      <c r="H38" s="85">
        <v>105.73149269365436</v>
      </c>
      <c r="I38" s="86">
        <v>8306.0825373227253</v>
      </c>
      <c r="J38" s="86">
        <v>16342.453705504437</v>
      </c>
      <c r="K38" s="86">
        <v>1572.3403907590318</v>
      </c>
      <c r="L38" s="182">
        <v>4766.3044954931593</v>
      </c>
      <c r="M38" s="86">
        <v>30987.181129079356</v>
      </c>
      <c r="N38" s="87">
        <f t="shared" si="3"/>
        <v>94.579200058906991</v>
      </c>
      <c r="O38" s="87">
        <f t="shared" si="0"/>
        <v>189.15840011781398</v>
      </c>
      <c r="P38" s="83">
        <f t="shared" si="2"/>
        <v>0.3227959046379078</v>
      </c>
      <c r="Q38" s="87">
        <f t="shared" si="1"/>
        <v>0.64559180927581561</v>
      </c>
    </row>
    <row r="39" spans="1:17" x14ac:dyDescent="0.25">
      <c r="A39" s="82" t="s">
        <v>317</v>
      </c>
      <c r="B39" s="82" t="s">
        <v>318</v>
      </c>
      <c r="C39" s="83">
        <v>3.4382917246449995</v>
      </c>
      <c r="D39" s="84">
        <v>155.55601454084552</v>
      </c>
      <c r="E39" s="84">
        <v>64.699165657899471</v>
      </c>
      <c r="F39" s="84">
        <v>12.225390954400272</v>
      </c>
      <c r="G39" s="84">
        <v>3.1130083090623599</v>
      </c>
      <c r="H39" s="85">
        <v>68.520532383427252</v>
      </c>
      <c r="I39" s="86">
        <v>13259.741670441152</v>
      </c>
      <c r="J39" s="86">
        <v>5514.7877774926137</v>
      </c>
      <c r="K39" s="86">
        <v>1042.06037164196</v>
      </c>
      <c r="L39" s="182">
        <v>265.34469184385847</v>
      </c>
      <c r="M39" s="86">
        <v>20081.934511419582</v>
      </c>
      <c r="N39" s="87">
        <f t="shared" si="3"/>
        <v>145.94165649563246</v>
      </c>
      <c r="O39" s="87">
        <f t="shared" si="0"/>
        <v>291.88331299126492</v>
      </c>
      <c r="P39" s="83">
        <f t="shared" si="2"/>
        <v>0.49809439077007667</v>
      </c>
      <c r="Q39" s="87">
        <f t="shared" si="1"/>
        <v>0.99618878154015333</v>
      </c>
    </row>
    <row r="40" spans="1:17" x14ac:dyDescent="0.25">
      <c r="A40" s="82" t="s">
        <v>319</v>
      </c>
      <c r="B40" s="82" t="s">
        <v>320</v>
      </c>
      <c r="C40" s="83">
        <v>0.2303044024126</v>
      </c>
      <c r="D40" s="84">
        <v>10.992066528535346</v>
      </c>
      <c r="E40" s="84">
        <v>11.673617569740397</v>
      </c>
      <c r="F40" s="84">
        <v>3.6148129279935266</v>
      </c>
      <c r="G40" s="84">
        <v>0.59386210422757402</v>
      </c>
      <c r="H40" s="85">
        <v>116.69060100010725</v>
      </c>
      <c r="I40" s="86">
        <v>13988.40147874098</v>
      </c>
      <c r="J40" s="86">
        <v>14855.116701816954</v>
      </c>
      <c r="K40" s="86">
        <v>4599.9851870918155</v>
      </c>
      <c r="L40" s="86">
        <v>755.71182715071291</v>
      </c>
      <c r="M40" s="86">
        <v>34199.215194800461</v>
      </c>
      <c r="N40" s="87">
        <f t="shared" si="3"/>
        <v>85.696704912770215</v>
      </c>
      <c r="O40" s="87">
        <f t="shared" si="0"/>
        <v>171.39340982554043</v>
      </c>
      <c r="P40" s="83">
        <f t="shared" si="2"/>
        <v>0.29248022154529085</v>
      </c>
      <c r="Q40" s="87">
        <f t="shared" si="1"/>
        <v>0.58496044309058171</v>
      </c>
    </row>
    <row r="41" spans="1:17" x14ac:dyDescent="0.25">
      <c r="A41" s="82" t="s">
        <v>321</v>
      </c>
      <c r="B41" s="82" t="s">
        <v>322</v>
      </c>
      <c r="C41" s="83">
        <v>4.0456416912519995</v>
      </c>
      <c r="D41" s="84">
        <v>151.87252153406112</v>
      </c>
      <c r="E41" s="84">
        <v>229.51339833579647</v>
      </c>
      <c r="F41" s="84">
        <v>24.559245175139662</v>
      </c>
      <c r="G41" s="84">
        <v>9.8674228432004494</v>
      </c>
      <c r="H41" s="85">
        <v>102.7803793863704</v>
      </c>
      <c r="I41" s="86">
        <v>11002.281806634797</v>
      </c>
      <c r="J41" s="86">
        <v>16626.218112473078</v>
      </c>
      <c r="K41" s="86">
        <v>1779.1003484779512</v>
      </c>
      <c r="L41" s="86">
        <v>714.80761292645786</v>
      </c>
      <c r="M41" s="86">
        <v>30122.407880512284</v>
      </c>
      <c r="N41" s="87">
        <f t="shared" si="3"/>
        <v>97.294834478165868</v>
      </c>
      <c r="O41" s="87">
        <f t="shared" si="0"/>
        <v>194.58966895633174</v>
      </c>
      <c r="P41" s="83">
        <f>N41/$U$8</f>
        <v>0.33206428149544664</v>
      </c>
      <c r="Q41" s="87">
        <f>O41/$U$8</f>
        <v>0.66412856299089329</v>
      </c>
    </row>
    <row r="42" spans="1:17" x14ac:dyDescent="0.25">
      <c r="A42" s="82" t="s">
        <v>323</v>
      </c>
      <c r="B42" s="82" t="s">
        <v>324</v>
      </c>
      <c r="C42" s="83">
        <v>1.309185179425</v>
      </c>
      <c r="D42" s="84">
        <v>63.868797673745455</v>
      </c>
      <c r="E42" s="84">
        <v>51.69610795925685</v>
      </c>
      <c r="F42" s="84">
        <v>4.0252777541710181</v>
      </c>
      <c r="G42" s="84">
        <v>0</v>
      </c>
      <c r="H42" s="85">
        <v>91.347034221467325</v>
      </c>
      <c r="I42" s="86">
        <v>14298.11030303452</v>
      </c>
      <c r="J42" s="86">
        <v>11572.564595011332</v>
      </c>
      <c r="K42" s="86">
        <v>901.08885681914876</v>
      </c>
      <c r="L42" s="181">
        <v>0</v>
      </c>
      <c r="M42" s="86">
        <v>26771.763754864998</v>
      </c>
      <c r="N42" s="87">
        <f t="shared" si="3"/>
        <v>109.47262913599788</v>
      </c>
      <c r="O42" s="87">
        <f t="shared" si="0"/>
        <v>218.94525827199575</v>
      </c>
      <c r="P42" s="83">
        <f t="shared" ref="P42:P58" si="5">N42/$U$8</f>
        <v>0.37362672060067537</v>
      </c>
      <c r="Q42" s="87">
        <f t="shared" ref="Q42:Q58" si="6">O42/$U$8</f>
        <v>0.74725344120135073</v>
      </c>
    </row>
    <row r="43" spans="1:17" x14ac:dyDescent="0.25">
      <c r="A43" s="82" t="s">
        <v>325</v>
      </c>
      <c r="B43" s="82" t="s">
        <v>326</v>
      </c>
      <c r="C43" s="83">
        <v>1.3513062733869998</v>
      </c>
      <c r="D43" s="84">
        <v>56.226737159595295</v>
      </c>
      <c r="E43" s="84">
        <v>44.454528405212251</v>
      </c>
      <c r="F43" s="84">
        <v>1.7708322460890609</v>
      </c>
      <c r="G43" s="84">
        <v>1.262501519436922</v>
      </c>
      <c r="H43" s="85">
        <v>76.751363752923808</v>
      </c>
      <c r="I43" s="86">
        <v>12194.951025530658</v>
      </c>
      <c r="J43" s="86">
        <v>9641.2881008750519</v>
      </c>
      <c r="K43" s="86">
        <v>384.05769840227663</v>
      </c>
      <c r="L43" s="181">
        <v>273.81104497909286</v>
      </c>
      <c r="M43" s="86">
        <v>22494.107869787076</v>
      </c>
      <c r="N43" s="87">
        <f t="shared" si="3"/>
        <v>130.29084450136631</v>
      </c>
      <c r="O43" s="87">
        <f t="shared" si="0"/>
        <v>260.58168900273262</v>
      </c>
      <c r="P43" s="83">
        <f t="shared" si="5"/>
        <v>0.44467865017531161</v>
      </c>
      <c r="Q43" s="87">
        <f t="shared" si="6"/>
        <v>0.88935730035062321</v>
      </c>
    </row>
    <row r="44" spans="1:17" x14ac:dyDescent="0.25">
      <c r="A44" s="82" t="s">
        <v>327</v>
      </c>
      <c r="B44" s="82" t="s">
        <v>328</v>
      </c>
      <c r="C44" s="83">
        <v>4.4314781520109996</v>
      </c>
      <c r="D44" s="84">
        <v>166.32455258739134</v>
      </c>
      <c r="E44" s="84">
        <v>197.20497062009932</v>
      </c>
      <c r="F44" s="84">
        <v>21.650563793653159</v>
      </c>
      <c r="G44" s="84">
        <v>52.514653465046578</v>
      </c>
      <c r="H44" s="85">
        <v>98.769468211766991</v>
      </c>
      <c r="I44" s="86">
        <v>11000.153198695712</v>
      </c>
      <c r="J44" s="86">
        <v>13041.936789957084</v>
      </c>
      <c r="K44" s="86">
        <v>1431.8365484190231</v>
      </c>
      <c r="L44" s="86">
        <v>3472.9996352730423</v>
      </c>
      <c r="M44" s="86">
        <v>28946.926172344862</v>
      </c>
      <c r="N44" s="87">
        <f t="shared" si="3"/>
        <v>101.24586252261142</v>
      </c>
      <c r="O44" s="87">
        <f t="shared" si="0"/>
        <v>202.49172504522284</v>
      </c>
      <c r="P44" s="83">
        <f t="shared" si="5"/>
        <v>0.34554901884850314</v>
      </c>
      <c r="Q44" s="87">
        <f t="shared" si="6"/>
        <v>0.69109803769700628</v>
      </c>
    </row>
    <row r="45" spans="1:17" x14ac:dyDescent="0.25">
      <c r="A45" s="82" t="s">
        <v>329</v>
      </c>
      <c r="B45" s="82" t="s">
        <v>330</v>
      </c>
      <c r="C45" s="83">
        <v>1.554</v>
      </c>
      <c r="D45" s="84"/>
      <c r="E45" s="84"/>
      <c r="F45" s="84"/>
      <c r="G45" s="84"/>
      <c r="H45" s="85">
        <v>101.26195994699999</v>
      </c>
      <c r="I45" s="86">
        <v>13337.528497900001</v>
      </c>
      <c r="J45" s="86">
        <v>5316.7040862200001</v>
      </c>
      <c r="K45" s="86"/>
      <c r="L45" s="86">
        <v>117.08720828200001</v>
      </c>
      <c r="M45" s="86">
        <f>SUM(I45:L45)</f>
        <v>18771.319792401999</v>
      </c>
      <c r="N45" s="87">
        <f t="shared" si="3"/>
        <v>98.753767014128016</v>
      </c>
      <c r="O45" s="87">
        <f t="shared" si="0"/>
        <v>197.50753402825603</v>
      </c>
      <c r="P45" s="83">
        <f t="shared" si="5"/>
        <v>0.3370435734270581</v>
      </c>
      <c r="Q45" s="87">
        <f t="shared" si="6"/>
        <v>0.67408714685411619</v>
      </c>
    </row>
    <row r="46" spans="1:17" x14ac:dyDescent="0.25">
      <c r="A46" s="82" t="s">
        <v>331</v>
      </c>
      <c r="B46" s="82" t="s">
        <v>332</v>
      </c>
      <c r="C46" s="83">
        <v>0.34236748367039999</v>
      </c>
      <c r="D46" s="84">
        <v>8.7161235488489268</v>
      </c>
      <c r="E46" s="84">
        <v>17.855338019432935</v>
      </c>
      <c r="F46" s="84">
        <v>0.5118415410691024</v>
      </c>
      <c r="G46" s="84">
        <v>10.536723955146677</v>
      </c>
      <c r="H46" s="85">
        <v>109.88200941627609</v>
      </c>
      <c r="I46" s="86">
        <v>7461.4263195698913</v>
      </c>
      <c r="J46" s="86">
        <v>15284.400587910355</v>
      </c>
      <c r="K46" s="86">
        <v>438.14298798035128</v>
      </c>
      <c r="L46" s="86">
        <v>9019.5721660052131</v>
      </c>
      <c r="M46" s="86">
        <v>32203.542061465807</v>
      </c>
      <c r="N46" s="87">
        <f t="shared" si="3"/>
        <v>91.006708496893992</v>
      </c>
      <c r="O46" s="87">
        <f t="shared" si="0"/>
        <v>182.01341699378798</v>
      </c>
      <c r="P46" s="83">
        <f t="shared" si="5"/>
        <v>0.31060310067199315</v>
      </c>
      <c r="Q46" s="87">
        <f t="shared" si="6"/>
        <v>0.6212062013439863</v>
      </c>
    </row>
    <row r="47" spans="1:17" x14ac:dyDescent="0.25">
      <c r="A47" s="82" t="s">
        <v>333</v>
      </c>
      <c r="B47" s="82" t="s">
        <v>334</v>
      </c>
      <c r="C47" s="83">
        <v>1.764728285795</v>
      </c>
      <c r="D47" s="84">
        <v>85.335041539701152</v>
      </c>
      <c r="E47" s="84">
        <v>25.133140676932598</v>
      </c>
      <c r="F47" s="84">
        <v>4.1882102832331372</v>
      </c>
      <c r="G47" s="84">
        <v>0.219466372258521</v>
      </c>
      <c r="H47" s="85">
        <v>65.095493621769933</v>
      </c>
      <c r="I47" s="86">
        <v>14172.306597177887</v>
      </c>
      <c r="J47" s="86">
        <v>4173.8973249420524</v>
      </c>
      <c r="K47" s="86">
        <v>695.54218958102365</v>
      </c>
      <c r="L47" s="181">
        <v>36.447100498081298</v>
      </c>
      <c r="M47" s="86">
        <v>19078.193212199043</v>
      </c>
      <c r="N47" s="87">
        <f t="shared" si="3"/>
        <v>153.62046500643928</v>
      </c>
      <c r="O47" s="87">
        <f t="shared" si="0"/>
        <v>307.24093001287855</v>
      </c>
      <c r="P47" s="83">
        <f t="shared" si="5"/>
        <v>0.52430192834962208</v>
      </c>
      <c r="Q47" s="87">
        <f t="shared" si="6"/>
        <v>1.0486038566992442</v>
      </c>
    </row>
    <row r="48" spans="1:17" x14ac:dyDescent="0.25">
      <c r="A48" s="82" t="s">
        <v>335</v>
      </c>
      <c r="B48" s="82" t="s">
        <v>336</v>
      </c>
      <c r="C48" s="83">
        <v>0.28436495004779999</v>
      </c>
      <c r="D48" s="84">
        <v>11.408952969085918</v>
      </c>
      <c r="E48" s="84">
        <v>12.972165923666569</v>
      </c>
      <c r="F48" s="84">
        <v>2.9757043479508081</v>
      </c>
      <c r="G48" s="84">
        <v>0.34101457068833901</v>
      </c>
      <c r="H48" s="85">
        <v>97.402432355801238</v>
      </c>
      <c r="I48" s="86">
        <v>11758.73780722592</v>
      </c>
      <c r="J48" s="86">
        <v>13369.318682825853</v>
      </c>
      <c r="K48" s="86">
        <v>3066.8078074027712</v>
      </c>
      <c r="L48" s="181">
        <v>351.45499200728773</v>
      </c>
      <c r="M48" s="86">
        <v>28546.319289461833</v>
      </c>
      <c r="N48" s="87">
        <f t="shared" si="3"/>
        <v>102.66684063362003</v>
      </c>
      <c r="O48" s="87">
        <f t="shared" si="0"/>
        <v>205.33368126724005</v>
      </c>
      <c r="P48" s="83">
        <f t="shared" si="5"/>
        <v>0.35039877349358373</v>
      </c>
      <c r="Q48" s="87">
        <f t="shared" si="6"/>
        <v>0.70079754698716745</v>
      </c>
    </row>
    <row r="49" spans="1:17" x14ac:dyDescent="0.25">
      <c r="A49" s="82" t="s">
        <v>337</v>
      </c>
      <c r="B49" s="82" t="s">
        <v>338</v>
      </c>
      <c r="C49" s="83">
        <v>2.321453234072</v>
      </c>
      <c r="D49" s="84">
        <v>120.49221064285676</v>
      </c>
      <c r="E49" s="84">
        <v>58.578181275032925</v>
      </c>
      <c r="F49" s="84">
        <v>4.5704412996658696</v>
      </c>
      <c r="G49" s="84">
        <v>0.80312555640272099</v>
      </c>
      <c r="H49" s="85">
        <v>79.451938151013266</v>
      </c>
      <c r="I49" s="86">
        <v>15212.129415627529</v>
      </c>
      <c r="J49" s="86">
        <v>7395.1807051232154</v>
      </c>
      <c r="K49" s="86">
        <v>576.99366176111062</v>
      </c>
      <c r="L49" s="181">
        <v>101.39028712098627</v>
      </c>
      <c r="M49" s="86">
        <v>23285.694069632838</v>
      </c>
      <c r="N49" s="87">
        <f t="shared" si="3"/>
        <v>125.86225374380585</v>
      </c>
      <c r="O49" s="87">
        <f t="shared" si="0"/>
        <v>251.7245074876117</v>
      </c>
      <c r="P49" s="83">
        <f t="shared" si="5"/>
        <v>0.42956400595155581</v>
      </c>
      <c r="Q49" s="87">
        <f t="shared" si="6"/>
        <v>0.85912801190311161</v>
      </c>
    </row>
    <row r="50" spans="1:17" x14ac:dyDescent="0.25">
      <c r="A50" s="82" t="s">
        <v>339</v>
      </c>
      <c r="B50" s="82" t="s">
        <v>340</v>
      </c>
      <c r="C50" s="83">
        <v>8.2855471966930008</v>
      </c>
      <c r="D50" s="84">
        <v>414.56521284022426</v>
      </c>
      <c r="E50" s="84">
        <v>185.49185003528106</v>
      </c>
      <c r="F50" s="84">
        <v>13.32674867358849</v>
      </c>
      <c r="G50" s="84">
        <v>0.124861288548529</v>
      </c>
      <c r="H50" s="85">
        <v>74.045643368311417</v>
      </c>
      <c r="I50" s="86">
        <v>14664.343912465774</v>
      </c>
      <c r="J50" s="86">
        <v>6561.0973772966345</v>
      </c>
      <c r="K50" s="86">
        <v>471.38510804405803</v>
      </c>
      <c r="L50" s="181">
        <v>4.4165124918739718</v>
      </c>
      <c r="M50" s="86">
        <v>21701.242910298341</v>
      </c>
      <c r="N50" s="87">
        <f t="shared" si="3"/>
        <v>135.05183485622331</v>
      </c>
      <c r="O50" s="87">
        <f t="shared" si="0"/>
        <v>270.10366971244662</v>
      </c>
      <c r="P50" s="83">
        <f t="shared" si="5"/>
        <v>0.46092776401441404</v>
      </c>
      <c r="Q50" s="87">
        <f t="shared" si="6"/>
        <v>0.92185552802882809</v>
      </c>
    </row>
    <row r="51" spans="1:17" x14ac:dyDescent="0.25">
      <c r="A51" s="82" t="s">
        <v>341</v>
      </c>
      <c r="B51" s="82" t="s">
        <v>342</v>
      </c>
      <c r="C51" s="83">
        <v>5.7257000000000002E-2</v>
      </c>
      <c r="D51" s="84"/>
      <c r="E51" s="84"/>
      <c r="F51" s="84"/>
      <c r="G51" s="84"/>
      <c r="H51" s="85">
        <v>116.114576185</v>
      </c>
      <c r="I51" s="86">
        <v>14348.584078100001</v>
      </c>
      <c r="J51" s="86">
        <v>0</v>
      </c>
      <c r="K51" s="86">
        <v>0</v>
      </c>
      <c r="L51" s="182">
        <v>8814.4359482700002</v>
      </c>
      <c r="M51" s="86">
        <f>SUM(I51:L51)</f>
        <v>23163.020026370003</v>
      </c>
      <c r="N51" s="87">
        <f t="shared" si="3"/>
        <v>86.12183180230069</v>
      </c>
      <c r="O51" s="87">
        <f t="shared" si="0"/>
        <v>172.24366360460138</v>
      </c>
      <c r="P51" s="83">
        <f t="shared" si="5"/>
        <v>0.29393116656075319</v>
      </c>
      <c r="Q51" s="87">
        <f t="shared" si="6"/>
        <v>0.58786233312150638</v>
      </c>
    </row>
    <row r="52" spans="1:17" x14ac:dyDescent="0.25">
      <c r="A52" s="82" t="s">
        <v>343</v>
      </c>
      <c r="B52" s="82" t="s">
        <v>344</v>
      </c>
      <c r="C52" s="83">
        <v>0.89825268671299996</v>
      </c>
      <c r="D52" s="84">
        <v>29.211977915444443</v>
      </c>
      <c r="E52" s="84">
        <v>61.400896917251508</v>
      </c>
      <c r="F52" s="84">
        <v>0.39031653606877098</v>
      </c>
      <c r="G52" s="84">
        <v>0</v>
      </c>
      <c r="H52" s="85">
        <v>101.31134892763319</v>
      </c>
      <c r="I52" s="86">
        <v>9531.3276514037261</v>
      </c>
      <c r="J52" s="86">
        <v>20033.140481087517</v>
      </c>
      <c r="K52" s="181">
        <v>127.34774883980816</v>
      </c>
      <c r="L52" s="181">
        <v>0</v>
      </c>
      <c r="M52" s="86">
        <v>29691.815881331055</v>
      </c>
      <c r="N52" s="87">
        <f t="shared" si="3"/>
        <v>98.705624847054494</v>
      </c>
      <c r="O52" s="87">
        <f t="shared" si="0"/>
        <v>197.41124969410899</v>
      </c>
      <c r="P52" s="83">
        <f t="shared" si="5"/>
        <v>0.3368792656896058</v>
      </c>
      <c r="Q52" s="87">
        <f t="shared" si="6"/>
        <v>0.6737585313792116</v>
      </c>
    </row>
    <row r="53" spans="1:17" x14ac:dyDescent="0.25">
      <c r="A53" s="82" t="s">
        <v>345</v>
      </c>
      <c r="B53" s="82" t="s">
        <v>346</v>
      </c>
      <c r="C53" s="83">
        <v>0.22747143605270001</v>
      </c>
      <c r="D53" s="84">
        <v>5.4903298237517175</v>
      </c>
      <c r="E53" s="84">
        <v>3.4457090186722623</v>
      </c>
      <c r="F53" s="84">
        <v>3.1473467445367658</v>
      </c>
      <c r="G53" s="84">
        <v>9.554543891572429</v>
      </c>
      <c r="H53" s="85">
        <v>95.123721263711332</v>
      </c>
      <c r="I53" s="86">
        <v>7073.9591072377025</v>
      </c>
      <c r="J53" s="86">
        <v>4439.4030535655647</v>
      </c>
      <c r="K53" s="86">
        <v>4054.9972944930037</v>
      </c>
      <c r="L53" s="86">
        <v>12309.940014614773</v>
      </c>
      <c r="M53" s="86">
        <v>27878.299469911042</v>
      </c>
      <c r="N53" s="87">
        <f t="shared" si="3"/>
        <v>105.12624892246401</v>
      </c>
      <c r="O53" s="87">
        <f t="shared" si="0"/>
        <v>210.25249784492803</v>
      </c>
      <c r="P53" s="83">
        <f t="shared" si="5"/>
        <v>0.35879265843844371</v>
      </c>
      <c r="Q53" s="87">
        <f t="shared" si="6"/>
        <v>0.71758531687688742</v>
      </c>
    </row>
    <row r="54" spans="1:17" x14ac:dyDescent="0.25">
      <c r="A54" s="82" t="s">
        <v>347</v>
      </c>
      <c r="B54" s="82" t="s">
        <v>348</v>
      </c>
      <c r="C54" s="83">
        <v>2.6616745950219993</v>
      </c>
      <c r="D54" s="84">
        <v>122.27528083270417</v>
      </c>
      <c r="E54" s="84">
        <v>76.641864601864498</v>
      </c>
      <c r="F54" s="84">
        <v>9.8221133533871079</v>
      </c>
      <c r="G54" s="84">
        <v>8.3475231901849689</v>
      </c>
      <c r="H54" s="85">
        <v>81.560226176463345</v>
      </c>
      <c r="I54" s="86">
        <v>13464.018092521308</v>
      </c>
      <c r="J54" s="86">
        <v>8438.8632414877593</v>
      </c>
      <c r="K54" s="86">
        <v>1081.4907983020062</v>
      </c>
      <c r="L54" s="86">
        <v>919.12699375277055</v>
      </c>
      <c r="M54" s="86">
        <v>23903.499126063845</v>
      </c>
      <c r="N54" s="87">
        <f t="shared" si="3"/>
        <v>122.60878210862295</v>
      </c>
      <c r="O54" s="87">
        <f t="shared" si="0"/>
        <v>245.21756421724589</v>
      </c>
      <c r="P54" s="83">
        <f t="shared" si="5"/>
        <v>0.41846000719666537</v>
      </c>
      <c r="Q54" s="87">
        <f t="shared" si="6"/>
        <v>0.83692001439333075</v>
      </c>
    </row>
    <row r="55" spans="1:17" x14ac:dyDescent="0.25">
      <c r="A55" s="82" t="s">
        <v>349</v>
      </c>
      <c r="B55" s="82" t="s">
        <v>350</v>
      </c>
      <c r="C55" s="83">
        <v>2.2482275134950003</v>
      </c>
      <c r="D55" s="84">
        <v>94.280756201411592</v>
      </c>
      <c r="E55" s="84">
        <v>79.309993163387531</v>
      </c>
      <c r="F55" s="84">
        <v>4.7253172590391239</v>
      </c>
      <c r="G55" s="84">
        <v>0.420499112329559</v>
      </c>
      <c r="H55" s="85">
        <v>79.501102385457173</v>
      </c>
      <c r="I55" s="86">
        <v>12290.619423129569</v>
      </c>
      <c r="J55" s="86">
        <v>10338.570659271862</v>
      </c>
      <c r="K55" s="86">
        <v>615.97567244029358</v>
      </c>
      <c r="L55" s="181">
        <v>54.814779469520118</v>
      </c>
      <c r="M55" s="86">
        <v>23299.980534311246</v>
      </c>
      <c r="N55" s="87">
        <f t="shared" si="3"/>
        <v>125.78441933440737</v>
      </c>
      <c r="O55" s="87">
        <f t="shared" si="0"/>
        <v>251.56883866881475</v>
      </c>
      <c r="P55" s="83">
        <f t="shared" si="5"/>
        <v>0.42929835950309686</v>
      </c>
      <c r="Q55" s="87">
        <f t="shared" si="6"/>
        <v>0.85859671900619372</v>
      </c>
    </row>
    <row r="56" spans="1:17" x14ac:dyDescent="0.25">
      <c r="A56" s="82" t="s">
        <v>351</v>
      </c>
      <c r="B56" s="82" t="s">
        <v>352</v>
      </c>
      <c r="C56" s="83">
        <v>0.65362103651100012</v>
      </c>
      <c r="D56" s="84">
        <v>31.388290368002153</v>
      </c>
      <c r="E56" s="84">
        <v>21.590440417522011</v>
      </c>
      <c r="F56" s="84">
        <v>1.6610705378192399</v>
      </c>
      <c r="G56" s="84">
        <v>1.296491575270371</v>
      </c>
      <c r="H56" s="85">
        <v>85.579089065430324</v>
      </c>
      <c r="I56" s="86">
        <v>14074.488349070363</v>
      </c>
      <c r="J56" s="86">
        <v>9680.7348756393803</v>
      </c>
      <c r="K56" s="86">
        <v>744.79182339020679</v>
      </c>
      <c r="L56" s="181">
        <v>581.32168524485394</v>
      </c>
      <c r="M56" s="86">
        <v>25081.3367333448</v>
      </c>
      <c r="N56" s="87">
        <f t="shared" si="3"/>
        <v>116.85097503613767</v>
      </c>
      <c r="O56" s="87">
        <f t="shared" si="0"/>
        <v>233.70195007227534</v>
      </c>
      <c r="P56" s="83">
        <f t="shared" si="5"/>
        <v>0.39880878851924118</v>
      </c>
      <c r="Q56" s="87">
        <f t="shared" si="6"/>
        <v>0.79761757703848235</v>
      </c>
    </row>
    <row r="57" spans="1:17" x14ac:dyDescent="0.25">
      <c r="A57" s="82" t="s">
        <v>353</v>
      </c>
      <c r="B57" s="82" t="s">
        <v>354</v>
      </c>
      <c r="C57" s="83">
        <v>1.957681393366</v>
      </c>
      <c r="D57" s="84">
        <v>60.413782357385919</v>
      </c>
      <c r="E57" s="84">
        <v>119.3108215041395</v>
      </c>
      <c r="F57" s="84">
        <v>19.802638289970513</v>
      </c>
      <c r="G57" s="84">
        <v>3.0357271478726076</v>
      </c>
      <c r="H57" s="85">
        <v>103.47085587358299</v>
      </c>
      <c r="I57" s="86">
        <v>9044.508871230797</v>
      </c>
      <c r="J57" s="86">
        <v>17861.201463900568</v>
      </c>
      <c r="K57" s="86">
        <v>2964.5166092636746</v>
      </c>
      <c r="L57" s="181">
        <v>454.45780603986316</v>
      </c>
      <c r="M57" s="86">
        <v>30324.684750434903</v>
      </c>
      <c r="N57" s="87">
        <f t="shared" si="3"/>
        <v>96.645571504865515</v>
      </c>
      <c r="O57" s="87">
        <f t="shared" si="0"/>
        <v>193.29114300973103</v>
      </c>
      <c r="P57" s="83">
        <f t="shared" si="5"/>
        <v>0.32984836691080383</v>
      </c>
      <c r="Q57" s="87">
        <f t="shared" si="6"/>
        <v>0.65969673382160765</v>
      </c>
    </row>
    <row r="58" spans="1:17" x14ac:dyDescent="0.25">
      <c r="A58" s="82" t="s">
        <v>355</v>
      </c>
      <c r="B58" s="82" t="s">
        <v>356</v>
      </c>
      <c r="C58" s="83">
        <v>0.19505195142190002</v>
      </c>
      <c r="D58" s="84">
        <v>6.5870899092719553</v>
      </c>
      <c r="E58" s="84">
        <v>12.798570224972742</v>
      </c>
      <c r="F58" s="84">
        <v>2.0216758144991762</v>
      </c>
      <c r="G58" s="84">
        <v>0</v>
      </c>
      <c r="H58" s="85">
        <v>109.7519701427622</v>
      </c>
      <c r="I58" s="86">
        <v>9897.699472563465</v>
      </c>
      <c r="J58" s="86">
        <v>19230.208911316007</v>
      </c>
      <c r="K58" s="86">
        <v>3037.6243268108337</v>
      </c>
      <c r="L58" s="181">
        <v>0</v>
      </c>
      <c r="M58" s="86">
        <v>32165.532710690306</v>
      </c>
      <c r="N58" s="87">
        <f t="shared" si="3"/>
        <v>91.114537506636893</v>
      </c>
      <c r="O58" s="87">
        <f t="shared" si="0"/>
        <v>182.22907501327379</v>
      </c>
      <c r="P58" s="83">
        <f t="shared" si="5"/>
        <v>0.31097111777009179</v>
      </c>
      <c r="Q58" s="87">
        <f t="shared" si="6"/>
        <v>0.62194223554018357</v>
      </c>
    </row>
    <row r="59" spans="1:17" x14ac:dyDescent="0.25">
      <c r="A59" s="88"/>
      <c r="B59" s="549" t="s">
        <v>357</v>
      </c>
      <c r="C59" s="550"/>
      <c r="D59" s="84">
        <f t="shared" ref="D59:J59" si="7">AVERAGEIF(D3:D58, "&lt;&gt;0")</f>
        <v>78.010876689433076</v>
      </c>
      <c r="E59" s="84">
        <f t="shared" si="7"/>
        <v>77.8675070539133</v>
      </c>
      <c r="F59" s="84">
        <f t="shared" si="7"/>
        <v>7.5611237295259377</v>
      </c>
      <c r="G59" s="84">
        <f t="shared" si="7"/>
        <v>9.6502270946733013</v>
      </c>
      <c r="H59" s="84">
        <f t="shared" si="7"/>
        <v>92.824357159124546</v>
      </c>
      <c r="I59" s="84">
        <f t="shared" si="7"/>
        <v>11447.940950567994</v>
      </c>
      <c r="J59" s="84">
        <f t="shared" si="7"/>
        <v>11870.373057606988</v>
      </c>
      <c r="K59" s="84">
        <f>AVERAGE(K3:K15,K17:K51,K53:K58)</f>
        <v>1397.6508141706211</v>
      </c>
      <c r="L59" s="84">
        <f>AVERAGE(L4,L14,L15,L27:L30,L38,L39,L41:L43,L46,L47,L53,L54)</f>
        <v>3294.7939531499742</v>
      </c>
      <c r="M59" s="84">
        <f>AVERAGEIF(M3:M58, "&lt;&gt;0")</f>
        <v>26479.771246367127</v>
      </c>
      <c r="N59" s="88"/>
      <c r="O59" s="88"/>
      <c r="P59" s="88"/>
      <c r="Q59" s="88"/>
    </row>
    <row r="60" spans="1:17" x14ac:dyDescent="0.25">
      <c r="H60" s="80"/>
    </row>
    <row r="67" spans="1:9" x14ac:dyDescent="0.25">
      <c r="A67" s="183" t="s">
        <v>358</v>
      </c>
      <c r="D67" t="s">
        <v>359</v>
      </c>
    </row>
    <row r="68" spans="1:9" ht="14.65" customHeight="1" x14ac:dyDescent="0.25">
      <c r="A68" s="183" t="s">
        <v>360</v>
      </c>
      <c r="D68" s="548" t="s">
        <v>361</v>
      </c>
      <c r="E68" s="548"/>
      <c r="F68" s="548"/>
      <c r="G68" s="548"/>
      <c r="H68" s="548"/>
      <c r="I68" s="548"/>
    </row>
    <row r="69" spans="1:9" x14ac:dyDescent="0.25">
      <c r="D69" s="548"/>
      <c r="E69" s="548"/>
      <c r="F69" s="548"/>
      <c r="G69" s="548"/>
      <c r="H69" s="548"/>
      <c r="I69" s="548"/>
    </row>
    <row r="70" spans="1:9" x14ac:dyDescent="0.25">
      <c r="D70" s="548"/>
      <c r="E70" s="548"/>
      <c r="F70" s="548"/>
      <c r="G70" s="548"/>
      <c r="H70" s="548"/>
      <c r="I70" s="548"/>
    </row>
    <row r="71" spans="1:9" x14ac:dyDescent="0.25">
      <c r="D71" s="548"/>
      <c r="E71" s="548"/>
      <c r="F71" s="548"/>
      <c r="G71" s="548"/>
      <c r="H71" s="548"/>
      <c r="I71" s="548"/>
    </row>
    <row r="72" spans="1:9" x14ac:dyDescent="0.25">
      <c r="D72" s="548"/>
      <c r="E72" s="548"/>
      <c r="F72" s="548"/>
      <c r="G72" s="548"/>
      <c r="H72" s="548"/>
      <c r="I72" s="548"/>
    </row>
  </sheetData>
  <mergeCells count="8">
    <mergeCell ref="D68:I72"/>
    <mergeCell ref="B59:C59"/>
    <mergeCell ref="S3:V3"/>
    <mergeCell ref="U4:V4"/>
    <mergeCell ref="A1:C1"/>
    <mergeCell ref="D1:G1"/>
    <mergeCell ref="I1:M1"/>
    <mergeCell ref="N1:Q1"/>
  </mergeCells>
  <conditionalFormatting sqref="A3:Q58">
    <cfRule type="expression" dxfId="1" priority="1">
      <formula>MOD(ROW(),2)=0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9BB09-13DE-49B1-AA2A-C625CD0CCFE7}">
  <sheetPr codeName="Sheet4">
    <tabColor theme="0" tint="-0.499984740745262"/>
  </sheetPr>
  <dimension ref="A1:W71"/>
  <sheetViews>
    <sheetView showGridLines="0" workbookViewId="0">
      <selection sqref="A1:C1"/>
    </sheetView>
  </sheetViews>
  <sheetFormatPr defaultRowHeight="15" x14ac:dyDescent="0.25"/>
  <cols>
    <col min="1" max="1" width="13.28515625" customWidth="1"/>
    <col min="2" max="2" width="18.42578125" bestFit="1" customWidth="1"/>
    <col min="3" max="3" width="12.5703125" customWidth="1"/>
    <col min="4" max="4" width="11.5703125" customWidth="1"/>
    <col min="5" max="5" width="11.42578125" customWidth="1"/>
    <col min="8" max="8" width="22.5703125" customWidth="1"/>
    <col min="9" max="9" width="10.42578125" customWidth="1"/>
    <col min="10" max="10" width="11.28515625" customWidth="1"/>
    <col min="13" max="13" width="12.7109375" customWidth="1"/>
    <col min="14" max="15" width="13.42578125" customWidth="1"/>
    <col min="16" max="16" width="14.5703125" customWidth="1"/>
    <col min="17" max="17" width="14.42578125" customWidth="1"/>
    <col min="19" max="19" width="10.5703125" customWidth="1"/>
    <col min="20" max="20" width="12.42578125" customWidth="1"/>
    <col min="22" max="22" width="10.5703125" customWidth="1"/>
  </cols>
  <sheetData>
    <row r="1" spans="1:23" s="27" customFormat="1" ht="60" customHeight="1" x14ac:dyDescent="0.25">
      <c r="A1" s="557" t="s">
        <v>7</v>
      </c>
      <c r="B1" s="557"/>
      <c r="C1" s="557"/>
      <c r="D1" s="555" t="s">
        <v>230</v>
      </c>
      <c r="E1" s="555"/>
      <c r="F1" s="555"/>
      <c r="G1" s="555"/>
      <c r="H1" s="49" t="s">
        <v>362</v>
      </c>
      <c r="I1" s="555" t="s">
        <v>232</v>
      </c>
      <c r="J1" s="555"/>
      <c r="K1" s="555"/>
      <c r="L1" s="555"/>
      <c r="M1" s="555"/>
      <c r="N1" s="555" t="s">
        <v>233</v>
      </c>
      <c r="O1" s="555"/>
      <c r="P1" s="555"/>
      <c r="Q1" s="555"/>
    </row>
    <row r="2" spans="1:23" s="37" customFormat="1" ht="60" x14ac:dyDescent="0.25">
      <c r="A2" s="76" t="s">
        <v>234</v>
      </c>
      <c r="B2" s="76" t="s">
        <v>1</v>
      </c>
      <c r="C2" s="76" t="s">
        <v>235</v>
      </c>
      <c r="D2" s="76" t="s">
        <v>236</v>
      </c>
      <c r="E2" s="76" t="s">
        <v>237</v>
      </c>
      <c r="F2" s="76" t="s">
        <v>22</v>
      </c>
      <c r="G2" s="76" t="s">
        <v>238</v>
      </c>
      <c r="H2" s="77" t="s">
        <v>239</v>
      </c>
      <c r="I2" s="76" t="s">
        <v>236</v>
      </c>
      <c r="J2" s="76" t="s">
        <v>237</v>
      </c>
      <c r="K2" s="76" t="s">
        <v>240</v>
      </c>
      <c r="L2" s="76" t="s">
        <v>241</v>
      </c>
      <c r="M2" s="76" t="s">
        <v>242</v>
      </c>
      <c r="N2" s="76" t="s">
        <v>243</v>
      </c>
      <c r="O2" s="76" t="s">
        <v>244</v>
      </c>
      <c r="P2" s="76" t="s">
        <v>245</v>
      </c>
      <c r="Q2" s="76" t="s">
        <v>246</v>
      </c>
    </row>
    <row r="3" spans="1:23" x14ac:dyDescent="0.25">
      <c r="A3" s="50" t="s">
        <v>247</v>
      </c>
      <c r="B3" s="50" t="s">
        <v>141</v>
      </c>
      <c r="C3" s="55">
        <v>0.15036386946300001</v>
      </c>
      <c r="D3" s="51">
        <v>3.6557976166467498</v>
      </c>
      <c r="E3" s="51">
        <v>0.27327794729221599</v>
      </c>
      <c r="F3" s="51">
        <v>0</v>
      </c>
      <c r="G3" s="51">
        <v>0</v>
      </c>
      <c r="H3" s="52">
        <v>26.130449941006553</v>
      </c>
      <c r="I3" s="53">
        <v>7125.7347110065693</v>
      </c>
      <c r="J3" s="53">
        <v>532.64019858563813</v>
      </c>
      <c r="K3" s="53">
        <v>0</v>
      </c>
      <c r="L3" s="184">
        <v>0</v>
      </c>
      <c r="M3" s="53">
        <f>SUM(I3:L3)</f>
        <v>7658.3749095922076</v>
      </c>
      <c r="N3" s="54">
        <f>2000/(0.2*H3)</f>
        <v>382.6952854840431</v>
      </c>
      <c r="O3" s="54">
        <f>4000/(0.2*H3)</f>
        <v>765.39057096808619</v>
      </c>
      <c r="P3" s="55">
        <f t="shared" ref="P3:P34" si="0">N3/$U$8</f>
        <v>1.3061272542117512</v>
      </c>
      <c r="Q3" s="54">
        <f t="shared" ref="Q3:Q34" si="1">O3/$U$8</f>
        <v>2.6122545084235025</v>
      </c>
      <c r="S3" s="362" t="s">
        <v>12</v>
      </c>
      <c r="T3" s="363"/>
      <c r="U3" s="363"/>
      <c r="V3" s="364"/>
    </row>
    <row r="4" spans="1:23" x14ac:dyDescent="0.25">
      <c r="A4" s="50" t="s">
        <v>248</v>
      </c>
      <c r="B4" s="50" t="s">
        <v>249</v>
      </c>
      <c r="C4" s="55">
        <v>3.2224063878800002E-2</v>
      </c>
      <c r="D4" s="51">
        <v>0.54202904324243295</v>
      </c>
      <c r="E4" s="51">
        <v>0.81074643187329198</v>
      </c>
      <c r="F4" s="51">
        <v>0</v>
      </c>
      <c r="G4" s="51">
        <v>0.134762544157913</v>
      </c>
      <c r="H4" s="52">
        <v>46.162334610200396</v>
      </c>
      <c r="I4" s="53">
        <v>4929.8446316651798</v>
      </c>
      <c r="J4" s="53">
        <v>7373.5661780343171</v>
      </c>
      <c r="K4" s="53">
        <v>0</v>
      </c>
      <c r="L4" s="53">
        <v>1225.6366461862465</v>
      </c>
      <c r="M4" s="53">
        <f t="shared" ref="M4:M58" si="2">SUM(I4:L4)</f>
        <v>13529.047455885744</v>
      </c>
      <c r="N4" s="54">
        <f t="shared" ref="N4:N58" si="3">2000/(0.2*H4)</f>
        <v>216.62682540735969</v>
      </c>
      <c r="O4" s="54">
        <f t="shared" ref="O4:O58" si="4">4000/(0.2*H4)</f>
        <v>433.25365081471938</v>
      </c>
      <c r="P4" s="55">
        <f t="shared" si="0"/>
        <v>0.73934070104900917</v>
      </c>
      <c r="Q4" s="54">
        <f t="shared" si="1"/>
        <v>1.4786814020980183</v>
      </c>
      <c r="S4" s="31" t="s">
        <v>14</v>
      </c>
      <c r="T4" s="31" t="s">
        <v>15</v>
      </c>
      <c r="U4" s="551" t="s">
        <v>16</v>
      </c>
      <c r="V4" s="552"/>
      <c r="W4" s="32"/>
    </row>
    <row r="5" spans="1:23" x14ac:dyDescent="0.25">
      <c r="A5" s="50" t="s">
        <v>250</v>
      </c>
      <c r="B5" s="50" t="s">
        <v>251</v>
      </c>
      <c r="C5" s="55"/>
      <c r="D5" s="51"/>
      <c r="E5" s="51"/>
      <c r="F5" s="51"/>
      <c r="G5" s="51"/>
      <c r="H5" s="52">
        <v>17.694771040610799</v>
      </c>
      <c r="I5" s="53">
        <v>3582.4598652957084</v>
      </c>
      <c r="J5" s="53">
        <v>0</v>
      </c>
      <c r="K5" s="53">
        <v>0</v>
      </c>
      <c r="L5" s="53">
        <v>1620.2924412971822</v>
      </c>
      <c r="M5" s="53">
        <f>SUM(I5:L5)</f>
        <v>5202.7523065928908</v>
      </c>
      <c r="N5" s="54">
        <f t="shared" ref="N5" si="5">2000/(0.2*H5)</f>
        <v>565.13870549945318</v>
      </c>
      <c r="O5" s="54">
        <f t="shared" ref="O5" si="6">4000/(0.2*H5)</f>
        <v>1130.2774109989064</v>
      </c>
      <c r="P5" s="55">
        <f t="shared" si="0"/>
        <v>1.9288010426602498</v>
      </c>
      <c r="Q5" s="54">
        <f t="shared" si="1"/>
        <v>3.8576020853204995</v>
      </c>
      <c r="S5" s="25" t="s">
        <v>18</v>
      </c>
      <c r="T5" s="26" t="s">
        <v>19</v>
      </c>
      <c r="U5" s="36">
        <v>29.300111099999999</v>
      </c>
      <c r="V5" s="33" t="s">
        <v>20</v>
      </c>
    </row>
    <row r="6" spans="1:23" x14ac:dyDescent="0.25">
      <c r="A6" s="50" t="s">
        <v>252</v>
      </c>
      <c r="B6" s="50" t="s">
        <v>253</v>
      </c>
      <c r="C6" s="55">
        <v>0.39430767945700002</v>
      </c>
      <c r="D6" s="51">
        <v>11.0278002998453</v>
      </c>
      <c r="E6" s="51">
        <v>1.65985012020195</v>
      </c>
      <c r="F6" s="51">
        <v>0</v>
      </c>
      <c r="G6" s="51">
        <v>0</v>
      </c>
      <c r="H6" s="52">
        <v>32.177030986359121</v>
      </c>
      <c r="I6" s="53">
        <v>8196.8056693590788</v>
      </c>
      <c r="J6" s="53">
        <v>1233.6912515820168</v>
      </c>
      <c r="K6" s="53">
        <v>0</v>
      </c>
      <c r="L6" s="184">
        <v>0</v>
      </c>
      <c r="M6" s="53">
        <f t="shared" si="2"/>
        <v>9430.4969209410956</v>
      </c>
      <c r="N6" s="54">
        <f t="shared" si="3"/>
        <v>310.7806933535702</v>
      </c>
      <c r="O6" s="54">
        <f t="shared" si="4"/>
        <v>621.5613867071404</v>
      </c>
      <c r="P6" s="55">
        <f t="shared" si="0"/>
        <v>1.0606849602510928</v>
      </c>
      <c r="Q6" s="54">
        <f t="shared" si="1"/>
        <v>2.1213699205021856</v>
      </c>
      <c r="S6" s="25" t="s">
        <v>22</v>
      </c>
      <c r="T6" s="26" t="s">
        <v>23</v>
      </c>
      <c r="U6" s="36">
        <v>26.811824999999999</v>
      </c>
      <c r="V6" s="33" t="s">
        <v>20</v>
      </c>
    </row>
    <row r="7" spans="1:23" x14ac:dyDescent="0.25">
      <c r="A7" s="50" t="s">
        <v>254</v>
      </c>
      <c r="B7" s="50" t="s">
        <v>255</v>
      </c>
      <c r="C7" s="55">
        <v>0.10940116660599999</v>
      </c>
      <c r="D7" s="51">
        <v>3.04768462153744</v>
      </c>
      <c r="E7" s="51">
        <v>0.294546218234089</v>
      </c>
      <c r="F7" s="51">
        <v>0</v>
      </c>
      <c r="G7" s="51">
        <v>0</v>
      </c>
      <c r="H7" s="52">
        <v>30.550230344511039</v>
      </c>
      <c r="I7" s="53">
        <v>8164.6769096726794</v>
      </c>
      <c r="J7" s="53">
        <v>789.04967288848263</v>
      </c>
      <c r="K7" s="53">
        <v>0</v>
      </c>
      <c r="L7" s="184">
        <v>0</v>
      </c>
      <c r="M7" s="53">
        <f t="shared" si="2"/>
        <v>8953.7265825611612</v>
      </c>
      <c r="N7" s="54">
        <f t="shared" si="3"/>
        <v>327.32977418602997</v>
      </c>
      <c r="O7" s="54">
        <f t="shared" si="4"/>
        <v>654.65954837205993</v>
      </c>
      <c r="P7" s="55">
        <f t="shared" si="0"/>
        <v>1.1171664647987372</v>
      </c>
      <c r="Q7" s="54">
        <f t="shared" si="1"/>
        <v>2.2343329295974743</v>
      </c>
      <c r="S7" s="25" t="s">
        <v>25</v>
      </c>
      <c r="T7" s="26" t="s">
        <v>23</v>
      </c>
      <c r="U7" s="36">
        <v>43.88205</v>
      </c>
      <c r="V7" s="33" t="s">
        <v>20</v>
      </c>
    </row>
    <row r="8" spans="1:23" x14ac:dyDescent="0.25">
      <c r="A8" s="50" t="s">
        <v>256</v>
      </c>
      <c r="B8" s="50" t="s">
        <v>257</v>
      </c>
      <c r="C8" s="55">
        <v>3.0781762266970003</v>
      </c>
      <c r="D8" s="51">
        <v>40.519335627051497</v>
      </c>
      <c r="E8" s="51">
        <v>41.854492285775798</v>
      </c>
      <c r="F8" s="51">
        <v>0.25010927388270299</v>
      </c>
      <c r="G8" s="51">
        <v>0</v>
      </c>
      <c r="H8" s="52">
        <v>26.841847607720826</v>
      </c>
      <c r="I8" s="53">
        <v>3857.9788261501853</v>
      </c>
      <c r="J8" s="53">
        <v>3984.936860436625</v>
      </c>
      <c r="K8" s="53">
        <v>23.812728579458636</v>
      </c>
      <c r="L8" s="184">
        <v>0</v>
      </c>
      <c r="M8" s="53">
        <f t="shared" si="2"/>
        <v>7866.7284151662689</v>
      </c>
      <c r="N8" s="54">
        <f t="shared" si="3"/>
        <v>372.55259571340332</v>
      </c>
      <c r="O8" s="54">
        <f t="shared" si="4"/>
        <v>745.10519142680664</v>
      </c>
      <c r="P8" s="55">
        <f t="shared" si="0"/>
        <v>1.2715105655747554</v>
      </c>
      <c r="Q8" s="54">
        <f t="shared" si="1"/>
        <v>2.5430211311495108</v>
      </c>
      <c r="S8" s="25" t="s">
        <v>258</v>
      </c>
      <c r="T8" s="26" t="s">
        <v>259</v>
      </c>
      <c r="U8" s="36">
        <v>293</v>
      </c>
      <c r="V8" s="33" t="s">
        <v>20</v>
      </c>
    </row>
    <row r="9" spans="1:23" x14ac:dyDescent="0.25">
      <c r="A9" s="50" t="s">
        <v>260</v>
      </c>
      <c r="B9" s="50" t="s">
        <v>261</v>
      </c>
      <c r="C9" s="55">
        <v>0.46330475840000002</v>
      </c>
      <c r="D9" s="51">
        <v>8.1828486230963708</v>
      </c>
      <c r="E9" s="51">
        <v>8.3576049993674104</v>
      </c>
      <c r="F9" s="51">
        <v>0.295636140407949</v>
      </c>
      <c r="G9" s="51">
        <v>0</v>
      </c>
      <c r="H9" s="52">
        <v>36.339125505670026</v>
      </c>
      <c r="I9" s="53">
        <v>5176.4107343015585</v>
      </c>
      <c r="J9" s="53">
        <v>5286.7396899362384</v>
      </c>
      <c r="K9" s="53">
        <v>187.0094742922854</v>
      </c>
      <c r="L9" s="184">
        <v>0</v>
      </c>
      <c r="M9" s="53">
        <f t="shared" si="2"/>
        <v>10650.159898530081</v>
      </c>
      <c r="N9" s="54">
        <f t="shared" si="3"/>
        <v>275.18548839155994</v>
      </c>
      <c r="O9" s="54">
        <f t="shared" si="4"/>
        <v>550.37097678311989</v>
      </c>
      <c r="P9" s="55">
        <f t="shared" si="0"/>
        <v>0.93919961908382232</v>
      </c>
      <c r="Q9" s="54">
        <f t="shared" si="1"/>
        <v>1.8783992381676446</v>
      </c>
    </row>
    <row r="10" spans="1:23" x14ac:dyDescent="0.25">
      <c r="A10" s="50" t="s">
        <v>262</v>
      </c>
      <c r="B10" s="50" t="s">
        <v>263</v>
      </c>
      <c r="C10" s="55">
        <v>0.25430715402600002</v>
      </c>
      <c r="D10" s="51">
        <v>4.1935863546885104</v>
      </c>
      <c r="E10" s="51">
        <v>6.08754521677053</v>
      </c>
      <c r="F10" s="51">
        <v>6.3924508875469299E-2</v>
      </c>
      <c r="G10" s="51">
        <v>0</v>
      </c>
      <c r="H10" s="52">
        <v>40.67937498634759</v>
      </c>
      <c r="I10" s="53">
        <v>4833.0125837227988</v>
      </c>
      <c r="J10" s="53">
        <v>7015.4651018655486</v>
      </c>
      <c r="K10" s="53">
        <v>73.668473120214387</v>
      </c>
      <c r="L10" s="53">
        <v>0</v>
      </c>
      <c r="M10" s="53">
        <f t="shared" si="2"/>
        <v>11922.146158708561</v>
      </c>
      <c r="N10" s="54">
        <f t="shared" si="3"/>
        <v>245.82481917079849</v>
      </c>
      <c r="O10" s="54">
        <f t="shared" si="4"/>
        <v>491.64963834159698</v>
      </c>
      <c r="P10" s="55">
        <f t="shared" si="0"/>
        <v>0.8389925568969232</v>
      </c>
      <c r="Q10" s="54">
        <f t="shared" si="1"/>
        <v>1.6779851137938464</v>
      </c>
    </row>
    <row r="11" spans="1:23" x14ac:dyDescent="0.25">
      <c r="A11" s="50" t="s">
        <v>264</v>
      </c>
      <c r="B11" s="50" t="s">
        <v>265</v>
      </c>
      <c r="C11" s="55">
        <v>4.2358926686999997E-2</v>
      </c>
      <c r="D11" s="51">
        <v>0.81344341843506096</v>
      </c>
      <c r="E11" s="51">
        <v>0.36944485665596399</v>
      </c>
      <c r="F11" s="51">
        <v>2.44561259626019E-2</v>
      </c>
      <c r="G11" s="51">
        <v>0</v>
      </c>
      <c r="H11" s="52">
        <v>28.502714669211912</v>
      </c>
      <c r="I11" s="53">
        <v>5628.2491727431152</v>
      </c>
      <c r="J11" s="53">
        <v>2556.0981368833709</v>
      </c>
      <c r="K11" s="53">
        <v>169.20592310912772</v>
      </c>
      <c r="L11" s="53">
        <v>0</v>
      </c>
      <c r="M11" s="53">
        <f t="shared" si="2"/>
        <v>8353.5532327356141</v>
      </c>
      <c r="N11" s="54">
        <f t="shared" si="3"/>
        <v>350.84377456866622</v>
      </c>
      <c r="O11" s="54">
        <f t="shared" si="4"/>
        <v>701.68754913733244</v>
      </c>
      <c r="P11" s="55">
        <f t="shared" si="0"/>
        <v>1.1974190258316253</v>
      </c>
      <c r="Q11" s="54">
        <f t="shared" si="1"/>
        <v>2.3948380516632506</v>
      </c>
    </row>
    <row r="12" spans="1:23" x14ac:dyDescent="0.25">
      <c r="A12" s="50" t="s">
        <v>266</v>
      </c>
      <c r="B12" s="50" t="s">
        <v>267</v>
      </c>
      <c r="C12" s="55">
        <v>0.20236639448900001</v>
      </c>
      <c r="D12" s="51">
        <v>3.91811010695158</v>
      </c>
      <c r="E12" s="51">
        <v>2.33284841283588</v>
      </c>
      <c r="F12" s="51">
        <v>0</v>
      </c>
      <c r="G12" s="51">
        <v>9.11013022658715E-2</v>
      </c>
      <c r="H12" s="52">
        <v>31.339491114954196</v>
      </c>
      <c r="I12" s="53">
        <v>5674.5211567978477</v>
      </c>
      <c r="J12" s="53">
        <v>3378.4770387624276</v>
      </c>
      <c r="K12" s="184">
        <v>0</v>
      </c>
      <c r="L12" s="184">
        <v>131.93470103462499</v>
      </c>
      <c r="M12" s="53">
        <f t="shared" si="2"/>
        <v>9184.9328965948989</v>
      </c>
      <c r="N12" s="54">
        <f t="shared" si="3"/>
        <v>319.08622776674002</v>
      </c>
      <c r="O12" s="54">
        <f t="shared" si="4"/>
        <v>638.17245553348005</v>
      </c>
      <c r="P12" s="55">
        <f t="shared" si="0"/>
        <v>1.089031494084437</v>
      </c>
      <c r="Q12" s="54">
        <f t="shared" si="1"/>
        <v>2.178062988168874</v>
      </c>
    </row>
    <row r="13" spans="1:23" x14ac:dyDescent="0.25">
      <c r="A13" s="50" t="s">
        <v>268</v>
      </c>
      <c r="B13" s="50" t="s">
        <v>269</v>
      </c>
      <c r="C13" s="55">
        <v>1.82710682272</v>
      </c>
      <c r="D13" s="51">
        <v>50.823968643465903</v>
      </c>
      <c r="E13" s="51">
        <v>2.1056418750978501</v>
      </c>
      <c r="F13" s="51">
        <v>0</v>
      </c>
      <c r="G13" s="51">
        <v>0</v>
      </c>
      <c r="H13" s="52">
        <v>28.969083723177086</v>
      </c>
      <c r="I13" s="53">
        <v>8152.5902757962749</v>
      </c>
      <c r="J13" s="53">
        <v>337.74848974518471</v>
      </c>
      <c r="K13" s="53">
        <v>0</v>
      </c>
      <c r="L13" s="184">
        <v>0</v>
      </c>
      <c r="M13" s="53">
        <f t="shared" si="2"/>
        <v>8490.338765541459</v>
      </c>
      <c r="N13" s="54">
        <f t="shared" si="3"/>
        <v>345.19559180946311</v>
      </c>
      <c r="O13" s="54">
        <f t="shared" si="4"/>
        <v>690.39118361892622</v>
      </c>
      <c r="P13" s="55">
        <f t="shared" si="0"/>
        <v>1.1781419515681335</v>
      </c>
      <c r="Q13" s="54">
        <f t="shared" si="1"/>
        <v>2.356283903136267</v>
      </c>
    </row>
    <row r="14" spans="1:23" x14ac:dyDescent="0.25">
      <c r="A14" s="50" t="s">
        <v>270</v>
      </c>
      <c r="B14" s="50" t="s">
        <v>163</v>
      </c>
      <c r="C14" s="55">
        <v>0.47342352091700002</v>
      </c>
      <c r="D14" s="51">
        <v>11.7111544888682</v>
      </c>
      <c r="E14" s="51">
        <v>4.0489166591033703</v>
      </c>
      <c r="F14" s="51">
        <v>0</v>
      </c>
      <c r="G14" s="51">
        <v>0</v>
      </c>
      <c r="H14" s="52">
        <v>33.289582058460091</v>
      </c>
      <c r="I14" s="53">
        <v>7250.04711957785</v>
      </c>
      <c r="J14" s="53">
        <v>2506.4662015559566</v>
      </c>
      <c r="K14" s="53">
        <v>0</v>
      </c>
      <c r="L14" s="184">
        <v>0</v>
      </c>
      <c r="M14" s="53">
        <f t="shared" si="2"/>
        <v>9756.513321133807</v>
      </c>
      <c r="N14" s="54">
        <f t="shared" si="3"/>
        <v>300.39427898010024</v>
      </c>
      <c r="O14" s="54">
        <f t="shared" si="4"/>
        <v>600.78855796020048</v>
      </c>
      <c r="P14" s="55">
        <f t="shared" si="0"/>
        <v>1.0252364470310589</v>
      </c>
      <c r="Q14" s="54">
        <f t="shared" si="1"/>
        <v>2.0504728940621177</v>
      </c>
    </row>
    <row r="15" spans="1:23" x14ac:dyDescent="0.25">
      <c r="A15" s="50" t="s">
        <v>271</v>
      </c>
      <c r="B15" s="50" t="s">
        <v>272</v>
      </c>
      <c r="C15" s="55"/>
      <c r="D15" s="51"/>
      <c r="E15" s="51"/>
      <c r="F15" s="51"/>
      <c r="G15" s="51"/>
      <c r="H15" s="52">
        <v>50.509239843594877</v>
      </c>
      <c r="I15" s="53">
        <v>7648.527624607209</v>
      </c>
      <c r="J15" s="53">
        <v>0</v>
      </c>
      <c r="K15" s="53">
        <v>0</v>
      </c>
      <c r="L15" s="283">
        <v>1691.0428065603826</v>
      </c>
      <c r="M15" s="53">
        <f>SUM(I15:L15)</f>
        <v>9339.5704311675909</v>
      </c>
      <c r="N15" s="54">
        <f>2000/(0.2*H15)</f>
        <v>197.98357747940071</v>
      </c>
      <c r="O15" s="54">
        <f t="shared" ref="O15" si="7">4000/(0.2*H15)</f>
        <v>395.96715495880142</v>
      </c>
      <c r="P15" s="55">
        <f t="shared" si="0"/>
        <v>0.67571186853037779</v>
      </c>
      <c r="Q15" s="54">
        <f t="shared" si="1"/>
        <v>1.3514237370607556</v>
      </c>
    </row>
    <row r="16" spans="1:23" x14ac:dyDescent="0.25">
      <c r="A16" s="50" t="s">
        <v>273</v>
      </c>
      <c r="B16" s="50" t="s">
        <v>113</v>
      </c>
      <c r="C16" s="55">
        <v>0.13283949640599998</v>
      </c>
      <c r="D16" s="51">
        <v>2.5249915246073402</v>
      </c>
      <c r="E16" s="51">
        <v>0.29341159086054802</v>
      </c>
      <c r="F16" s="51">
        <v>7.3627297859410301E-2</v>
      </c>
      <c r="G16" s="51">
        <v>0</v>
      </c>
      <c r="H16" s="52">
        <v>21.770862518842502</v>
      </c>
      <c r="I16" s="53">
        <v>5570.8789370713675</v>
      </c>
      <c r="J16" s="53">
        <v>647.32576283094033</v>
      </c>
      <c r="K16" s="53">
        <v>162.43682334511305</v>
      </c>
      <c r="L16" s="184">
        <v>0</v>
      </c>
      <c r="M16" s="53">
        <f t="shared" si="2"/>
        <v>6380.641523247421</v>
      </c>
      <c r="N16" s="54">
        <f t="shared" si="3"/>
        <v>459.32952777342109</v>
      </c>
      <c r="O16" s="54">
        <f t="shared" si="4"/>
        <v>918.65905554684218</v>
      </c>
      <c r="P16" s="55">
        <f t="shared" si="0"/>
        <v>1.5676775691925635</v>
      </c>
      <c r="Q16" s="54">
        <f t="shared" si="1"/>
        <v>3.135355138385127</v>
      </c>
    </row>
    <row r="17" spans="1:20" x14ac:dyDescent="0.25">
      <c r="A17" s="50" t="s">
        <v>274</v>
      </c>
      <c r="B17" s="50" t="s">
        <v>275</v>
      </c>
      <c r="C17" s="55">
        <v>5.2562631261000005E-2</v>
      </c>
      <c r="D17" s="51">
        <v>0.89640232444847401</v>
      </c>
      <c r="E17" s="51">
        <v>0.72074694033446296</v>
      </c>
      <c r="F17" s="51">
        <v>0</v>
      </c>
      <c r="G17" s="51">
        <v>0</v>
      </c>
      <c r="H17" s="52">
        <v>30.766139859950584</v>
      </c>
      <c r="I17" s="53">
        <v>4998.2373756623792</v>
      </c>
      <c r="J17" s="53">
        <v>4018.634940513105</v>
      </c>
      <c r="K17" s="53">
        <v>0</v>
      </c>
      <c r="L17" s="184">
        <v>0</v>
      </c>
      <c r="M17" s="53">
        <f t="shared" si="2"/>
        <v>9016.8723161754842</v>
      </c>
      <c r="N17" s="54">
        <f t="shared" si="3"/>
        <v>325.03265100921442</v>
      </c>
      <c r="O17" s="54">
        <f t="shared" si="4"/>
        <v>650.06530201842884</v>
      </c>
      <c r="P17" s="55">
        <f t="shared" si="0"/>
        <v>1.1093264539563632</v>
      </c>
      <c r="Q17" s="54">
        <f t="shared" si="1"/>
        <v>2.2186529079127264</v>
      </c>
      <c r="T17" t="s">
        <v>363</v>
      </c>
    </row>
    <row r="18" spans="1:20" x14ac:dyDescent="0.25">
      <c r="A18" s="50" t="s">
        <v>276</v>
      </c>
      <c r="B18" s="50" t="s">
        <v>2</v>
      </c>
      <c r="C18" s="55">
        <v>1.180133518533</v>
      </c>
      <c r="D18" s="51">
        <v>19.056724008607699</v>
      </c>
      <c r="E18" s="51">
        <v>28.614237506373399</v>
      </c>
      <c r="F18" s="51">
        <v>0</v>
      </c>
      <c r="G18" s="51">
        <v>0</v>
      </c>
      <c r="H18" s="52">
        <v>40.394549232225778</v>
      </c>
      <c r="I18" s="53">
        <v>4732.6897916100761</v>
      </c>
      <c r="J18" s="53">
        <v>7105.9783223976638</v>
      </c>
      <c r="K18" s="53">
        <v>0</v>
      </c>
      <c r="L18" s="184">
        <v>0</v>
      </c>
      <c r="M18" s="53">
        <f t="shared" si="2"/>
        <v>11838.66811400774</v>
      </c>
      <c r="N18" s="54">
        <f t="shared" si="3"/>
        <v>247.55815301986948</v>
      </c>
      <c r="O18" s="54">
        <f t="shared" si="4"/>
        <v>495.11630603973896</v>
      </c>
      <c r="P18" s="55">
        <f t="shared" si="0"/>
        <v>0.84490837208146585</v>
      </c>
      <c r="Q18" s="54">
        <f t="shared" si="1"/>
        <v>1.6898167441629317</v>
      </c>
    </row>
    <row r="19" spans="1:20" x14ac:dyDescent="0.25">
      <c r="A19" s="50" t="s">
        <v>277</v>
      </c>
      <c r="B19" s="50" t="s">
        <v>278</v>
      </c>
      <c r="C19" s="55">
        <v>0.21240545208</v>
      </c>
      <c r="D19" s="51">
        <v>5.02369423740023</v>
      </c>
      <c r="E19" s="51">
        <v>2.3029439921741299</v>
      </c>
      <c r="F19" s="51">
        <v>0</v>
      </c>
      <c r="G19" s="51">
        <v>0.210343772500766</v>
      </c>
      <c r="H19" s="52">
        <v>35.483938516024587</v>
      </c>
      <c r="I19" s="53">
        <v>6931.8396298489215</v>
      </c>
      <c r="J19" s="53">
        <v>3177.5366033272257</v>
      </c>
      <c r="K19" s="53">
        <v>0</v>
      </c>
      <c r="L19" s="184">
        <v>290.22635316985128</v>
      </c>
      <c r="M19" s="53">
        <f t="shared" si="2"/>
        <v>10399.602586345998</v>
      </c>
      <c r="N19" s="54">
        <f t="shared" si="3"/>
        <v>281.81764534069373</v>
      </c>
      <c r="O19" s="54">
        <f t="shared" si="4"/>
        <v>563.63529068138746</v>
      </c>
      <c r="P19" s="55">
        <f t="shared" si="0"/>
        <v>0.96183496703308435</v>
      </c>
      <c r="Q19" s="54">
        <f t="shared" si="1"/>
        <v>1.9236699340661687</v>
      </c>
    </row>
    <row r="20" spans="1:20" x14ac:dyDescent="0.25">
      <c r="A20" s="50" t="s">
        <v>279</v>
      </c>
      <c r="B20" s="50" t="s">
        <v>280</v>
      </c>
      <c r="C20" s="55">
        <v>0.15805893160800003</v>
      </c>
      <c r="D20" s="51">
        <v>2.8017711541504902</v>
      </c>
      <c r="E20" s="51">
        <v>3.3637816782127699</v>
      </c>
      <c r="F20" s="51">
        <v>0</v>
      </c>
      <c r="G20" s="51">
        <v>0</v>
      </c>
      <c r="H20" s="52">
        <v>39.007936910862909</v>
      </c>
      <c r="I20" s="53">
        <v>5195.2282593234613</v>
      </c>
      <c r="J20" s="53">
        <v>6237.0841697224296</v>
      </c>
      <c r="K20" s="53">
        <v>0</v>
      </c>
      <c r="L20" s="184">
        <v>0</v>
      </c>
      <c r="M20" s="53">
        <f t="shared" si="2"/>
        <v>11432.312429045891</v>
      </c>
      <c r="N20" s="54">
        <f t="shared" si="3"/>
        <v>256.35808483927292</v>
      </c>
      <c r="O20" s="54">
        <f t="shared" si="4"/>
        <v>512.71616967854584</v>
      </c>
      <c r="P20" s="55">
        <f t="shared" si="0"/>
        <v>0.8749422690760168</v>
      </c>
      <c r="Q20" s="54">
        <f t="shared" si="1"/>
        <v>1.7498845381520336</v>
      </c>
    </row>
    <row r="21" spans="1:20" x14ac:dyDescent="0.25">
      <c r="A21" s="50" t="s">
        <v>281</v>
      </c>
      <c r="B21" s="50" t="s">
        <v>282</v>
      </c>
      <c r="C21" s="55">
        <v>0.16035801988599999</v>
      </c>
      <c r="D21" s="51">
        <v>3.8612415508991602</v>
      </c>
      <c r="E21" s="51">
        <v>1.5198073048857701</v>
      </c>
      <c r="F21" s="51">
        <v>0</v>
      </c>
      <c r="G21" s="51">
        <v>0</v>
      </c>
      <c r="H21" s="52">
        <v>33.556468579559464</v>
      </c>
      <c r="I21" s="53">
        <v>7057.1163623442171</v>
      </c>
      <c r="J21" s="53">
        <v>2777.6063022406124</v>
      </c>
      <c r="K21" s="53">
        <v>0</v>
      </c>
      <c r="L21" s="184">
        <v>0</v>
      </c>
      <c r="M21" s="53">
        <f t="shared" si="2"/>
        <v>9834.7226645848295</v>
      </c>
      <c r="N21" s="54">
        <f t="shared" si="3"/>
        <v>298.00513651461478</v>
      </c>
      <c r="O21" s="54">
        <f t="shared" si="4"/>
        <v>596.01027302922955</v>
      </c>
      <c r="P21" s="55">
        <f t="shared" si="0"/>
        <v>1.0170823771829856</v>
      </c>
      <c r="Q21" s="54">
        <f t="shared" si="1"/>
        <v>2.0341647543659711</v>
      </c>
    </row>
    <row r="22" spans="1:20" x14ac:dyDescent="0.25">
      <c r="A22" s="50" t="s">
        <v>283</v>
      </c>
      <c r="B22" s="50" t="s">
        <v>284</v>
      </c>
      <c r="C22" s="55">
        <v>0.197476689935</v>
      </c>
      <c r="D22" s="51">
        <v>5.1134175562613704</v>
      </c>
      <c r="E22" s="51">
        <v>1.5394945686056001</v>
      </c>
      <c r="F22" s="51">
        <v>0</v>
      </c>
      <c r="G22" s="51">
        <v>0</v>
      </c>
      <c r="H22" s="52">
        <v>33.689607249629283</v>
      </c>
      <c r="I22" s="53">
        <v>7589.0314343303362</v>
      </c>
      <c r="J22" s="53">
        <v>2284.7314934452288</v>
      </c>
      <c r="K22" s="53">
        <v>0</v>
      </c>
      <c r="L22" s="184">
        <v>0</v>
      </c>
      <c r="M22" s="53">
        <f t="shared" si="2"/>
        <v>9873.7629277755659</v>
      </c>
      <c r="N22" s="54">
        <f t="shared" si="3"/>
        <v>296.82744372480147</v>
      </c>
      <c r="O22" s="54">
        <f t="shared" si="4"/>
        <v>593.65488744960294</v>
      </c>
      <c r="P22" s="55">
        <f t="shared" si="0"/>
        <v>1.0130629478662165</v>
      </c>
      <c r="Q22" s="54">
        <f t="shared" si="1"/>
        <v>2.0261258957324331</v>
      </c>
    </row>
    <row r="23" spans="1:20" x14ac:dyDescent="0.25">
      <c r="A23" s="50" t="s">
        <v>285</v>
      </c>
      <c r="B23" s="50" t="s">
        <v>286</v>
      </c>
      <c r="C23" s="55">
        <v>0.22155420936199999</v>
      </c>
      <c r="D23" s="51">
        <v>7.3886488373848298</v>
      </c>
      <c r="E23" s="51">
        <v>0.48649453308428298</v>
      </c>
      <c r="F23" s="51">
        <v>0.10232655547398301</v>
      </c>
      <c r="G23" s="51">
        <v>0</v>
      </c>
      <c r="H23" s="52">
        <v>36.006853351671673</v>
      </c>
      <c r="I23" s="53">
        <v>9774.0836774333256</v>
      </c>
      <c r="J23" s="53">
        <v>643.5329742374023</v>
      </c>
      <c r="K23" s="53">
        <v>135.35714814750648</v>
      </c>
      <c r="L23" s="184">
        <v>0</v>
      </c>
      <c r="M23" s="53">
        <f t="shared" si="2"/>
        <v>10552.973799818234</v>
      </c>
      <c r="N23" s="54">
        <f t="shared" si="3"/>
        <v>277.72490704289032</v>
      </c>
      <c r="O23" s="54">
        <f t="shared" si="4"/>
        <v>555.44981408578064</v>
      </c>
      <c r="P23" s="55">
        <f t="shared" si="0"/>
        <v>0.94786657693819221</v>
      </c>
      <c r="Q23" s="54">
        <f t="shared" si="1"/>
        <v>1.8957331538763844</v>
      </c>
    </row>
    <row r="24" spans="1:20" x14ac:dyDescent="0.25">
      <c r="A24" s="50" t="s">
        <v>287</v>
      </c>
      <c r="B24" s="50" t="s">
        <v>288</v>
      </c>
      <c r="C24" s="55">
        <v>6.8391818076999997E-2</v>
      </c>
      <c r="D24" s="51">
        <v>0.816827910075835</v>
      </c>
      <c r="E24" s="51">
        <v>1.28511082128137</v>
      </c>
      <c r="F24" s="51">
        <v>0</v>
      </c>
      <c r="G24" s="51">
        <v>6.9762131662050406E-2</v>
      </c>
      <c r="H24" s="52">
        <v>31.753810968648505</v>
      </c>
      <c r="I24" s="53">
        <v>3500.3964889705148</v>
      </c>
      <c r="J24" s="53">
        <v>5506.9264729842489</v>
      </c>
      <c r="K24" s="53">
        <v>0</v>
      </c>
      <c r="L24" s="53">
        <v>298.94303533955019</v>
      </c>
      <c r="M24" s="53">
        <f t="shared" si="2"/>
        <v>9306.2659972943147</v>
      </c>
      <c r="N24" s="54">
        <f t="shared" si="3"/>
        <v>314.9228295738518</v>
      </c>
      <c r="O24" s="54">
        <f t="shared" si="4"/>
        <v>629.8456591477036</v>
      </c>
      <c r="P24" s="55">
        <f t="shared" si="0"/>
        <v>1.0748219439380609</v>
      </c>
      <c r="Q24" s="54">
        <f t="shared" si="1"/>
        <v>2.1496438878761217</v>
      </c>
    </row>
    <row r="25" spans="1:20" x14ac:dyDescent="0.25">
      <c r="A25" s="50" t="s">
        <v>289</v>
      </c>
      <c r="B25" s="50" t="s">
        <v>290</v>
      </c>
      <c r="C25" s="55">
        <v>0.55768497710500009</v>
      </c>
      <c r="D25" s="51">
        <v>12.725744861905801</v>
      </c>
      <c r="E25" s="51">
        <v>6.0769306192374204</v>
      </c>
      <c r="F25" s="51">
        <v>0.21513526867927901</v>
      </c>
      <c r="G25" s="51">
        <v>0</v>
      </c>
      <c r="H25" s="52">
        <v>34.101350279410255</v>
      </c>
      <c r="I25" s="53">
        <v>6687.8310640718</v>
      </c>
      <c r="J25" s="53">
        <v>3193.5092509677042</v>
      </c>
      <c r="K25" s="53">
        <v>113.05649410605167</v>
      </c>
      <c r="L25" s="53">
        <v>0</v>
      </c>
      <c r="M25" s="53">
        <f t="shared" si="2"/>
        <v>9994.3968091455554</v>
      </c>
      <c r="N25" s="54">
        <f t="shared" si="3"/>
        <v>293.24352021444173</v>
      </c>
      <c r="O25" s="54">
        <f t="shared" si="4"/>
        <v>586.48704042888346</v>
      </c>
      <c r="P25" s="55">
        <f t="shared" si="0"/>
        <v>1.0008311270117465</v>
      </c>
      <c r="Q25" s="54">
        <f t="shared" si="1"/>
        <v>2.001662254023493</v>
      </c>
    </row>
    <row r="26" spans="1:20" x14ac:dyDescent="0.25">
      <c r="A26" s="50" t="s">
        <v>291</v>
      </c>
      <c r="B26" s="50" t="s">
        <v>292</v>
      </c>
      <c r="C26" s="55">
        <v>0.56905869349900007</v>
      </c>
      <c r="D26" s="51">
        <v>8.8460239191125005</v>
      </c>
      <c r="E26" s="51">
        <v>8.5088714562143704</v>
      </c>
      <c r="F26" s="51">
        <v>0.31263977385145802</v>
      </c>
      <c r="G26" s="51">
        <v>1.2951214178789801</v>
      </c>
      <c r="H26" s="52">
        <v>33.322848387502283</v>
      </c>
      <c r="I26" s="53">
        <v>4555.9817863738263</v>
      </c>
      <c r="J26" s="53">
        <v>4382.1551186768429</v>
      </c>
      <c r="K26" s="53">
        <v>161.01265512532163</v>
      </c>
      <c r="L26" s="53">
        <v>667.0006686399546</v>
      </c>
      <c r="M26" s="53">
        <f t="shared" si="2"/>
        <v>9766.1502288159445</v>
      </c>
      <c r="N26" s="54">
        <f t="shared" si="3"/>
        <v>300.09439420402293</v>
      </c>
      <c r="O26" s="54">
        <f t="shared" si="4"/>
        <v>600.18878840804587</v>
      </c>
      <c r="P26" s="55">
        <f t="shared" si="0"/>
        <v>1.0242129495017847</v>
      </c>
      <c r="Q26" s="54">
        <f t="shared" si="1"/>
        <v>2.0484258990035693</v>
      </c>
    </row>
    <row r="27" spans="1:20" x14ac:dyDescent="0.25">
      <c r="A27" s="50" t="s">
        <v>293</v>
      </c>
      <c r="B27" s="50" t="s">
        <v>294</v>
      </c>
      <c r="C27" s="55">
        <v>0.42017211384200004</v>
      </c>
      <c r="D27" s="51">
        <v>8.0989101777261201</v>
      </c>
      <c r="E27" s="51">
        <v>10.512776429949399</v>
      </c>
      <c r="F27" s="51">
        <v>0</v>
      </c>
      <c r="G27" s="51">
        <v>0</v>
      </c>
      <c r="H27" s="52">
        <v>44.295387519872847</v>
      </c>
      <c r="I27" s="53">
        <v>5649.2442244569338</v>
      </c>
      <c r="J27" s="53">
        <v>7332.6853439404213</v>
      </c>
      <c r="K27" s="53">
        <v>0</v>
      </c>
      <c r="L27" s="53">
        <v>0</v>
      </c>
      <c r="M27" s="53">
        <f t="shared" si="2"/>
        <v>12981.929568397354</v>
      </c>
      <c r="N27" s="54">
        <f t="shared" si="3"/>
        <v>225.75713996211371</v>
      </c>
      <c r="O27" s="54">
        <f t="shared" si="4"/>
        <v>451.51427992422742</v>
      </c>
      <c r="P27" s="55">
        <f t="shared" si="0"/>
        <v>0.77050218417103655</v>
      </c>
      <c r="Q27" s="54">
        <f t="shared" si="1"/>
        <v>1.5410043683420731</v>
      </c>
    </row>
    <row r="28" spans="1:20" x14ac:dyDescent="0.25">
      <c r="A28" s="50" t="s">
        <v>295</v>
      </c>
      <c r="B28" s="50" t="s">
        <v>296</v>
      </c>
      <c r="C28" s="55">
        <v>0.37924415708300002</v>
      </c>
      <c r="D28" s="51">
        <v>5.2316698143100098</v>
      </c>
      <c r="E28" s="51">
        <v>8.0864412016326099</v>
      </c>
      <c r="F28" s="51">
        <v>0.68629179396201201</v>
      </c>
      <c r="G28" s="51">
        <v>0</v>
      </c>
      <c r="H28" s="52">
        <v>36.927141917283855</v>
      </c>
      <c r="I28" s="53">
        <v>4043.0809300292644</v>
      </c>
      <c r="J28" s="53">
        <v>6249.0123186921028</v>
      </c>
      <c r="K28" s="53">
        <v>530.35022054201863</v>
      </c>
      <c r="L28" s="184">
        <v>0</v>
      </c>
      <c r="M28" s="53">
        <f t="shared" si="2"/>
        <v>10822.443469263386</v>
      </c>
      <c r="N28" s="54">
        <f t="shared" si="3"/>
        <v>270.80351960083516</v>
      </c>
      <c r="O28" s="54">
        <f t="shared" si="4"/>
        <v>541.60703920167032</v>
      </c>
      <c r="P28" s="55">
        <f t="shared" si="0"/>
        <v>0.92424409420080256</v>
      </c>
      <c r="Q28" s="54">
        <f t="shared" si="1"/>
        <v>1.8484881884016051</v>
      </c>
    </row>
    <row r="29" spans="1:20" x14ac:dyDescent="0.25">
      <c r="A29" s="50" t="s">
        <v>297</v>
      </c>
      <c r="B29" s="50" t="s">
        <v>298</v>
      </c>
      <c r="C29" s="55">
        <v>0.15815967437799999</v>
      </c>
      <c r="D29" s="51">
        <v>4.3803814520340802</v>
      </c>
      <c r="E29" s="51">
        <v>0.156770458504812</v>
      </c>
      <c r="F29" s="51">
        <v>0</v>
      </c>
      <c r="G29" s="51">
        <v>0</v>
      </c>
      <c r="H29" s="52">
        <v>28.687160165081941</v>
      </c>
      <c r="I29" s="53">
        <v>8117.2164691023081</v>
      </c>
      <c r="J29" s="53">
        <v>290.49677311965132</v>
      </c>
      <c r="K29" s="53">
        <v>0</v>
      </c>
      <c r="L29" s="184">
        <v>0</v>
      </c>
      <c r="M29" s="53">
        <f t="shared" si="2"/>
        <v>8407.7132422219602</v>
      </c>
      <c r="N29" s="54">
        <f t="shared" si="3"/>
        <v>348.58800740311744</v>
      </c>
      <c r="O29" s="54">
        <f t="shared" si="4"/>
        <v>697.17601480623489</v>
      </c>
      <c r="P29" s="55">
        <f t="shared" si="0"/>
        <v>1.1897201617853839</v>
      </c>
      <c r="Q29" s="54">
        <f t="shared" si="1"/>
        <v>2.3794403235707677</v>
      </c>
    </row>
    <row r="30" spans="1:20" x14ac:dyDescent="0.25">
      <c r="A30" s="50" t="s">
        <v>299</v>
      </c>
      <c r="B30" s="50" t="s">
        <v>300</v>
      </c>
      <c r="C30" s="55">
        <v>0.258882141362</v>
      </c>
      <c r="D30" s="51">
        <v>6.39456273955585</v>
      </c>
      <c r="E30" s="51">
        <v>1.57089457827326</v>
      </c>
      <c r="F30" s="51">
        <v>0</v>
      </c>
      <c r="G30" s="51">
        <v>0</v>
      </c>
      <c r="H30" s="52">
        <v>30.768662820549117</v>
      </c>
      <c r="I30" s="53">
        <v>7239.3523816501674</v>
      </c>
      <c r="J30" s="53">
        <v>1778.3522746181225</v>
      </c>
      <c r="K30" s="53">
        <v>0</v>
      </c>
      <c r="L30" s="184">
        <v>0</v>
      </c>
      <c r="M30" s="53">
        <f t="shared" si="2"/>
        <v>9017.7046562682899</v>
      </c>
      <c r="N30" s="54">
        <f t="shared" si="3"/>
        <v>325.00599906868274</v>
      </c>
      <c r="O30" s="54">
        <f t="shared" si="4"/>
        <v>650.01199813736548</v>
      </c>
      <c r="P30" s="55">
        <f t="shared" si="0"/>
        <v>1.1092354917019889</v>
      </c>
      <c r="Q30" s="54">
        <f t="shared" si="1"/>
        <v>2.2184709834039777</v>
      </c>
    </row>
    <row r="31" spans="1:20" x14ac:dyDescent="0.25">
      <c r="A31" s="50" t="s">
        <v>301</v>
      </c>
      <c r="B31" s="50" t="s">
        <v>302</v>
      </c>
      <c r="C31" s="55">
        <v>4.0438248446999996E-2</v>
      </c>
      <c r="D31" s="51">
        <v>0.67531474478556497</v>
      </c>
      <c r="E31" s="51">
        <v>0.57049711441227502</v>
      </c>
      <c r="F31" s="51">
        <v>0</v>
      </c>
      <c r="G31" s="51">
        <v>0.13693943098344799</v>
      </c>
      <c r="H31" s="52">
        <v>34.194143992007412</v>
      </c>
      <c r="I31" s="53">
        <v>4894.4622228910957</v>
      </c>
      <c r="J31" s="53">
        <v>4134.6043965542685</v>
      </c>
      <c r="K31" s="53">
        <v>0</v>
      </c>
      <c r="L31" s="184">
        <v>992.45089782634875</v>
      </c>
      <c r="M31" s="53">
        <f t="shared" si="2"/>
        <v>10021.517517271714</v>
      </c>
      <c r="N31" s="54">
        <f t="shared" si="3"/>
        <v>292.44773614854677</v>
      </c>
      <c r="O31" s="54">
        <f t="shared" si="4"/>
        <v>584.89547229709353</v>
      </c>
      <c r="P31" s="55">
        <f t="shared" si="0"/>
        <v>0.99811514043872618</v>
      </c>
      <c r="Q31" s="54">
        <f t="shared" si="1"/>
        <v>1.9962302808774524</v>
      </c>
    </row>
    <row r="32" spans="1:20" x14ac:dyDescent="0.25">
      <c r="A32" s="50" t="s">
        <v>305</v>
      </c>
      <c r="B32" s="50" t="s">
        <v>306</v>
      </c>
      <c r="C32" s="55">
        <v>0.160786102525</v>
      </c>
      <c r="D32" s="51">
        <v>3.0783587359856801</v>
      </c>
      <c r="E32" s="51">
        <v>4.2522144029217399</v>
      </c>
      <c r="F32" s="51">
        <v>0</v>
      </c>
      <c r="G32" s="51">
        <v>0</v>
      </c>
      <c r="H32" s="52">
        <v>45.592081801769012</v>
      </c>
      <c r="I32" s="53">
        <v>5611.2765797800103</v>
      </c>
      <c r="J32" s="53">
        <v>7750.6743910587875</v>
      </c>
      <c r="K32" s="53">
        <v>0</v>
      </c>
      <c r="L32" s="184">
        <v>0</v>
      </c>
      <c r="M32" s="53">
        <f t="shared" si="2"/>
        <v>13361.950970838798</v>
      </c>
      <c r="N32" s="54">
        <f t="shared" si="3"/>
        <v>219.33633220521179</v>
      </c>
      <c r="O32" s="54">
        <f t="shared" si="4"/>
        <v>438.67266441042358</v>
      </c>
      <c r="P32" s="55">
        <f t="shared" si="0"/>
        <v>0.74858816452290711</v>
      </c>
      <c r="Q32" s="54">
        <f t="shared" si="1"/>
        <v>1.4971763290458142</v>
      </c>
    </row>
    <row r="33" spans="1:17" x14ac:dyDescent="0.25">
      <c r="A33" s="50" t="s">
        <v>307</v>
      </c>
      <c r="B33" s="50" t="s">
        <v>308</v>
      </c>
      <c r="C33" s="55">
        <v>0.26752332423000003</v>
      </c>
      <c r="D33" s="51">
        <v>7.0851557536218204</v>
      </c>
      <c r="E33" s="51">
        <v>3.90600712674116</v>
      </c>
      <c r="F33" s="51">
        <v>0</v>
      </c>
      <c r="G33" s="51">
        <v>0</v>
      </c>
      <c r="H33" s="52">
        <v>41.084877036416671</v>
      </c>
      <c r="I33" s="53">
        <v>7762.0904298486848</v>
      </c>
      <c r="J33" s="53">
        <v>4279.0191021137862</v>
      </c>
      <c r="K33" s="53">
        <v>0</v>
      </c>
      <c r="L33" s="184">
        <v>0</v>
      </c>
      <c r="M33" s="53">
        <f t="shared" si="2"/>
        <v>12041.109531962471</v>
      </c>
      <c r="N33" s="54">
        <f t="shared" si="3"/>
        <v>243.3985622285357</v>
      </c>
      <c r="O33" s="54">
        <f t="shared" si="4"/>
        <v>486.79712445707139</v>
      </c>
      <c r="P33" s="55">
        <f t="shared" si="0"/>
        <v>0.83071181647964398</v>
      </c>
      <c r="Q33" s="54">
        <f t="shared" si="1"/>
        <v>1.661423632959288</v>
      </c>
    </row>
    <row r="34" spans="1:17" x14ac:dyDescent="0.25">
      <c r="A34" s="50" t="s">
        <v>309</v>
      </c>
      <c r="B34" s="50" t="s">
        <v>310</v>
      </c>
      <c r="C34" s="55">
        <v>0.10424825411500001</v>
      </c>
      <c r="D34" s="51">
        <v>1.4234239235133199</v>
      </c>
      <c r="E34" s="51">
        <v>2.0492498662177501</v>
      </c>
      <c r="F34" s="51">
        <v>0.16370441112540701</v>
      </c>
      <c r="G34" s="51">
        <v>0.24928972318911499</v>
      </c>
      <c r="H34" s="52">
        <v>37.273218213891354</v>
      </c>
      <c r="I34" s="53">
        <v>4001.8089701824642</v>
      </c>
      <c r="J34" s="53">
        <v>5761.0145382366336</v>
      </c>
      <c r="K34" s="53">
        <v>460.21888692743983</v>
      </c>
      <c r="L34" s="53">
        <v>700.8231368955353</v>
      </c>
      <c r="M34" s="53">
        <f t="shared" si="2"/>
        <v>10923.865532242073</v>
      </c>
      <c r="N34" s="54">
        <f t="shared" si="3"/>
        <v>268.28914913156331</v>
      </c>
      <c r="O34" s="54">
        <f t="shared" si="4"/>
        <v>536.57829826312661</v>
      </c>
      <c r="P34" s="55">
        <f t="shared" si="0"/>
        <v>0.91566262502240037</v>
      </c>
      <c r="Q34" s="54">
        <f t="shared" si="1"/>
        <v>1.8313252500448007</v>
      </c>
    </row>
    <row r="35" spans="1:17" x14ac:dyDescent="0.25">
      <c r="A35" s="50" t="s">
        <v>311</v>
      </c>
      <c r="B35" s="50" t="s">
        <v>312</v>
      </c>
      <c r="C35" s="55">
        <v>0.69878273719299999</v>
      </c>
      <c r="D35" s="51">
        <v>13.0157528053909</v>
      </c>
      <c r="E35" s="51">
        <v>9.5360413995587905</v>
      </c>
      <c r="F35" s="51">
        <v>0.169514644622208</v>
      </c>
      <c r="G35" s="51">
        <v>1.26152368032653</v>
      </c>
      <c r="H35" s="52">
        <v>34.320871500399555</v>
      </c>
      <c r="I35" s="53">
        <v>5459.0630387398087</v>
      </c>
      <c r="J35" s="53">
        <v>3999.4365061685812</v>
      </c>
      <c r="K35" s="53">
        <v>71.094810689855237</v>
      </c>
      <c r="L35" s="53">
        <v>529.08577564769666</v>
      </c>
      <c r="M35" s="53">
        <f t="shared" si="2"/>
        <v>10058.680131245943</v>
      </c>
      <c r="N35" s="54">
        <f t="shared" si="3"/>
        <v>291.36789256308896</v>
      </c>
      <c r="O35" s="54">
        <f t="shared" si="4"/>
        <v>582.73578512617792</v>
      </c>
      <c r="P35" s="55">
        <f t="shared" ref="P35:P58" si="8">N35/$U$8</f>
        <v>0.99442966745081551</v>
      </c>
      <c r="Q35" s="54">
        <f t="shared" ref="Q35:Q58" si="9">O35/$U$8</f>
        <v>1.988859334901631</v>
      </c>
    </row>
    <row r="36" spans="1:17" x14ac:dyDescent="0.25">
      <c r="A36" s="50" t="s">
        <v>313</v>
      </c>
      <c r="B36" s="50" t="s">
        <v>314</v>
      </c>
      <c r="C36" s="55">
        <v>7.6209996318999995E-2</v>
      </c>
      <c r="D36" s="51">
        <v>1.3643880681562</v>
      </c>
      <c r="E36" s="51">
        <v>1.9653210089904201</v>
      </c>
      <c r="F36" s="51">
        <v>0</v>
      </c>
      <c r="G36" s="51">
        <v>0</v>
      </c>
      <c r="H36" s="52">
        <v>43.69123786870577</v>
      </c>
      <c r="I36" s="53">
        <v>5247.0711410333797</v>
      </c>
      <c r="J36" s="53">
        <v>7557.7827220316267</v>
      </c>
      <c r="K36" s="53">
        <v>0</v>
      </c>
      <c r="L36" s="184">
        <v>0</v>
      </c>
      <c r="M36" s="53">
        <f t="shared" si="2"/>
        <v>12804.853863065007</v>
      </c>
      <c r="N36" s="54">
        <f t="shared" si="3"/>
        <v>228.87884362650635</v>
      </c>
      <c r="O36" s="54">
        <f t="shared" si="4"/>
        <v>457.7576872530127</v>
      </c>
      <c r="P36" s="55">
        <f t="shared" si="8"/>
        <v>0.78115646288910023</v>
      </c>
      <c r="Q36" s="54">
        <f t="shared" si="9"/>
        <v>1.5623129257782005</v>
      </c>
    </row>
    <row r="37" spans="1:17" x14ac:dyDescent="0.25">
      <c r="A37" s="50" t="s">
        <v>315</v>
      </c>
      <c r="B37" s="50" t="s">
        <v>316</v>
      </c>
      <c r="C37" s="55">
        <v>2.5978824148970001</v>
      </c>
      <c r="D37" s="51">
        <v>37.943510661175701</v>
      </c>
      <c r="E37" s="51">
        <v>45.248411156235001</v>
      </c>
      <c r="F37" s="51">
        <v>1.01810968884755</v>
      </c>
      <c r="G37" s="51">
        <v>14.596682955269401</v>
      </c>
      <c r="H37" s="52">
        <v>38.033559138374287</v>
      </c>
      <c r="I37" s="53">
        <v>4280.6427403714142</v>
      </c>
      <c r="J37" s="53">
        <v>5104.5409253038379</v>
      </c>
      <c r="K37" s="53">
        <v>114.85447644175612</v>
      </c>
      <c r="L37" s="53">
        <v>1646.6736315135986</v>
      </c>
      <c r="M37" s="53">
        <f t="shared" si="2"/>
        <v>11146.711773630608</v>
      </c>
      <c r="N37" s="54">
        <f t="shared" si="3"/>
        <v>262.92569579454408</v>
      </c>
      <c r="O37" s="54">
        <f t="shared" si="4"/>
        <v>525.85139158908817</v>
      </c>
      <c r="P37" s="55">
        <f>N37/$U$8</f>
        <v>0.89735732353086717</v>
      </c>
      <c r="Q37" s="54">
        <f t="shared" si="9"/>
        <v>1.7947146470617343</v>
      </c>
    </row>
    <row r="38" spans="1:17" x14ac:dyDescent="0.25">
      <c r="A38" s="50" t="s">
        <v>303</v>
      </c>
      <c r="B38" s="50" t="s">
        <v>304</v>
      </c>
      <c r="C38" s="55"/>
      <c r="D38" s="51"/>
      <c r="E38" s="51"/>
      <c r="F38" s="51"/>
      <c r="G38" s="51"/>
      <c r="H38" s="52">
        <f t="shared" ref="H38:O38" si="10">H15</f>
        <v>50.509239843594877</v>
      </c>
      <c r="I38" s="53">
        <f t="shared" si="10"/>
        <v>7648.527624607209</v>
      </c>
      <c r="J38" s="53">
        <f t="shared" si="10"/>
        <v>0</v>
      </c>
      <c r="K38" s="53">
        <f t="shared" si="10"/>
        <v>0</v>
      </c>
      <c r="L38" s="53">
        <f t="shared" si="10"/>
        <v>1691.0428065603826</v>
      </c>
      <c r="M38" s="53">
        <f t="shared" si="10"/>
        <v>9339.5704311675909</v>
      </c>
      <c r="N38" s="54">
        <f t="shared" si="10"/>
        <v>197.98357747940071</v>
      </c>
      <c r="O38" s="54">
        <f t="shared" si="10"/>
        <v>395.96715495880142</v>
      </c>
      <c r="P38" s="55">
        <f>N38/$U$8</f>
        <v>0.67571186853037779</v>
      </c>
      <c r="Q38" s="54">
        <f t="shared" si="9"/>
        <v>1.3514237370607556</v>
      </c>
    </row>
    <row r="39" spans="1:17" x14ac:dyDescent="0.25">
      <c r="A39" s="50" t="s">
        <v>317</v>
      </c>
      <c r="B39" s="50" t="s">
        <v>318</v>
      </c>
      <c r="C39" s="55">
        <v>0.57444727543200003</v>
      </c>
      <c r="D39" s="51">
        <v>15.556816891608999</v>
      </c>
      <c r="E39" s="51">
        <v>0.421232740662844</v>
      </c>
      <c r="F39" s="51">
        <v>0</v>
      </c>
      <c r="G39" s="51">
        <v>0</v>
      </c>
      <c r="H39" s="52">
        <v>27.814649517235353</v>
      </c>
      <c r="I39" s="53">
        <v>7937.0950719975726</v>
      </c>
      <c r="J39" s="53">
        <v>214.90414493821282</v>
      </c>
      <c r="K39" s="53">
        <v>0</v>
      </c>
      <c r="L39" s="53">
        <v>0</v>
      </c>
      <c r="M39" s="53">
        <f t="shared" si="2"/>
        <v>8151.9992169357856</v>
      </c>
      <c r="N39" s="54">
        <f t="shared" si="3"/>
        <v>359.52277571585068</v>
      </c>
      <c r="O39" s="54">
        <f t="shared" si="4"/>
        <v>719.04555143170137</v>
      </c>
      <c r="P39" s="55">
        <f t="shared" si="8"/>
        <v>1.2270401901564869</v>
      </c>
      <c r="Q39" s="54">
        <f t="shared" si="9"/>
        <v>2.4540803803129738</v>
      </c>
    </row>
    <row r="40" spans="1:17" x14ac:dyDescent="0.25">
      <c r="A40" s="50" t="s">
        <v>319</v>
      </c>
      <c r="B40" s="50" t="s">
        <v>320</v>
      </c>
      <c r="C40" s="55">
        <v>8.5268597590000009E-2</v>
      </c>
      <c r="D40" s="51">
        <v>1.7572681413884399</v>
      </c>
      <c r="E40" s="51">
        <v>0.78793178883342696</v>
      </c>
      <c r="F40" s="51">
        <v>0.16439480952219299</v>
      </c>
      <c r="G40" s="51">
        <v>0.16685765190627599</v>
      </c>
      <c r="H40" s="52">
        <v>33.734017832464922</v>
      </c>
      <c r="I40" s="53">
        <v>6040.041017269391</v>
      </c>
      <c r="J40" s="53">
        <v>2708.1477098467312</v>
      </c>
      <c r="K40" s="53">
        <v>565.03041662701162</v>
      </c>
      <c r="L40" s="53">
        <v>573.49528764337686</v>
      </c>
      <c r="M40" s="53">
        <f t="shared" si="2"/>
        <v>9886.7144313865083</v>
      </c>
      <c r="N40" s="54">
        <f t="shared" si="3"/>
        <v>296.43667260933876</v>
      </c>
      <c r="O40" s="54">
        <f t="shared" si="4"/>
        <v>592.87334521867751</v>
      </c>
      <c r="P40" s="55">
        <f t="shared" si="8"/>
        <v>1.0117292580523507</v>
      </c>
      <c r="Q40" s="54">
        <f t="shared" si="9"/>
        <v>2.0234585161047014</v>
      </c>
    </row>
    <row r="41" spans="1:17" x14ac:dyDescent="0.25">
      <c r="A41" s="50" t="s">
        <v>321</v>
      </c>
      <c r="B41" s="50" t="s">
        <v>322</v>
      </c>
      <c r="C41" s="55">
        <v>0.69335930896999998</v>
      </c>
      <c r="D41" s="51">
        <v>14.3241039225371</v>
      </c>
      <c r="E41" s="51">
        <v>12.665796229763201</v>
      </c>
      <c r="F41" s="51">
        <v>0.275457631451133</v>
      </c>
      <c r="G41" s="51">
        <v>0.46952873340821399</v>
      </c>
      <c r="H41" s="52">
        <v>40.000741546775238</v>
      </c>
      <c r="I41" s="53">
        <v>6054.8043768668776</v>
      </c>
      <c r="J41" s="53">
        <v>5353.6132259725073</v>
      </c>
      <c r="K41" s="53">
        <v>116.43118144175365</v>
      </c>
      <c r="L41" s="53">
        <v>198.46168306746114</v>
      </c>
      <c r="M41" s="53">
        <f t="shared" si="2"/>
        <v>11723.3104673486</v>
      </c>
      <c r="N41" s="54">
        <f t="shared" si="3"/>
        <v>249.99536541857373</v>
      </c>
      <c r="O41" s="54">
        <f t="shared" si="4"/>
        <v>499.99073083714745</v>
      </c>
      <c r="P41" s="55">
        <f t="shared" si="8"/>
        <v>0.85322650313506387</v>
      </c>
      <c r="Q41" s="54">
        <f t="shared" si="9"/>
        <v>1.7064530062701277</v>
      </c>
    </row>
    <row r="42" spans="1:17" x14ac:dyDescent="0.25">
      <c r="A42" s="50" t="s">
        <v>323</v>
      </c>
      <c r="B42" s="50" t="s">
        <v>324</v>
      </c>
      <c r="C42" s="55">
        <v>0.183647820622</v>
      </c>
      <c r="D42" s="51">
        <v>5.2971466039209503</v>
      </c>
      <c r="E42" s="51">
        <v>1.1680147730761301</v>
      </c>
      <c r="F42" s="51">
        <v>0.22048483242952799</v>
      </c>
      <c r="G42" s="51">
        <v>0</v>
      </c>
      <c r="H42" s="52">
        <v>36.40471303597765</v>
      </c>
      <c r="I42" s="53">
        <v>8453.7068754256616</v>
      </c>
      <c r="J42" s="53">
        <v>1863.9549132726761</v>
      </c>
      <c r="K42" s="53">
        <v>351.85666841076221</v>
      </c>
      <c r="L42" s="184">
        <v>0</v>
      </c>
      <c r="M42" s="53">
        <f t="shared" si="2"/>
        <v>10669.518457109099</v>
      </c>
      <c r="N42" s="54">
        <f t="shared" si="3"/>
        <v>274.68970817370018</v>
      </c>
      <c r="O42" s="54">
        <f t="shared" si="4"/>
        <v>549.37941634740037</v>
      </c>
      <c r="P42" s="55">
        <f t="shared" si="8"/>
        <v>0.93750753642901086</v>
      </c>
      <c r="Q42" s="54">
        <f t="shared" si="9"/>
        <v>1.8750150728580217</v>
      </c>
    </row>
    <row r="43" spans="1:17" x14ac:dyDescent="0.25">
      <c r="A43" s="50" t="s">
        <v>325</v>
      </c>
      <c r="B43" s="50" t="s">
        <v>326</v>
      </c>
      <c r="C43" s="55">
        <v>0.30284772662999998</v>
      </c>
      <c r="D43" s="51">
        <v>6.6025345502315496</v>
      </c>
      <c r="E43" s="51">
        <v>1.14459793052942</v>
      </c>
      <c r="F43" s="51">
        <v>0</v>
      </c>
      <c r="G43" s="51">
        <v>0</v>
      </c>
      <c r="H43" s="52">
        <v>25.580949763000604</v>
      </c>
      <c r="I43" s="53">
        <v>6389.6543895680034</v>
      </c>
      <c r="J43" s="53">
        <v>1107.6472781584341</v>
      </c>
      <c r="K43" s="53">
        <v>0</v>
      </c>
      <c r="L43" s="184">
        <v>0</v>
      </c>
      <c r="M43" s="53">
        <f t="shared" si="2"/>
        <v>7497.3016677264377</v>
      </c>
      <c r="N43" s="54">
        <f t="shared" si="3"/>
        <v>390.91590002118107</v>
      </c>
      <c r="O43" s="54">
        <f t="shared" si="4"/>
        <v>781.83180004236215</v>
      </c>
      <c r="P43" s="55">
        <f t="shared" si="8"/>
        <v>1.3341839591166589</v>
      </c>
      <c r="Q43" s="54">
        <f t="shared" si="9"/>
        <v>2.6683679182333178</v>
      </c>
    </row>
    <row r="44" spans="1:17" x14ac:dyDescent="0.25">
      <c r="A44" s="50" t="s">
        <v>327</v>
      </c>
      <c r="B44" s="50" t="s">
        <v>328</v>
      </c>
      <c r="C44" s="55">
        <v>0.69692184806599999</v>
      </c>
      <c r="D44" s="51">
        <v>12.9979958919757</v>
      </c>
      <c r="E44" s="51">
        <v>8.2807954780132604</v>
      </c>
      <c r="F44" s="51">
        <v>0.13863370177153</v>
      </c>
      <c r="G44" s="51">
        <v>0</v>
      </c>
      <c r="H44" s="52">
        <v>30.731458815927684</v>
      </c>
      <c r="I44" s="53">
        <v>5466.1721343322452</v>
      </c>
      <c r="J44" s="53">
        <v>3482.2570396831511</v>
      </c>
      <c r="K44" s="53">
        <v>58.298527624917277</v>
      </c>
      <c r="L44" s="53">
        <v>0</v>
      </c>
      <c r="M44" s="53">
        <f t="shared" si="2"/>
        <v>9006.7277016403132</v>
      </c>
      <c r="N44" s="54">
        <f t="shared" si="3"/>
        <v>325.39945662511599</v>
      </c>
      <c r="O44" s="54">
        <f t="shared" si="4"/>
        <v>650.79891325023198</v>
      </c>
      <c r="P44" s="55">
        <f t="shared" si="8"/>
        <v>1.1105783502563686</v>
      </c>
      <c r="Q44" s="54">
        <f t="shared" si="9"/>
        <v>2.2211567005127373</v>
      </c>
    </row>
    <row r="45" spans="1:17" x14ac:dyDescent="0.25">
      <c r="A45" s="50" t="s">
        <v>329</v>
      </c>
      <c r="B45" s="50" t="s">
        <v>330</v>
      </c>
      <c r="C45" s="55"/>
      <c r="D45" s="51"/>
      <c r="E45" s="51"/>
      <c r="F45" s="51"/>
      <c r="G45" s="51"/>
      <c r="H45" s="52">
        <v>38.388496540454298</v>
      </c>
      <c r="I45" s="53">
        <v>7156.2879366853904</v>
      </c>
      <c r="J45" s="53">
        <v>938.24423718949504</v>
      </c>
      <c r="K45" s="53">
        <v>0</v>
      </c>
      <c r="L45" s="53">
        <v>12.964706852915036</v>
      </c>
      <c r="M45" s="53">
        <f>SUM(I45:L45)</f>
        <v>8107.4968807278001</v>
      </c>
      <c r="N45" s="54">
        <f t="shared" si="3"/>
        <v>260.49470287178008</v>
      </c>
      <c r="O45" s="54">
        <f>4000/(0.2*H45)</f>
        <v>520.98940574356016</v>
      </c>
      <c r="P45" s="55">
        <f t="shared" si="8"/>
        <v>0.88906041935761115</v>
      </c>
      <c r="Q45" s="54">
        <f t="shared" si="9"/>
        <v>1.7781208387152223</v>
      </c>
    </row>
    <row r="46" spans="1:17" x14ac:dyDescent="0.25">
      <c r="A46" s="50" t="s">
        <v>331</v>
      </c>
      <c r="B46" s="50" t="s">
        <v>332</v>
      </c>
      <c r="C46" s="55">
        <v>7.6321516340000006E-2</v>
      </c>
      <c r="D46" s="51">
        <v>1.1597869244577499</v>
      </c>
      <c r="E46" s="51">
        <v>2.0071455564788501</v>
      </c>
      <c r="F46" s="51">
        <v>9.4534511639975796E-2</v>
      </c>
      <c r="G46" s="51">
        <v>0.15941630904109699</v>
      </c>
      <c r="H46" s="52">
        <v>44.822003881293334</v>
      </c>
      <c r="I46" s="53">
        <v>4453.7137668012947</v>
      </c>
      <c r="J46" s="53">
        <v>7707.3436639062329</v>
      </c>
      <c r="K46" s="53">
        <v>363.00803743752374</v>
      </c>
      <c r="L46" s="53">
        <v>612.15105972019785</v>
      </c>
      <c r="M46" s="53">
        <f t="shared" si="2"/>
        <v>13136.216527865248</v>
      </c>
      <c r="N46" s="54">
        <f t="shared" si="3"/>
        <v>223.1047060386683</v>
      </c>
      <c r="O46" s="54">
        <f t="shared" si="4"/>
        <v>446.20941207733659</v>
      </c>
      <c r="P46" s="55">
        <f t="shared" si="8"/>
        <v>0.76144950866439687</v>
      </c>
      <c r="Q46" s="54">
        <f t="shared" si="9"/>
        <v>1.5228990173287937</v>
      </c>
    </row>
    <row r="47" spans="1:17" x14ac:dyDescent="0.25">
      <c r="A47" s="50" t="s">
        <v>333</v>
      </c>
      <c r="B47" s="50" t="s">
        <v>334</v>
      </c>
      <c r="C47" s="55">
        <v>0.20580771421800001</v>
      </c>
      <c r="D47" s="51">
        <v>5.6036680711148303</v>
      </c>
      <c r="E47" s="51">
        <v>1.08785356131251</v>
      </c>
      <c r="F47" s="51">
        <v>0</v>
      </c>
      <c r="G47" s="51">
        <v>0</v>
      </c>
      <c r="H47" s="52">
        <v>32.51346363693348</v>
      </c>
      <c r="I47" s="53">
        <v>7979.9802728011164</v>
      </c>
      <c r="J47" s="53">
        <v>1549.1077789713629</v>
      </c>
      <c r="K47" s="53">
        <v>0</v>
      </c>
      <c r="L47" s="184">
        <v>0</v>
      </c>
      <c r="M47" s="53">
        <f t="shared" si="2"/>
        <v>9529.08805177248</v>
      </c>
      <c r="N47" s="54">
        <f t="shared" si="3"/>
        <v>307.56489409023027</v>
      </c>
      <c r="O47" s="54">
        <f t="shared" si="4"/>
        <v>615.12978818046054</v>
      </c>
      <c r="P47" s="55">
        <f t="shared" si="8"/>
        <v>1.0497095361441307</v>
      </c>
      <c r="Q47" s="54">
        <f t="shared" si="9"/>
        <v>2.0994190722882613</v>
      </c>
    </row>
    <row r="48" spans="1:17" x14ac:dyDescent="0.25">
      <c r="A48" s="50" t="s">
        <v>335</v>
      </c>
      <c r="B48" s="50" t="s">
        <v>336</v>
      </c>
      <c r="C48" s="55">
        <v>6.2060049960999994E-2</v>
      </c>
      <c r="D48" s="51">
        <v>1.3317622931548201</v>
      </c>
      <c r="E48" s="51">
        <v>1.0170875332724001</v>
      </c>
      <c r="F48" s="51">
        <v>0.13573348001947599</v>
      </c>
      <c r="G48" s="51">
        <v>0</v>
      </c>
      <c r="H48" s="52">
        <v>40.035148344354653</v>
      </c>
      <c r="I48" s="53">
        <v>6289.3464064223526</v>
      </c>
      <c r="J48" s="53">
        <v>4803.0715516825521</v>
      </c>
      <c r="K48" s="53">
        <v>640.9847679430859</v>
      </c>
      <c r="L48" s="184">
        <v>0</v>
      </c>
      <c r="M48" s="53">
        <f t="shared" si="2"/>
        <v>11733.402726047991</v>
      </c>
      <c r="N48" s="54">
        <f t="shared" si="3"/>
        <v>249.78051571051807</v>
      </c>
      <c r="O48" s="54">
        <f t="shared" si="4"/>
        <v>499.56103142103615</v>
      </c>
      <c r="P48" s="55">
        <f t="shared" si="8"/>
        <v>0.85249322768094904</v>
      </c>
      <c r="Q48" s="54">
        <f t="shared" si="9"/>
        <v>1.7049864553618981</v>
      </c>
    </row>
    <row r="49" spans="1:17" x14ac:dyDescent="0.25">
      <c r="A49" s="50" t="s">
        <v>337</v>
      </c>
      <c r="B49" s="50" t="s">
        <v>338</v>
      </c>
      <c r="C49" s="55">
        <v>0.33606076623299996</v>
      </c>
      <c r="D49" s="51">
        <v>8.4436520817905407</v>
      </c>
      <c r="E49" s="51">
        <v>1.1863757774638599</v>
      </c>
      <c r="F49" s="51">
        <v>0</v>
      </c>
      <c r="G49" s="51">
        <v>0</v>
      </c>
      <c r="H49" s="52">
        <v>28.655614778244136</v>
      </c>
      <c r="I49" s="53">
        <v>7363.8262622186276</v>
      </c>
      <c r="J49" s="53">
        <v>1034.6115060513955</v>
      </c>
      <c r="K49" s="53">
        <v>0</v>
      </c>
      <c r="L49" s="184">
        <v>0</v>
      </c>
      <c r="M49" s="53">
        <f t="shared" si="2"/>
        <v>8398.4377682700233</v>
      </c>
      <c r="N49" s="54">
        <f t="shared" si="3"/>
        <v>348.97174872661191</v>
      </c>
      <c r="O49" s="54">
        <f t="shared" si="4"/>
        <v>697.94349745322381</v>
      </c>
      <c r="P49" s="55">
        <f t="shared" si="8"/>
        <v>1.1910298591351942</v>
      </c>
      <c r="Q49" s="54">
        <f t="shared" si="9"/>
        <v>2.3820597182703884</v>
      </c>
    </row>
    <row r="50" spans="1:17" x14ac:dyDescent="0.25">
      <c r="A50" s="50" t="s">
        <v>339</v>
      </c>
      <c r="B50" s="50" t="s">
        <v>340</v>
      </c>
      <c r="C50" s="55">
        <v>1.96985580356</v>
      </c>
      <c r="D50" s="51">
        <v>55.711782300386901</v>
      </c>
      <c r="E50" s="51">
        <v>9.4798078939440096</v>
      </c>
      <c r="F50" s="51">
        <v>0.33423744477304401</v>
      </c>
      <c r="G50" s="51">
        <v>0.35479529402684601</v>
      </c>
      <c r="H50" s="52">
        <v>33.444388576092109</v>
      </c>
      <c r="I50" s="53">
        <v>8289.0278253457745</v>
      </c>
      <c r="J50" s="53">
        <v>1410.3858639120115</v>
      </c>
      <c r="K50" s="53">
        <v>49.727143479259887</v>
      </c>
      <c r="L50" s="184">
        <v>52.785697017935995</v>
      </c>
      <c r="M50" s="53">
        <f t="shared" si="2"/>
        <v>9801.9265297549828</v>
      </c>
      <c r="N50" s="54">
        <f t="shared" si="3"/>
        <v>299.00382173972679</v>
      </c>
      <c r="O50" s="54">
        <f t="shared" si="4"/>
        <v>598.00764347945358</v>
      </c>
      <c r="P50" s="55">
        <f t="shared" si="8"/>
        <v>1.0204908591799549</v>
      </c>
      <c r="Q50" s="54">
        <f t="shared" si="9"/>
        <v>2.0409817183599097</v>
      </c>
    </row>
    <row r="51" spans="1:17" x14ac:dyDescent="0.25">
      <c r="A51" s="50" t="s">
        <v>341</v>
      </c>
      <c r="B51" s="50" t="s">
        <v>364</v>
      </c>
      <c r="C51" s="55"/>
      <c r="D51" s="51"/>
      <c r="E51" s="51"/>
      <c r="F51" s="51"/>
      <c r="G51" s="51"/>
      <c r="H51" s="52">
        <v>44.019136193958801</v>
      </c>
      <c r="I51" s="53">
        <v>7698.7726146407504</v>
      </c>
      <c r="J51" s="53">
        <v>0</v>
      </c>
      <c r="K51" s="53">
        <v>0</v>
      </c>
      <c r="L51" s="283">
        <v>975.99541247824448</v>
      </c>
      <c r="M51" s="53">
        <f>SUM(I51:L51)</f>
        <v>8674.7680271189947</v>
      </c>
      <c r="N51" s="54">
        <f t="shared" si="3"/>
        <v>227.17392626555909</v>
      </c>
      <c r="O51" s="54">
        <f t="shared" si="4"/>
        <v>454.34785253111818</v>
      </c>
      <c r="P51" s="55">
        <f t="shared" si="8"/>
        <v>0.77533763230566244</v>
      </c>
      <c r="Q51" s="54">
        <f t="shared" si="9"/>
        <v>1.5506752646113249</v>
      </c>
    </row>
    <row r="52" spans="1:17" x14ac:dyDescent="0.25">
      <c r="A52" s="50" t="s">
        <v>343</v>
      </c>
      <c r="B52" s="50" t="s">
        <v>344</v>
      </c>
      <c r="C52" s="55">
        <v>0.14174431331200002</v>
      </c>
      <c r="D52" s="51">
        <v>3.1358078886824798</v>
      </c>
      <c r="E52" s="51">
        <v>2.3086283366020801</v>
      </c>
      <c r="F52" s="51">
        <v>0.25453549508175</v>
      </c>
      <c r="G52" s="51">
        <v>0</v>
      </c>
      <c r="H52" s="52">
        <v>40.205999007678265</v>
      </c>
      <c r="I52" s="53">
        <v>6483.8757741484469</v>
      </c>
      <c r="J52" s="53">
        <v>4773.3274050087057</v>
      </c>
      <c r="K52" s="184">
        <v>526.27841171239527</v>
      </c>
      <c r="L52" s="184">
        <v>0</v>
      </c>
      <c r="M52" s="53">
        <f t="shared" si="2"/>
        <v>11783.481590869549</v>
      </c>
      <c r="N52" s="54">
        <f t="shared" si="3"/>
        <v>248.71910279086137</v>
      </c>
      <c r="O52" s="54">
        <f t="shared" si="4"/>
        <v>497.43820558172274</v>
      </c>
      <c r="P52" s="55">
        <f t="shared" si="8"/>
        <v>0.84887065798928796</v>
      </c>
      <c r="Q52" s="54">
        <f t="shared" si="9"/>
        <v>1.6977413159785759</v>
      </c>
    </row>
    <row r="53" spans="1:17" x14ac:dyDescent="0.25">
      <c r="A53" s="50" t="s">
        <v>345</v>
      </c>
      <c r="B53" s="50" t="s">
        <v>346</v>
      </c>
      <c r="C53" s="55">
        <v>3.1352563958199998E-2</v>
      </c>
      <c r="D53" s="51">
        <v>0.46712886899174799</v>
      </c>
      <c r="E53" s="51">
        <v>0.477495105514951</v>
      </c>
      <c r="F53" s="51">
        <v>0.19750297835963701</v>
      </c>
      <c r="G53" s="51">
        <v>0.144995024766225</v>
      </c>
      <c r="H53" s="52">
        <v>41.053164881461804</v>
      </c>
      <c r="I53" s="53">
        <v>4366.7121988269155</v>
      </c>
      <c r="J53" s="53">
        <v>4463.429793331843</v>
      </c>
      <c r="K53" s="53">
        <v>1846.177411455325</v>
      </c>
      <c r="L53" s="53">
        <v>1355.3544443738706</v>
      </c>
      <c r="M53" s="53">
        <f t="shared" si="2"/>
        <v>12031.673847987953</v>
      </c>
      <c r="N53" s="54">
        <f t="shared" si="3"/>
        <v>243.58657922901469</v>
      </c>
      <c r="O53" s="54">
        <f t="shared" si="4"/>
        <v>487.17315845802938</v>
      </c>
      <c r="P53" s="55">
        <f t="shared" si="8"/>
        <v>0.83135351272701263</v>
      </c>
      <c r="Q53" s="54">
        <f t="shared" si="9"/>
        <v>1.6627070254540253</v>
      </c>
    </row>
    <row r="54" spans="1:17" x14ac:dyDescent="0.25">
      <c r="A54" s="50" t="s">
        <v>347</v>
      </c>
      <c r="B54" s="50" t="s">
        <v>348</v>
      </c>
      <c r="C54" s="55">
        <v>0.58033940503899994</v>
      </c>
      <c r="D54" s="51">
        <v>20.832346622131102</v>
      </c>
      <c r="E54" s="51">
        <v>5.9842898932509199</v>
      </c>
      <c r="F54" s="51">
        <v>0</v>
      </c>
      <c r="G54" s="51">
        <v>0</v>
      </c>
      <c r="H54" s="52">
        <v>46.208539834684998</v>
      </c>
      <c r="I54" s="53">
        <v>10520.760016892082</v>
      </c>
      <c r="J54" s="53">
        <v>3022.062276103894</v>
      </c>
      <c r="K54" s="53">
        <v>0</v>
      </c>
      <c r="L54" s="53">
        <v>0</v>
      </c>
      <c r="M54" s="53">
        <f t="shared" si="2"/>
        <v>13542.822292995976</v>
      </c>
      <c r="N54" s="54">
        <f t="shared" si="3"/>
        <v>216.41021412439898</v>
      </c>
      <c r="O54" s="54">
        <f t="shared" si="4"/>
        <v>432.82042824879795</v>
      </c>
      <c r="P54" s="55">
        <f t="shared" si="8"/>
        <v>0.73860141339385321</v>
      </c>
      <c r="Q54" s="54">
        <f t="shared" si="9"/>
        <v>1.4772028267877064</v>
      </c>
    </row>
    <row r="55" spans="1:17" x14ac:dyDescent="0.25">
      <c r="A55" s="50" t="s">
        <v>349</v>
      </c>
      <c r="B55" s="50" t="s">
        <v>350</v>
      </c>
      <c r="C55" s="55">
        <v>0.69080448655599991</v>
      </c>
      <c r="D55" s="51">
        <v>15.9300588511417</v>
      </c>
      <c r="E55" s="51">
        <v>2.09122325916415</v>
      </c>
      <c r="F55" s="51">
        <v>0.40018748702833501</v>
      </c>
      <c r="G55" s="51">
        <v>0</v>
      </c>
      <c r="H55" s="52">
        <v>26.666690729202227</v>
      </c>
      <c r="I55" s="53">
        <v>6758.5449628991682</v>
      </c>
      <c r="J55" s="53">
        <v>887.19298110235297</v>
      </c>
      <c r="K55" s="53">
        <v>169.77791733171301</v>
      </c>
      <c r="L55" s="184">
        <v>0</v>
      </c>
      <c r="M55" s="53">
        <f t="shared" si="2"/>
        <v>7815.5158613332342</v>
      </c>
      <c r="N55" s="54">
        <f t="shared" si="3"/>
        <v>374.99966162089896</v>
      </c>
      <c r="O55" s="54">
        <f t="shared" si="4"/>
        <v>749.99932324179792</v>
      </c>
      <c r="P55" s="55">
        <f t="shared" si="8"/>
        <v>1.279862326351191</v>
      </c>
      <c r="Q55" s="54">
        <f t="shared" si="9"/>
        <v>2.559724652702382</v>
      </c>
    </row>
    <row r="56" spans="1:17" x14ac:dyDescent="0.25">
      <c r="A56" s="50" t="s">
        <v>351</v>
      </c>
      <c r="B56" s="50" t="s">
        <v>352</v>
      </c>
      <c r="C56" s="55">
        <v>4.2539963497999995E-2</v>
      </c>
      <c r="D56" s="51">
        <v>0.58758405726024998</v>
      </c>
      <c r="E56" s="51">
        <v>0.661528662277172</v>
      </c>
      <c r="F56" s="51">
        <v>0</v>
      </c>
      <c r="G56" s="51">
        <v>0</v>
      </c>
      <c r="H56" s="52">
        <v>29.36327671264101</v>
      </c>
      <c r="I56" s="53">
        <v>4048.2182140874297</v>
      </c>
      <c r="J56" s="53">
        <v>4557.4760916602099</v>
      </c>
      <c r="K56" s="53">
        <v>0</v>
      </c>
      <c r="L56" s="184">
        <v>0</v>
      </c>
      <c r="M56" s="53">
        <f t="shared" si="2"/>
        <v>8605.6943057476401</v>
      </c>
      <c r="N56" s="54">
        <f t="shared" si="3"/>
        <v>340.56144679844124</v>
      </c>
      <c r="O56" s="54">
        <f t="shared" si="4"/>
        <v>681.12289359688248</v>
      </c>
      <c r="P56" s="55">
        <f t="shared" si="8"/>
        <v>1.1623257569912671</v>
      </c>
      <c r="Q56" s="54">
        <f t="shared" si="9"/>
        <v>2.3246515139825341</v>
      </c>
    </row>
    <row r="57" spans="1:17" x14ac:dyDescent="0.25">
      <c r="A57" s="50" t="s">
        <v>353</v>
      </c>
      <c r="B57" s="50" t="s">
        <v>354</v>
      </c>
      <c r="C57" s="55">
        <v>0.431194606664</v>
      </c>
      <c r="D57" s="51">
        <v>8.3113928619227604</v>
      </c>
      <c r="E57" s="51">
        <v>7.5958020259819898</v>
      </c>
      <c r="F57" s="51">
        <v>0.21682353123365999</v>
      </c>
      <c r="G57" s="51">
        <v>0</v>
      </c>
      <c r="H57" s="52">
        <v>37.393831392939326</v>
      </c>
      <c r="I57" s="53">
        <v>5649.25883426782</v>
      </c>
      <c r="J57" s="53">
        <v>5162.655703834469</v>
      </c>
      <c r="K57" s="53">
        <v>147.36893305276416</v>
      </c>
      <c r="L57" s="184">
        <v>0</v>
      </c>
      <c r="M57" s="53">
        <f t="shared" si="2"/>
        <v>10959.283471155055</v>
      </c>
      <c r="N57" s="54">
        <f t="shared" si="3"/>
        <v>267.42378695883491</v>
      </c>
      <c r="O57" s="54">
        <f t="shared" si="4"/>
        <v>534.84757391766982</v>
      </c>
      <c r="P57" s="55">
        <f t="shared" si="8"/>
        <v>0.91270917050796896</v>
      </c>
      <c r="Q57" s="54">
        <f t="shared" si="9"/>
        <v>1.8254183410159379</v>
      </c>
    </row>
    <row r="58" spans="1:17" x14ac:dyDescent="0.25">
      <c r="A58" s="50" t="s">
        <v>355</v>
      </c>
      <c r="B58" s="50" t="s">
        <v>356</v>
      </c>
      <c r="C58" s="55">
        <v>3.1094048589999999E-2</v>
      </c>
      <c r="D58" s="51">
        <v>0.49628649488478299</v>
      </c>
      <c r="E58" s="51">
        <v>0.39954534795255098</v>
      </c>
      <c r="F58" s="51">
        <v>0</v>
      </c>
      <c r="G58" s="51">
        <v>0</v>
      </c>
      <c r="H58" s="52">
        <v>28.810395669267653</v>
      </c>
      <c r="I58" s="53">
        <v>4677.8491318257766</v>
      </c>
      <c r="J58" s="53">
        <v>3765.8381580924261</v>
      </c>
      <c r="K58" s="53">
        <v>0</v>
      </c>
      <c r="L58" s="184">
        <v>0</v>
      </c>
      <c r="M58" s="53">
        <f t="shared" si="2"/>
        <v>8443.6872899182017</v>
      </c>
      <c r="N58" s="54">
        <f t="shared" si="3"/>
        <v>347.09693385666003</v>
      </c>
      <c r="O58" s="54">
        <f t="shared" si="4"/>
        <v>694.19386771332006</v>
      </c>
      <c r="P58" s="55">
        <f t="shared" si="8"/>
        <v>1.1846311735722186</v>
      </c>
      <c r="Q58" s="54">
        <f t="shared" si="9"/>
        <v>2.3692623471444372</v>
      </c>
    </row>
    <row r="59" spans="1:17" x14ac:dyDescent="0.25">
      <c r="A59" s="556" t="s">
        <v>365</v>
      </c>
      <c r="B59" s="556"/>
      <c r="C59" s="556"/>
      <c r="D59" s="51">
        <f t="shared" ref="D59:J59" si="11">AVERAGEIF(D3:D58, "&lt;&gt;0")</f>
        <v>9.308427429853344</v>
      </c>
      <c r="E59" s="51">
        <f t="shared" si="11"/>
        <v>5.2848337778824197</v>
      </c>
      <c r="F59" s="51">
        <f t="shared" si="11"/>
        <v>0.25252179942870839</v>
      </c>
      <c r="G59" s="51">
        <f t="shared" si="11"/>
        <v>1.3815085693844811</v>
      </c>
      <c r="H59" s="51">
        <f t="shared" si="11"/>
        <v>35.183284014190832</v>
      </c>
      <c r="I59" s="51">
        <f t="shared" si="11"/>
        <v>6229.386766495566</v>
      </c>
      <c r="J59" s="51">
        <f t="shared" si="11"/>
        <v>3615.6305931956858</v>
      </c>
      <c r="K59" s="51">
        <f>AVERAGE(K3:K11,K13:K50,K53:K58)</f>
        <v>122.84413432509935</v>
      </c>
      <c r="L59" s="51">
        <f>AVERAGE(L4,L10,L11,L24:L27,L34,L35,L37:L41,L44,L46,L53,L54)</f>
        <v>527.70378753265948</v>
      </c>
      <c r="M59" s="51">
        <f>AVERAGEIF(M3:M58, "&lt;&gt;0")</f>
        <v>9985.0326516552759</v>
      </c>
    </row>
    <row r="60" spans="1:17" x14ac:dyDescent="0.25">
      <c r="K60" s="80"/>
      <c r="L60" s="80"/>
    </row>
    <row r="61" spans="1:17" x14ac:dyDescent="0.25">
      <c r="K61" s="80"/>
    </row>
    <row r="64" spans="1:17" x14ac:dyDescent="0.25">
      <c r="L64" s="80"/>
    </row>
    <row r="66" spans="1:13" x14ac:dyDescent="0.25">
      <c r="A66" s="183" t="s">
        <v>358</v>
      </c>
      <c r="D66" t="s">
        <v>366</v>
      </c>
    </row>
    <row r="67" spans="1:13" x14ac:dyDescent="0.25">
      <c r="A67" s="183" t="s">
        <v>360</v>
      </c>
      <c r="D67" s="548" t="s">
        <v>367</v>
      </c>
      <c r="E67" s="548"/>
      <c r="F67" s="548"/>
      <c r="G67" s="548"/>
      <c r="H67" s="548"/>
      <c r="I67" s="548"/>
    </row>
    <row r="68" spans="1:13" x14ac:dyDescent="0.25">
      <c r="D68" s="548"/>
      <c r="E68" s="548"/>
      <c r="F68" s="548"/>
      <c r="G68" s="548"/>
      <c r="H68" s="548"/>
      <c r="I68" s="548"/>
      <c r="M68" s="80"/>
    </row>
    <row r="69" spans="1:13" x14ac:dyDescent="0.25">
      <c r="D69" s="548"/>
      <c r="E69" s="548"/>
      <c r="F69" s="548"/>
      <c r="G69" s="548"/>
      <c r="H69" s="548"/>
      <c r="I69" s="548"/>
    </row>
    <row r="70" spans="1:13" x14ac:dyDescent="0.25">
      <c r="D70" s="548"/>
      <c r="E70" s="548"/>
      <c r="F70" s="548"/>
      <c r="G70" s="548"/>
      <c r="H70" s="548"/>
      <c r="I70" s="548"/>
    </row>
    <row r="71" spans="1:13" x14ac:dyDescent="0.25">
      <c r="D71" s="548"/>
      <c r="E71" s="548"/>
      <c r="F71" s="548"/>
      <c r="G71" s="548"/>
      <c r="H71" s="548"/>
      <c r="I71" s="548"/>
    </row>
  </sheetData>
  <mergeCells count="8">
    <mergeCell ref="D67:I71"/>
    <mergeCell ref="A59:C59"/>
    <mergeCell ref="S3:V3"/>
    <mergeCell ref="U4:V4"/>
    <mergeCell ref="A1:C1"/>
    <mergeCell ref="D1:G1"/>
    <mergeCell ref="I1:M1"/>
    <mergeCell ref="N1:Q1"/>
  </mergeCells>
  <conditionalFormatting sqref="A3:Q58">
    <cfRule type="expression" dxfId="0" priority="1">
      <formula>MOD(ROW(),2)=0</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E197337B3B8149B87B89A0A7B1391D" ma:contentTypeVersion="14" ma:contentTypeDescription="Create a new document." ma:contentTypeScope="" ma:versionID="6a0e68787c2758f6d0032e15aaaa58fb">
  <xsd:schema xmlns:xsd="http://www.w3.org/2001/XMLSchema" xmlns:xs="http://www.w3.org/2001/XMLSchema" xmlns:p="http://schemas.microsoft.com/office/2006/metadata/properties" xmlns:ns2="fe57275d-039a-4679-95a4-dae62d2c719b" xmlns:ns3="a517200f-e430-4894-8551-c0d8467d9874" targetNamespace="http://schemas.microsoft.com/office/2006/metadata/properties" ma:root="true" ma:fieldsID="4e6b4701dc5ce248832c322a79d26e27" ns2:_="" ns3:_="">
    <xsd:import namespace="fe57275d-039a-4679-95a4-dae62d2c719b"/>
    <xsd:import namespace="a517200f-e430-4894-8551-c0d8467d987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57275d-039a-4679-95a4-dae62d2c71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26d46bd7-4a58-4bc0-a217-7245e6e70419"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17200f-e430-4894-8551-c0d8467d987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911dbb5-08ad-4212-8588-233554a363d9}" ma:internalName="TaxCatchAll" ma:showField="CatchAllData" ma:web="a517200f-e430-4894-8551-c0d8467d987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e57275d-039a-4679-95a4-dae62d2c719b">
      <Terms xmlns="http://schemas.microsoft.com/office/infopath/2007/PartnerControls"/>
    </lcf76f155ced4ddcb4097134ff3c332f>
    <TaxCatchAll xmlns="a517200f-e430-4894-8551-c0d8467d987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EB5725-CE65-4074-9CCD-83DFFB3804C8}"/>
</file>

<file path=customXml/itemProps2.xml><?xml version="1.0" encoding="utf-8"?>
<ds:datastoreItem xmlns:ds="http://schemas.openxmlformats.org/officeDocument/2006/customXml" ds:itemID="{D0E2861C-6371-4336-BFD6-A26BDBC20F70}">
  <ds:schemaRefs>
    <ds:schemaRef ds:uri="http://www.w3.org/XML/1998/namespace"/>
    <ds:schemaRef ds:uri="http://schemas.microsoft.com/office/infopath/2007/PartnerControls"/>
    <ds:schemaRef ds:uri="http://schemas.microsoft.com/office/2006/documentManagement/types"/>
    <ds:schemaRef ds:uri="http://purl.org/dc/elements/1.1/"/>
    <ds:schemaRef ds:uri="e7d3d2b7-4990-44c1-97e8-521b57ec4ca9"/>
    <ds:schemaRef ds:uri="bccdc3cf-9456-4707-af1c-9baff0e09fea"/>
    <ds:schemaRef ds:uri="http://schemas.openxmlformats.org/package/2006/metadata/core-properties"/>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217D413A-21F2-460A-B882-4BC0945AFD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Average</vt:lpstr>
      <vt:lpstr>README</vt:lpstr>
      <vt:lpstr>AverageCalculator</vt:lpstr>
      <vt:lpstr>LMIAdjustedRebateCalc</vt:lpstr>
      <vt:lpstr>PortfolioCalc - TotalData</vt:lpstr>
      <vt:lpstr>PortfolioCalc - ProjectData</vt:lpstr>
      <vt:lpstr>StateConsumption_SF</vt:lpstr>
      <vt:lpstr>StateConsumption_MF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Jillian Greene</dc:creator>
  <cp:keywords/>
  <dc:description/>
  <cp:lastModifiedBy>Siedschlag, Greg</cp:lastModifiedBy>
  <cp:revision/>
  <dcterms:created xsi:type="dcterms:W3CDTF">2023-10-16T19:29:30Z</dcterms:created>
  <dcterms:modified xsi:type="dcterms:W3CDTF">2025-01-13T18:52:27Z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0x01010051E197337B3B8149B87B89A0A7B1391D</vt:lpwstr>
  </property>
  <property fmtid="{D5CDD505-2E9C-101B-9397-08002B2CF9AE}" pid="3" name="MediaServiceImageTags">
    <vt:lpwstr/>
  </property>
</Properties>
</file>