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FB178A88-7803-4439-9977-0E87B3602D9F}" xr6:coauthVersionLast="47" xr6:coauthVersionMax="47" xr10:uidLastSave="{00000000-0000-0000-0000-000000000000}"/>
  <bookViews>
    <workbookView xWindow="17130" yWindow="2790" windowWidth="19005" windowHeight="10980" tabRatio="876" xr2:uid="{00000000-000D-0000-FFFF-FFFF00000000}"/>
  </bookViews>
  <sheets>
    <sheet name="Instructions" sheetId="15" r:id="rId1"/>
    <sheet name="General Info &amp; Test Results" sheetId="1" r:id="rId2"/>
    <sheet name="Determination of Test Method" sheetId="32" r:id="rId3"/>
    <sheet name="Setup &amp; Instrumentation" sheetId="2" r:id="rId4"/>
    <sheet name="CSA C390-10" sheetId="26" r:id="rId5"/>
    <sheet name="IEC 60034-2-1 Method 2-1-1A" sheetId="40" r:id="rId6"/>
    <sheet name="IEC 60034-2-1 Method 2-1-1B" sheetId="35" r:id="rId7"/>
    <sheet name="IEEE 112-2017 Method A" sheetId="42" r:id="rId8"/>
    <sheet name="IEEE 112-2017 Method B" sheetId="41" r:id="rId9"/>
    <sheet name="IEEE 114-2010" sheetId="37" r:id="rId10"/>
    <sheet name="CSA C747-09" sheetId="33" r:id="rId11"/>
    <sheet name="Photos" sheetId="9" r:id="rId12"/>
    <sheet name="Comments" sheetId="10" r:id="rId13"/>
    <sheet name="Report Sign-Off Block" sheetId="11" r:id="rId14"/>
    <sheet name="Drop-downs" sheetId="7" r:id="rId15"/>
    <sheet name="Version Control" sheetId="14"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6" i="33" l="1"/>
  <c r="E126" i="33"/>
  <c r="F126" i="33"/>
  <c r="G126" i="33"/>
  <c r="C126" i="33"/>
  <c r="C122" i="33"/>
  <c r="C115" i="33"/>
  <c r="C114" i="33"/>
  <c r="D75" i="33"/>
  <c r="E75" i="33"/>
  <c r="F75" i="33"/>
  <c r="G75" i="33"/>
  <c r="C75" i="33"/>
  <c r="C28" i="33"/>
  <c r="D83" i="37"/>
  <c r="E83" i="37"/>
  <c r="F83" i="37"/>
  <c r="G83" i="37"/>
  <c r="H83" i="37"/>
  <c r="D82" i="37"/>
  <c r="E82" i="37"/>
  <c r="F82" i="37"/>
  <c r="G82" i="37"/>
  <c r="H82" i="37"/>
  <c r="D81" i="37"/>
  <c r="E81" i="37"/>
  <c r="F81" i="37"/>
  <c r="G81" i="37"/>
  <c r="H81" i="37"/>
  <c r="D80" i="37"/>
  <c r="E80" i="37"/>
  <c r="F80" i="37"/>
  <c r="G80" i="37"/>
  <c r="H80" i="37"/>
  <c r="D79" i="37"/>
  <c r="E79" i="37"/>
  <c r="F79" i="37"/>
  <c r="G79" i="37"/>
  <c r="H79" i="37"/>
  <c r="D78" i="37"/>
  <c r="E78" i="37"/>
  <c r="F78" i="37"/>
  <c r="G78" i="37"/>
  <c r="H78" i="37"/>
  <c r="D77" i="37"/>
  <c r="E77" i="37"/>
  <c r="F77" i="37"/>
  <c r="G77" i="37"/>
  <c r="H77" i="37"/>
  <c r="D76" i="37"/>
  <c r="E76" i="37"/>
  <c r="F76" i="37"/>
  <c r="G76" i="37"/>
  <c r="H76" i="37"/>
  <c r="D75" i="37"/>
  <c r="E75" i="37"/>
  <c r="F75" i="37"/>
  <c r="G75" i="37"/>
  <c r="H75" i="37"/>
  <c r="D71" i="37"/>
  <c r="E71" i="37"/>
  <c r="F71" i="37"/>
  <c r="G71" i="37"/>
  <c r="H71" i="37"/>
  <c r="D68" i="37"/>
  <c r="E68" i="37"/>
  <c r="F68" i="37"/>
  <c r="G68" i="37"/>
  <c r="H68" i="37"/>
  <c r="D67" i="37"/>
  <c r="E67" i="37"/>
  <c r="F67" i="37"/>
  <c r="G67" i="37"/>
  <c r="H67" i="37"/>
  <c r="C102" i="37"/>
  <c r="C83" i="37"/>
  <c r="C81" i="37"/>
  <c r="C80" i="37"/>
  <c r="C79" i="37"/>
  <c r="C78" i="37"/>
  <c r="C77" i="37"/>
  <c r="C76" i="37"/>
  <c r="C75" i="37"/>
  <c r="C68" i="37"/>
  <c r="C67" i="37"/>
  <c r="C48" i="37"/>
  <c r="C46" i="37" s="1"/>
  <c r="C26" i="37"/>
  <c r="D166" i="41"/>
  <c r="E166" i="41"/>
  <c r="F166" i="41"/>
  <c r="G166" i="41"/>
  <c r="H166" i="41"/>
  <c r="D160" i="41"/>
  <c r="E160" i="41"/>
  <c r="F160" i="41"/>
  <c r="G160" i="41"/>
  <c r="H160" i="41"/>
  <c r="D159" i="41"/>
  <c r="E159" i="41"/>
  <c r="F159" i="41"/>
  <c r="G159" i="41"/>
  <c r="H159" i="41"/>
  <c r="D157" i="41"/>
  <c r="E157" i="41"/>
  <c r="F157" i="41"/>
  <c r="G157" i="41"/>
  <c r="H157" i="41"/>
  <c r="D146" i="41"/>
  <c r="D147" i="41" s="1"/>
  <c r="E146" i="41"/>
  <c r="E147" i="41" s="1"/>
  <c r="F146" i="41"/>
  <c r="F147" i="41" s="1"/>
  <c r="G146" i="41"/>
  <c r="G147" i="41" s="1"/>
  <c r="H146" i="41"/>
  <c r="H147" i="41" s="1"/>
  <c r="D145" i="41"/>
  <c r="E145" i="41"/>
  <c r="F145" i="41"/>
  <c r="G145" i="41"/>
  <c r="H145" i="41"/>
  <c r="D144" i="41"/>
  <c r="E144" i="41"/>
  <c r="F144" i="41"/>
  <c r="G144" i="41"/>
  <c r="H144" i="41"/>
  <c r="D143" i="41"/>
  <c r="E143" i="41"/>
  <c r="F143" i="41"/>
  <c r="G143" i="41"/>
  <c r="H143" i="41"/>
  <c r="D108" i="41"/>
  <c r="E108" i="41"/>
  <c r="F108" i="41"/>
  <c r="G108" i="41"/>
  <c r="H108" i="41"/>
  <c r="D73" i="41"/>
  <c r="E73" i="41"/>
  <c r="F73" i="41"/>
  <c r="G73" i="41"/>
  <c r="H73" i="41"/>
  <c r="D72" i="41"/>
  <c r="E72" i="41"/>
  <c r="F72" i="41"/>
  <c r="G72" i="41"/>
  <c r="H72" i="41"/>
  <c r="D71" i="41"/>
  <c r="E71" i="41"/>
  <c r="F71" i="41"/>
  <c r="G71" i="41"/>
  <c r="H71" i="41"/>
  <c r="D70" i="41"/>
  <c r="E70" i="41"/>
  <c r="F70" i="41"/>
  <c r="G70" i="41"/>
  <c r="H70" i="41"/>
  <c r="D69" i="41"/>
  <c r="E69" i="41"/>
  <c r="F69" i="41"/>
  <c r="G69" i="41"/>
  <c r="H69" i="41"/>
  <c r="C166" i="41"/>
  <c r="C160" i="41"/>
  <c r="C159" i="41"/>
  <c r="C157" i="41"/>
  <c r="C146" i="41"/>
  <c r="C145" i="41"/>
  <c r="C144" i="41"/>
  <c r="C143" i="41"/>
  <c r="C108" i="41"/>
  <c r="C76" i="41"/>
  <c r="D158" i="41" l="1"/>
  <c r="D161" i="41" s="1"/>
  <c r="D149" i="41"/>
  <c r="D150" i="41" s="1"/>
  <c r="D152" i="41" s="1"/>
  <c r="D156" i="41" s="1"/>
  <c r="E158" i="41"/>
  <c r="E161" i="41" s="1"/>
  <c r="E149" i="41"/>
  <c r="E150" i="41" s="1"/>
  <c r="E152" i="41" s="1"/>
  <c r="E156" i="41" s="1"/>
  <c r="G158" i="41"/>
  <c r="G161" i="41" s="1"/>
  <c r="G149" i="41"/>
  <c r="G150" i="41" s="1"/>
  <c r="G152" i="41" s="1"/>
  <c r="G156" i="41" s="1"/>
  <c r="F158" i="41"/>
  <c r="F161" i="41" s="1"/>
  <c r="F149" i="41"/>
  <c r="F150" i="41" s="1"/>
  <c r="F152" i="41" s="1"/>
  <c r="F156" i="41" s="1"/>
  <c r="H158" i="41"/>
  <c r="H161" i="41" s="1"/>
  <c r="H149" i="41"/>
  <c r="H150" i="41" s="1"/>
  <c r="H152" i="41" s="1"/>
  <c r="H156" i="41" s="1"/>
  <c r="C75" i="41"/>
  <c r="C73" i="41"/>
  <c r="C71" i="41"/>
  <c r="C70" i="41"/>
  <c r="C69" i="41"/>
  <c r="C39" i="41"/>
  <c r="C38" i="41"/>
  <c r="D119" i="42"/>
  <c r="E119" i="42"/>
  <c r="F119" i="42"/>
  <c r="G119" i="42"/>
  <c r="H119" i="42"/>
  <c r="D118" i="42"/>
  <c r="E118" i="42"/>
  <c r="F118" i="42"/>
  <c r="G118" i="42"/>
  <c r="H118" i="42"/>
  <c r="D117" i="42"/>
  <c r="E117" i="42"/>
  <c r="F117" i="42"/>
  <c r="G117" i="42"/>
  <c r="H117" i="42"/>
  <c r="D116" i="42"/>
  <c r="E116" i="42"/>
  <c r="F116" i="42"/>
  <c r="G116" i="42"/>
  <c r="H116" i="42"/>
  <c r="D115" i="42"/>
  <c r="E115" i="42"/>
  <c r="F115" i="42"/>
  <c r="G115" i="42"/>
  <c r="H115" i="42"/>
  <c r="D79" i="42"/>
  <c r="E79" i="42"/>
  <c r="F79" i="42"/>
  <c r="G79" i="42"/>
  <c r="H79" i="42"/>
  <c r="D77" i="42"/>
  <c r="E77" i="42"/>
  <c r="F77" i="42"/>
  <c r="G77" i="42"/>
  <c r="H77" i="42"/>
  <c r="D76" i="42"/>
  <c r="E76" i="42"/>
  <c r="F76" i="42"/>
  <c r="G76" i="42"/>
  <c r="H76" i="42"/>
  <c r="D75" i="42"/>
  <c r="E75" i="42"/>
  <c r="F75" i="42"/>
  <c r="G75" i="42"/>
  <c r="H75" i="42"/>
  <c r="D74" i="42"/>
  <c r="E74" i="42"/>
  <c r="F74" i="42"/>
  <c r="G74" i="42"/>
  <c r="H74" i="42"/>
  <c r="D73" i="42"/>
  <c r="E73" i="42"/>
  <c r="F73" i="42"/>
  <c r="G73" i="42"/>
  <c r="H73" i="42"/>
  <c r="D70" i="42"/>
  <c r="E70" i="42"/>
  <c r="F70" i="42"/>
  <c r="G70" i="42"/>
  <c r="H70" i="42"/>
  <c r="D69" i="42"/>
  <c r="E69" i="42"/>
  <c r="F69" i="42"/>
  <c r="G69" i="42"/>
  <c r="H69" i="42"/>
  <c r="D68" i="42"/>
  <c r="E68" i="42"/>
  <c r="F68" i="42"/>
  <c r="G68" i="42"/>
  <c r="H68" i="42"/>
  <c r="D66" i="42"/>
  <c r="E66" i="42"/>
  <c r="F66" i="42"/>
  <c r="G66" i="42"/>
  <c r="H66" i="42"/>
  <c r="C122" i="42"/>
  <c r="C121" i="42"/>
  <c r="C119" i="42" s="1"/>
  <c r="C117" i="42"/>
  <c r="C116" i="42"/>
  <c r="C115" i="42"/>
  <c r="C79" i="42"/>
  <c r="C77" i="42"/>
  <c r="C76" i="42"/>
  <c r="C75" i="42"/>
  <c r="C74" i="42"/>
  <c r="C73" i="42"/>
  <c r="C70" i="42"/>
  <c r="C69" i="42"/>
  <c r="C68" i="42"/>
  <c r="C66" i="42"/>
  <c r="C40" i="42"/>
  <c r="C39" i="42"/>
  <c r="D138" i="35"/>
  <c r="E138" i="35"/>
  <c r="F138" i="35"/>
  <c r="G138" i="35"/>
  <c r="H138" i="35"/>
  <c r="D137" i="35"/>
  <c r="E137" i="35"/>
  <c r="F137" i="35"/>
  <c r="G137" i="35"/>
  <c r="H137" i="35"/>
  <c r="D124" i="35"/>
  <c r="E124" i="35"/>
  <c r="F124" i="35"/>
  <c r="G124" i="35"/>
  <c r="H124" i="35"/>
  <c r="C124" i="35"/>
  <c r="D118" i="35"/>
  <c r="E118" i="35"/>
  <c r="F118" i="35"/>
  <c r="G118" i="35"/>
  <c r="H118" i="35"/>
  <c r="D117" i="35"/>
  <c r="E117" i="35"/>
  <c r="F117" i="35"/>
  <c r="G117" i="35"/>
  <c r="H117" i="35"/>
  <c r="D99" i="35"/>
  <c r="E99" i="35"/>
  <c r="F99" i="35"/>
  <c r="D98" i="35"/>
  <c r="E98" i="35"/>
  <c r="F98" i="35"/>
  <c r="G98" i="35"/>
  <c r="H98" i="35"/>
  <c r="I98" i="35"/>
  <c r="J98" i="35"/>
  <c r="D97" i="35"/>
  <c r="E97" i="35"/>
  <c r="F97" i="35"/>
  <c r="G97" i="35"/>
  <c r="H97" i="35"/>
  <c r="I97" i="35"/>
  <c r="J97" i="35"/>
  <c r="D96" i="35"/>
  <c r="E96" i="35"/>
  <c r="F96" i="35"/>
  <c r="G96" i="35"/>
  <c r="H96" i="35"/>
  <c r="I96" i="35"/>
  <c r="J96" i="35"/>
  <c r="D69" i="35"/>
  <c r="E69" i="35"/>
  <c r="F69" i="35"/>
  <c r="G69" i="35"/>
  <c r="H69" i="35"/>
  <c r="C109" i="35"/>
  <c r="C108" i="35"/>
  <c r="C107" i="35"/>
  <c r="C98" i="35"/>
  <c r="C97" i="35"/>
  <c r="C96" i="35"/>
  <c r="C69" i="35"/>
  <c r="C44" i="35"/>
  <c r="C43" i="35"/>
  <c r="C31" i="40"/>
  <c r="D152" i="26"/>
  <c r="E152" i="26"/>
  <c r="F152" i="26"/>
  <c r="G152" i="26"/>
  <c r="H152" i="26"/>
  <c r="D150" i="26"/>
  <c r="E150" i="26"/>
  <c r="F150" i="26"/>
  <c r="G150" i="26"/>
  <c r="H150" i="26"/>
  <c r="D149" i="26"/>
  <c r="E149" i="26"/>
  <c r="F149" i="26"/>
  <c r="G149" i="26"/>
  <c r="H149" i="26"/>
  <c r="D148" i="26"/>
  <c r="E148" i="26"/>
  <c r="F148" i="26"/>
  <c r="G148" i="26"/>
  <c r="H148" i="26"/>
  <c r="D147" i="26"/>
  <c r="E147" i="26"/>
  <c r="F147" i="26"/>
  <c r="G147" i="26"/>
  <c r="H147" i="26"/>
  <c r="D132" i="26"/>
  <c r="E132" i="26"/>
  <c r="F132" i="26"/>
  <c r="G132" i="26"/>
  <c r="H132" i="26"/>
  <c r="D97" i="26"/>
  <c r="E97" i="26"/>
  <c r="F97" i="26"/>
  <c r="G97" i="26"/>
  <c r="H97" i="26"/>
  <c r="D96" i="26"/>
  <c r="E96" i="26"/>
  <c r="F96" i="26"/>
  <c r="G96" i="26"/>
  <c r="H96" i="26"/>
  <c r="D90" i="26"/>
  <c r="E90" i="26"/>
  <c r="F90" i="26"/>
  <c r="G90" i="26"/>
  <c r="H90" i="26"/>
  <c r="D89" i="26"/>
  <c r="E89" i="26"/>
  <c r="F89" i="26"/>
  <c r="G89" i="26"/>
  <c r="H89" i="26"/>
  <c r="D88" i="26"/>
  <c r="E88" i="26"/>
  <c r="F88" i="26"/>
  <c r="G88" i="26"/>
  <c r="H88" i="26"/>
  <c r="D81" i="26"/>
  <c r="E81" i="26"/>
  <c r="F81" i="26"/>
  <c r="G81" i="26"/>
  <c r="H81" i="26"/>
  <c r="D80" i="26"/>
  <c r="E80" i="26"/>
  <c r="F80" i="26"/>
  <c r="G80" i="26"/>
  <c r="H80" i="26"/>
  <c r="D79" i="26"/>
  <c r="E79" i="26"/>
  <c r="F79" i="26"/>
  <c r="G79" i="26"/>
  <c r="H79" i="26"/>
  <c r="D78" i="26"/>
  <c r="E78" i="26"/>
  <c r="F78" i="26"/>
  <c r="G78" i="26"/>
  <c r="H78" i="26"/>
  <c r="D77" i="26"/>
  <c r="E77" i="26"/>
  <c r="F77" i="26"/>
  <c r="G77" i="26"/>
  <c r="H77" i="26"/>
  <c r="D72" i="26"/>
  <c r="E72" i="26"/>
  <c r="F72" i="26"/>
  <c r="G72" i="26"/>
  <c r="H72" i="26"/>
  <c r="C198" i="26"/>
  <c r="C197" i="26"/>
  <c r="C196" i="26"/>
  <c r="C195" i="26"/>
  <c r="C194" i="26"/>
  <c r="C193" i="26"/>
  <c r="C192" i="26"/>
  <c r="C191" i="26"/>
  <c r="D184" i="26"/>
  <c r="C184" i="26"/>
  <c r="C150" i="26"/>
  <c r="C149" i="26"/>
  <c r="C148" i="26"/>
  <c r="C147" i="26"/>
  <c r="C143" i="26"/>
  <c r="C142" i="26"/>
  <c r="C141" i="26"/>
  <c r="C140" i="26"/>
  <c r="C132" i="26"/>
  <c r="C96" i="26"/>
  <c r="C90" i="26"/>
  <c r="C89" i="26"/>
  <c r="C80" i="26"/>
  <c r="C79" i="26"/>
  <c r="C72" i="26"/>
  <c r="C44" i="26"/>
  <c r="C43" i="26"/>
  <c r="C42" i="26"/>
  <c r="C24" i="26"/>
  <c r="C23" i="26"/>
  <c r="C22" i="26"/>
  <c r="C21" i="26"/>
  <c r="F16" i="1"/>
  <c r="E16" i="1"/>
  <c r="C30" i="32"/>
  <c r="F13" i="1"/>
  <c r="F21" i="1" l="1"/>
  <c r="F20" i="1"/>
  <c r="F19" i="1"/>
  <c r="F18" i="1"/>
  <c r="F17" i="1"/>
  <c r="E21" i="1"/>
  <c r="E20" i="1"/>
  <c r="E19" i="1"/>
  <c r="E18" i="1"/>
  <c r="E17" i="1"/>
  <c r="C22" i="42" l="1"/>
  <c r="C21" i="42"/>
  <c r="C22" i="35"/>
  <c r="C21" i="35"/>
  <c r="C21" i="40"/>
  <c r="D56" i="33"/>
  <c r="E56" i="33"/>
  <c r="F56" i="33"/>
  <c r="G56" i="33"/>
  <c r="C56" i="33"/>
  <c r="C23" i="37"/>
  <c r="C21" i="41"/>
  <c r="D185" i="26"/>
  <c r="C185" i="26"/>
  <c r="D133" i="26"/>
  <c r="E133" i="26"/>
  <c r="F133" i="26"/>
  <c r="G133" i="26"/>
  <c r="H133" i="26"/>
  <c r="C133" i="26"/>
  <c r="D73" i="26"/>
  <c r="E73" i="26"/>
  <c r="F73" i="26"/>
  <c r="G73" i="26"/>
  <c r="H73" i="26"/>
  <c r="C73" i="26"/>
  <c r="D72" i="35"/>
  <c r="E72" i="35"/>
  <c r="F72" i="35"/>
  <c r="G72" i="35"/>
  <c r="H72" i="35"/>
  <c r="C72" i="35"/>
  <c r="C16" i="32" l="1"/>
  <c r="C17" i="32"/>
  <c r="C19" i="32" l="1"/>
  <c r="C23" i="42"/>
  <c r="C24" i="42"/>
  <c r="C25" i="42" s="1"/>
  <c r="B29" i="15"/>
  <c r="B19" i="15"/>
  <c r="B20" i="15"/>
  <c r="B21" i="15"/>
  <c r="B22" i="15"/>
  <c r="B23" i="15"/>
  <c r="B24" i="15"/>
  <c r="B25" i="15"/>
  <c r="B26" i="15"/>
  <c r="B27" i="15"/>
  <c r="B28" i="15"/>
  <c r="B17" i="15"/>
  <c r="B18" i="15"/>
  <c r="C21" i="33"/>
  <c r="C23" i="33"/>
  <c r="C22" i="33"/>
  <c r="C27" i="37"/>
  <c r="C25" i="37"/>
  <c r="C28" i="37" s="1"/>
  <c r="C24" i="37"/>
  <c r="C22" i="37"/>
  <c r="C21" i="37"/>
  <c r="C110" i="41"/>
  <c r="C22" i="41"/>
  <c r="C23" i="41"/>
  <c r="C24" i="41" s="1"/>
  <c r="C40" i="41" s="1"/>
  <c r="D67" i="42"/>
  <c r="D42" i="37"/>
  <c r="D36" i="37"/>
  <c r="C152" i="42"/>
  <c r="C103" i="37"/>
  <c r="C105" i="37" s="1"/>
  <c r="C77" i="33"/>
  <c r="C116" i="33"/>
  <c r="D32" i="33"/>
  <c r="C200" i="26"/>
  <c r="D74" i="26" s="1"/>
  <c r="D183" i="26"/>
  <c r="C183" i="26"/>
  <c r="D182" i="26"/>
  <c r="C182" i="26"/>
  <c r="D130" i="26"/>
  <c r="E130" i="26"/>
  <c r="F130" i="26"/>
  <c r="G130" i="26"/>
  <c r="H130" i="26"/>
  <c r="C130" i="26"/>
  <c r="D71" i="26"/>
  <c r="E71" i="26"/>
  <c r="F71" i="26"/>
  <c r="G71" i="26"/>
  <c r="H71" i="26"/>
  <c r="C71" i="26"/>
  <c r="C70" i="26"/>
  <c r="C41" i="35"/>
  <c r="D116" i="35"/>
  <c r="E116" i="35"/>
  <c r="F116" i="35"/>
  <c r="G116" i="35"/>
  <c r="H116" i="35"/>
  <c r="C116" i="35"/>
  <c r="D95" i="35"/>
  <c r="E95" i="35"/>
  <c r="F95" i="35"/>
  <c r="G95" i="35"/>
  <c r="H95" i="35"/>
  <c r="I95" i="35"/>
  <c r="J95" i="35"/>
  <c r="C95" i="35"/>
  <c r="C137" i="41"/>
  <c r="D148" i="41"/>
  <c r="E148" i="41"/>
  <c r="F148" i="41"/>
  <c r="G148" i="41"/>
  <c r="H148" i="41"/>
  <c r="C148" i="41"/>
  <c r="G89" i="35"/>
  <c r="G88" i="35"/>
  <c r="F89" i="35"/>
  <c r="F88" i="35"/>
  <c r="C6" i="26"/>
  <c r="C121" i="33"/>
  <c r="C47" i="37"/>
  <c r="C148" i="42"/>
  <c r="C147" i="42"/>
  <c r="B9" i="42"/>
  <c r="C8" i="42"/>
  <c r="B7" i="42"/>
  <c r="C6" i="42"/>
  <c r="B6" i="42"/>
  <c r="B5" i="42"/>
  <c r="C4" i="42"/>
  <c r="B4" i="42"/>
  <c r="C3" i="42"/>
  <c r="B3" i="42"/>
  <c r="B2" i="42"/>
  <c r="C74" i="35" l="1"/>
  <c r="C41" i="42"/>
  <c r="C81" i="42"/>
  <c r="C67" i="42"/>
  <c r="G67" i="42"/>
  <c r="H67" i="42"/>
  <c r="F67" i="42"/>
  <c r="E67" i="42"/>
  <c r="C187" i="26"/>
  <c r="C74" i="26"/>
  <c r="H74" i="26"/>
  <c r="H75" i="26" s="1"/>
  <c r="G74" i="26"/>
  <c r="G75" i="26" s="1"/>
  <c r="F74" i="26"/>
  <c r="F75" i="26" s="1"/>
  <c r="E74" i="26"/>
  <c r="E75" i="26" s="1"/>
  <c r="C151" i="26"/>
  <c r="H151" i="26"/>
  <c r="G151" i="26"/>
  <c r="F151" i="26"/>
  <c r="E151" i="26"/>
  <c r="D151" i="26"/>
  <c r="C25" i="26"/>
  <c r="C37" i="26"/>
  <c r="H70" i="37"/>
  <c r="C70" i="37"/>
  <c r="C71" i="37" s="1"/>
  <c r="C82" i="37" s="1"/>
  <c r="D70" i="37"/>
  <c r="E70" i="37"/>
  <c r="F70" i="37"/>
  <c r="G70" i="37"/>
  <c r="D173" i="41"/>
  <c r="E173" i="41"/>
  <c r="F173" i="41"/>
  <c r="G173" i="41"/>
  <c r="H173" i="41"/>
  <c r="C173" i="41"/>
  <c r="C133" i="41"/>
  <c r="C132" i="41"/>
  <c r="C82" i="41" l="1"/>
  <c r="C72" i="41" s="1"/>
  <c r="C127" i="42"/>
  <c r="C118" i="42" s="1"/>
  <c r="C58" i="33"/>
  <c r="C77" i="41"/>
  <c r="C123" i="42"/>
  <c r="C83" i="26"/>
  <c r="C135" i="26"/>
  <c r="E93" i="26"/>
  <c r="D93" i="26"/>
  <c r="D75" i="26"/>
  <c r="C93" i="26"/>
  <c r="C75" i="26"/>
  <c r="H93" i="26"/>
  <c r="G93" i="26"/>
  <c r="F93" i="26"/>
  <c r="B2" i="41"/>
  <c r="B3" i="41"/>
  <c r="C3" i="41"/>
  <c r="B4" i="41"/>
  <c r="C4" i="41"/>
  <c r="B5" i="41"/>
  <c r="B6" i="41"/>
  <c r="C6" i="41"/>
  <c r="B7" i="41"/>
  <c r="C8" i="41"/>
  <c r="B9" i="41"/>
  <c r="C77" i="40"/>
  <c r="C78" i="40" s="1"/>
  <c r="B77" i="40"/>
  <c r="B78" i="40" s="1"/>
  <c r="B9" i="40"/>
  <c r="C8" i="40"/>
  <c r="B7" i="40"/>
  <c r="C6" i="40"/>
  <c r="B6" i="40"/>
  <c r="B5" i="40"/>
  <c r="C4" i="40"/>
  <c r="B4" i="40"/>
  <c r="C3" i="40"/>
  <c r="B3" i="40"/>
  <c r="B2" i="40"/>
  <c r="D123" i="35"/>
  <c r="E123" i="35"/>
  <c r="F123" i="35"/>
  <c r="G123" i="35"/>
  <c r="H123" i="35"/>
  <c r="C123" i="35"/>
  <c r="C103" i="35"/>
  <c r="H68" i="35"/>
  <c r="G68" i="35"/>
  <c r="F68" i="35"/>
  <c r="E68" i="35"/>
  <c r="D68" i="35"/>
  <c r="C68" i="35"/>
  <c r="C40" i="35"/>
  <c r="C8" i="26"/>
  <c r="C4" i="26"/>
  <c r="C3" i="26"/>
  <c r="B9" i="26"/>
  <c r="B7" i="26"/>
  <c r="B6" i="26"/>
  <c r="B5" i="26"/>
  <c r="B4" i="26"/>
  <c r="B3" i="26"/>
  <c r="B2" i="26"/>
  <c r="D70" i="26"/>
  <c r="E70" i="26"/>
  <c r="F70" i="26"/>
  <c r="G70" i="26"/>
  <c r="H70" i="26"/>
  <c r="B9" i="37"/>
  <c r="C8" i="37"/>
  <c r="B7" i="37"/>
  <c r="C6" i="37"/>
  <c r="B6" i="37"/>
  <c r="B5" i="37"/>
  <c r="C4" i="37"/>
  <c r="B4" i="37"/>
  <c r="C3" i="37"/>
  <c r="B3" i="37"/>
  <c r="B2" i="37"/>
  <c r="B9" i="35"/>
  <c r="C8" i="35"/>
  <c r="B7" i="35"/>
  <c r="C6" i="35"/>
  <c r="B6" i="35"/>
  <c r="B5" i="35"/>
  <c r="C4" i="35"/>
  <c r="B4" i="35"/>
  <c r="C3" i="35"/>
  <c r="B3" i="35"/>
  <c r="B2" i="35"/>
  <c r="B9" i="33"/>
  <c r="C8" i="33"/>
  <c r="B7" i="33"/>
  <c r="C6" i="33"/>
  <c r="B6" i="33"/>
  <c r="B5" i="33"/>
  <c r="C4" i="33"/>
  <c r="B4" i="33"/>
  <c r="C3" i="33"/>
  <c r="B3" i="33"/>
  <c r="B2" i="33"/>
  <c r="D131" i="26"/>
  <c r="E131" i="26"/>
  <c r="F131" i="26"/>
  <c r="G131" i="26"/>
  <c r="H131" i="26"/>
  <c r="C131" i="26"/>
  <c r="C147" i="41" l="1"/>
  <c r="C128" i="42"/>
  <c r="C149" i="42" s="1"/>
  <c r="C99" i="35"/>
  <c r="C117" i="35"/>
  <c r="C83" i="41"/>
  <c r="C42" i="35"/>
  <c r="B9" i="32"/>
  <c r="C8" i="32"/>
  <c r="B7" i="32"/>
  <c r="C6" i="32"/>
  <c r="B6" i="32"/>
  <c r="B5" i="32"/>
  <c r="C4" i="32"/>
  <c r="B4" i="32"/>
  <c r="C3" i="32"/>
  <c r="B3" i="32"/>
  <c r="B2" i="32"/>
  <c r="H33" i="1"/>
  <c r="G33" i="1"/>
  <c r="H32" i="1"/>
  <c r="G32" i="1"/>
  <c r="C158" i="41" l="1"/>
  <c r="C161" i="41" s="1"/>
  <c r="C149" i="41"/>
  <c r="C150" i="41" s="1"/>
  <c r="C151" i="42"/>
  <c r="C150" i="42"/>
  <c r="C110" i="35"/>
  <c r="C77" i="26"/>
  <c r="C71" i="35"/>
  <c r="C70" i="35" s="1"/>
  <c r="C118" i="35" s="1"/>
  <c r="C134" i="41"/>
  <c r="B7" i="1"/>
  <c r="C6" i="1"/>
  <c r="B6" i="1"/>
  <c r="B5" i="1"/>
  <c r="B4" i="1"/>
  <c r="C3" i="1"/>
  <c r="B3" i="1"/>
  <c r="B2" i="1"/>
  <c r="C5" i="14"/>
  <c r="C136" i="41" l="1"/>
  <c r="C135" i="41"/>
  <c r="H71" i="35"/>
  <c r="H70" i="35" s="1"/>
  <c r="F71" i="35"/>
  <c r="F70" i="35" s="1"/>
  <c r="E71" i="35"/>
  <c r="E70" i="35" s="1"/>
  <c r="G71" i="35"/>
  <c r="G70" i="35" s="1"/>
  <c r="D71" i="35"/>
  <c r="D70" i="35" s="1"/>
  <c r="C46" i="35"/>
  <c r="C45" i="35"/>
  <c r="C78" i="26"/>
  <c r="C88" i="26" s="1"/>
  <c r="C97" i="26"/>
  <c r="C5" i="1"/>
  <c r="C5" i="42"/>
  <c r="C5" i="26"/>
  <c r="C5" i="33"/>
  <c r="C5" i="40"/>
  <c r="C5" i="41"/>
  <c r="C5" i="37"/>
  <c r="C5" i="35"/>
  <c r="C5" i="32"/>
  <c r="D71" i="42"/>
  <c r="D72" i="42" s="1"/>
  <c r="D78" i="42" s="1"/>
  <c r="E71" i="42"/>
  <c r="E72" i="42" s="1"/>
  <c r="E78" i="42" s="1"/>
  <c r="F71" i="42"/>
  <c r="F72" i="42" s="1"/>
  <c r="F78" i="42" s="1"/>
  <c r="C71" i="42"/>
  <c r="C72" i="42" s="1"/>
  <c r="C78" i="42" s="1"/>
  <c r="G71" i="42"/>
  <c r="G72" i="42" s="1"/>
  <c r="G78" i="42" s="1"/>
  <c r="H71" i="42"/>
  <c r="H72" i="42" s="1"/>
  <c r="H78" i="42" s="1"/>
  <c r="B3" i="15"/>
  <c r="C47" i="35" l="1"/>
  <c r="D76" i="26"/>
  <c r="E76" i="26"/>
  <c r="G76" i="26"/>
  <c r="C153" i="41"/>
  <c r="C154" i="41" s="1"/>
  <c r="C155" i="41" s="1"/>
  <c r="C156" i="26" l="1"/>
  <c r="C157" i="26" s="1"/>
  <c r="C155" i="26"/>
  <c r="C152" i="26" s="1"/>
  <c r="H76" i="26"/>
  <c r="F76" i="26"/>
  <c r="C76" i="26"/>
  <c r="C81" i="26" s="1"/>
  <c r="C151" i="41"/>
  <c r="E153" i="41"/>
  <c r="E154" i="41" s="1"/>
  <c r="E155" i="41" s="1"/>
  <c r="F153" i="41"/>
  <c r="F154" i="41" s="1"/>
  <c r="F155" i="41" s="1"/>
  <c r="H153" i="41"/>
  <c r="H154" i="41" s="1"/>
  <c r="H155" i="41" s="1"/>
  <c r="G153" i="41"/>
  <c r="G154" i="41" s="1"/>
  <c r="G155" i="41" s="1"/>
  <c r="D153" i="41"/>
  <c r="D154" i="41" s="1"/>
  <c r="D155" i="41" s="1"/>
  <c r="C8" i="9"/>
  <c r="C8" i="10"/>
  <c r="C8" i="11"/>
  <c r="C8" i="7"/>
  <c r="B9" i="2"/>
  <c r="B8" i="2"/>
  <c r="C8" i="14"/>
  <c r="C8" i="1" s="1"/>
  <c r="C9" i="14"/>
  <c r="C152" i="41" l="1"/>
  <c r="C156" i="41" s="1"/>
  <c r="C172" i="41" s="1"/>
  <c r="C130" i="35"/>
  <c r="C131" i="35" s="1"/>
  <c r="C128" i="35"/>
  <c r="C127" i="35"/>
  <c r="C137" i="35" s="1"/>
  <c r="C138" i="35" s="1"/>
  <c r="D91" i="26"/>
  <c r="H151" i="41"/>
  <c r="H172" i="41" s="1"/>
  <c r="F151" i="41"/>
  <c r="F172" i="41" s="1"/>
  <c r="E151" i="41"/>
  <c r="E172" i="41" s="1"/>
  <c r="D151" i="41"/>
  <c r="D172" i="41" s="1"/>
  <c r="G151" i="41"/>
  <c r="G172" i="41" s="1"/>
  <c r="C9" i="42"/>
  <c r="C9" i="40"/>
  <c r="C9" i="41"/>
  <c r="C9" i="26"/>
  <c r="C9" i="33"/>
  <c r="C9" i="37"/>
  <c r="C9" i="35"/>
  <c r="C9" i="1"/>
  <c r="C9" i="32"/>
  <c r="C9" i="15"/>
  <c r="C8" i="2"/>
  <c r="C8" i="15"/>
  <c r="C9" i="2"/>
  <c r="C177" i="41" l="1"/>
  <c r="C176" i="41"/>
  <c r="C175" i="41"/>
  <c r="D98" i="26"/>
  <c r="D92" i="26"/>
  <c r="D94" i="26" s="1"/>
  <c r="G91" i="26"/>
  <c r="H91" i="26"/>
  <c r="C199" i="26"/>
  <c r="F91" i="26"/>
  <c r="E91" i="26"/>
  <c r="C91" i="26"/>
  <c r="D16" i="11"/>
  <c r="G30" i="1" s="1"/>
  <c r="H31" i="1"/>
  <c r="H30" i="1"/>
  <c r="C3" i="15"/>
  <c r="B7" i="15"/>
  <c r="B6" i="15"/>
  <c r="B5" i="15"/>
  <c r="B4" i="15"/>
  <c r="B2" i="15"/>
  <c r="C6" i="15"/>
  <c r="C162" i="41" l="1"/>
  <c r="C163" i="41" s="1"/>
  <c r="C164" i="41" s="1"/>
  <c r="C165" i="41" s="1"/>
  <c r="H162" i="41"/>
  <c r="H163" i="41" s="1"/>
  <c r="H164" i="41" s="1"/>
  <c r="H165" i="41" s="1"/>
  <c r="F162" i="41"/>
  <c r="F163" i="41" s="1"/>
  <c r="F164" i="41" s="1"/>
  <c r="F165" i="41" s="1"/>
  <c r="D162" i="41"/>
  <c r="D163" i="41" s="1"/>
  <c r="D164" i="41" s="1"/>
  <c r="D165" i="41" s="1"/>
  <c r="E162" i="41"/>
  <c r="E163" i="41" s="1"/>
  <c r="E164" i="41" s="1"/>
  <c r="E165" i="41" s="1"/>
  <c r="G162" i="41"/>
  <c r="G163" i="41" s="1"/>
  <c r="G164" i="41" s="1"/>
  <c r="G165" i="41" s="1"/>
  <c r="C178" i="41"/>
  <c r="C129" i="35"/>
  <c r="F98" i="26"/>
  <c r="F92" i="26"/>
  <c r="F94" i="26" s="1"/>
  <c r="H92" i="26"/>
  <c r="H94" i="26" s="1"/>
  <c r="H98" i="26"/>
  <c r="E98" i="26"/>
  <c r="E92" i="26"/>
  <c r="E94" i="26" s="1"/>
  <c r="G92" i="26"/>
  <c r="G94" i="26" s="1"/>
  <c r="G98" i="26"/>
  <c r="C98" i="26"/>
  <c r="C92" i="26"/>
  <c r="C94" i="26" s="1"/>
  <c r="B7" i="2"/>
  <c r="B6" i="2"/>
  <c r="B5" i="2"/>
  <c r="B4" i="2"/>
  <c r="B3" i="2"/>
  <c r="B2" i="2"/>
  <c r="B9" i="9"/>
  <c r="B7" i="9"/>
  <c r="B6" i="9"/>
  <c r="B5" i="9"/>
  <c r="B4" i="9"/>
  <c r="B3" i="9"/>
  <c r="B2" i="9"/>
  <c r="B9" i="10"/>
  <c r="B7" i="10"/>
  <c r="B6" i="10"/>
  <c r="B5" i="10"/>
  <c r="B4" i="10"/>
  <c r="B3" i="10"/>
  <c r="B2" i="10"/>
  <c r="B9" i="11"/>
  <c r="B7" i="11"/>
  <c r="B6" i="11"/>
  <c r="B5" i="11"/>
  <c r="B4" i="11"/>
  <c r="B3" i="11"/>
  <c r="B2" i="11"/>
  <c r="B9" i="7"/>
  <c r="B7" i="7"/>
  <c r="B6" i="7"/>
  <c r="B5" i="7"/>
  <c r="B4" i="7"/>
  <c r="B3" i="7"/>
  <c r="B2" i="7"/>
  <c r="C104" i="26" l="1"/>
  <c r="C103" i="26"/>
  <c r="C105" i="26"/>
  <c r="C106" i="26" s="1"/>
  <c r="C6" i="2"/>
  <c r="C3" i="2"/>
  <c r="C6" i="9"/>
  <c r="C3" i="9"/>
  <c r="C6" i="10"/>
  <c r="C3" i="10"/>
  <c r="C6" i="11"/>
  <c r="C3" i="11"/>
  <c r="C3" i="7"/>
  <c r="C6" i="7"/>
  <c r="C7" i="14"/>
  <c r="C6" i="14"/>
  <c r="C4" i="14"/>
  <c r="C4" i="1" s="1"/>
  <c r="C95" i="26" l="1"/>
  <c r="C99" i="26" s="1"/>
  <c r="C100" i="26" s="1"/>
  <c r="D95" i="26"/>
  <c r="D99" i="26" s="1"/>
  <c r="D100" i="26" s="1"/>
  <c r="E95" i="26"/>
  <c r="E99" i="26" s="1"/>
  <c r="E100" i="26" s="1"/>
  <c r="F95" i="26"/>
  <c r="F99" i="26" s="1"/>
  <c r="F100" i="26" s="1"/>
  <c r="G95" i="26"/>
  <c r="G99" i="26" s="1"/>
  <c r="G100" i="26" s="1"/>
  <c r="H95" i="26"/>
  <c r="H99" i="26" s="1"/>
  <c r="H100" i="26" s="1"/>
  <c r="C7" i="42"/>
  <c r="C7" i="40"/>
  <c r="C7" i="41"/>
  <c r="C7" i="26"/>
  <c r="C7" i="37"/>
  <c r="C7" i="35"/>
  <c r="C7" i="33"/>
  <c r="C7" i="1"/>
  <c r="C7" i="32"/>
  <c r="C4" i="15"/>
  <c r="C5" i="15"/>
  <c r="C7" i="7"/>
  <c r="C7" i="15"/>
  <c r="C9" i="7"/>
  <c r="C4" i="9"/>
  <c r="C5" i="11"/>
  <c r="C5" i="2"/>
  <c r="C4" i="10"/>
  <c r="C4" i="7"/>
  <c r="C4" i="11"/>
  <c r="C5" i="9"/>
  <c r="C4" i="2"/>
  <c r="C5" i="7"/>
  <c r="C5" i="10"/>
  <c r="C9" i="11"/>
  <c r="C9" i="10"/>
  <c r="C9" i="9"/>
  <c r="C7" i="2"/>
  <c r="C7" i="9"/>
  <c r="C7" i="10"/>
  <c r="C7" i="11"/>
  <c r="G31" i="1" l="1"/>
</calcChain>
</file>

<file path=xl/sharedStrings.xml><?xml version="1.0" encoding="utf-8"?>
<sst xmlns="http://schemas.openxmlformats.org/spreadsheetml/2006/main" count="1077" uniqueCount="521">
  <si>
    <t>Table of Contents</t>
  </si>
  <si>
    <t>Tab</t>
  </si>
  <si>
    <t>Contents</t>
  </si>
  <si>
    <t>Instructions</t>
  </si>
  <si>
    <t>Instructions and table of contents</t>
  </si>
  <si>
    <t>Lab information, product information and test results</t>
  </si>
  <si>
    <t>Inputs for photographs</t>
  </si>
  <si>
    <t>Inputs for report template user to provide comments</t>
  </si>
  <si>
    <t>Drop-downs</t>
  </si>
  <si>
    <t>Drop-downs used</t>
  </si>
  <si>
    <t>Version Control</t>
  </si>
  <si>
    <t>Revision history</t>
  </si>
  <si>
    <t>LEGEND</t>
  </si>
  <si>
    <t>Tabs</t>
  </si>
  <si>
    <t>Tabs with input cells</t>
  </si>
  <si>
    <t>Tabs with space to paste raw data</t>
  </si>
  <si>
    <t>Cells</t>
  </si>
  <si>
    <t xml:space="preserve"> Input data</t>
  </si>
  <si>
    <t>Auto-populated cell</t>
  </si>
  <si>
    <t>Provided data</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</si>
  <si>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</si>
  <si>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</si>
  <si>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</si>
  <si>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</si>
  <si>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</si>
  <si>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</si>
  <si>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</si>
  <si>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General Info &amp; Test Results</t>
  </si>
  <si>
    <t>Step 2</t>
  </si>
  <si>
    <t>Setup &amp; Instrumentation</t>
  </si>
  <si>
    <t>Step 3</t>
  </si>
  <si>
    <t>Step 5</t>
  </si>
  <si>
    <t>Step 6</t>
  </si>
  <si>
    <t>Step 7</t>
  </si>
  <si>
    <t>Photos</t>
  </si>
  <si>
    <t>Comments</t>
  </si>
  <si>
    <t>Report Sign-off Block</t>
  </si>
  <si>
    <t>Back to Instructions tab</t>
  </si>
  <si>
    <t>Lab Information</t>
  </si>
  <si>
    <t>Lab Name:</t>
  </si>
  <si>
    <t>Lab Location:</t>
  </si>
  <si>
    <t>Test Information</t>
  </si>
  <si>
    <t>Date Test Started:</t>
  </si>
  <si>
    <t>[MM/DD/YYYY]</t>
  </si>
  <si>
    <t>Date Test Finished:</t>
  </si>
  <si>
    <t>Product Information</t>
  </si>
  <si>
    <t xml:space="preserve">Test Report Sign-Off Block </t>
  </si>
  <si>
    <t xml:space="preserve">Manufacturer: </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</si>
  <si>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</si>
  <si>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Brand:</t>
  </si>
  <si>
    <t xml:space="preserve">Manufacturer Model Number: </t>
  </si>
  <si>
    <t>Serial Number:</t>
  </si>
  <si>
    <t>Role</t>
  </si>
  <si>
    <t>Date</t>
  </si>
  <si>
    <t>Entity</t>
  </si>
  <si>
    <t>Date Manufactured:</t>
  </si>
  <si>
    <t>Test Completion</t>
  </si>
  <si>
    <t xml:space="preserve">Date Product Received: </t>
  </si>
  <si>
    <t>Template Completion</t>
  </si>
  <si>
    <t>Condition as Received:</t>
  </si>
  <si>
    <t>Report Review by Test Lab</t>
  </si>
  <si>
    <t>Product Characteristics</t>
  </si>
  <si>
    <t>Instrument Type</t>
  </si>
  <si>
    <t xml:space="preserve">Brand </t>
  </si>
  <si>
    <t>Model #</t>
  </si>
  <si>
    <t>Sensor Location</t>
  </si>
  <si>
    <t>Accuracy</t>
  </si>
  <si>
    <t>Date of Last Calibration</t>
  </si>
  <si>
    <t>Deadline for Next Calibration</t>
  </si>
  <si>
    <t>Description</t>
  </si>
  <si>
    <t>Value</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</si>
  <si>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</si>
  <si>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</si>
  <si>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Title Block</t>
  </si>
  <si>
    <t>Test Report Template Name:</t>
  </si>
  <si>
    <t>Version Number:</t>
  </si>
  <si>
    <t xml:space="preserve">Latest Template Revision: </t>
  </si>
  <si>
    <t>Tab Name:</t>
  </si>
  <si>
    <t>File Name:</t>
  </si>
  <si>
    <t>Revisions List</t>
  </si>
  <si>
    <t>Version</t>
  </si>
  <si>
    <t>v1.0</t>
  </si>
  <si>
    <t>Test Start Date:</t>
  </si>
  <si>
    <t>Test Completion Date:</t>
  </si>
  <si>
    <t>NOTE: Copy only; sign off is done in the Report Sign-Off Block tab</t>
  </si>
  <si>
    <t>Motor Phase</t>
  </si>
  <si>
    <t>Yes_No</t>
  </si>
  <si>
    <t>Yes</t>
  </si>
  <si>
    <t>No</t>
  </si>
  <si>
    <t>Other</t>
  </si>
  <si>
    <t>Pole_Configuration</t>
  </si>
  <si>
    <t xml:space="preserve">Permissible industry test procedures </t>
  </si>
  <si>
    <t>A</t>
  </si>
  <si>
    <t>Is the dynamometer correction necessary?</t>
  </si>
  <si>
    <t>Correlation Coefficient</t>
  </si>
  <si>
    <t>Correlation passed?</t>
  </si>
  <si>
    <t>Test Procedure Description</t>
  </si>
  <si>
    <t>Initial Measurements</t>
  </si>
  <si>
    <t>Relevant Motor Characteristics</t>
  </si>
  <si>
    <t>Load Point Index</t>
  </si>
  <si>
    <t>Percentage of Rated Load</t>
  </si>
  <si>
    <t>Speed (rpm)</t>
  </si>
  <si>
    <t>Dynamometer Correction</t>
  </si>
  <si>
    <t>Is a dynamometer correction necessary?</t>
  </si>
  <si>
    <t>Data</t>
  </si>
  <si>
    <t>Calculations</t>
  </si>
  <si>
    <t>Slope</t>
  </si>
  <si>
    <t>????</t>
  </si>
  <si>
    <t>cos(ϕ)</t>
  </si>
  <si>
    <t>sin(ϕ)</t>
  </si>
  <si>
    <t>Intercept</t>
  </si>
  <si>
    <t>Smoothing of the residual loss data</t>
  </si>
  <si>
    <t>Line Current (A)</t>
  </si>
  <si>
    <t>Stator power (W)</t>
  </si>
  <si>
    <t>Line-to-line Voltage (V)</t>
  </si>
  <si>
    <t>Frequency (Hz)</t>
  </si>
  <si>
    <t>Ambient Temperature (˚C)</t>
  </si>
  <si>
    <t xml:space="preserve">Data Observed </t>
  </si>
  <si>
    <t>Correlation coefficient sufficient?</t>
  </si>
  <si>
    <t>Test Index</t>
  </si>
  <si>
    <t>Operate motor at rated voltage while coupled to the dynamometer with all electrical power removed from the dynamometer.</t>
  </si>
  <si>
    <t>Uncouple the motor from the dynamometer and operate at no load at rated voltage.</t>
  </si>
  <si>
    <t>Is a dynamometer correction required?</t>
  </si>
  <si>
    <t>B</t>
  </si>
  <si>
    <t>Test Condition Details</t>
  </si>
  <si>
    <t>Electrical Input Power (W)</t>
  </si>
  <si>
    <t>Slip (p.u.)</t>
  </si>
  <si>
    <t>Stator I2R loss (W)</t>
  </si>
  <si>
    <t>Corrected slip (p.u.)</t>
  </si>
  <si>
    <t>Observed Speed (rpm)</t>
  </si>
  <si>
    <t>Observed Slip (rpm)</t>
  </si>
  <si>
    <t>Observed Slip (p.u.)</t>
  </si>
  <si>
    <t>Corrected Slip (p.u.)</t>
  </si>
  <si>
    <t>Corrected Speed (rpm)</t>
  </si>
  <si>
    <t>Shaft Power (W)</t>
  </si>
  <si>
    <t>Corrected stator power (W)</t>
  </si>
  <si>
    <t>Efficiency (%)</t>
  </si>
  <si>
    <t>Power Factor (%)</t>
  </si>
  <si>
    <r>
      <t xml:space="preserve">Stator winding temp, </t>
    </r>
    <r>
      <rPr>
        <i/>
        <sz val="11"/>
        <color theme="1"/>
        <rFont val="Palatino Linotype"/>
        <family val="1"/>
      </rPr>
      <t>t</t>
    </r>
    <r>
      <rPr>
        <i/>
        <sz val="9"/>
        <color theme="1"/>
        <rFont val="Palatino Linotype"/>
        <family val="1"/>
      </rPr>
      <t>t</t>
    </r>
    <r>
      <rPr>
        <sz val="11"/>
        <color theme="1"/>
        <rFont val="Palatino Linotype"/>
        <family val="1"/>
      </rPr>
      <t xml:space="preserve"> (</t>
    </r>
    <r>
      <rPr>
        <sz val="11"/>
        <color theme="1"/>
        <rFont val="Calibri"/>
        <family val="2"/>
      </rPr>
      <t>˚</t>
    </r>
    <r>
      <rPr>
        <sz val="9.9"/>
        <color theme="1"/>
        <rFont val="Palatino Linotype"/>
        <family val="1"/>
      </rPr>
      <t>C)</t>
    </r>
  </si>
  <si>
    <t>Number of poles</t>
  </si>
  <si>
    <t>Synchronous Speed (rpm)</t>
  </si>
  <si>
    <t>Slip Speed (rpm)</t>
  </si>
  <si>
    <t>Stator core voltage (V)</t>
  </si>
  <si>
    <t>Core Loss (W)</t>
  </si>
  <si>
    <t>Power across air gap (W)</t>
  </si>
  <si>
    <t>Rotor I2R Loss (W)</t>
  </si>
  <si>
    <t>Total convention loss (W)</t>
  </si>
  <si>
    <t>Apparent total Loss (W)</t>
  </si>
  <si>
    <t>Stray load loss (W)</t>
  </si>
  <si>
    <t>Corrected power across air gap (W)</t>
  </si>
  <si>
    <t>Corrected stray load loss (W)</t>
  </si>
  <si>
    <t>Corrected shaft power (W)</t>
  </si>
  <si>
    <t>Linear Regression Analysis</t>
  </si>
  <si>
    <t>Rated ("hot") Load Temperature Test - not required if previously performed on a duplicate machine</t>
  </si>
  <si>
    <t>Ambient ("cold") Temperature Data</t>
  </si>
  <si>
    <t>Conductor Material</t>
  </si>
  <si>
    <t>Is duplicate data being used?</t>
  </si>
  <si>
    <t>Percentage of Rated Voltage</t>
  </si>
  <si>
    <t>No-Load Index</t>
  </si>
  <si>
    <t>Establish stability and run motor at rated voltage and frequency with no connected load record the following</t>
  </si>
  <si>
    <t>Analysis</t>
  </si>
  <si>
    <t>Calculated Data</t>
  </si>
  <si>
    <t>Torque Squared</t>
  </si>
  <si>
    <t>Correlation Factor</t>
  </si>
  <si>
    <t>Stray Load Loss</t>
  </si>
  <si>
    <t>Does worst data point need to be deleted?</t>
  </si>
  <si>
    <t>No-Load Test</t>
  </si>
  <si>
    <t>Correction</t>
  </si>
  <si>
    <t>Synchronous speed (rpm)</t>
  </si>
  <si>
    <t>Load Point Testing</t>
  </si>
  <si>
    <t>Corrected Slip Speed (rpm)</t>
  </si>
  <si>
    <t>Output Power (W)</t>
  </si>
  <si>
    <t>Voltage (V)</t>
  </si>
  <si>
    <t>Input Power (W)</t>
  </si>
  <si>
    <t>Input Power Correction (W)</t>
  </si>
  <si>
    <t>Corrected Input Power (W)</t>
  </si>
  <si>
    <t>Initial Data Collection</t>
  </si>
  <si>
    <r>
      <t>Stator Main Winding Temp, t</t>
    </r>
    <r>
      <rPr>
        <sz val="9"/>
        <color theme="1"/>
        <rFont val="Palatino Linotype"/>
        <family val="1"/>
      </rPr>
      <t>t</t>
    </r>
    <r>
      <rPr>
        <sz val="11"/>
        <color theme="1"/>
        <rFont val="Palatino Linotype"/>
        <family val="1"/>
      </rPr>
      <t xml:space="preserve"> (˚C)</t>
    </r>
  </si>
  <si>
    <t>Synchronous Speed</t>
  </si>
  <si>
    <t>k constant value</t>
  </si>
  <si>
    <t>Conductor_Material</t>
  </si>
  <si>
    <t>Aluminum</t>
  </si>
  <si>
    <t>Copper</t>
  </si>
  <si>
    <t>Motor running at no load and coupled to the dynamometer</t>
  </si>
  <si>
    <t>Motor running at no load and uncoupled from the dynamometer</t>
  </si>
  <si>
    <t>C</t>
  </si>
  <si>
    <t>Motor running at 25% load test point</t>
  </si>
  <si>
    <t>Stator Current (A)</t>
  </si>
  <si>
    <r>
      <t>Stator resistive loss at t</t>
    </r>
    <r>
      <rPr>
        <sz val="9"/>
        <color theme="1"/>
        <rFont val="Palatino Linotype"/>
        <family val="1"/>
      </rPr>
      <t>t</t>
    </r>
    <r>
      <rPr>
        <sz val="11"/>
        <color theme="1"/>
        <rFont val="Palatino Linotype"/>
        <family val="1"/>
      </rPr>
      <t xml:space="preserve"> (W)</t>
    </r>
  </si>
  <si>
    <r>
      <t>Stator resistive loss at t</t>
    </r>
    <r>
      <rPr>
        <sz val="9"/>
        <color theme="1"/>
        <rFont val="Palatino Linotype"/>
        <family val="1"/>
      </rPr>
      <t>s</t>
    </r>
    <r>
      <rPr>
        <sz val="11"/>
        <color theme="1"/>
        <rFont val="Palatino Linotype"/>
        <family val="1"/>
      </rPr>
      <t xml:space="preserve"> (W)</t>
    </r>
  </si>
  <si>
    <t>Measured Load (% of rated Torque)</t>
  </si>
  <si>
    <t>Rated Motor Torque</t>
  </si>
  <si>
    <t>Nameplate Speed (rpm)</t>
  </si>
  <si>
    <t>Winding Temperature (˚C)</t>
  </si>
  <si>
    <t>Total Harmonic Distortion (%)</t>
  </si>
  <si>
    <r>
      <t xml:space="preserve">No Load Coupled </t>
    </r>
    <r>
      <rPr>
        <sz val="11"/>
        <color theme="1"/>
        <rFont val="Palatino Linotype"/>
        <family val="1"/>
      </rPr>
      <t>- With dynamometer coupled, reduce load to minimum dynamometer load, with motor operating at rated voltage and frequency</t>
    </r>
  </si>
  <si>
    <r>
      <t>Low Load Point</t>
    </r>
    <r>
      <rPr>
        <sz val="11"/>
        <color theme="1"/>
        <rFont val="Palatino Linotype"/>
        <family val="1"/>
      </rPr>
      <t xml:space="preserve"> - Adjust dynamometer to 10-25% rated load</t>
    </r>
  </si>
  <si>
    <r>
      <t>No Load Uncoupled</t>
    </r>
    <r>
      <rPr>
        <sz val="11"/>
        <color theme="1"/>
        <rFont val="Palatino Linotype"/>
        <family val="1"/>
      </rPr>
      <t xml:space="preserve"> - Immediately disconnect dynamometer and apply rated voltage and frequency</t>
    </r>
  </si>
  <si>
    <t>Percentage of Rated Load (%)</t>
  </si>
  <si>
    <t>Percentage of rated power (%)</t>
  </si>
  <si>
    <t>Targeted Rated Load (%)</t>
  </si>
  <si>
    <t>125-150</t>
  </si>
  <si>
    <t>Winding Material Used</t>
  </si>
  <si>
    <t>Percentage of Nominal Voltage (%)</t>
  </si>
  <si>
    <t>125-115</t>
  </si>
  <si>
    <t>114-100</t>
  </si>
  <si>
    <t>99-85</t>
  </si>
  <si>
    <t>84-50</t>
  </si>
  <si>
    <t>49-35</t>
  </si>
  <si>
    <t>34-20</t>
  </si>
  <si>
    <t>Capacitor Configuration</t>
  </si>
  <si>
    <t>Capacitor_Configuration</t>
  </si>
  <si>
    <t>Capacitor-Start Induction-Run</t>
  </si>
  <si>
    <t>Capacitor-Start Capacitor-Run</t>
  </si>
  <si>
    <t>N/A</t>
  </si>
  <si>
    <t>Permanent Split Capacitor</t>
  </si>
  <si>
    <r>
      <rPr>
        <b/>
        <sz val="11"/>
        <color theme="1"/>
        <rFont val="Palatino Linotype"/>
        <family val="1"/>
      </rPr>
      <t>Full Load ("Hot") Temperature Run</t>
    </r>
    <r>
      <rPr>
        <sz val="11"/>
        <color theme="1"/>
        <rFont val="Palatino Linotype"/>
        <family val="1"/>
      </rPr>
      <t xml:space="preserve"> - Stabilize motor at rated V and Hz, take data within 30 seconds of shutdown</t>
    </r>
  </si>
  <si>
    <r>
      <t xml:space="preserve">Thermal Equilibrium </t>
    </r>
    <r>
      <rPr>
        <sz val="11"/>
        <color theme="1"/>
        <rFont val="Palatino Linotype"/>
        <family val="1"/>
      </rPr>
      <t>- At rated voltage, frequency and full-load torque</t>
    </r>
  </si>
  <si>
    <t>Determination of Industry Test Procedure Used</t>
  </si>
  <si>
    <t>Motor Winding Resistance (Ω)</t>
  </si>
  <si>
    <t>Cold Motor Winding Temp (˚C)</t>
  </si>
  <si>
    <t>Motor Winding Temperature (˚C)</t>
  </si>
  <si>
    <t>Specified Temperature (˚C)</t>
  </si>
  <si>
    <t>Temperature Rise as Measured (˚C)</t>
  </si>
  <si>
    <t>Temperature Rise by Resistance (˚C)</t>
  </si>
  <si>
    <t>Motor Torque (N*m)</t>
  </si>
  <si>
    <t>Torque (N*m)</t>
  </si>
  <si>
    <r>
      <t>Stator resistance at t</t>
    </r>
    <r>
      <rPr>
        <sz val="9"/>
        <color theme="1"/>
        <rFont val="Palatino Linotype"/>
        <family val="1"/>
      </rPr>
      <t>t</t>
    </r>
    <r>
      <rPr>
        <sz val="11"/>
        <color theme="1"/>
        <rFont val="Palatino Linotype"/>
        <family val="1"/>
      </rPr>
      <t xml:space="preserve"> (Ω)</t>
    </r>
  </si>
  <si>
    <r>
      <t>Stator resistance at t</t>
    </r>
    <r>
      <rPr>
        <sz val="9"/>
        <color theme="1"/>
        <rFont val="Palatino Linotype"/>
        <family val="1"/>
      </rPr>
      <t>s</t>
    </r>
    <r>
      <rPr>
        <sz val="11"/>
        <color theme="1"/>
        <rFont val="Palatino Linotype"/>
        <family val="1"/>
      </rPr>
      <t xml:space="preserve"> (Ω)</t>
    </r>
  </si>
  <si>
    <t>Corrected Torque (N*m)</t>
  </si>
  <si>
    <t>Initial Torque Offset (N*m)</t>
  </si>
  <si>
    <t>Full-Load Torque (N*m)</t>
  </si>
  <si>
    <t>Torque output (N*m)</t>
  </si>
  <si>
    <t>Final Torque Offset (N*m)</t>
  </si>
  <si>
    <t>Stator winding resistance (Ω)</t>
  </si>
  <si>
    <r>
      <t xml:space="preserve">Stator winding resistance, </t>
    </r>
    <r>
      <rPr>
        <i/>
        <sz val="11"/>
        <color theme="1"/>
        <rFont val="Palatino Linotype"/>
        <family val="1"/>
      </rPr>
      <t>Rc</t>
    </r>
    <r>
      <rPr>
        <sz val="11"/>
        <color theme="1"/>
        <rFont val="Palatino Linotype"/>
        <family val="1"/>
      </rPr>
      <t xml:space="preserve"> (Ω)</t>
    </r>
  </si>
  <si>
    <r>
      <t xml:space="preserve">Stator winding resistance, </t>
    </r>
    <r>
      <rPr>
        <i/>
        <sz val="11"/>
        <color theme="1"/>
        <rFont val="Palatino Linotype"/>
        <family val="1"/>
      </rPr>
      <t>Rh</t>
    </r>
    <r>
      <rPr>
        <sz val="11"/>
        <color theme="1"/>
        <rFont val="Palatino Linotype"/>
        <family val="1"/>
      </rPr>
      <t xml:space="preserve"> (Ω)</t>
    </r>
  </si>
  <si>
    <t>Rated Load Temperature (˚C)</t>
  </si>
  <si>
    <r>
      <t xml:space="preserve">Specified Temperature, </t>
    </r>
    <r>
      <rPr>
        <i/>
        <sz val="11"/>
        <color theme="1"/>
        <rFont val="Palatino Linotype"/>
        <family val="1"/>
      </rPr>
      <t>ts</t>
    </r>
    <r>
      <rPr>
        <sz val="11"/>
        <color theme="1"/>
        <rFont val="Palatino Linotype"/>
        <family val="1"/>
      </rPr>
      <t xml:space="preserve"> (˚C)</t>
    </r>
  </si>
  <si>
    <r>
      <t xml:space="preserve">Specified Temperature from duplicate, </t>
    </r>
    <r>
      <rPr>
        <i/>
        <sz val="11"/>
        <color theme="1"/>
        <rFont val="Palatino Linotype"/>
        <family val="1"/>
      </rPr>
      <t>ts</t>
    </r>
    <r>
      <rPr>
        <sz val="11"/>
        <color theme="1"/>
        <rFont val="Palatino Linotype"/>
        <family val="1"/>
      </rPr>
      <t xml:space="preserve"> (˚C)</t>
    </r>
  </si>
  <si>
    <t>Rated Load (W)</t>
  </si>
  <si>
    <t>Rated Voltage (V)</t>
  </si>
  <si>
    <t>Temperature (˚C)</t>
  </si>
  <si>
    <t>Percentage of Rated Voltage (%)</t>
  </si>
  <si>
    <r>
      <t xml:space="preserve">Core Loss at Rated Voltage, </t>
    </r>
    <r>
      <rPr>
        <i/>
        <sz val="11"/>
        <color theme="1"/>
        <rFont val="Palatino Linotype"/>
        <family val="1"/>
      </rPr>
      <t>Ph</t>
    </r>
    <r>
      <rPr>
        <sz val="11"/>
        <color theme="1"/>
        <rFont val="Palatino Linotype"/>
        <family val="1"/>
      </rPr>
      <t xml:space="preserve"> (W)</t>
    </r>
  </si>
  <si>
    <t>Friction and Windage Loss (W)</t>
  </si>
  <si>
    <t>Stator I2R Loss Test A (W)</t>
  </si>
  <si>
    <t>Stator I2R Loss Test B (W)</t>
  </si>
  <si>
    <t>Associated Power Test A (W)</t>
  </si>
  <si>
    <t>Associated Power Test B (W)</t>
  </si>
  <si>
    <t>Torque correction of dynamometer (N*m)</t>
  </si>
  <si>
    <t>Stator Power Correction (W)</t>
  </si>
  <si>
    <t>Resistance between terminals (Ω)</t>
  </si>
  <si>
    <r>
      <t xml:space="preserve">Stator Winding Resistance, </t>
    </r>
    <r>
      <rPr>
        <i/>
        <sz val="11"/>
        <color theme="1"/>
        <rFont val="Palatino Linotype"/>
        <family val="1"/>
      </rPr>
      <t xml:space="preserve">Rc </t>
    </r>
    <r>
      <rPr>
        <sz val="11"/>
        <color theme="1"/>
        <rFont val="Palatino Linotype"/>
        <family val="1"/>
      </rPr>
      <t xml:space="preserve"> (Ω)</t>
    </r>
  </si>
  <si>
    <r>
      <t xml:space="preserve">Stator Winding Resistance, </t>
    </r>
    <r>
      <rPr>
        <i/>
        <sz val="11"/>
        <color theme="1"/>
        <rFont val="Palatino Linotype"/>
        <family val="1"/>
      </rPr>
      <t>Rh</t>
    </r>
    <r>
      <rPr>
        <sz val="11"/>
        <color theme="1"/>
        <rFont val="Palatino Linotype"/>
        <family val="1"/>
      </rPr>
      <t xml:space="preserve"> (Ω)</t>
    </r>
  </si>
  <si>
    <t>Current (A)</t>
  </si>
  <si>
    <t>Power input (W)</t>
  </si>
  <si>
    <t>Stator I2R (W)</t>
  </si>
  <si>
    <t>Total loss - Stator I2R loss (W)</t>
  </si>
  <si>
    <r>
      <t xml:space="preserve">Core Loss, </t>
    </r>
    <r>
      <rPr>
        <i/>
        <sz val="11"/>
        <color theme="1"/>
        <rFont val="Palatino Linotype"/>
        <family val="1"/>
      </rPr>
      <t>Ph</t>
    </r>
    <r>
      <rPr>
        <sz val="11"/>
        <color theme="1"/>
        <rFont val="Palatino Linotype"/>
        <family val="1"/>
      </rPr>
      <t xml:space="preserve"> (W)</t>
    </r>
  </si>
  <si>
    <t>Friction and Windage loss (W)</t>
  </si>
  <si>
    <t>Actual No Load Coupled Torque (N*m)</t>
  </si>
  <si>
    <t>Dynamometer Correction Factor (N*m)</t>
  </si>
  <si>
    <t>Nameplate speed (rpm)</t>
  </si>
  <si>
    <r>
      <t xml:space="preserve">Stator I2R Loss at </t>
    </r>
    <r>
      <rPr>
        <i/>
        <sz val="11"/>
        <color theme="1"/>
        <rFont val="Palatino Linotype"/>
        <family val="1"/>
      </rPr>
      <t>tt</t>
    </r>
    <r>
      <rPr>
        <sz val="11"/>
        <color theme="1"/>
        <rFont val="Palatino Linotype"/>
        <family val="1"/>
      </rPr>
      <t xml:space="preserve"> (W)</t>
    </r>
  </si>
  <si>
    <r>
      <t xml:space="preserve">Winding resistance at </t>
    </r>
    <r>
      <rPr>
        <i/>
        <sz val="11"/>
        <color theme="1"/>
        <rFont val="Palatino Linotype"/>
        <family val="1"/>
      </rPr>
      <t>ts</t>
    </r>
    <r>
      <rPr>
        <sz val="11"/>
        <color theme="1"/>
        <rFont val="Palatino Linotype"/>
        <family val="1"/>
      </rPr>
      <t xml:space="preserve"> (Ω)</t>
    </r>
  </si>
  <si>
    <r>
      <t xml:space="preserve">Stator I2R Loss at </t>
    </r>
    <r>
      <rPr>
        <i/>
        <sz val="11"/>
        <color theme="1"/>
        <rFont val="Palatino Linotype"/>
        <family val="1"/>
      </rPr>
      <t>ts</t>
    </r>
    <r>
      <rPr>
        <sz val="11"/>
        <color theme="1"/>
        <rFont val="Palatino Linotype"/>
        <family val="1"/>
      </rPr>
      <t xml:space="preserve"> (W)</t>
    </r>
  </si>
  <si>
    <t>Average winding resistance (Ω)</t>
  </si>
  <si>
    <r>
      <t xml:space="preserve">Stator I2R loss at </t>
    </r>
    <r>
      <rPr>
        <i/>
        <sz val="11"/>
        <color theme="1"/>
        <rFont val="Palatino Linotype"/>
        <family val="1"/>
      </rPr>
      <t>ts</t>
    </r>
    <r>
      <rPr>
        <sz val="11"/>
        <color theme="1"/>
        <rFont val="Palatino Linotype"/>
        <family val="1"/>
      </rPr>
      <t xml:space="preserve"> (W)</t>
    </r>
  </si>
  <si>
    <t>Corrected total loss (W)</t>
  </si>
  <si>
    <r>
      <t xml:space="preserve">Corrected Rotor I2R Loss at </t>
    </r>
    <r>
      <rPr>
        <i/>
        <sz val="11"/>
        <color theme="1"/>
        <rFont val="Palatino Linotype"/>
        <family val="1"/>
      </rPr>
      <t>ts</t>
    </r>
    <r>
      <rPr>
        <sz val="11"/>
        <color theme="1"/>
        <rFont val="Palatino Linotype"/>
        <family val="1"/>
      </rPr>
      <t xml:space="preserve"> (W)</t>
    </r>
  </si>
  <si>
    <t>Stator core and windage-friction losses</t>
  </si>
  <si>
    <t>Heat-run test</t>
  </si>
  <si>
    <t>100-150</t>
  </si>
  <si>
    <t>25-100</t>
  </si>
  <si>
    <t>Load Testing - Test from highest to lowest load</t>
  </si>
  <si>
    <t>100-125</t>
  </si>
  <si>
    <t>75-100</t>
  </si>
  <si>
    <t>20-50</t>
  </si>
  <si>
    <t>Targeted Load Range (%)</t>
  </si>
  <si>
    <t>Targeted Voltage Range (%)</t>
  </si>
  <si>
    <t xml:space="preserve">Establish stability and test the following voltage points without increasing current </t>
  </si>
  <si>
    <t>Establish stability and test the following from highest to lowest voltage without increasing current</t>
  </si>
  <si>
    <r>
      <t xml:space="preserve">Load Testing </t>
    </r>
    <r>
      <rPr>
        <sz val="11"/>
        <color theme="1"/>
        <rFont val="Palatino Linotype"/>
        <family val="1"/>
      </rPr>
      <t>- Test the following points from highest to lowest load</t>
    </r>
  </si>
  <si>
    <t>Load curve test</t>
  </si>
  <si>
    <t>Average Terminal Voltage (V)</t>
  </si>
  <si>
    <t>Average Line Current (A)</t>
  </si>
  <si>
    <t>Operating Speed (1/s)</t>
  </si>
  <si>
    <t>Machine Torque (N*m)</t>
  </si>
  <si>
    <t>Primary coolant inlet temperature (˚C)</t>
  </si>
  <si>
    <t>Ambient Winding Resistance (Ω)</t>
  </si>
  <si>
    <t>Supply Frequency (Hz)</t>
  </si>
  <si>
    <t>Test Resistance (Ω)</t>
  </si>
  <si>
    <t xml:space="preserve"> Winding temperature (˚C)</t>
  </si>
  <si>
    <t>Power input, (kW)</t>
  </si>
  <si>
    <t>Frequency, (Hz)</t>
  </si>
  <si>
    <t>Winding temperature, (°C)</t>
  </si>
  <si>
    <t>Cold winding temperature (°C)</t>
  </si>
  <si>
    <t>Cold motor stator winding resistance (Ω)</t>
  </si>
  <si>
    <t>Maximum allowed time delay (sec)</t>
  </si>
  <si>
    <t>Actual time delay (sec)</t>
  </si>
  <si>
    <t xml:space="preserve">Description </t>
  </si>
  <si>
    <t>Average Voltage (V)</t>
  </si>
  <si>
    <t>Ambient temperature (°C)</t>
  </si>
  <si>
    <r>
      <t xml:space="preserve">Load test </t>
    </r>
    <r>
      <rPr>
        <sz val="11"/>
        <color theme="1"/>
        <rFont val="Palatino Linotype"/>
        <family val="1"/>
      </rPr>
      <t>- Apply rated voltage and frequency</t>
    </r>
  </si>
  <si>
    <t>Line a-b Voltage (V)</t>
  </si>
  <si>
    <t>Line b-c Voltage (V)</t>
  </si>
  <si>
    <t>Line c-a Voltage (V)</t>
  </si>
  <si>
    <r>
      <t xml:space="preserve">No-load test </t>
    </r>
    <r>
      <rPr>
        <sz val="11"/>
        <color theme="1"/>
        <rFont val="Palatino Linotype"/>
        <family val="1"/>
      </rPr>
      <t>- Establish power stabilization and apply rated frequency at no-load</t>
    </r>
  </si>
  <si>
    <t>Line a Current (A)</t>
  </si>
  <si>
    <t>Line b Current (A)</t>
  </si>
  <si>
    <t>Line c Current (A)</t>
  </si>
  <si>
    <t>Temperature rise by resistance (°C)</t>
  </si>
  <si>
    <t>Corrected winding temperature (°C)</t>
  </si>
  <si>
    <t>Slip</t>
  </si>
  <si>
    <t>Corrected Winding Resistance Ambient (Ω)</t>
  </si>
  <si>
    <t>Efficiency determination</t>
  </si>
  <si>
    <t>No-load test</t>
  </si>
  <si>
    <t>Primary Coolant Inlet Temp (˚C)</t>
  </si>
  <si>
    <t>Corrected rotor winding losses (W)</t>
  </si>
  <si>
    <t>Slip (sec)</t>
  </si>
  <si>
    <t>Corrected Slip (sec)</t>
  </si>
  <si>
    <t>Operating Speed (rpm)</t>
  </si>
  <si>
    <t>Winding Resistance (Ω)</t>
  </si>
  <si>
    <t>Resistance immediately before test (Ω)</t>
  </si>
  <si>
    <t>Resistance immediately after test (Ω)</t>
  </si>
  <si>
    <t>Stator-winding losses at no load (W)</t>
  </si>
  <si>
    <t>Constant losses (W)</t>
  </si>
  <si>
    <t>Friction and windage losses (W)</t>
  </si>
  <si>
    <t>Inner voltage (V)</t>
  </si>
  <si>
    <t>Input power at no-load (W)</t>
  </si>
  <si>
    <t>Interpolated Winding Resistance (Ω)</t>
  </si>
  <si>
    <t>Percentage of Rated Voltage? (%)</t>
  </si>
  <si>
    <t>Targeted Rated Voltage? (%)</t>
  </si>
  <si>
    <t>Referenced in Interpolation (Internal)</t>
  </si>
  <si>
    <t>Terminal Voltage (V)</t>
  </si>
  <si>
    <r>
      <t>Voltage Squared (V</t>
    </r>
    <r>
      <rPr>
        <vertAlign val="superscript"/>
        <sz val="11"/>
        <color theme="1"/>
        <rFont val="Palatino Linotype"/>
        <family val="1"/>
      </rPr>
      <t>2</t>
    </r>
    <r>
      <rPr>
        <sz val="11"/>
        <color theme="1"/>
        <rFont val="Palatino Linotype"/>
        <family val="1"/>
      </rPr>
      <t>)</t>
    </r>
  </si>
  <si>
    <t>Full Load Losses</t>
  </si>
  <si>
    <t>Full Load Iron Losses (W)</t>
  </si>
  <si>
    <t>Iron Losses over no-load (W)</t>
  </si>
  <si>
    <t>Additional Load Losses</t>
  </si>
  <si>
    <t>Corrected Friction and Windage Losses (W)</t>
  </si>
  <si>
    <t>Residual losses (W)</t>
  </si>
  <si>
    <t>Uncorrected stator-winding losses (W)</t>
  </si>
  <si>
    <t xml:space="preserve"> Uncorrected rotor-winding losses (W)</t>
  </si>
  <si>
    <t>Iron Losses (W)</t>
  </si>
  <si>
    <r>
      <t>Torque</t>
    </r>
    <r>
      <rPr>
        <vertAlign val="superscript"/>
        <sz val="11"/>
        <color theme="1"/>
        <rFont val="Palatino Linotype"/>
        <family val="1"/>
      </rPr>
      <t>2</t>
    </r>
    <r>
      <rPr>
        <sz val="11"/>
        <color theme="1"/>
        <rFont val="Palatino Linotype"/>
        <family val="1"/>
      </rPr>
      <t xml:space="preserve"> (N*m</t>
    </r>
    <r>
      <rPr>
        <vertAlign val="superscript"/>
        <sz val="11"/>
        <color theme="1"/>
        <rFont val="Palatino Linotype"/>
        <family val="1"/>
      </rPr>
      <t>2</t>
    </r>
    <r>
      <rPr>
        <sz val="11"/>
        <color theme="1"/>
        <rFont val="Palatino Linotype"/>
        <family val="1"/>
      </rPr>
      <t>)</t>
    </r>
  </si>
  <si>
    <t>Additional Load Losses (W)</t>
  </si>
  <si>
    <t>Load point index deleted (if applicable)</t>
  </si>
  <si>
    <t>Total Losses (W)</t>
  </si>
  <si>
    <t xml:space="preserve"> Temperature correction factor</t>
  </si>
  <si>
    <t>Corrected input power (W)</t>
  </si>
  <si>
    <t>Rated Load Test</t>
  </si>
  <si>
    <t>Ambient Temperature Measurements</t>
  </si>
  <si>
    <t>Corrected stator-winding losses (W)</t>
  </si>
  <si>
    <t>Number of Poles</t>
  </si>
  <si>
    <t>Uncorrected rotor winding losses (W)</t>
  </si>
  <si>
    <t>Stator Winding Resistance (Ω)</t>
  </si>
  <si>
    <t>Stator Winding Temperature (°C)</t>
  </si>
  <si>
    <t>Ambient Temperature (°C)</t>
  </si>
  <si>
    <t>Establish thermal equilibrium at rated voltage, frequency, and no less than full-load, then disconnect power and allow the motor to stop and record the following within the maximum allowable time delay:</t>
  </si>
  <si>
    <t>Corrected winding temp (°C)</t>
  </si>
  <si>
    <t>Winding temp after equilibrium (°C)</t>
  </si>
  <si>
    <t>Corrected winding resistance (Ω)</t>
  </si>
  <si>
    <t>Stator Winding loss (kW)</t>
  </si>
  <si>
    <t>Core and winding friction correction (kW)</t>
  </si>
  <si>
    <t>Windage-Friction Loss (kW)</t>
  </si>
  <si>
    <t>Average Line Curent (A)</t>
  </si>
  <si>
    <t>Corrected Voltage (V)</t>
  </si>
  <si>
    <t>cos φ</t>
  </si>
  <si>
    <t>sin φ</t>
  </si>
  <si>
    <t>Stator Winding Loss (kW)</t>
  </si>
  <si>
    <t>Rotor Winding Loss (kW)</t>
  </si>
  <si>
    <t>Core Loss (kW)</t>
  </si>
  <si>
    <t>Outlet Power (kW)</t>
  </si>
  <si>
    <t>Residual Power (kW)</t>
  </si>
  <si>
    <t>Satisfactory?</t>
  </si>
  <si>
    <t>Load Point index deleted (if applicable)</t>
  </si>
  <si>
    <t>Corrected Stator Winding Loss (kW)</t>
  </si>
  <si>
    <t>Slip Corrected to Ambient</t>
  </si>
  <si>
    <t xml:space="preserve">Corrected Rotor Winding Loss (kW) </t>
  </si>
  <si>
    <t>Corrected power Output (kW)</t>
  </si>
  <si>
    <t>Power input (kW)</t>
  </si>
  <si>
    <t>Winding Temperature (°C)</t>
  </si>
  <si>
    <t>Stray Load Loss (kW)</t>
  </si>
  <si>
    <t>Core Losses (kW)</t>
  </si>
  <si>
    <t>Voltage Unbalance (%)</t>
  </si>
  <si>
    <t>Frequency Variation (%)</t>
  </si>
  <si>
    <t xml:space="preserve">Rated Voltage </t>
  </si>
  <si>
    <t>Average Line Voltage (V)</t>
  </si>
  <si>
    <t>Average Current (A)</t>
  </si>
  <si>
    <t>Slope - resistance temp vs resistance</t>
  </si>
  <si>
    <t>Intercept - resistance temp vs resistance</t>
  </si>
  <si>
    <t>Slope - temp device vs resistance</t>
  </si>
  <si>
    <t>Intercept - temp device vs resistance</t>
  </si>
  <si>
    <t>Operate the motor coupled to the dynamometer, with the dynamometer not loaded.</t>
  </si>
  <si>
    <t>Run the motor uncoupled from the dynamometer.</t>
  </si>
  <si>
    <t>Torque Output (N*m)</t>
  </si>
  <si>
    <t>Rotational speed (rpm)</t>
  </si>
  <si>
    <t>Speed (p.u.)</t>
  </si>
  <si>
    <t>Stator Loss Test A (kW)</t>
  </si>
  <si>
    <t>Stator Loss Test B (kW)</t>
  </si>
  <si>
    <t>Corrected Winding Temperature Test B</t>
  </si>
  <si>
    <t>Corrected Winding Resistance Test B</t>
  </si>
  <si>
    <t>Corrected Winding Temperature Test A</t>
  </si>
  <si>
    <t>Corrected Winding Resistance Test A</t>
  </si>
  <si>
    <t>Core Loss at Rated V (kW)</t>
  </si>
  <si>
    <t>When the motor winding, stator core, or frame temperature is within 3°C of ambient temperature, record the following:</t>
  </si>
  <si>
    <t>Cold Temperature Test</t>
  </si>
  <si>
    <t>Permissibility of Power Supply:</t>
  </si>
  <si>
    <t>Input Power (kW)</t>
  </si>
  <si>
    <t>Load Testing</t>
  </si>
  <si>
    <t>Conduct testing at full load first, then move in descending order to lowest desired load point. Load Points shall be substantially equally spaced. Measure and record data within 30 seconds of establishing each load point. After each measurement, return the motor to full load equilibrium unless all measurements can be made within 3 minutes.</t>
  </si>
  <si>
    <t>Line Voltage (V)</t>
  </si>
  <si>
    <t>Additional Conditions</t>
  </si>
  <si>
    <t>Motors shall also be tested at each selectable speed, voltage, or frequency. Continuously adjustable speed motors shall be tested at 75% to 50% of full speed.</t>
  </si>
  <si>
    <t>Selectable Metric Used</t>
  </si>
  <si>
    <t>Selection Number</t>
  </si>
  <si>
    <t>Load Torque (N*m)</t>
  </si>
  <si>
    <t>Final Measurements and Calculations</t>
  </si>
  <si>
    <t>Absolute Difference of Torque Offsets (N*m)</t>
  </si>
  <si>
    <t>Data Validation</t>
  </si>
  <si>
    <t>CSA_Selectable_Metric</t>
  </si>
  <si>
    <t>Voltage</t>
  </si>
  <si>
    <t>Frequency</t>
  </si>
  <si>
    <t>None</t>
  </si>
  <si>
    <t>Speed</t>
  </si>
  <si>
    <t>Rated Load (kW)</t>
  </si>
  <si>
    <r>
      <rPr>
        <b/>
        <sz val="11"/>
        <color theme="1"/>
        <rFont val="Palatino Linotype"/>
        <family val="1"/>
      </rPr>
      <t>Ambient ("Cold") Temperature Run</t>
    </r>
    <r>
      <rPr>
        <sz val="11"/>
        <color theme="1"/>
        <rFont val="Palatino Linotype"/>
        <family val="1"/>
      </rPr>
      <t xml:space="preserve"> - Reference ambient temperature of 25 °C</t>
    </r>
  </si>
  <si>
    <t>Use in-line, shaft-coupled, rotating torque transducer or stationary stator reaction torque transducer</t>
  </si>
  <si>
    <r>
      <t>Test Procedure Measurements</t>
    </r>
    <r>
      <rPr>
        <sz val="11"/>
        <color theme="1"/>
        <rFont val="Palatino Linotype"/>
        <family val="1"/>
      </rPr>
      <t xml:space="preserve"> - couple the machine to a load machine and operate at rated load until thermal equilibrium (&lt;=1 K / 30min) is achieved</t>
    </r>
  </si>
  <si>
    <t>IEEE 114-2010</t>
  </si>
  <si>
    <t>CSA C747-09</t>
  </si>
  <si>
    <t>Correlation coefficient</t>
  </si>
  <si>
    <t>Is intercept considerably small?</t>
  </si>
  <si>
    <t>Validation</t>
  </si>
  <si>
    <t>Pole Configuration (number of poles)</t>
  </si>
  <si>
    <t>Rated Load (hp)</t>
  </si>
  <si>
    <t>Phase Configuration</t>
  </si>
  <si>
    <t xml:space="preserve"> Frequency (Hz)</t>
  </si>
  <si>
    <t>Variation from Average Frequency (%)</t>
  </si>
  <si>
    <t>Average test frequency (Hz)</t>
  </si>
  <si>
    <t>Variation from rated (%)</t>
  </si>
  <si>
    <t>Data Permissibility:</t>
  </si>
  <si>
    <t>k value</t>
  </si>
  <si>
    <t>Instrumentation Requirements</t>
  </si>
  <si>
    <t>Has instrumentation data been reported and does it meet conditions above?</t>
  </si>
  <si>
    <t>Before proceeding, please ensure the information regarding test equipment has been reported in the "Setup &amp; Instrumentation" tab of this document. Verify the following:
      Instruments shall be accompanied by a calibration record performed within 12 months of testing, and limiting error shall be within ±0.2% of full scale when testing for efficiency.
      Errors relating to instrument transformers shall be within ±0.3% of full scale.
      Instruments used for power measurement shall be selected at a power factor of 1.0, and shall be calibrated over the range of intended use, including measurements from 0.1 to 1.0 power factor.
      If a dynamometer is used, the coupling, friction, and windage load shall not be greater than 15% of the rated output of the motor.
      The errors of the instrumentation used to measure torque shall be within ±0.2% of full scale.
      Power shall have a maximum uncertainty of ±1.0%.
      Voltage and current shall have a maximum uncertainty of ±0.5%.
      Torque shall have a maximum uncertainty of ±0.7%.
      Temperature shall have a maximum uncertainty of ±1.5 °C.
      Winding resistance shall have a maximum uncertainty of ±1%. A four-wire measuring circuit shall be used to eliminate errors from test lead resistance.
      Motor speed shall have a maximum uncertainty of ±1 rpm.</t>
  </si>
  <si>
    <r>
      <rPr>
        <b/>
        <sz val="11"/>
        <color theme="1"/>
        <rFont val="Palatino Linotype"/>
        <family val="1"/>
      </rPr>
      <t>Linear Regression Data</t>
    </r>
    <r>
      <rPr>
        <sz val="11"/>
        <color theme="1"/>
        <rFont val="Palatino Linotype"/>
        <family val="1"/>
      </rPr>
      <t xml:space="preserve"> (Residual Power vs. Torque</t>
    </r>
    <r>
      <rPr>
        <vertAlign val="superscript"/>
        <sz val="11"/>
        <color theme="1"/>
        <rFont val="Palatino Linotype"/>
        <family val="1"/>
      </rPr>
      <t>2</t>
    </r>
    <r>
      <rPr>
        <sz val="11"/>
        <color theme="1"/>
        <rFont val="Palatino Linotype"/>
        <family val="1"/>
      </rPr>
      <t>)</t>
    </r>
  </si>
  <si>
    <r>
      <t>Torque</t>
    </r>
    <r>
      <rPr>
        <vertAlign val="superscript"/>
        <sz val="11"/>
        <color theme="1"/>
        <rFont val="Palatino Linotype"/>
        <family val="1"/>
      </rPr>
      <t>2</t>
    </r>
    <r>
      <rPr>
        <sz val="11"/>
        <color theme="1"/>
        <rFont val="Palatino Linotype"/>
        <family val="1"/>
      </rPr>
      <t xml:space="preserve"> (N</t>
    </r>
    <r>
      <rPr>
        <vertAlign val="superscript"/>
        <sz val="11"/>
        <color theme="1"/>
        <rFont val="Palatino Linotype"/>
        <family val="1"/>
      </rPr>
      <t>2</t>
    </r>
    <r>
      <rPr>
        <sz val="11"/>
        <color theme="1"/>
        <rFont val="Palatino Linotype"/>
        <family val="1"/>
      </rPr>
      <t>*m</t>
    </r>
    <r>
      <rPr>
        <vertAlign val="superscript"/>
        <sz val="11"/>
        <color theme="1"/>
        <rFont val="Palatino Linotype"/>
        <family val="1"/>
      </rPr>
      <t>2</t>
    </r>
    <r>
      <rPr>
        <sz val="11"/>
        <color theme="1"/>
        <rFont val="Palatino Linotype"/>
        <family val="1"/>
      </rPr>
      <t>)</t>
    </r>
  </si>
  <si>
    <t>Before proceeding, please ensure the information regarding test equipment has been reported in the "Setup &amp; Instrumentation" tab of this document. Verify the following:
      For analog instruments the observed values should be in the upper third of the instrument range.
      The measuring instruments shall have the equivalent of an accuracy class of 0.2 in case of a direct test and 0.5 in case of an indirect test.
      The measuring equipment shall reach an overall uncertainty of 0.2 % of reading at power factor 1.0 and shall include all errors of instrument transformers or transducers, if used
      The instrumentation used to measure the torque shall have a minimum class of 0.2. The minimum torque measured shall be at least 10% of the torque meter’s nominal torque.
      The instrumentation used to measure supply frequency shall have an accuracy of ±0.1 % of full scale. 
      The speed measurement should be accurate within 0.1 rpm.
      The instrumentation used to measure temperatures shall have an accuracy of ±1 K.</t>
  </si>
  <si>
    <t xml:space="preserve">Before proceeding, please ensure the information regarding test equipment has been reported in the "Setup &amp; Instrumentation" tab of this document. Verify the following:
      Instruments indication of limits of error shall be within ±0.2% of full scale.
      The total error for current measurements shall not exceed ±0.5% of the full-load reading, including all errors from the ammeter and CTs.
      The total error for power measurements shall not exceed ±1.0% of the full-load reading, including all errors from the wattmeter, CTs, and VTs.
      The errors of the transformers used shall not be greater than ±0.5%.
      The instrument used to measure frequency shall have an accuracy of ±0.05%. 
      The instruments shall bear record of calibration, within 12 months of the test, indicating limits of the error no greater than ±0.2% of full scale.
      If used, the dynamometer should be sensitive to a change of torque of 0.25% of the rated torque.
      Total error for torque measurements shall not exceed ±0.7%, which shall include all errors from all sources.
      For measurements for which the speed is less than or equal to 1800 rpm, the total error of the instrumentation used for speed or slip measurements shall not exceed ±1.0 rpm.
      For measurements for which the speed is greater than 1800 rpm, the total error for speed measurements shall not exceed ±(0.1 rpm + 0.05% of the reading).
      Slip measurements shall not exceed a value equivalent to ±(0.1 rpm + 0.05% of [synchronous rpm – slip rpm]).
</t>
  </si>
  <si>
    <t xml:space="preserve">Before proceeding, please ensure the information regarding test equipment has been reported in the "Setup &amp; Instrumentation" tab of this document. Verify the following:
      Instruments indication of limits of error shall be within ±0.2% of full scale.
      The total error for current measurements shall not exceed ±0.5% of the full-load reading, including all errors from the ammeter and CTs.
      The total error for power measurements shall not exceed ±1.0% of the full-load reading, including all errors from the wattmeter, CTs, and VTs.
      The errors of the transformers used shall be within ±0.3%. When instrument transformers and instruments for measuring voltage, current, or power are calibrated as a system, the system errors shall be ±0.2% of full scale.
      The instrument used to measure frequency shall have an accuracy of ±0.05%. 
      The instruments shall bear record of calibration, within 12 months of the test, indicating limits of the error no greater than ±0.2% of full scale.
      If used, the dynamometer should be sensitive to a change of torque of 0.25% of the rated torque.
      Total error for torque measurements shall not exceed ±0.7%, which shall include all errors from all sources.
      For measurements for which the speed is less than or equal to 1800 rpm, the total error of the instrumentation used for speed or slip measurements shall not exceed ±1.0 rpm.
      For measurements for which the speed is greater than 1800 rpm, the total error for speed measurements shall not exceed ±(0.1 rpm + 0.05% of the reading).
      Slip measurements shall not exceed a value equivalent to ±(0.1 rpm + 0.05% of [synchronous rpm – slip rpm]).
</t>
  </si>
  <si>
    <t>Before proceeding, please ensure the information regarding test equipment has been reported in the "Setup &amp; Instrumentation" tab of this document. Verify the following:
      The indicating instruments shall bear record of calibration, within the previous 12 months, indicating limits of the error no greater than ± 0.2% of full scale for determination of efficiency.
      The errors of the instrument transformers used shall not be greater the 0.3%.
      The dynamometer used should be sensitive to a change in torque of 0.1% of the rated torque.</t>
  </si>
  <si>
    <t>Before proceeding, please ensure the information regarding test equipment has been reported in the "Setup &amp; Instrumentation" tab of this document. Verify the following:
      Indicating instruments shall have been calibrated over the range of their intended use within the past 12 months to limits of error no greater than ±0.2% of full-scale deflection.
      The ratio errors of instrument transformers shall be no greater than 0.3%.
      Power shall have a maximum uncertainty of ±0.5% of the reading at the full-load rating of the motor under test.
      Voltage and current shall have a maximum uncertainty of ±0.5% of the reading at the full-load rating.
      Torque shall have a maximum uncertainty of ±1.0% of the reading at the full-load.
      Temperature shall have a maximum uncertainty of ±1.5 °C.
      Motor speed (RPM) shall have a maximum uncertainty of ±0.2% of the reading.</t>
  </si>
  <si>
    <t>Test Procedure being Used</t>
  </si>
  <si>
    <t>Test_Method_Used</t>
  </si>
  <si>
    <t>CSA C390-10</t>
  </si>
  <si>
    <t>IEC 60034-2-1 Method 2-1-1A</t>
  </si>
  <si>
    <t>IEC 60034-2-1 Method 2-1-1B</t>
  </si>
  <si>
    <t>IEEE 112-2017 Method A</t>
  </si>
  <si>
    <t>IEEE 112-2017 Method B</t>
  </si>
  <si>
    <t>Test Setup
1. This table must include all instrumentation, sensors, and equipment used during testing.
2. Entries may be added or deleted as needed depending on the industry test method used.
3. Refer to each industry document for more details on instrument requirements.</t>
  </si>
  <si>
    <t>The test procedure in CSA C390-10 utilizes an input-output efficiency calculation approach with indirect measurement of the stray-load loss and direct measurement of the stator winding, rotor winding, core, and windage-friction losses.</t>
  </si>
  <si>
    <t>Method 2-1-1A of IEC 60034-2-1 utilizes direct measurements of input and output to determine efficiency. The mechanical power of a machine as well as the electrical power of the stator are determined in the same test by measuring the shaft torque and speed at thermal equilibrium.</t>
  </si>
  <si>
    <t>Method 2-1-1B of IEC 60034-2-1 utilizes a summation of losses approach to determine efficiency. Separate loss components due to windage and friction, stator and rotor copper, as well as iron, and additional losses are determined to calculate the total losses through varying loads.</t>
  </si>
  <si>
    <r>
      <t>Average Voltage</t>
    </r>
    <r>
      <rPr>
        <vertAlign val="superscript"/>
        <sz val="11"/>
        <color theme="1"/>
        <rFont val="Palatino Linotype"/>
        <family val="1"/>
      </rPr>
      <t>2</t>
    </r>
    <r>
      <rPr>
        <sz val="11"/>
        <color theme="1"/>
        <rFont val="Palatino Linotype"/>
        <family val="1"/>
      </rPr>
      <t xml:space="preserve"> (V</t>
    </r>
    <r>
      <rPr>
        <vertAlign val="superscript"/>
        <sz val="11"/>
        <color theme="1"/>
        <rFont val="Palatino Linotype"/>
        <family val="1"/>
      </rPr>
      <t>2</t>
    </r>
    <r>
      <rPr>
        <sz val="11"/>
        <color theme="1"/>
        <rFont val="Palatino Linotype"/>
        <family val="1"/>
      </rPr>
      <t>)</t>
    </r>
  </si>
  <si>
    <r>
      <rPr>
        <b/>
        <sz val="11"/>
        <color theme="1"/>
        <rFont val="Palatino Linotype"/>
        <family val="1"/>
      </rPr>
      <t>Linear Regression Data</t>
    </r>
    <r>
      <rPr>
        <sz val="11"/>
        <color theme="1"/>
        <rFont val="Palatino Linotype"/>
        <family val="1"/>
      </rPr>
      <t xml:space="preserve"> (Core and winding loss vs. Voltage</t>
    </r>
    <r>
      <rPr>
        <vertAlign val="superscript"/>
        <sz val="11"/>
        <color theme="1"/>
        <rFont val="Palatino Linotype"/>
        <family val="1"/>
      </rPr>
      <t>2</t>
    </r>
    <r>
      <rPr>
        <sz val="11"/>
        <color theme="1"/>
        <rFont val="Palatino Linotype"/>
        <family val="1"/>
      </rPr>
      <t>)</t>
    </r>
  </si>
  <si>
    <t>Space for instrumentation information and sensor placement descriptions</t>
  </si>
  <si>
    <t>Determination of Test Method</t>
  </si>
  <si>
    <t>Determination of industry test methods that can be applied to the detailed product</t>
  </si>
  <si>
    <t>Efficiency calculations for motors tested in accordance with CSA C390-10</t>
  </si>
  <si>
    <t>Efficiency calculations for motors tested in accordance with IEC 60034-2-1 Method 2-1-1A</t>
  </si>
  <si>
    <t>Efficiency calculations for motors tested in accordance with IEC 60034-2-1 Method 2-1-1B</t>
  </si>
  <si>
    <t>Efficiency calculations for motors tested in accordance with IEEE 112-2017 Method A</t>
  </si>
  <si>
    <t>Efficiency calculations for motors tested in accordance with IEEE 112-2017 Method B</t>
  </si>
  <si>
    <t>Efficiency calculations for motors tested in accordance with IEEE 114-2010</t>
  </si>
  <si>
    <t>Efficiency calculations for motors tested in accordance with CSA C747-09</t>
  </si>
  <si>
    <t>Report approval and revision history</t>
  </si>
  <si>
    <t>Test Results</t>
  </si>
  <si>
    <t>Small Electric Motors</t>
  </si>
  <si>
    <t>Relevant Determinations</t>
  </si>
  <si>
    <t>Rated Power Output (hp)</t>
  </si>
  <si>
    <t>Industry test method used</t>
  </si>
  <si>
    <t>Please complete product information reporting in the "General Info &amp; Test Results" tab of this document before referring below. 
10 CFR Part 431 Subpart X appoints applicable industry standards that may be utilized during testing to Small Electric Motors with various characteristics. 
The purpose of this portion of the template is to indicate which industry procedures may be used based on the given product information specified. Note that if multiple procedures are indicated, only one of the tests needs to be completed.
After identifying the industry test procedure being used, please refer to the sheet in this document matching the industry title.</t>
  </si>
  <si>
    <t>Method A of IEEE 112-2017 calculates small electric motor efficiency as a ratio of measured output power to measured input power, after applying temperature and dynamometer corrections as needed.</t>
  </si>
  <si>
    <t xml:space="preserve">Method B of IEEE 112-2017 utilizes an input output approach with loss segregation to determine efficiency. The apparent total loss is segregated into its various components with stray-load loss defined as the difference between the apparent total loss and the sum of the conventional losses. A linear regression analysis of stray-load loss against torque squared is then used to calculate final value of total loss and efficiency. </t>
  </si>
  <si>
    <t>IEEE 114-2010 determines the efficiency of a small electric motor using the ratio of measured output power to corrected input power. Applicable corrections for ambient temperature and dynamometer usage are made to measured input power and determined losses as needed.</t>
  </si>
  <si>
    <t>CSA C747-09 determines the energy efficiency of small electric motors by utilizing corrected output torque in relation to measured input power and motor speed at various load points.</t>
  </si>
  <si>
    <t>Alternative efficiency determination method</t>
  </si>
  <si>
    <t>Verification of AEDM (if used)</t>
  </si>
  <si>
    <t>Does this AEDM result in a predicted power loss within 10% of the mean power loss found through testing of at least 5 basic models?</t>
  </si>
  <si>
    <t>Certification Program Used</t>
  </si>
  <si>
    <t>Does the certification program classify as "nationally recognized" by DOE?</t>
  </si>
  <si>
    <t>Is the use of this AEDM permissible?</t>
  </si>
  <si>
    <t>Full-load efficiency (%)</t>
  </si>
  <si>
    <t>Results</t>
  </si>
  <si>
    <t>Please provide records of the following as an attachment to this template:</t>
  </si>
  <si>
    <t>Date that records were provided</t>
  </si>
  <si>
    <t>Method used</t>
  </si>
  <si>
    <t>Mathematical model</t>
  </si>
  <si>
    <t>Engineering or statistical analysis, the computer simulation or modeling, and other analytic evaluation of performance data</t>
  </si>
  <si>
    <t>Complete test data, product information, and related manufacturer information generated or acquired</t>
  </si>
  <si>
    <t>Calculations used to determine efficiency and total power losses of each basic model used</t>
  </si>
  <si>
    <t>1. Photo of nameplate displaying relevant motor ratings</t>
  </si>
  <si>
    <t>2. Photos of the unit from all sides</t>
  </si>
  <si>
    <t>3. Arrival Photos</t>
  </si>
  <si>
    <t>4. Additional photos (if necessary)</t>
  </si>
  <si>
    <t>Reference Test Procedures</t>
  </si>
  <si>
    <t>10 CFR 431 Subpart X § 431.444 Test Procedures for the measurement of energy efficiency of small electric motors.</t>
  </si>
  <si>
    <t>Motor_Phase</t>
  </si>
  <si>
    <t>Single-phase</t>
  </si>
  <si>
    <t>Two-phase</t>
  </si>
  <si>
    <t>Three-phase</t>
  </si>
  <si>
    <t>Step 4a (dependent on step 3)</t>
  </si>
  <si>
    <t>Step 4b (dependent on step 3)</t>
  </si>
  <si>
    <t>Step 4c (dependent on step 3)</t>
  </si>
  <si>
    <t>Step 4d (dependent on step 3)</t>
  </si>
  <si>
    <t>Step 4e (dependent on step 3)</t>
  </si>
  <si>
    <t>Step 4f (dependent on step 3)</t>
  </si>
  <si>
    <t>Step 4g (dependent on step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</si>
</sst>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ss;@"/>
    <numFmt numFmtId="165" formatCode="0.000"/>
    <numFmt numFmtId="166" formatCode="0.0"/>
  </numFmts>
  <fonts count="36" x14ac:knownFonts="1">
    <font>
      <sz val="11"/>
      <color theme="1"/>
      <name val="Calibri"/>
      <family val="2"/>
      <scheme val="minor"/>
    </font>
    <font>
      <sz val="11"/>
      <color theme="1"/>
      <name val="Palatino Linotype"/>
      <family val="1"/>
    </font>
    <font>
      <b/>
      <sz val="11"/>
      <name val="Palatino Linotype"/>
      <family val="2"/>
    </font>
    <font>
      <b/>
      <sz val="11"/>
      <name val="Palatino Linotype"/>
      <family val="1"/>
    </font>
    <font>
      <sz val="11"/>
      <color theme="1"/>
      <name val="Palatino Linotype"/>
      <family val="2"/>
    </font>
    <font>
      <sz val="11"/>
      <color rgb="FF000000"/>
      <name val="Palatino Linotype"/>
      <family val="1"/>
    </font>
    <font>
      <u/>
      <sz val="11"/>
      <color theme="10"/>
      <name val="Palatino Linotype"/>
      <family val="2"/>
    </font>
    <font>
      <u/>
      <sz val="11"/>
      <color theme="10"/>
      <name val="Palatino Linotype"/>
      <family val="1"/>
    </font>
    <font>
      <b/>
      <sz val="11"/>
      <color indexed="8"/>
      <name val="Palatino Linotype"/>
      <family val="1"/>
    </font>
    <font>
      <sz val="11"/>
      <color indexed="8"/>
      <name val="Palatino Linotype"/>
      <family val="1"/>
    </font>
    <font>
      <sz val="11"/>
      <color theme="0"/>
      <name val="Palatino Linotype"/>
      <family val="1"/>
    </font>
    <font>
      <sz val="10"/>
      <name val="Arial"/>
      <family val="2"/>
    </font>
    <font>
      <sz val="11"/>
      <name val="Palatino Linotype"/>
      <family val="1"/>
    </font>
    <font>
      <sz val="11"/>
      <name val="Palatino Linotype"/>
      <family val="2"/>
    </font>
    <font>
      <b/>
      <sz val="11"/>
      <color theme="1"/>
      <name val="Palatino Linotype"/>
      <family val="1"/>
    </font>
    <font>
      <sz val="11"/>
      <color theme="0"/>
      <name val="Palatino Linotype"/>
      <family val="2"/>
    </font>
    <font>
      <sz val="11"/>
      <color theme="1"/>
      <name val="Calibri"/>
      <family val="2"/>
      <scheme val="minor"/>
    </font>
    <font>
      <sz val="11"/>
      <color rgb="FF3F3F76"/>
      <name val="Palatino Linotype"/>
      <family val="2"/>
    </font>
    <font>
      <sz val="11"/>
      <color theme="0"/>
      <name val="Calibri"/>
      <family val="2"/>
      <scheme val="minor"/>
    </font>
    <font>
      <u/>
      <sz val="11"/>
      <color theme="10"/>
      <name val="Calibri"/>
      <family val="2"/>
    </font>
    <font>
      <i/>
      <sz val="11"/>
      <color theme="6" tint="-0.499984740745262"/>
      <name val="Palatino Linotype"/>
      <family val="2"/>
    </font>
    <font>
      <i/>
      <sz val="11"/>
      <color rgb="FF7F7F7F"/>
      <name val="Palatino Linotype"/>
      <family val="2"/>
    </font>
    <font>
      <sz val="11"/>
      <color rgb="FF9C6500"/>
      <name val="Palatino Linotype"/>
      <family val="2"/>
    </font>
    <font>
      <b/>
      <sz val="11"/>
      <color theme="9" tint="-0.499984740745262"/>
      <name val="Palatino Linotype"/>
      <family val="2"/>
    </font>
    <font>
      <sz val="11"/>
      <color rgb="FFFF0000"/>
      <name val="Palatino Linotype"/>
      <family val="1"/>
    </font>
    <font>
      <sz val="8"/>
      <name val="Calibri"/>
      <family val="2"/>
      <scheme val="minor"/>
    </font>
    <font>
      <i/>
      <sz val="11"/>
      <color rgb="FFFF0000"/>
      <name val="Palatino Linotype"/>
      <family val="1"/>
    </font>
    <font>
      <i/>
      <sz val="11"/>
      <name val="Palatino Linotype"/>
      <family val="1"/>
    </font>
    <font>
      <b/>
      <sz val="11"/>
      <color theme="0"/>
      <name val="Palatino Linotype"/>
      <family val="1"/>
    </font>
    <font>
      <sz val="24"/>
      <color theme="1"/>
      <name val="Palatino Linotype"/>
      <family val="1"/>
    </font>
    <font>
      <vertAlign val="superscript"/>
      <sz val="11"/>
      <color theme="1"/>
      <name val="Palatino Linotype"/>
      <family val="1"/>
    </font>
    <font>
      <sz val="11"/>
      <color theme="1"/>
      <name val="Calibri"/>
      <family val="2"/>
    </font>
    <font>
      <sz val="9.9"/>
      <color theme="1"/>
      <name val="Palatino Linotype"/>
      <family val="1"/>
    </font>
    <font>
      <i/>
      <sz val="11"/>
      <color theme="1"/>
      <name val="Palatino Linotype"/>
      <family val="1"/>
    </font>
    <font>
      <i/>
      <sz val="9"/>
      <color theme="1"/>
      <name val="Palatino Linotype"/>
      <family val="1"/>
    </font>
    <font>
      <sz val="9"/>
      <color theme="1"/>
      <name val="Palatino Linotype"/>
      <family val="1"/>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800000"/>
        <bgColor indexed="64"/>
      </patternFill>
    </fill>
    <fill>
      <patternFill patternType="solid">
        <fgColor theme="4" tint="0.59996337778862885"/>
        <bgColor indexed="64"/>
      </patternFill>
    </fill>
    <fill>
      <patternFill patternType="solid">
        <fgColor rgb="FFFFFFCC"/>
        <bgColor indexed="64"/>
      </patternFill>
    </fill>
    <fill>
      <patternFill patternType="solid">
        <fgColor rgb="FFFFEB9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rgb="FF0066CC"/>
        <bgColor indexed="64"/>
      </patternFill>
    </fill>
    <fill>
      <patternFill patternType="solid">
        <fgColor rgb="FF99CCFF"/>
        <bgColor indexed="64"/>
      </patternFill>
    </fill>
    <fill>
      <patternFill patternType="lightUp">
        <fgColor auto="1"/>
        <bgColor rgb="FFD8D8D8"/>
      </patternFill>
    </fill>
    <fill>
      <patternFill patternType="solid">
        <fgColor rgb="FFCCFFCC"/>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9" tint="0.79998168889431442"/>
        <bgColor auto="1"/>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0.34998626667073579"/>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theme="0" tint="-0.14999847407452621"/>
      </bottom>
      <diagonal/>
    </border>
    <border>
      <left style="medium">
        <color indexed="64"/>
      </left>
      <right style="medium">
        <color indexed="64"/>
      </right>
      <top style="medium">
        <color indexed="64"/>
      </top>
      <bottom style="medium">
        <color indexed="64"/>
      </bottom>
      <diagonal/>
    </border>
    <border>
      <left style="medium">
        <color indexed="64"/>
      </left>
      <right/>
      <top style="thin">
        <color theme="0" tint="-0.1499984740745262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theme="0" tint="-0.14999847407452621"/>
      </top>
      <bottom style="thin">
        <color theme="0" tint="-0.1499984740745262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thin">
        <color indexed="64"/>
      </right>
      <top/>
      <bottom style="thin">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indexed="64"/>
      </left>
      <right/>
      <top/>
      <bottom style="thin">
        <color theme="0" tint="-0.14999847407452621"/>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theme="0" tint="-0.249977111117893"/>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theme="0" tint="-0.249977111117893"/>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diagonal/>
    </border>
    <border>
      <left/>
      <right style="thin">
        <color indexed="64"/>
      </right>
      <top style="thin">
        <color theme="0" tint="-0.249977111117893"/>
      </top>
      <bottom/>
      <diagonal/>
    </border>
    <border>
      <left/>
      <right style="thin">
        <color indexed="64"/>
      </right>
      <top style="thin">
        <color theme="0" tint="-0.24994659260841701"/>
      </top>
      <bottom style="medium">
        <color indexed="64"/>
      </bottom>
      <diagonal/>
    </border>
    <border>
      <left style="thin">
        <color indexed="64"/>
      </left>
      <right/>
      <top/>
      <bottom/>
      <diagonal/>
    </border>
    <border>
      <left style="medium">
        <color indexed="64"/>
      </left>
      <right style="thin">
        <color indexed="64"/>
      </right>
      <top style="thin">
        <color theme="2"/>
      </top>
      <bottom/>
      <diagonal/>
    </border>
    <border>
      <left style="medium">
        <color indexed="64"/>
      </left>
      <right style="thin">
        <color indexed="64"/>
      </right>
      <top style="thin">
        <color theme="2"/>
      </top>
      <bottom style="thin">
        <color theme="2"/>
      </bottom>
      <diagonal/>
    </border>
    <border>
      <left style="medium">
        <color indexed="64"/>
      </left>
      <right style="thin">
        <color auto="1"/>
      </right>
      <top style="thin">
        <color theme="2"/>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theme="0" tint="-0.14999847407452621"/>
      </bottom>
      <diagonal/>
    </border>
    <border>
      <left style="medium">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28">
    <xf numFmtId="0" fontId="0" fillId="0" borderId="0"/>
    <xf numFmtId="0" fontId="2" fillId="4" borderId="0" applyNumberFormat="0" applyBorder="0" applyProtection="0">
      <alignment horizontal="left" vertical="center"/>
    </xf>
    <xf numFmtId="0" fontId="4" fillId="0" borderId="0"/>
    <xf numFmtId="0" fontId="6" fillId="0" borderId="0" applyNumberFormat="0" applyFill="0" applyBorder="0" applyAlignment="0" applyProtection="0">
      <alignment vertical="top"/>
      <protection locked="0"/>
    </xf>
    <xf numFmtId="0" fontId="13" fillId="7" borderId="1" applyNumberFormat="0" applyProtection="0">
      <alignment horizontal="center" vertical="center"/>
    </xf>
    <xf numFmtId="0" fontId="4" fillId="0" borderId="0"/>
    <xf numFmtId="0" fontId="15" fillId="6" borderId="1">
      <alignment horizontal="center" vertical="center"/>
    </xf>
    <xf numFmtId="9" fontId="16" fillId="0" borderId="0" applyFont="0" applyFill="0" applyBorder="0" applyAlignment="0" applyProtection="0"/>
    <xf numFmtId="0" fontId="4" fillId="0" borderId="0"/>
    <xf numFmtId="0" fontId="17" fillId="7" borderId="1" applyNumberFormat="0" applyProtection="0">
      <alignment horizontal="center" vertical="center"/>
    </xf>
    <xf numFmtId="0" fontId="16" fillId="10" borderId="0" applyNumberFormat="0" applyBorder="0" applyAlignment="0" applyProtection="0"/>
    <xf numFmtId="0" fontId="18" fillId="12" borderId="0" applyNumberFormat="0" applyBorder="0" applyAlignment="0" applyProtection="0"/>
    <xf numFmtId="0" fontId="19" fillId="0" borderId="0" applyNumberFormat="0" applyFill="0" applyBorder="0" applyAlignment="0" applyProtection="0">
      <alignment vertical="top"/>
      <protection locked="0"/>
    </xf>
    <xf numFmtId="0" fontId="15" fillId="11" borderId="0" applyNumberFormat="0" applyBorder="0" applyAlignment="0" applyProtection="0"/>
    <xf numFmtId="0" fontId="10" fillId="17" borderId="1">
      <alignment horizontal="center" vertical="center"/>
    </xf>
    <xf numFmtId="0" fontId="13" fillId="18" borderId="1" applyNumberFormat="0" applyAlignment="0" applyProtection="0"/>
    <xf numFmtId="0" fontId="1" fillId="0" borderId="1">
      <alignment horizontal="center"/>
    </xf>
    <xf numFmtId="0" fontId="20" fillId="19" borderId="0" applyNumberFormat="0" applyAlignment="0" applyProtection="0"/>
    <xf numFmtId="0" fontId="21" fillId="0" borderId="0" applyNumberFormat="0" applyFill="0" applyBorder="0" applyAlignment="0" applyProtection="0"/>
    <xf numFmtId="0" fontId="1" fillId="0" borderId="1">
      <alignment horizontal="center" vertical="center"/>
    </xf>
    <xf numFmtId="0" fontId="22" fillId="9" borderId="0" applyNumberFormat="0" applyBorder="0" applyAlignment="0" applyProtection="0"/>
    <xf numFmtId="0" fontId="11" fillId="0" borderId="0"/>
    <xf numFmtId="0" fontId="11" fillId="0" borderId="0"/>
    <xf numFmtId="0" fontId="4" fillId="0" borderId="0"/>
    <xf numFmtId="0" fontId="23" fillId="20" borderId="1" applyNumberFormat="0" applyProtection="0">
      <alignment horizontal="center" vertical="center"/>
    </xf>
    <xf numFmtId="0" fontId="24" fillId="3" borderId="0"/>
    <xf numFmtId="0" fontId="14" fillId="0" borderId="0"/>
    <xf numFmtId="0" fontId="14" fillId="0" borderId="6">
      <alignment horizontal="center" vertical="center" wrapText="1"/>
    </xf>
  </cellStyleXfs>
  <cellXfs count="879">
    <xf numFmtId="0" fontId="0" fillId="0" borderId="0" xfId="0"/>
    <xf numFmtId="0" fontId="7" fillId="0" borderId="0" xfId="3" applyFont="1" applyAlignment="1" applyProtection="1"/>
    <xf numFmtId="165" fontId="1" fillId="14" borderId="16" xfId="10" applyNumberFormat="1" applyFont="1" applyFill="1" applyBorder="1" applyAlignment="1" applyProtection="1">
      <alignment horizontal="center" vertical="center"/>
    </xf>
    <xf numFmtId="0" fontId="10" fillId="6" borderId="16" xfId="11" applyFont="1" applyFill="1" applyBorder="1" applyAlignment="1" applyProtection="1">
      <alignment horizontal="center" vertical="center"/>
    </xf>
    <xf numFmtId="0" fontId="12" fillId="14" borderId="26" xfId="4" applyFont="1" applyFill="1" applyBorder="1" applyProtection="1">
      <alignment horizontal="center" vertical="center"/>
      <protection locked="0"/>
    </xf>
    <xf numFmtId="0" fontId="12" fillId="14" borderId="8" xfId="4" applyFont="1" applyFill="1" applyBorder="1" applyProtection="1">
      <alignment horizontal="center" vertical="center"/>
      <protection locked="0"/>
    </xf>
    <xf numFmtId="14" fontId="12" fillId="14" borderId="11" xfId="9" applyNumberFormat="1" applyFont="1" applyFill="1" applyBorder="1" applyProtection="1">
      <alignment horizontal="center" vertical="center"/>
      <protection locked="0"/>
    </xf>
    <xf numFmtId="14" fontId="12" fillId="14" borderId="8" xfId="9" applyNumberFormat="1" applyFont="1" applyFill="1" applyBorder="1" applyProtection="1">
      <alignment horizontal="center" vertical="center"/>
      <protection locked="0"/>
    </xf>
    <xf numFmtId="0" fontId="12" fillId="14" borderId="11" xfId="4" applyFont="1" applyFill="1" applyBorder="1" applyProtection="1">
      <alignment horizontal="center" vertical="center"/>
      <protection locked="0"/>
    </xf>
    <xf numFmtId="14" fontId="12" fillId="14" borderId="11" xfId="4" applyNumberFormat="1" applyFont="1" applyFill="1" applyBorder="1" applyProtection="1">
      <alignment horizontal="center" vertical="center"/>
      <protection locked="0"/>
    </xf>
    <xf numFmtId="14" fontId="10" fillId="6" borderId="1" xfId="9" applyNumberFormat="1" applyFont="1" applyFill="1" applyProtection="1">
      <alignment horizontal="center" vertical="center"/>
    </xf>
    <xf numFmtId="0" fontId="12" fillId="14" borderId="11" xfId="9" applyFont="1" applyFill="1" applyBorder="1" applyAlignment="1" applyProtection="1">
      <alignment horizontal="left" vertical="center"/>
      <protection locked="0"/>
    </xf>
    <xf numFmtId="14" fontId="12" fillId="14" borderId="1" xfId="9" applyNumberFormat="1" applyFont="1" applyFill="1" applyProtection="1">
      <alignment horizontal="center" vertical="center"/>
      <protection locked="0"/>
    </xf>
    <xf numFmtId="14" fontId="12" fillId="14" borderId="10" xfId="9" applyNumberFormat="1" applyFont="1" applyFill="1" applyBorder="1" applyProtection="1">
      <alignment horizontal="center" vertical="center"/>
      <protection locked="0"/>
    </xf>
    <xf numFmtId="0" fontId="12" fillId="0" borderId="0" xfId="4" applyFont="1" applyFill="1" applyBorder="1" applyProtection="1">
      <alignment horizontal="center" vertical="center"/>
    </xf>
    <xf numFmtId="0" fontId="12" fillId="14" borderId="8" xfId="9" applyFont="1" applyFill="1" applyBorder="1" applyAlignment="1" applyProtection="1">
      <alignment horizontal="left" vertical="center"/>
      <protection locked="0"/>
    </xf>
    <xf numFmtId="14" fontId="12" fillId="14" borderId="1" xfId="4" applyNumberFormat="1" applyFont="1" applyFill="1" applyProtection="1">
      <alignment horizontal="center" vertical="center"/>
      <protection locked="0"/>
    </xf>
    <xf numFmtId="0" fontId="12" fillId="14" borderId="10" xfId="4" applyFont="1" applyFill="1" applyBorder="1" applyProtection="1">
      <alignment horizontal="center" vertical="center"/>
      <protection locked="0"/>
    </xf>
    <xf numFmtId="0" fontId="1" fillId="0" borderId="37" xfId="8" applyFont="1" applyBorder="1" applyAlignment="1">
      <alignment vertical="center"/>
    </xf>
    <xf numFmtId="0" fontId="12" fillId="0" borderId="37" xfId="8" applyFont="1" applyBorder="1" applyAlignment="1">
      <alignment vertical="center"/>
    </xf>
    <xf numFmtId="0" fontId="12" fillId="0" borderId="41" xfId="8" applyFont="1" applyBorder="1" applyAlignment="1">
      <alignment vertical="center"/>
    </xf>
    <xf numFmtId="0" fontId="1" fillId="0" borderId="0" xfId="0" applyFont="1"/>
    <xf numFmtId="0" fontId="1" fillId="3" borderId="0" xfId="0" applyFont="1" applyFill="1"/>
    <xf numFmtId="0" fontId="1" fillId="0" borderId="35" xfId="8" applyFont="1" applyBorder="1"/>
    <xf numFmtId="0" fontId="5" fillId="0" borderId="36" xfId="8" applyFont="1" applyBorder="1" applyAlignment="1">
      <alignment horizontal="left"/>
    </xf>
    <xf numFmtId="0" fontId="1" fillId="0" borderId="37" xfId="8" applyFont="1" applyBorder="1"/>
    <xf numFmtId="0" fontId="5" fillId="0" borderId="38" xfId="8" applyFont="1" applyBorder="1" applyAlignment="1">
      <alignment horizontal="left"/>
    </xf>
    <xf numFmtId="14" fontId="1" fillId="0" borderId="38" xfId="8" applyNumberFormat="1" applyFont="1" applyBorder="1" applyAlignment="1">
      <alignment horizontal="left"/>
    </xf>
    <xf numFmtId="0" fontId="1" fillId="0" borderId="38" xfId="8" applyFont="1" applyBorder="1" applyAlignment="1">
      <alignment horizontal="left"/>
    </xf>
    <xf numFmtId="0" fontId="1" fillId="0" borderId="0" xfId="8" applyFont="1"/>
    <xf numFmtId="14" fontId="1" fillId="0" borderId="0" xfId="8" applyNumberFormat="1" applyFont="1" applyAlignment="1">
      <alignment horizontal="left"/>
    </xf>
    <xf numFmtId="0" fontId="1" fillId="0" borderId="66" xfId="0" applyFont="1" applyBorder="1"/>
    <xf numFmtId="0" fontId="1" fillId="0" borderId="60" xfId="0" applyFont="1" applyBorder="1"/>
    <xf numFmtId="0" fontId="10" fillId="0" borderId="0" xfId="0" applyFont="1" applyAlignment="1">
      <alignment horizontal="center"/>
    </xf>
    <xf numFmtId="2" fontId="10" fillId="0" borderId="0" xfId="0" applyNumberFormat="1" applyFont="1" applyAlignment="1">
      <alignment horizontal="center"/>
    </xf>
    <xf numFmtId="0" fontId="12" fillId="0" borderId="5" xfId="0" applyFont="1" applyBorder="1"/>
    <xf numFmtId="0" fontId="12" fillId="0" borderId="9" xfId="0" applyFont="1" applyBorder="1"/>
    <xf numFmtId="0" fontId="14" fillId="0" borderId="1" xfId="5" applyFont="1" applyBorder="1" applyAlignment="1">
      <alignment horizontal="center"/>
    </xf>
    <xf numFmtId="0" fontId="14" fillId="0" borderId="11" xfId="5" applyFont="1" applyBorder="1" applyAlignment="1">
      <alignment horizontal="center"/>
    </xf>
    <xf numFmtId="14" fontId="10" fillId="6" borderId="25" xfId="4" applyNumberFormat="1" applyFont="1" applyFill="1" applyBorder="1" applyProtection="1">
      <alignment horizontal="center" vertical="center"/>
    </xf>
    <xf numFmtId="0" fontId="10" fillId="6" borderId="26" xfId="4" applyFont="1" applyFill="1" applyBorder="1" applyAlignment="1" applyProtection="1">
      <alignment horizontal="left" vertical="center"/>
    </xf>
    <xf numFmtId="14" fontId="10" fillId="6" borderId="1" xfId="4" applyNumberFormat="1" applyFont="1" applyFill="1" applyProtection="1">
      <alignment horizontal="center" vertical="center"/>
    </xf>
    <xf numFmtId="0" fontId="10" fillId="6" borderId="11" xfId="4" applyFont="1" applyFill="1" applyBorder="1" applyAlignment="1" applyProtection="1">
      <alignment horizontal="left" vertical="center"/>
    </xf>
    <xf numFmtId="0" fontId="12" fillId="0" borderId="7" xfId="0" applyFont="1" applyBorder="1"/>
    <xf numFmtId="14" fontId="10" fillId="6" borderId="10" xfId="4" applyNumberFormat="1" applyFont="1" applyFill="1" applyBorder="1" applyProtection="1">
      <alignment horizontal="center" vertical="center"/>
    </xf>
    <xf numFmtId="0" fontId="10" fillId="6" borderId="8" xfId="4" applyFont="1" applyFill="1" applyBorder="1" applyAlignment="1" applyProtection="1">
      <alignment horizontal="left" vertical="center"/>
    </xf>
    <xf numFmtId="0" fontId="1" fillId="0" borderId="0" xfId="0" applyFont="1" applyAlignment="1">
      <alignment horizontal="left" vertical="center"/>
    </xf>
    <xf numFmtId="0" fontId="1" fillId="0" borderId="38" xfId="8" applyFont="1" applyBorder="1" applyAlignment="1">
      <alignment horizontal="left" vertical="center" wrapText="1"/>
    </xf>
    <xf numFmtId="0" fontId="1" fillId="0" borderId="39" xfId="8" applyFont="1" applyBorder="1" applyAlignment="1">
      <alignment vertical="center"/>
    </xf>
    <xf numFmtId="14" fontId="1" fillId="0" borderId="40" xfId="8" applyNumberFormat="1" applyFont="1" applyBorder="1" applyAlignment="1">
      <alignment horizontal="left" vertical="center" wrapText="1"/>
    </xf>
    <xf numFmtId="0" fontId="1" fillId="0" borderId="41" xfId="8" applyFont="1" applyBorder="1"/>
    <xf numFmtId="14" fontId="1" fillId="0" borderId="42" xfId="8" applyNumberFormat="1" applyFont="1" applyBorder="1" applyAlignment="1">
      <alignment horizontal="left"/>
    </xf>
    <xf numFmtId="0" fontId="14" fillId="0" borderId="31" xfId="2" applyFont="1" applyBorder="1" applyAlignment="1">
      <alignment horizontal="center"/>
    </xf>
    <xf numFmtId="0" fontId="14" fillId="0" borderId="25" xfId="2" applyFont="1" applyBorder="1" applyAlignment="1">
      <alignment horizontal="center"/>
    </xf>
    <xf numFmtId="0" fontId="14" fillId="0" borderId="26" xfId="2" applyFont="1" applyBorder="1" applyAlignment="1">
      <alignment horizontal="center"/>
    </xf>
    <xf numFmtId="0" fontId="1" fillId="0" borderId="39" xfId="8" applyFont="1" applyBorder="1" applyAlignment="1">
      <alignment horizontal="left" vertical="center"/>
    </xf>
    <xf numFmtId="0" fontId="0" fillId="3" borderId="0" xfId="0" applyFill="1"/>
    <xf numFmtId="0" fontId="0" fillId="0" borderId="16" xfId="0" applyBorder="1"/>
    <xf numFmtId="0" fontId="1" fillId="0" borderId="16" xfId="0" applyFont="1" applyBorder="1"/>
    <xf numFmtId="0" fontId="1" fillId="0" borderId="79" xfId="0" applyFont="1" applyBorder="1" applyAlignment="1">
      <alignment horizontal="center"/>
    </xf>
    <xf numFmtId="0" fontId="1" fillId="0" borderId="80" xfId="0" applyFont="1" applyBorder="1" applyAlignment="1">
      <alignment horizontal="center"/>
    </xf>
    <xf numFmtId="0" fontId="1" fillId="0" borderId="81" xfId="0" applyFont="1" applyBorder="1" applyAlignment="1">
      <alignment horizontal="center"/>
    </xf>
    <xf numFmtId="0" fontId="4" fillId="0" borderId="0" xfId="2"/>
    <xf numFmtId="0" fontId="5" fillId="0" borderId="0" xfId="8" applyFont="1" applyAlignment="1">
      <alignment horizontal="left"/>
    </xf>
    <xf numFmtId="0" fontId="1" fillId="0" borderId="0" xfId="8" applyFont="1" applyAlignment="1">
      <alignment horizontal="left"/>
    </xf>
    <xf numFmtId="0" fontId="1" fillId="0" borderId="0" xfId="8" applyFont="1" applyAlignment="1">
      <alignment horizontal="left" vertical="center" wrapText="1"/>
    </xf>
    <xf numFmtId="0" fontId="1" fillId="0" borderId="56" xfId="8" applyFont="1" applyBorder="1"/>
    <xf numFmtId="0" fontId="1" fillId="0" borderId="57" xfId="8" applyFont="1" applyBorder="1"/>
    <xf numFmtId="0" fontId="1" fillId="0" borderId="25" xfId="8" applyFont="1" applyBorder="1"/>
    <xf numFmtId="0" fontId="1" fillId="0" borderId="25" xfId="0" applyFont="1" applyBorder="1"/>
    <xf numFmtId="14" fontId="1" fillId="0" borderId="0" xfId="8" applyNumberFormat="1" applyFont="1"/>
    <xf numFmtId="0" fontId="1" fillId="3" borderId="0" xfId="8" applyFont="1" applyFill="1"/>
    <xf numFmtId="0" fontId="1" fillId="0" borderId="40" xfId="8" applyFont="1" applyBorder="1" applyAlignment="1">
      <alignment horizontal="left" vertical="center" wrapText="1"/>
    </xf>
    <xf numFmtId="0" fontId="14" fillId="0" borderId="31" xfId="8" applyFont="1" applyBorder="1" applyAlignment="1">
      <alignment horizontal="center"/>
    </xf>
    <xf numFmtId="0" fontId="14" fillId="0" borderId="26" xfId="8" applyFont="1" applyBorder="1" applyAlignment="1">
      <alignment horizontal="center"/>
    </xf>
    <xf numFmtId="0" fontId="1" fillId="0" borderId="43" xfId="8" applyFont="1" applyBorder="1" applyAlignment="1">
      <alignment horizontal="center" wrapText="1"/>
    </xf>
    <xf numFmtId="14" fontId="1" fillId="0" borderId="44" xfId="8" applyNumberFormat="1" applyFont="1" applyBorder="1" applyAlignment="1">
      <alignment horizontal="center" wrapText="1"/>
    </xf>
    <xf numFmtId="0" fontId="1" fillId="0" borderId="45" xfId="8" applyFont="1" applyBorder="1" applyAlignment="1">
      <alignment horizontal="center" wrapText="1"/>
    </xf>
    <xf numFmtId="14" fontId="1" fillId="0" borderId="46" xfId="8" applyNumberFormat="1" applyFont="1" applyBorder="1" applyAlignment="1">
      <alignment horizontal="center" wrapText="1"/>
    </xf>
    <xf numFmtId="0" fontId="12" fillId="0" borderId="47" xfId="8" applyFont="1" applyBorder="1" applyAlignment="1">
      <alignment horizontal="center" wrapText="1"/>
    </xf>
    <xf numFmtId="14" fontId="1" fillId="0" borderId="48" xfId="8" applyNumberFormat="1" applyFont="1" applyBorder="1" applyAlignment="1">
      <alignment horizontal="center" wrapText="1"/>
    </xf>
    <xf numFmtId="0" fontId="1" fillId="0" borderId="49" xfId="8" applyFont="1" applyBorder="1" applyAlignment="1">
      <alignment horizontal="center" wrapText="1"/>
    </xf>
    <xf numFmtId="14" fontId="1" fillId="0" borderId="50" xfId="8" applyNumberFormat="1" applyFont="1" applyBorder="1" applyAlignment="1">
      <alignment horizontal="center" wrapText="1"/>
    </xf>
    <xf numFmtId="14" fontId="1" fillId="3" borderId="0" xfId="8" applyNumberFormat="1" applyFont="1" applyFill="1"/>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2" fillId="14" borderId="17" xfId="4" applyFont="1" applyFill="1" applyBorder="1" applyAlignment="1" applyProtection="1">
      <alignment horizontal="center" vertical="center" wrapText="1"/>
      <protection locked="0"/>
    </xf>
    <xf numFmtId="0" fontId="12" fillId="14" borderId="1" xfId="4" applyFont="1" applyFill="1" applyAlignment="1" applyProtection="1">
      <alignment horizontal="center" vertical="center" wrapText="1"/>
      <protection locked="0"/>
    </xf>
    <xf numFmtId="0" fontId="12" fillId="14" borderId="19" xfId="4" applyFont="1" applyFill="1" applyBorder="1" applyAlignment="1" applyProtection="1">
      <alignment horizontal="center" vertical="center" wrapText="1"/>
      <protection locked="0"/>
    </xf>
    <xf numFmtId="0" fontId="12" fillId="14" borderId="10" xfId="4" applyFont="1" applyFill="1" applyBorder="1" applyAlignment="1" applyProtection="1">
      <alignment horizontal="center" vertical="center" wrapText="1"/>
      <protection locked="0"/>
    </xf>
    <xf numFmtId="0" fontId="14" fillId="0" borderId="82" xfId="0" applyFont="1" applyBorder="1" applyAlignment="1">
      <alignment horizontal="center" vertical="center"/>
    </xf>
    <xf numFmtId="0" fontId="14" fillId="0" borderId="1" xfId="5" applyFont="1" applyBorder="1" applyAlignment="1">
      <alignment horizontal="center"/>
    </xf>
    <xf numFmtId="0" fontId="12" fillId="0" borderId="0" xfId="8" applyFont="1" applyAlignment="1" applyProtection="1">
      <alignment vertical="center"/>
    </xf>
    <xf numFmtId="0" fontId="12" fillId="3" borderId="0" xfId="8" applyFont="1" applyFill="1" applyAlignment="1" applyProtection="1">
      <alignment vertical="center"/>
    </xf>
    <xf numFmtId="0" fontId="1" fillId="0" borderId="67" xfId="8" applyFont="1" applyBorder="1" applyAlignment="1" applyProtection="1">
      <alignment vertical="center"/>
    </xf>
    <xf numFmtId="0" fontId="5" fillId="0" borderId="68" xfId="8" applyFont="1" applyBorder="1" applyAlignment="1" applyProtection="1">
      <alignment horizontal="left" vertical="center"/>
    </xf>
    <xf numFmtId="0" fontId="1" fillId="0" borderId="0" xfId="8" applyFont="1" applyAlignment="1" applyProtection="1">
      <alignment vertical="center"/>
    </xf>
    <xf numFmtId="0" fontId="1" fillId="3" borderId="0" xfId="8" applyFont="1" applyFill="1" applyAlignment="1" applyProtection="1">
      <alignment vertical="center"/>
    </xf>
    <xf numFmtId="0" fontId="1" fillId="0" borderId="37" xfId="8" applyFont="1" applyBorder="1" applyAlignment="1" applyProtection="1">
      <alignment vertical="center"/>
    </xf>
    <xf numFmtId="0" fontId="5" fillId="0" borderId="38" xfId="8" applyFont="1" applyBorder="1" applyAlignment="1" applyProtection="1">
      <alignment horizontal="left" vertical="center"/>
    </xf>
    <xf numFmtId="14" fontId="1" fillId="0" borderId="38" xfId="8" applyNumberFormat="1" applyFont="1" applyBorder="1" applyAlignment="1" applyProtection="1">
      <alignment horizontal="left" vertical="center"/>
    </xf>
    <xf numFmtId="0" fontId="1" fillId="0" borderId="38" xfId="8" applyFont="1" applyBorder="1" applyAlignment="1" applyProtection="1">
      <alignment horizontal="left" vertical="center"/>
    </xf>
    <xf numFmtId="0" fontId="14" fillId="0" borderId="31" xfId="8" applyFont="1" applyBorder="1" applyAlignment="1" applyProtection="1">
      <alignment horizontal="center" vertical="center"/>
    </xf>
    <xf numFmtId="0" fontId="14" fillId="0" borderId="26" xfId="8" applyFont="1" applyBorder="1" applyAlignment="1" applyProtection="1">
      <alignment horizontal="center" vertical="center"/>
    </xf>
    <xf numFmtId="0" fontId="1" fillId="0" borderId="35" xfId="8" applyFont="1" applyBorder="1" applyAlignment="1" applyProtection="1">
      <alignment vertical="center"/>
    </xf>
    <xf numFmtId="0" fontId="1" fillId="0" borderId="44" xfId="8" applyFont="1" applyBorder="1" applyAlignment="1" applyProtection="1">
      <alignment vertical="center"/>
    </xf>
    <xf numFmtId="0" fontId="1" fillId="0" borderId="46" xfId="8" applyFont="1" applyBorder="1" applyAlignment="1" applyProtection="1">
      <alignment vertical="center"/>
    </xf>
    <xf numFmtId="0" fontId="12" fillId="0" borderId="37" xfId="8" applyFont="1" applyBorder="1" applyAlignment="1" applyProtection="1">
      <alignment vertical="center"/>
    </xf>
    <xf numFmtId="0" fontId="12" fillId="0" borderId="46" xfId="8" applyFont="1" applyBorder="1" applyAlignment="1" applyProtection="1">
      <alignment vertical="center"/>
    </xf>
    <xf numFmtId="0" fontId="12" fillId="0" borderId="41" xfId="8" applyFont="1" applyBorder="1" applyAlignment="1" applyProtection="1">
      <alignment vertical="center"/>
    </xf>
    <xf numFmtId="0" fontId="12" fillId="0" borderId="50" xfId="8" applyFont="1" applyBorder="1" applyAlignment="1" applyProtection="1">
      <alignment vertical="center"/>
    </xf>
    <xf numFmtId="0" fontId="10" fillId="13" borderId="14" xfId="8" applyFont="1" applyFill="1" applyBorder="1" applyAlignment="1" applyProtection="1">
      <alignment horizontal="center" vertical="center"/>
    </xf>
    <xf numFmtId="0" fontId="12" fillId="3" borderId="52" xfId="8" applyFont="1" applyFill="1" applyBorder="1" applyAlignment="1" applyProtection="1">
      <alignment horizontal="center" vertical="center"/>
    </xf>
    <xf numFmtId="0" fontId="12" fillId="0" borderId="16" xfId="8" applyFont="1" applyBorder="1" applyAlignment="1" applyProtection="1">
      <alignment horizontal="center" vertical="center"/>
    </xf>
    <xf numFmtId="0" fontId="14" fillId="15" borderId="20" xfId="0" applyFont="1" applyFill="1" applyBorder="1" applyAlignment="1" applyProtection="1">
      <alignment horizontal="center" vertical="center"/>
    </xf>
    <xf numFmtId="0" fontId="1" fillId="0" borderId="62" xfId="0" applyFont="1" applyBorder="1" applyAlignment="1" applyProtection="1">
      <alignment vertical="center"/>
    </xf>
    <xf numFmtId="0" fontId="12" fillId="0" borderId="73" xfId="8" applyFont="1" applyBorder="1" applyAlignment="1" applyProtection="1">
      <alignment vertical="center"/>
    </xf>
    <xf numFmtId="0" fontId="12" fillId="0" borderId="75" xfId="8" applyFont="1" applyBorder="1" applyAlignment="1" applyProtection="1">
      <alignment vertical="center"/>
    </xf>
    <xf numFmtId="0" fontId="12" fillId="0" borderId="77" xfId="8" applyFont="1" applyBorder="1" applyAlignment="1" applyProtection="1">
      <alignment vertical="center"/>
    </xf>
    <xf numFmtId="0" fontId="7" fillId="0" borderId="74" xfId="12" applyFont="1" applyBorder="1" applyAlignment="1" applyProtection="1">
      <alignment vertical="center"/>
      <protection locked="0"/>
    </xf>
    <xf numFmtId="0" fontId="7" fillId="0" borderId="76" xfId="12" applyFont="1" applyBorder="1" applyAlignment="1" applyProtection="1">
      <alignment vertical="center"/>
      <protection locked="0"/>
    </xf>
    <xf numFmtId="0" fontId="6" fillId="0" borderId="76" xfId="3" quotePrefix="1" applyBorder="1" applyAlignment="1" applyProtection="1">
      <alignment vertical="center"/>
      <protection locked="0"/>
    </xf>
    <xf numFmtId="0" fontId="7" fillId="0" borderId="78" xfId="12" applyFont="1" applyBorder="1" applyAlignment="1" applyProtection="1">
      <alignment vertical="center"/>
      <protection locked="0"/>
    </xf>
    <xf numFmtId="0" fontId="1" fillId="0" borderId="39" xfId="8" applyFont="1" applyBorder="1" applyAlignment="1" applyProtection="1">
      <alignment vertical="center"/>
    </xf>
    <xf numFmtId="0" fontId="1" fillId="0" borderId="40" xfId="8" applyFont="1" applyBorder="1" applyAlignment="1" applyProtection="1">
      <alignment horizontal="left" vertical="center"/>
    </xf>
    <xf numFmtId="0" fontId="1" fillId="0" borderId="61" xfId="8" applyFont="1" applyBorder="1" applyAlignment="1" applyProtection="1">
      <alignment vertical="center"/>
    </xf>
    <xf numFmtId="14" fontId="1" fillId="0" borderId="88" xfId="8" applyNumberFormat="1" applyFont="1" applyBorder="1" applyAlignment="1" applyProtection="1">
      <alignment horizontal="left" vertical="center"/>
    </xf>
    <xf numFmtId="0" fontId="10" fillId="6" borderId="10" xfId="0" applyFont="1" applyFill="1" applyBorder="1" applyAlignment="1">
      <alignment horizontal="center"/>
    </xf>
    <xf numFmtId="0" fontId="9" fillId="0" borderId="0" xfId="0" applyFont="1" applyBorder="1" applyAlignment="1">
      <alignment horizontal="left"/>
    </xf>
    <xf numFmtId="0" fontId="1" fillId="0" borderId="0" xfId="0" applyFont="1" applyBorder="1"/>
    <xf numFmtId="0" fontId="10" fillId="0" borderId="0" xfId="0" applyFont="1" applyFill="1" applyBorder="1" applyAlignment="1">
      <alignment horizontal="center"/>
    </xf>
    <xf numFmtId="0" fontId="26" fillId="2" borderId="0" xfId="8" applyFont="1" applyFill="1" applyAlignment="1">
      <alignment vertical="center"/>
    </xf>
    <xf numFmtId="14" fontId="10" fillId="6" borderId="56" xfId="4" applyNumberFormat="1" applyFont="1" applyFill="1" applyBorder="1" applyProtection="1">
      <alignment horizontal="center" vertical="center"/>
    </xf>
    <xf numFmtId="0" fontId="10" fillId="6" borderId="85" xfId="4" applyFont="1" applyFill="1" applyBorder="1" applyAlignment="1" applyProtection="1">
      <alignment horizontal="left" vertical="center"/>
    </xf>
    <xf numFmtId="0" fontId="1" fillId="0" borderId="0" xfId="0" applyFont="1" applyProtection="1"/>
    <xf numFmtId="0" fontId="1" fillId="3" borderId="0" xfId="0" applyFont="1" applyFill="1" applyProtection="1"/>
    <xf numFmtId="0" fontId="1" fillId="0" borderId="35" xfId="8" applyFont="1" applyBorder="1" applyProtection="1"/>
    <xf numFmtId="0" fontId="5" fillId="0" borderId="36" xfId="8" applyFont="1" applyBorder="1" applyAlignment="1" applyProtection="1">
      <alignment horizontal="left"/>
    </xf>
    <xf numFmtId="0" fontId="1" fillId="0" borderId="37" xfId="8" applyFont="1" applyBorder="1" applyProtection="1"/>
    <xf numFmtId="0" fontId="5" fillId="0" borderId="38" xfId="8" applyFont="1" applyBorder="1" applyAlignment="1" applyProtection="1">
      <alignment horizontal="left"/>
    </xf>
    <xf numFmtId="14" fontId="1" fillId="0" borderId="38" xfId="8" applyNumberFormat="1" applyFont="1" applyBorder="1" applyAlignment="1" applyProtection="1">
      <alignment horizontal="left"/>
    </xf>
    <xf numFmtId="0" fontId="1" fillId="0" borderId="38" xfId="8" applyFont="1" applyBorder="1" applyAlignment="1" applyProtection="1">
      <alignment horizontal="left"/>
    </xf>
    <xf numFmtId="0" fontId="1" fillId="0" borderId="38" xfId="8" applyFont="1" applyBorder="1" applyAlignment="1" applyProtection="1">
      <alignment horizontal="left" vertical="center" wrapText="1"/>
    </xf>
    <xf numFmtId="0" fontId="1" fillId="0" borderId="39" xfId="8" applyFont="1" applyBorder="1" applyAlignment="1" applyProtection="1">
      <alignment horizontal="left" vertical="center"/>
    </xf>
    <xf numFmtId="14" fontId="1" fillId="0" borderId="40" xfId="8" applyNumberFormat="1" applyFont="1" applyBorder="1" applyAlignment="1" applyProtection="1">
      <alignment horizontal="left" vertical="center" wrapText="1"/>
    </xf>
    <xf numFmtId="0" fontId="1" fillId="0" borderId="41" xfId="8" applyFont="1" applyBorder="1" applyProtection="1"/>
    <xf numFmtId="14" fontId="1" fillId="0" borderId="42" xfId="8" applyNumberFormat="1" applyFont="1" applyBorder="1" applyAlignment="1" applyProtection="1">
      <alignment horizontal="left"/>
    </xf>
    <xf numFmtId="0" fontId="1" fillId="0" borderId="0" xfId="8" applyFont="1" applyProtection="1"/>
    <xf numFmtId="14" fontId="1" fillId="0" borderId="0" xfId="8" applyNumberFormat="1" applyFont="1" applyAlignment="1" applyProtection="1">
      <alignment horizontal="left"/>
    </xf>
    <xf numFmtId="0" fontId="1" fillId="0" borderId="0" xfId="5" applyFont="1" applyProtection="1"/>
    <xf numFmtId="0" fontId="1" fillId="0" borderId="0" xfId="2" applyFont="1" applyProtection="1"/>
    <xf numFmtId="0" fontId="7" fillId="0" borderId="0" xfId="3" applyFont="1" applyAlignment="1" applyProtection="1">
      <protection locked="0"/>
    </xf>
    <xf numFmtId="0" fontId="1" fillId="0" borderId="11" xfId="0" applyFont="1" applyBorder="1"/>
    <xf numFmtId="0" fontId="0" fillId="0" borderId="0" xfId="0" applyBorder="1"/>
    <xf numFmtId="0" fontId="0" fillId="0" borderId="15" xfId="0" applyBorder="1"/>
    <xf numFmtId="0" fontId="14" fillId="0" borderId="15" xfId="0" applyFont="1" applyBorder="1"/>
    <xf numFmtId="0" fontId="3" fillId="4" borderId="2" xfId="1" applyFont="1" applyBorder="1" applyAlignment="1" applyProtection="1">
      <alignment vertical="center"/>
    </xf>
    <xf numFmtId="0" fontId="3" fillId="4" borderId="3" xfId="1" applyFont="1" applyBorder="1" applyAlignment="1" applyProtection="1">
      <alignment vertical="center"/>
    </xf>
    <xf numFmtId="0" fontId="1" fillId="0" borderId="56" xfId="8" applyFont="1" applyBorder="1" applyAlignment="1">
      <alignment horizontal="left"/>
    </xf>
    <xf numFmtId="0" fontId="1" fillId="0" borderId="57" xfId="8" applyFont="1" applyBorder="1" applyAlignment="1">
      <alignment horizontal="left"/>
    </xf>
    <xf numFmtId="0" fontId="1" fillId="0" borderId="25" xfId="0" applyFont="1" applyBorder="1" applyAlignment="1">
      <alignment horizontal="left"/>
    </xf>
    <xf numFmtId="0" fontId="1" fillId="0" borderId="0" xfId="0" applyFont="1" applyFill="1" applyBorder="1"/>
    <xf numFmtId="0" fontId="1" fillId="0" borderId="15" xfId="0" applyFont="1" applyBorder="1"/>
    <xf numFmtId="0" fontId="10" fillId="6" borderId="23" xfId="0" applyFont="1" applyFill="1" applyBorder="1" applyAlignment="1">
      <alignment horizontal="center" vertical="center"/>
    </xf>
    <xf numFmtId="0" fontId="1" fillId="0" borderId="0" xfId="0" applyFont="1" applyFill="1" applyProtection="1"/>
    <xf numFmtId="0" fontId="14" fillId="0" borderId="0" xfId="0" applyFont="1" applyFill="1" applyBorder="1" applyAlignment="1"/>
    <xf numFmtId="0" fontId="1" fillId="0" borderId="0" xfId="0" applyFont="1" applyFill="1" applyBorder="1" applyProtection="1"/>
    <xf numFmtId="0" fontId="1" fillId="0" borderId="0" xfId="0" applyFont="1" applyBorder="1" applyProtection="1"/>
    <xf numFmtId="0" fontId="14" fillId="0" borderId="84" xfId="0" applyFont="1" applyBorder="1" applyAlignment="1">
      <alignment horizontal="center" vertical="center"/>
    </xf>
    <xf numFmtId="0" fontId="14" fillId="0" borderId="0" xfId="0" applyFont="1" applyFill="1" applyBorder="1" applyAlignment="1">
      <alignment horizontal="left"/>
    </xf>
    <xf numFmtId="0" fontId="12" fillId="0" borderId="0" xfId="0" applyFont="1" applyBorder="1" applyProtection="1"/>
    <xf numFmtId="0" fontId="1" fillId="0" borderId="1" xfId="0" applyFont="1" applyBorder="1" applyProtection="1"/>
    <xf numFmtId="0" fontId="1" fillId="0" borderId="1" xfId="0" applyFont="1" applyBorder="1" applyAlignment="1" applyProtection="1">
      <alignment horizontal="center"/>
    </xf>
    <xf numFmtId="0" fontId="12" fillId="0" borderId="1" xfId="0" applyFont="1" applyBorder="1" applyAlignment="1" applyProtection="1">
      <alignment horizontal="center"/>
    </xf>
    <xf numFmtId="0" fontId="1" fillId="0" borderId="16" xfId="0" applyFont="1" applyBorder="1" applyProtection="1"/>
    <xf numFmtId="0" fontId="1" fillId="0" borderId="17" xfId="0" applyFont="1" applyBorder="1" applyAlignment="1">
      <alignment horizontal="right" vertical="center"/>
    </xf>
    <xf numFmtId="0" fontId="1" fillId="0" borderId="17" xfId="0" applyFont="1" applyBorder="1" applyAlignment="1" applyProtection="1">
      <alignment horizontal="right"/>
    </xf>
    <xf numFmtId="0" fontId="1" fillId="0" borderId="15" xfId="0" applyFont="1" applyBorder="1" applyAlignment="1">
      <alignment horizontal="center" vertical="center"/>
    </xf>
    <xf numFmtId="0" fontId="1" fillId="0" borderId="15" xfId="0" applyFont="1" applyBorder="1" applyProtection="1"/>
    <xf numFmtId="0" fontId="1" fillId="0" borderId="17" xfId="0" applyFont="1" applyBorder="1" applyAlignment="1">
      <alignment horizontal="right"/>
    </xf>
    <xf numFmtId="0" fontId="1" fillId="0" borderId="1" xfId="0" applyFont="1" applyBorder="1"/>
    <xf numFmtId="0" fontId="1" fillId="0" borderId="53" xfId="0" applyFont="1" applyBorder="1" applyAlignment="1" applyProtection="1">
      <alignment wrapText="1"/>
    </xf>
    <xf numFmtId="0" fontId="14" fillId="0" borderId="25" xfId="0" applyFont="1" applyBorder="1" applyAlignment="1">
      <alignment horizontal="center" vertical="center"/>
    </xf>
    <xf numFmtId="0" fontId="1" fillId="0" borderId="0" xfId="0" applyFont="1" applyBorder="1" applyAlignment="1">
      <alignment horizontal="center" vertical="center"/>
    </xf>
    <xf numFmtId="2" fontId="12" fillId="0" borderId="0" xfId="0" applyNumberFormat="1" applyFont="1" applyBorder="1" applyAlignment="1">
      <alignment horizontal="center"/>
    </xf>
    <xf numFmtId="0" fontId="12" fillId="0" borderId="0" xfId="0" applyFont="1" applyBorder="1" applyAlignment="1">
      <alignment horizontal="center" vertical="center"/>
    </xf>
    <xf numFmtId="0" fontId="29" fillId="0" borderId="0" xfId="0" applyFont="1" applyAlignment="1">
      <alignment horizontal="center"/>
    </xf>
    <xf numFmtId="0" fontId="1" fillId="0" borderId="0" xfId="0" applyFont="1" applyFill="1"/>
    <xf numFmtId="9" fontId="1" fillId="0" borderId="1" xfId="0" applyNumberFormat="1" applyFont="1" applyBorder="1" applyAlignment="1" applyProtection="1">
      <alignment horizontal="center"/>
    </xf>
    <xf numFmtId="0" fontId="1" fillId="0" borderId="17" xfId="0" applyFont="1" applyBorder="1" applyAlignment="1" applyProtection="1">
      <alignment horizontal="center"/>
    </xf>
    <xf numFmtId="0" fontId="14" fillId="5" borderId="13" xfId="0" applyFont="1" applyFill="1" applyBorder="1" applyAlignment="1"/>
    <xf numFmtId="0" fontId="1" fillId="0" borderId="100" xfId="0" applyFont="1" applyBorder="1" applyProtection="1"/>
    <xf numFmtId="0" fontId="14" fillId="0" borderId="17" xfId="0" applyFont="1" applyBorder="1" applyAlignment="1">
      <alignment horizontal="left"/>
    </xf>
    <xf numFmtId="0" fontId="14" fillId="0" borderId="1" xfId="0" applyFont="1" applyBorder="1" applyAlignment="1">
      <alignment horizontal="left"/>
    </xf>
    <xf numFmtId="0" fontId="14" fillId="0" borderId="17" xfId="0" applyFont="1" applyBorder="1" applyAlignment="1">
      <alignment horizontal="center"/>
    </xf>
    <xf numFmtId="0" fontId="12" fillId="0" borderId="1" xfId="0" applyFont="1" applyBorder="1" applyAlignment="1">
      <alignment horizontal="center"/>
    </xf>
    <xf numFmtId="9" fontId="1" fillId="14" borderId="1" xfId="0" applyNumberFormat="1" applyFont="1" applyFill="1" applyBorder="1" applyAlignment="1" applyProtection="1">
      <alignment horizontal="center"/>
    </xf>
    <xf numFmtId="9" fontId="1" fillId="6" borderId="1" xfId="0" applyNumberFormat="1" applyFont="1" applyFill="1" applyBorder="1" applyAlignment="1" applyProtection="1">
      <alignment horizontal="center"/>
    </xf>
    <xf numFmtId="2" fontId="12" fillId="14" borderId="83" xfId="4" applyNumberFormat="1" applyFont="1" applyFill="1" applyBorder="1" applyProtection="1">
      <alignment horizontal="center" vertical="center"/>
      <protection locked="0"/>
    </xf>
    <xf numFmtId="0" fontId="14" fillId="0" borderId="0" xfId="0" applyFont="1" applyBorder="1" applyAlignment="1">
      <alignment horizontal="center" vertical="center"/>
    </xf>
    <xf numFmtId="0" fontId="14" fillId="0" borderId="13" xfId="0" applyFont="1" applyBorder="1" applyAlignment="1">
      <alignment horizontal="left"/>
    </xf>
    <xf numFmtId="0" fontId="1" fillId="0" borderId="101" xfId="0" applyFont="1" applyBorder="1" applyAlignment="1">
      <alignment horizontal="right"/>
    </xf>
    <xf numFmtId="0" fontId="1" fillId="0" borderId="31" xfId="0" applyFont="1" applyBorder="1" applyAlignment="1">
      <alignment horizontal="right"/>
    </xf>
    <xf numFmtId="0" fontId="1" fillId="0" borderId="0" xfId="0" applyFont="1" applyBorder="1" applyAlignment="1">
      <alignment horizontal="left"/>
    </xf>
    <xf numFmtId="0" fontId="1" fillId="0" borderId="15" xfId="0" applyFont="1" applyBorder="1" applyAlignment="1">
      <alignment horizontal="right"/>
    </xf>
    <xf numFmtId="0" fontId="1" fillId="0" borderId="0" xfId="0" applyFont="1" applyBorder="1" applyAlignment="1">
      <alignment horizontal="center"/>
    </xf>
    <xf numFmtId="2" fontId="12" fillId="0" borderId="0" xfId="0" applyNumberFormat="1" applyFont="1" applyBorder="1" applyAlignment="1">
      <alignment horizontal="center" vertical="center"/>
    </xf>
    <xf numFmtId="0" fontId="33" fillId="0" borderId="0" xfId="0" applyFont="1" applyBorder="1" applyAlignment="1">
      <alignment horizontal="center"/>
    </xf>
    <xf numFmtId="0" fontId="14" fillId="0" borderId="1" xfId="0" applyFont="1" applyBorder="1" applyAlignment="1">
      <alignment horizontal="center" vertical="center"/>
    </xf>
    <xf numFmtId="0" fontId="14" fillId="0" borderId="0" xfId="0" applyFont="1" applyBorder="1"/>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14" fillId="0" borderId="31" xfId="0" applyFont="1" applyBorder="1" applyAlignment="1">
      <alignment horizontal="center" vertical="center"/>
    </xf>
    <xf numFmtId="0" fontId="14" fillId="0" borderId="15" xfId="0" applyFont="1" applyFill="1" applyBorder="1" applyAlignment="1">
      <alignment horizontal="left"/>
    </xf>
    <xf numFmtId="0" fontId="14" fillId="0" borderId="25" xfId="0" applyFont="1" applyFill="1" applyBorder="1" applyAlignment="1">
      <alignment horizontal="center" vertical="center"/>
    </xf>
    <xf numFmtId="0" fontId="14" fillId="0" borderId="25" xfId="0" applyFont="1" applyBorder="1" applyAlignment="1" applyProtection="1">
      <alignment horizontal="center"/>
    </xf>
    <xf numFmtId="0" fontId="12" fillId="0" borderId="62" xfId="0" applyFont="1" applyBorder="1" applyProtection="1"/>
    <xf numFmtId="0" fontId="1" fillId="0" borderId="62" xfId="0" applyFont="1" applyBorder="1" applyProtection="1"/>
    <xf numFmtId="0" fontId="1" fillId="0" borderId="20" xfId="0" applyFont="1" applyBorder="1" applyProtection="1"/>
    <xf numFmtId="0" fontId="1" fillId="0" borderId="16" xfId="0" applyFont="1" applyFill="1" applyBorder="1" applyProtection="1"/>
    <xf numFmtId="0" fontId="12" fillId="0" borderId="62" xfId="0" applyFont="1" applyBorder="1" applyAlignment="1">
      <alignment horizontal="center" vertical="center"/>
    </xf>
    <xf numFmtId="0" fontId="1" fillId="0" borderId="80" xfId="0" applyFont="1" applyBorder="1" applyProtection="1"/>
    <xf numFmtId="0" fontId="1" fillId="0" borderId="79" xfId="0" applyFont="1" applyBorder="1"/>
    <xf numFmtId="0" fontId="1" fillId="0" borderId="13" xfId="0" applyFont="1" applyBorder="1"/>
    <xf numFmtId="0" fontId="1" fillId="0" borderId="14" xfId="0" applyFont="1" applyBorder="1"/>
    <xf numFmtId="0" fontId="1" fillId="0" borderId="62" xfId="0" applyFont="1" applyBorder="1"/>
    <xf numFmtId="0" fontId="1" fillId="0" borderId="20" xfId="0" applyFont="1" applyBorder="1"/>
    <xf numFmtId="0" fontId="14" fillId="0" borderId="84" xfId="0" applyFont="1" applyBorder="1" applyAlignment="1">
      <alignment horizontal="center"/>
    </xf>
    <xf numFmtId="0" fontId="14" fillId="0" borderId="17" xfId="0" applyFont="1" applyBorder="1" applyAlignment="1" applyProtection="1">
      <alignment horizontal="center"/>
    </xf>
    <xf numFmtId="0" fontId="1" fillId="0" borderId="19" xfId="0" applyFont="1" applyBorder="1" applyAlignment="1" applyProtection="1">
      <alignment horizontal="right"/>
    </xf>
    <xf numFmtId="0" fontId="14" fillId="0" borderId="31" xfId="0" applyFont="1" applyBorder="1" applyAlignment="1" applyProtection="1">
      <alignment horizontal="center"/>
    </xf>
    <xf numFmtId="0" fontId="1" fillId="0" borderId="21" xfId="0" applyFont="1" applyBorder="1" applyAlignment="1" applyProtection="1">
      <alignment horizontal="right"/>
    </xf>
    <xf numFmtId="0" fontId="1" fillId="0" borderId="16" xfId="0" applyFont="1" applyFill="1" applyBorder="1"/>
    <xf numFmtId="0" fontId="14" fillId="0" borderId="16" xfId="0" applyFont="1" applyBorder="1"/>
    <xf numFmtId="0" fontId="3" fillId="0" borderId="0" xfId="0" applyFont="1" applyBorder="1" applyAlignment="1">
      <alignment horizontal="center" vertical="center"/>
    </xf>
    <xf numFmtId="0" fontId="12" fillId="0" borderId="0" xfId="0" applyFont="1" applyBorder="1"/>
    <xf numFmtId="0" fontId="1" fillId="0" borderId="17" xfId="0" applyFont="1" applyBorder="1" applyAlignment="1">
      <alignment horizontal="right" vertical="center" wrapText="1"/>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 fillId="0" borderId="17" xfId="0" applyFont="1" applyBorder="1" applyAlignment="1">
      <alignment horizontal="center"/>
    </xf>
    <xf numFmtId="0" fontId="1" fillId="0" borderId="62" xfId="0" applyFont="1" applyBorder="1" applyAlignment="1">
      <alignment horizontal="center"/>
    </xf>
    <xf numFmtId="0" fontId="1" fillId="0" borderId="15" xfId="0" applyFont="1" applyBorder="1" applyAlignment="1">
      <alignment horizontal="left"/>
    </xf>
    <xf numFmtId="0" fontId="1" fillId="0" borderId="17" xfId="0" applyFont="1" applyBorder="1" applyAlignment="1">
      <alignment horizontal="right" wrapText="1"/>
    </xf>
    <xf numFmtId="0" fontId="14" fillId="0" borderId="61" xfId="0" applyFont="1" applyBorder="1"/>
    <xf numFmtId="0" fontId="14" fillId="0" borderId="13" xfId="0" applyFont="1" applyBorder="1"/>
    <xf numFmtId="0" fontId="14" fillId="0" borderId="14" xfId="0" applyFont="1" applyBorder="1"/>
    <xf numFmtId="0" fontId="1" fillId="0" borderId="62" xfId="0" applyFont="1" applyBorder="1" applyAlignment="1">
      <alignment horizontal="center" vertical="center"/>
    </xf>
    <xf numFmtId="0" fontId="1" fillId="0" borderId="31" xfId="0" applyFont="1" applyBorder="1"/>
    <xf numFmtId="0" fontId="1" fillId="0" borderId="17" xfId="0" applyFont="1" applyFill="1" applyBorder="1" applyAlignment="1">
      <alignment horizontal="left"/>
    </xf>
    <xf numFmtId="0" fontId="1" fillId="0" borderId="15" xfId="0" applyFont="1" applyFill="1" applyBorder="1" applyAlignment="1">
      <alignment horizontal="left"/>
    </xf>
    <xf numFmtId="2" fontId="12" fillId="14" borderId="1" xfId="4" applyNumberFormat="1" applyFont="1" applyFill="1" applyBorder="1" applyProtection="1">
      <alignment horizontal="center" vertical="center"/>
      <protection locked="0"/>
    </xf>
    <xf numFmtId="0" fontId="10" fillId="6" borderId="25"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 xfId="0" applyFont="1" applyFill="1" applyBorder="1" applyProtection="1"/>
    <xf numFmtId="0" fontId="10" fillId="6" borderId="1" xfId="0" applyFont="1" applyFill="1" applyBorder="1"/>
    <xf numFmtId="0" fontId="10" fillId="6" borderId="86" xfId="0" applyFont="1" applyFill="1" applyBorder="1" applyAlignment="1">
      <alignment horizontal="center" vertical="center"/>
    </xf>
    <xf numFmtId="0" fontId="10" fillId="6" borderId="87" xfId="0" applyFont="1" applyFill="1" applyBorder="1" applyAlignment="1">
      <alignment horizontal="center" vertical="center"/>
    </xf>
    <xf numFmtId="0" fontId="10" fillId="6" borderId="10" xfId="0" applyFont="1" applyFill="1" applyBorder="1" applyProtection="1"/>
    <xf numFmtId="0" fontId="10" fillId="6" borderId="1" xfId="0" applyFont="1" applyFill="1" applyBorder="1" applyAlignment="1">
      <alignment horizontal="center"/>
    </xf>
    <xf numFmtId="0" fontId="10" fillId="6" borderId="11" xfId="0" applyFont="1" applyFill="1" applyBorder="1" applyAlignment="1">
      <alignment horizontal="center"/>
    </xf>
    <xf numFmtId="0" fontId="10" fillId="6" borderId="10" xfId="0" applyFont="1" applyFill="1" applyBorder="1"/>
    <xf numFmtId="0" fontId="10" fillId="6" borderId="11" xfId="0" applyFont="1" applyFill="1" applyBorder="1" applyAlignment="1">
      <alignment horizontal="left"/>
    </xf>
    <xf numFmtId="0" fontId="14" fillId="0" borderId="1" xfId="0" applyFont="1" applyBorder="1" applyAlignment="1">
      <alignment horizontal="left" wrapText="1"/>
    </xf>
    <xf numFmtId="164" fontId="1" fillId="0" borderId="0" xfId="0" applyNumberFormat="1" applyFont="1" applyBorder="1" applyAlignment="1" applyProtection="1">
      <alignment horizontal="center" vertical="top" wrapText="1"/>
    </xf>
    <xf numFmtId="0" fontId="1" fillId="0" borderId="1" xfId="0" applyNumberFormat="1" applyFont="1" applyBorder="1" applyAlignment="1" applyProtection="1">
      <alignment horizontal="center"/>
    </xf>
    <xf numFmtId="0" fontId="12" fillId="0" borderId="1" xfId="0" applyNumberFormat="1" applyFont="1" applyBorder="1" applyAlignment="1" applyProtection="1">
      <alignment horizontal="center"/>
    </xf>
    <xf numFmtId="0" fontId="14" fillId="15" borderId="1" xfId="0" applyFont="1" applyFill="1" applyBorder="1" applyAlignment="1" applyProtection="1">
      <alignment horizontal="center" vertical="center"/>
    </xf>
    <xf numFmtId="0" fontId="1" fillId="0" borderId="19" xfId="0" applyFont="1" applyBorder="1" applyAlignment="1" applyProtection="1">
      <alignment horizontal="center"/>
    </xf>
    <xf numFmtId="0" fontId="10" fillId="6" borderId="10" xfId="0" applyFont="1" applyFill="1" applyBorder="1" applyAlignment="1" applyProtection="1">
      <alignment vertical="center"/>
    </xf>
    <xf numFmtId="0" fontId="1" fillId="0" borderId="13" xfId="0" applyFont="1" applyBorder="1" applyProtection="1"/>
    <xf numFmtId="164" fontId="1" fillId="0" borderId="13" xfId="0" applyNumberFormat="1" applyFont="1" applyBorder="1" applyAlignment="1" applyProtection="1">
      <alignment horizontal="center" vertical="top" wrapText="1"/>
    </xf>
    <xf numFmtId="164" fontId="1" fillId="0" borderId="16" xfId="0" applyNumberFormat="1" applyFont="1" applyBorder="1" applyAlignment="1" applyProtection="1">
      <alignment horizontal="center" vertical="top" wrapText="1"/>
    </xf>
    <xf numFmtId="164" fontId="1" fillId="0" borderId="62" xfId="0" applyNumberFormat="1" applyFont="1" applyBorder="1" applyAlignment="1" applyProtection="1">
      <alignment horizontal="center" vertical="top" wrapText="1"/>
    </xf>
    <xf numFmtId="164" fontId="1" fillId="0" borderId="20" xfId="0" applyNumberFormat="1" applyFont="1" applyBorder="1" applyAlignment="1" applyProtection="1">
      <alignment horizontal="center" vertical="top" wrapText="1"/>
    </xf>
    <xf numFmtId="0" fontId="1" fillId="0" borderId="37" xfId="8" applyFont="1" applyBorder="1" applyAlignment="1" applyProtection="1">
      <alignment horizontal="left" vertical="center"/>
    </xf>
    <xf numFmtId="0" fontId="1" fillId="0" borderId="35" xfId="8" applyFont="1" applyBorder="1" applyAlignment="1" applyProtection="1">
      <alignment horizontal="left" vertical="center"/>
    </xf>
    <xf numFmtId="0" fontId="1" fillId="0" borderId="41" xfId="8" applyFont="1" applyBorder="1" applyAlignment="1" applyProtection="1">
      <alignment horizontal="left" vertical="center"/>
    </xf>
    <xf numFmtId="0" fontId="5" fillId="0" borderId="36" xfId="8" applyFont="1" applyBorder="1" applyAlignment="1" applyProtection="1">
      <alignment horizontal="left" vertical="center"/>
    </xf>
    <xf numFmtId="14" fontId="1" fillId="0" borderId="42" xfId="8" applyNumberFormat="1" applyFont="1" applyBorder="1" applyAlignment="1" applyProtection="1">
      <alignment horizontal="left" vertical="center"/>
    </xf>
    <xf numFmtId="0" fontId="29" fillId="0" borderId="0" xfId="0" applyFont="1" applyBorder="1" applyAlignment="1">
      <alignment horizontal="center"/>
    </xf>
    <xf numFmtId="0" fontId="1" fillId="0" borderId="19" xfId="0" applyFont="1" applyBorder="1" applyAlignment="1">
      <alignment horizontal="right"/>
    </xf>
    <xf numFmtId="0" fontId="10" fillId="6" borderId="83" xfId="0" applyFont="1" applyFill="1" applyBorder="1" applyAlignment="1">
      <alignment horizontal="center"/>
    </xf>
    <xf numFmtId="0" fontId="1" fillId="0" borderId="31" xfId="0" applyFont="1" applyBorder="1" applyProtection="1"/>
    <xf numFmtId="0" fontId="1" fillId="0" borderId="17" xfId="0" applyFont="1" applyBorder="1" applyAlignment="1">
      <alignment horizontal="left" vertical="center" wrapText="1"/>
    </xf>
    <xf numFmtId="0" fontId="10" fillId="6" borderId="10" xfId="0" applyFont="1" applyFill="1" applyBorder="1" applyAlignment="1" applyProtection="1">
      <alignment horizontal="center"/>
    </xf>
    <xf numFmtId="2" fontId="12" fillId="14" borderId="10" xfId="4" applyNumberFormat="1" applyFont="1" applyFill="1" applyBorder="1" applyProtection="1">
      <alignment horizontal="center" vertical="center"/>
      <protection locked="0"/>
    </xf>
    <xf numFmtId="9" fontId="10" fillId="6" borderId="1" xfId="0" applyNumberFormat="1" applyFont="1" applyFill="1" applyBorder="1" applyAlignment="1" applyProtection="1">
      <alignment horizontal="center"/>
    </xf>
    <xf numFmtId="0" fontId="10" fillId="6" borderId="56" xfId="0" applyNumberFormat="1" applyFont="1" applyFill="1" applyBorder="1" applyAlignment="1" applyProtection="1">
      <alignment horizontal="center"/>
    </xf>
    <xf numFmtId="0" fontId="10" fillId="6" borderId="1" xfId="0" applyNumberFormat="1" applyFont="1" applyFill="1" applyBorder="1" applyAlignment="1" applyProtection="1">
      <alignment horizontal="center"/>
    </xf>
    <xf numFmtId="9" fontId="10" fillId="6" borderId="25" xfId="0" applyNumberFormat="1" applyFont="1" applyFill="1" applyBorder="1" applyAlignment="1" applyProtection="1">
      <alignment horizontal="center"/>
    </xf>
    <xf numFmtId="0" fontId="14" fillId="0" borderId="31" xfId="0" applyFont="1" applyBorder="1" applyAlignment="1">
      <alignment horizontal="center" vertical="center"/>
    </xf>
    <xf numFmtId="0" fontId="14" fillId="0" borderId="61" xfId="0" applyFont="1" applyBorder="1" applyAlignment="1">
      <alignment horizontal="left"/>
    </xf>
    <xf numFmtId="0" fontId="14" fillId="0" borderId="62" xfId="0" applyFont="1" applyBorder="1" applyAlignment="1">
      <alignment horizontal="left"/>
    </xf>
    <xf numFmtId="0" fontId="1" fillId="0" borderId="1" xfId="0" applyFont="1" applyBorder="1" applyAlignment="1">
      <alignment horizontal="center"/>
    </xf>
    <xf numFmtId="0" fontId="14" fillId="0" borderId="82" xfId="0" applyFont="1" applyBorder="1" applyAlignment="1">
      <alignment horizontal="center"/>
    </xf>
    <xf numFmtId="0" fontId="14" fillId="0" borderId="0" xfId="0" applyFont="1" applyBorder="1" applyAlignment="1">
      <alignment horizontal="left"/>
    </xf>
    <xf numFmtId="0" fontId="14" fillId="0" borderId="15" xfId="0" applyFont="1" applyBorder="1" applyAlignment="1">
      <alignment horizontal="left"/>
    </xf>
    <xf numFmtId="0" fontId="0" fillId="0" borderId="1" xfId="0" applyBorder="1"/>
    <xf numFmtId="0" fontId="0" fillId="0" borderId="1" xfId="0" applyNumberFormat="1" applyBorder="1"/>
    <xf numFmtId="0" fontId="1" fillId="0" borderId="17" xfId="0" applyFont="1" applyBorder="1" applyAlignment="1" applyProtection="1">
      <alignment horizontal="right" vertical="center"/>
    </xf>
    <xf numFmtId="0" fontId="1" fillId="0" borderId="19" xfId="0" applyFont="1" applyBorder="1" applyAlignment="1">
      <alignment horizontal="right" vertical="center"/>
    </xf>
    <xf numFmtId="0" fontId="1" fillId="0" borderId="31" xfId="0" applyFont="1" applyBorder="1" applyAlignment="1">
      <alignment horizontal="right" vertical="center"/>
    </xf>
    <xf numFmtId="0" fontId="1" fillId="0" borderId="31" xfId="0" applyFont="1" applyBorder="1" applyAlignment="1">
      <alignment horizontal="right" vertical="center" wrapText="1"/>
    </xf>
    <xf numFmtId="0" fontId="12" fillId="14" borderId="26" xfId="4" applyNumberFormat="1" applyFont="1" applyFill="1" applyBorder="1" applyProtection="1">
      <alignment horizontal="center" vertical="center"/>
      <protection locked="0"/>
    </xf>
    <xf numFmtId="0" fontId="12" fillId="14" borderId="11" xfId="4" applyNumberFormat="1" applyFont="1" applyFill="1" applyBorder="1" applyProtection="1">
      <alignment horizontal="center" vertical="center"/>
      <protection locked="0"/>
    </xf>
    <xf numFmtId="0" fontId="12" fillId="14" borderId="85" xfId="7" applyNumberFormat="1" applyFont="1" applyFill="1" applyBorder="1" applyAlignment="1" applyProtection="1">
      <alignment horizontal="center" vertical="center"/>
      <protection locked="0"/>
    </xf>
    <xf numFmtId="0" fontId="12" fillId="14" borderId="11" xfId="7" applyNumberFormat="1" applyFont="1" applyFill="1" applyBorder="1" applyAlignment="1" applyProtection="1">
      <alignment horizontal="center" vertical="center"/>
      <protection locked="0"/>
    </xf>
    <xf numFmtId="0" fontId="14" fillId="0" borderId="1" xfId="0" applyFont="1" applyFill="1" applyBorder="1" applyAlignment="1">
      <alignment horizontal="center"/>
    </xf>
    <xf numFmtId="0" fontId="1" fillId="0" borderId="1" xfId="0" applyNumberFormat="1" applyFont="1" applyFill="1" applyBorder="1" applyAlignment="1">
      <alignment horizontal="center"/>
    </xf>
    <xf numFmtId="0" fontId="14" fillId="0" borderId="17" xfId="0" applyFont="1" applyBorder="1" applyAlignment="1">
      <alignment horizontal="left" vertical="top"/>
    </xf>
    <xf numFmtId="0" fontId="14" fillId="0" borderId="1" xfId="0" applyFont="1" applyBorder="1" applyAlignment="1">
      <alignment horizontal="left" vertical="top" wrapText="1"/>
    </xf>
    <xf numFmtId="0" fontId="1" fillId="0" borderId="0" xfId="0" applyFont="1" applyAlignment="1">
      <alignment vertical="top"/>
    </xf>
    <xf numFmtId="0" fontId="1" fillId="0" borderId="101" xfId="0" applyFont="1" applyBorder="1" applyAlignment="1">
      <alignment horizontal="right" vertical="center"/>
    </xf>
    <xf numFmtId="0" fontId="1" fillId="0" borderId="19" xfId="0" applyFont="1" applyBorder="1" applyAlignment="1" applyProtection="1">
      <alignment horizontal="right" vertical="center"/>
    </xf>
    <xf numFmtId="2" fontId="12" fillId="14" borderId="23" xfId="4" applyNumberFormat="1" applyFont="1" applyFill="1" applyBorder="1" applyProtection="1">
      <alignment horizontal="center" vertical="center"/>
      <protection locked="0"/>
    </xf>
    <xf numFmtId="0" fontId="1" fillId="0" borderId="96" xfId="0" applyFont="1" applyBorder="1" applyProtection="1"/>
    <xf numFmtId="0" fontId="14" fillId="0" borderId="31" xfId="0" applyFont="1" applyBorder="1" applyAlignment="1">
      <alignment horizontal="center" vertical="center"/>
    </xf>
    <xf numFmtId="0" fontId="1" fillId="0" borderId="0" xfId="0" applyFont="1" applyAlignment="1">
      <alignment horizontal="center"/>
    </xf>
    <xf numFmtId="0" fontId="14" fillId="0" borderId="0" xfId="0" applyFont="1" applyFill="1" applyBorder="1" applyAlignment="1">
      <alignment horizontal="left"/>
    </xf>
    <xf numFmtId="0" fontId="14" fillId="0" borderId="0" xfId="0" applyFont="1" applyBorder="1" applyAlignment="1">
      <alignment horizontal="left"/>
    </xf>
    <xf numFmtId="0" fontId="1" fillId="0" borderId="1" xfId="0" applyFont="1" applyBorder="1" applyAlignment="1">
      <alignment horizontal="center"/>
    </xf>
    <xf numFmtId="0" fontId="1" fillId="0" borderId="11" xfId="0" applyFont="1" applyBorder="1" applyAlignment="1">
      <alignment horizontal="center"/>
    </xf>
    <xf numFmtId="0" fontId="0" fillId="0" borderId="0" xfId="0" applyFill="1"/>
    <xf numFmtId="0" fontId="14" fillId="0" borderId="1" xfId="0" applyFont="1" applyFill="1" applyBorder="1" applyAlignment="1">
      <alignment horizontal="center" vertical="center"/>
    </xf>
    <xf numFmtId="0" fontId="10" fillId="0" borderId="80" xfId="0" applyFont="1" applyFill="1" applyBorder="1"/>
    <xf numFmtId="0" fontId="1" fillId="0" borderId="17" xfId="0" applyFont="1" applyBorder="1" applyAlignment="1">
      <alignment wrapText="1"/>
    </xf>
    <xf numFmtId="0" fontId="1" fillId="0" borderId="19" xfId="0" applyFont="1" applyBorder="1"/>
    <xf numFmtId="0" fontId="10" fillId="0" borderId="0" xfId="0" applyFont="1" applyFill="1" applyBorder="1"/>
    <xf numFmtId="0" fontId="1" fillId="0" borderId="101" xfId="0" applyFont="1" applyBorder="1" applyAlignment="1">
      <alignment horizontal="right" vertical="top"/>
    </xf>
    <xf numFmtId="9" fontId="1" fillId="0" borderId="1" xfId="0" applyNumberFormat="1" applyFont="1" applyBorder="1" applyAlignment="1">
      <alignment horizontal="center" vertical="center"/>
    </xf>
    <xf numFmtId="0" fontId="1" fillId="0" borderId="0" xfId="0" applyNumberFormat="1" applyFont="1" applyProtection="1"/>
    <xf numFmtId="0" fontId="1" fillId="0" borderId="31" xfId="0" applyFont="1" applyBorder="1" applyAlignment="1" applyProtection="1">
      <alignment horizontal="right"/>
    </xf>
    <xf numFmtId="0" fontId="1" fillId="0" borderId="17" xfId="0" applyNumberFormat="1" applyFont="1" applyBorder="1" applyAlignment="1">
      <alignment horizontal="right" vertical="center"/>
    </xf>
    <xf numFmtId="0" fontId="1" fillId="0" borderId="17" xfId="0" applyFont="1" applyFill="1" applyBorder="1" applyAlignment="1" applyProtection="1">
      <alignment horizontal="right"/>
    </xf>
    <xf numFmtId="0" fontId="1" fillId="0" borderId="25" xfId="0" applyFont="1" applyBorder="1" applyProtection="1"/>
    <xf numFmtId="0" fontId="14" fillId="0" borderId="24" xfId="0" applyFont="1" applyFill="1" applyBorder="1" applyProtection="1"/>
    <xf numFmtId="0" fontId="1" fillId="0" borderId="17" xfId="0" applyNumberFormat="1" applyFont="1" applyBorder="1" applyAlignment="1" applyProtection="1">
      <alignment horizontal="right"/>
    </xf>
    <xf numFmtId="9" fontId="10" fillId="6" borderId="56" xfId="0" applyNumberFormat="1" applyFont="1" applyFill="1" applyBorder="1" applyAlignment="1" applyProtection="1">
      <alignment horizontal="center"/>
    </xf>
    <xf numFmtId="0" fontId="10" fillId="0" borderId="0" xfId="0" applyFont="1" applyBorder="1" applyProtection="1"/>
    <xf numFmtId="0" fontId="1" fillId="0" borderId="17" xfId="0" applyFont="1" applyBorder="1" applyAlignment="1" applyProtection="1">
      <alignment horizontal="right" wrapText="1"/>
    </xf>
    <xf numFmtId="9" fontId="10" fillId="6" borderId="23" xfId="0" applyNumberFormat="1" applyFont="1" applyFill="1" applyBorder="1" applyAlignment="1" applyProtection="1">
      <alignment horizontal="center"/>
    </xf>
    <xf numFmtId="0" fontId="10" fillId="6" borderId="23" xfId="0" applyFont="1" applyFill="1" applyBorder="1" applyProtection="1"/>
    <xf numFmtId="0" fontId="10" fillId="6" borderId="11" xfId="0" applyNumberFormat="1" applyFont="1" applyFill="1" applyBorder="1" applyAlignment="1" applyProtection="1">
      <alignment horizontal="center"/>
    </xf>
    <xf numFmtId="9" fontId="10" fillId="6" borderId="10" xfId="0" applyNumberFormat="1" applyFont="1" applyFill="1" applyBorder="1" applyAlignment="1" applyProtection="1">
      <alignment horizontal="center"/>
    </xf>
    <xf numFmtId="0" fontId="10" fillId="0" borderId="62" xfId="0" applyFont="1" applyBorder="1" applyProtection="1"/>
    <xf numFmtId="9" fontId="10" fillId="23" borderId="1" xfId="0" applyNumberFormat="1" applyFont="1" applyFill="1" applyBorder="1" applyAlignment="1" applyProtection="1">
      <alignment horizontal="center"/>
    </xf>
    <xf numFmtId="9" fontId="10" fillId="23" borderId="11" xfId="0" applyNumberFormat="1" applyFont="1" applyFill="1" applyBorder="1" applyAlignment="1" applyProtection="1">
      <alignment horizontal="center"/>
    </xf>
    <xf numFmtId="0" fontId="33" fillId="0" borderId="21" xfId="0" applyFont="1" applyBorder="1" applyAlignment="1" applyProtection="1">
      <alignment horizontal="right"/>
    </xf>
    <xf numFmtId="0" fontId="1" fillId="0" borderId="24" xfId="0" applyNumberFormat="1" applyFont="1" applyBorder="1" applyAlignment="1" applyProtection="1">
      <alignment horizontal="center"/>
    </xf>
    <xf numFmtId="0" fontId="1" fillId="0" borderId="24" xfId="0" applyFont="1" applyBorder="1" applyProtection="1"/>
    <xf numFmtId="0" fontId="10" fillId="6" borderId="25" xfId="0" applyNumberFormat="1" applyFont="1" applyFill="1" applyBorder="1" applyAlignment="1" applyProtection="1">
      <alignment horizontal="center"/>
    </xf>
    <xf numFmtId="0" fontId="1" fillId="0" borderId="19" xfId="0" applyFont="1" applyFill="1" applyBorder="1" applyAlignment="1">
      <alignment horizontal="right" vertical="center"/>
    </xf>
    <xf numFmtId="0" fontId="1" fillId="0" borderId="31" xfId="0" applyFont="1" applyFill="1" applyBorder="1" applyAlignment="1">
      <alignment horizontal="right" vertical="center" wrapText="1"/>
    </xf>
    <xf numFmtId="0" fontId="0" fillId="0" borderId="96" xfId="0" applyBorder="1"/>
    <xf numFmtId="0" fontId="1" fillId="0" borderId="17" xfId="0" applyFont="1" applyFill="1" applyBorder="1" applyAlignment="1">
      <alignment horizontal="right" vertical="center" wrapText="1"/>
    </xf>
    <xf numFmtId="0" fontId="1" fillId="0" borderId="17" xfId="0" applyFont="1" applyFill="1" applyBorder="1" applyAlignment="1">
      <alignment horizontal="right" vertical="center"/>
    </xf>
    <xf numFmtId="0" fontId="1" fillId="0" borderId="72" xfId="0" applyFont="1" applyBorder="1" applyAlignment="1">
      <alignment horizontal="right" vertical="center" wrapText="1"/>
    </xf>
    <xf numFmtId="2" fontId="10" fillId="6" borderId="106" xfId="0" applyNumberFormat="1" applyFont="1" applyFill="1" applyBorder="1" applyAlignment="1">
      <alignment horizontal="center" vertical="center"/>
    </xf>
    <xf numFmtId="0" fontId="0" fillId="0" borderId="62" xfId="0" applyBorder="1"/>
    <xf numFmtId="0" fontId="1" fillId="0" borderId="0" xfId="0" applyNumberFormat="1" applyFont="1" applyBorder="1" applyProtection="1"/>
    <xf numFmtId="0" fontId="1" fillId="0" borderId="16" xfId="0" applyNumberFormat="1" applyFont="1" applyBorder="1" applyProtection="1"/>
    <xf numFmtId="0" fontId="14" fillId="0" borderId="15" xfId="0" applyFont="1" applyBorder="1" applyProtection="1"/>
    <xf numFmtId="0" fontId="12" fillId="0" borderId="24" xfId="0" applyNumberFormat="1" applyFont="1" applyBorder="1" applyAlignment="1" applyProtection="1">
      <alignment horizontal="center"/>
    </xf>
    <xf numFmtId="0" fontId="14" fillId="0" borderId="61" xfId="0" applyFont="1" applyFill="1" applyBorder="1"/>
    <xf numFmtId="0" fontId="1" fillId="0" borderId="31" xfId="0" applyFont="1" applyBorder="1" applyAlignment="1">
      <alignment horizontal="center" vertical="center"/>
    </xf>
    <xf numFmtId="0" fontId="1" fillId="0" borderId="19" xfId="0" applyFont="1" applyBorder="1" applyAlignment="1">
      <alignment horizontal="center"/>
    </xf>
    <xf numFmtId="0" fontId="10" fillId="6" borderId="106" xfId="0" applyFont="1" applyFill="1" applyBorder="1" applyAlignment="1">
      <alignment horizontal="center"/>
    </xf>
    <xf numFmtId="0" fontId="14" fillId="0" borderId="16" xfId="0" applyFont="1" applyFill="1" applyBorder="1" applyAlignment="1">
      <alignment horizontal="left"/>
    </xf>
    <xf numFmtId="0" fontId="0" fillId="0" borderId="20" xfId="0" applyBorder="1"/>
    <xf numFmtId="0" fontId="1" fillId="0" borderId="13" xfId="0" applyFont="1" applyBorder="1" applyAlignment="1">
      <alignment vertical="top"/>
    </xf>
    <xf numFmtId="0" fontId="1" fillId="0" borderId="0" xfId="0" applyFont="1" applyBorder="1" applyAlignment="1">
      <alignment vertical="top"/>
    </xf>
    <xf numFmtId="0" fontId="1" fillId="0" borderId="14" xfId="0" applyFont="1" applyBorder="1" applyAlignment="1">
      <alignment vertical="top"/>
    </xf>
    <xf numFmtId="0" fontId="1" fillId="0" borderId="16" xfId="0" applyFont="1" applyBorder="1" applyAlignment="1">
      <alignment vertical="top"/>
    </xf>
    <xf numFmtId="0" fontId="14" fillId="0" borderId="17" xfId="0" applyFont="1" applyBorder="1"/>
    <xf numFmtId="0" fontId="1" fillId="2" borderId="17" xfId="0" applyFont="1" applyFill="1" applyBorder="1" applyAlignment="1">
      <alignment horizontal="right"/>
    </xf>
    <xf numFmtId="0" fontId="10" fillId="0" borderId="16" xfId="0" applyFont="1" applyFill="1" applyBorder="1" applyAlignment="1">
      <alignment horizontal="center" vertical="center"/>
    </xf>
    <xf numFmtId="0" fontId="10" fillId="6" borderId="16" xfId="0" applyFont="1" applyFill="1" applyBorder="1" applyAlignment="1">
      <alignment horizontal="center" vertical="center"/>
    </xf>
    <xf numFmtId="0" fontId="10" fillId="0" borderId="0" xfId="0" applyFont="1" applyFill="1" applyBorder="1" applyAlignment="1">
      <alignment horizontal="center" vertical="center"/>
    </xf>
    <xf numFmtId="0" fontId="10" fillId="6" borderId="11" xfId="0" applyFont="1" applyFill="1" applyBorder="1" applyAlignment="1">
      <alignment horizontal="center" vertical="center"/>
    </xf>
    <xf numFmtId="0" fontId="1" fillId="0" borderId="11" xfId="0" applyNumberFormat="1" applyFont="1" applyFill="1" applyBorder="1" applyAlignment="1">
      <alignment horizontal="center"/>
    </xf>
    <xf numFmtId="0" fontId="10" fillId="6" borderId="83" xfId="0" quotePrefix="1" applyFont="1" applyFill="1" applyBorder="1" applyAlignment="1">
      <alignment horizontal="center"/>
    </xf>
    <xf numFmtId="0" fontId="1" fillId="0" borderId="96" xfId="0" applyFont="1" applyBorder="1"/>
    <xf numFmtId="0" fontId="14" fillId="0" borderId="17" xfId="0" applyFont="1" applyFill="1" applyBorder="1" applyAlignment="1">
      <alignment horizontal="center"/>
    </xf>
    <xf numFmtId="0" fontId="14" fillId="0" borderId="15" xfId="0" applyFont="1" applyBorder="1" applyAlignment="1">
      <alignment horizontal="left"/>
    </xf>
    <xf numFmtId="0" fontId="14" fillId="0" borderId="0" xfId="0" applyFont="1" applyBorder="1" applyAlignment="1">
      <alignment horizontal="left"/>
    </xf>
    <xf numFmtId="0" fontId="14" fillId="0" borderId="21" xfId="0" applyFont="1" applyBorder="1" applyAlignment="1">
      <alignment horizontal="center" vertical="center"/>
    </xf>
    <xf numFmtId="0" fontId="1" fillId="0" borderId="19" xfId="0" applyFont="1" applyFill="1" applyBorder="1" applyAlignment="1" applyProtection="1">
      <alignment horizontal="right"/>
    </xf>
    <xf numFmtId="0" fontId="14" fillId="5" borderId="2" xfId="0" applyFont="1" applyFill="1" applyBorder="1" applyAlignment="1" applyProtection="1"/>
    <xf numFmtId="0" fontId="14" fillId="5" borderId="4" xfId="0" applyFont="1" applyFill="1" applyBorder="1" applyAlignment="1" applyProtection="1"/>
    <xf numFmtId="0" fontId="14" fillId="5" borderId="3" xfId="0" applyFont="1" applyFill="1" applyBorder="1" applyAlignment="1" applyProtection="1"/>
    <xf numFmtId="0" fontId="14" fillId="22" borderId="2" xfId="0" applyFont="1" applyFill="1" applyBorder="1" applyAlignment="1" applyProtection="1"/>
    <xf numFmtId="0" fontId="14" fillId="22" borderId="4" xfId="0" applyFont="1" applyFill="1" applyBorder="1" applyAlignment="1" applyProtection="1"/>
    <xf numFmtId="0" fontId="14" fillId="22" borderId="3" xfId="0" applyFont="1" applyFill="1" applyBorder="1" applyAlignment="1" applyProtection="1"/>
    <xf numFmtId="0" fontId="12" fillId="0" borderId="0" xfId="0" applyFont="1" applyAlignment="1">
      <alignment horizontal="center" vertical="center"/>
    </xf>
    <xf numFmtId="0" fontId="12" fillId="0" borderId="16" xfId="0" applyFont="1" applyBorder="1" applyProtection="1"/>
    <xf numFmtId="0" fontId="1" fillId="0" borderId="11" xfId="0" applyFont="1" applyBorder="1" applyAlignment="1" applyProtection="1">
      <alignment horizontal="center"/>
    </xf>
    <xf numFmtId="0" fontId="10" fillId="0" borderId="16" xfId="0" applyFont="1" applyFill="1" applyBorder="1"/>
    <xf numFmtId="0" fontId="1" fillId="0" borderId="14" xfId="0" applyFont="1" applyFill="1" applyBorder="1" applyProtection="1"/>
    <xf numFmtId="0" fontId="1" fillId="0" borderId="20" xfId="0" applyFont="1" applyFill="1" applyBorder="1" applyProtection="1"/>
    <xf numFmtId="0" fontId="14" fillId="0" borderId="109" xfId="0" applyFont="1" applyBorder="1" applyAlignment="1">
      <alignment horizontal="center" vertical="center"/>
    </xf>
    <xf numFmtId="0" fontId="33" fillId="0" borderId="0" xfId="0" applyFont="1" applyBorder="1" applyProtection="1"/>
    <xf numFmtId="0" fontId="1" fillId="0" borderId="21" xfId="0" applyFont="1" applyFill="1" applyBorder="1" applyAlignment="1">
      <alignment horizontal="right"/>
    </xf>
    <xf numFmtId="0" fontId="1" fillId="0" borderId="0" xfId="0" applyFont="1" applyFill="1" applyBorder="1" applyAlignment="1" applyProtection="1">
      <alignment horizontal="right"/>
    </xf>
    <xf numFmtId="0" fontId="10" fillId="0" borderId="0" xfId="0" applyFont="1" applyFill="1" applyBorder="1" applyAlignment="1">
      <alignment wrapText="1"/>
    </xf>
    <xf numFmtId="0" fontId="1" fillId="0" borderId="101" xfId="0" applyFont="1" applyBorder="1" applyAlignment="1" applyProtection="1">
      <alignment horizontal="right"/>
    </xf>
    <xf numFmtId="0" fontId="10" fillId="6" borderId="56" xfId="0" applyFont="1" applyFill="1" applyBorder="1"/>
    <xf numFmtId="0" fontId="14" fillId="0" borderId="51" xfId="0" applyFont="1" applyBorder="1" applyAlignment="1">
      <alignment horizontal="center" vertical="center"/>
    </xf>
    <xf numFmtId="0" fontId="1" fillId="0" borderId="79" xfId="0" applyFont="1" applyFill="1" applyBorder="1" applyAlignment="1" applyProtection="1">
      <alignment horizontal="right"/>
    </xf>
    <xf numFmtId="0" fontId="10" fillId="0" borderId="81" xfId="0" applyFont="1" applyFill="1" applyBorder="1"/>
    <xf numFmtId="0" fontId="0" fillId="0" borderId="13" xfId="0" applyBorder="1"/>
    <xf numFmtId="0" fontId="1" fillId="0" borderId="0" xfId="8" applyFont="1" applyBorder="1" applyAlignment="1" applyProtection="1">
      <alignment horizontal="left" vertical="center"/>
    </xf>
    <xf numFmtId="14" fontId="1" fillId="0" borderId="0" xfId="8" applyNumberFormat="1" applyFont="1" applyBorder="1" applyAlignment="1" applyProtection="1">
      <alignment horizontal="left" vertical="center"/>
    </xf>
    <xf numFmtId="0" fontId="6" fillId="0" borderId="0" xfId="3" quotePrefix="1" applyAlignment="1" applyProtection="1">
      <alignment horizontal="center"/>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1" xfId="0" applyFont="1" applyBorder="1" applyAlignment="1">
      <alignment horizontal="left" vertical="top" wrapText="1"/>
    </xf>
    <xf numFmtId="0" fontId="14" fillId="0" borderId="15" xfId="0" applyFont="1" applyFill="1" applyBorder="1" applyAlignment="1" applyProtection="1"/>
    <xf numFmtId="0" fontId="14" fillId="0" borderId="0" xfId="0" applyFont="1" applyFill="1" applyBorder="1" applyAlignment="1" applyProtection="1"/>
    <xf numFmtId="0" fontId="7" fillId="0" borderId="0" xfId="3" applyFont="1" applyFill="1" applyBorder="1" applyAlignment="1" applyProtection="1"/>
    <xf numFmtId="0" fontId="14" fillId="0" borderId="0" xfId="0" applyFont="1" applyFill="1" applyBorder="1" applyAlignment="1">
      <alignment horizontal="center"/>
    </xf>
    <xf numFmtId="2" fontId="12" fillId="14" borderId="8" xfId="4" applyNumberFormat="1" applyFont="1" applyFill="1" applyBorder="1" applyAlignment="1" applyProtection="1">
      <alignment horizontal="center" vertical="center"/>
      <protection locked="0"/>
    </xf>
    <xf numFmtId="0" fontId="14" fillId="0" borderId="0" xfId="0" applyFont="1"/>
    <xf numFmtId="0" fontId="1" fillId="0" borderId="0" xfId="5" applyFont="1" applyAlignment="1">
      <alignment horizontal="left"/>
    </xf>
    <xf numFmtId="0" fontId="6" fillId="0" borderId="76" xfId="3" applyBorder="1" applyAlignment="1" applyProtection="1">
      <alignment vertical="center"/>
      <protection locked="0"/>
    </xf>
    <xf numFmtId="0" fontId="12" fillId="0" borderId="0" xfId="8" applyFont="1" applyFill="1" applyAlignment="1" applyProtection="1">
      <alignment vertical="center"/>
    </xf>
    <xf numFmtId="0" fontId="8" fillId="0" borderId="0" xfId="0" applyFont="1" applyFill="1" applyBorder="1" applyAlignment="1"/>
    <xf numFmtId="0" fontId="12" fillId="0" borderId="0" xfId="4" applyFont="1" applyFill="1" applyBorder="1" applyProtection="1">
      <alignment horizontal="center" vertical="center"/>
      <protection locked="0"/>
    </xf>
    <xf numFmtId="0" fontId="9" fillId="0" borderId="17" xfId="0" applyFont="1" applyFill="1" applyBorder="1" applyAlignment="1">
      <alignment horizontal="left"/>
    </xf>
    <xf numFmtId="0" fontId="10" fillId="6" borderId="11" xfId="0" applyNumberFormat="1" applyFont="1" applyFill="1" applyBorder="1" applyAlignment="1">
      <alignment horizontal="left"/>
    </xf>
    <xf numFmtId="0" fontId="9" fillId="0" borderId="21" xfId="0" applyFont="1" applyFill="1" applyBorder="1" applyAlignment="1">
      <alignment horizontal="left"/>
    </xf>
    <xf numFmtId="0" fontId="10" fillId="0" borderId="18" xfId="0" applyNumberFormat="1" applyFont="1" applyFill="1" applyBorder="1" applyAlignment="1">
      <alignment horizontal="left"/>
    </xf>
    <xf numFmtId="0" fontId="8" fillId="0" borderId="17" xfId="0" applyFont="1" applyFill="1" applyBorder="1" applyAlignment="1">
      <alignment horizontal="left"/>
    </xf>
    <xf numFmtId="0" fontId="8" fillId="0" borderId="11" xfId="0" applyFont="1" applyFill="1" applyBorder="1" applyAlignment="1"/>
    <xf numFmtId="0" fontId="10" fillId="6" borderId="17" xfId="0" quotePrefix="1" applyFont="1" applyFill="1" applyBorder="1"/>
    <xf numFmtId="0" fontId="28" fillId="6" borderId="11" xfId="0" applyFont="1" applyFill="1" applyBorder="1" applyAlignment="1">
      <alignment horizontal="left"/>
    </xf>
    <xf numFmtId="0" fontId="10" fillId="6" borderId="17" xfId="0" applyFont="1" applyFill="1" applyBorder="1" applyAlignment="1">
      <alignment horizontal="left"/>
    </xf>
    <xf numFmtId="0" fontId="14" fillId="0" borderId="31" xfId="0" applyFont="1" applyBorder="1" applyAlignment="1">
      <alignment horizontal="center" vertical="center"/>
    </xf>
    <xf numFmtId="0" fontId="12" fillId="14" borderId="8" xfId="4" applyNumberFormat="1" applyFont="1" applyFill="1" applyBorder="1" applyProtection="1">
      <alignment horizontal="center" vertical="center"/>
      <protection locked="0"/>
    </xf>
    <xf numFmtId="0" fontId="6" fillId="0" borderId="62" xfId="3" quotePrefix="1" applyBorder="1" applyAlignment="1" applyProtection="1"/>
    <xf numFmtId="165" fontId="10" fillId="6" borderId="10" xfId="0" applyNumberFormat="1" applyFont="1" applyFill="1" applyBorder="1" applyAlignment="1" applyProtection="1">
      <alignment horizontal="center" vertical="center"/>
    </xf>
    <xf numFmtId="166" fontId="10" fillId="6" borderId="1" xfId="0" applyNumberFormat="1" applyFont="1" applyFill="1" applyBorder="1" applyAlignment="1" applyProtection="1">
      <alignment horizontal="center"/>
    </xf>
    <xf numFmtId="165" fontId="10" fillId="6" borderId="1" xfId="0" applyNumberFormat="1" applyFont="1" applyFill="1" applyBorder="1" applyAlignment="1">
      <alignment horizontal="center" vertical="center"/>
    </xf>
    <xf numFmtId="0" fontId="12" fillId="0" borderId="98" xfId="0" applyFont="1" applyBorder="1" applyAlignment="1">
      <alignment horizontal="left" vertical="center" wrapText="1"/>
    </xf>
    <xf numFmtId="0" fontId="12" fillId="0" borderId="34" xfId="0" applyFont="1" applyBorder="1" applyAlignment="1">
      <alignment horizontal="left" vertical="center"/>
    </xf>
    <xf numFmtId="0" fontId="12" fillId="0" borderId="111" xfId="0" applyFont="1" applyBorder="1" applyAlignment="1">
      <alignment horizontal="left" vertical="center"/>
    </xf>
    <xf numFmtId="0" fontId="12" fillId="0" borderId="97" xfId="0" applyFont="1" applyBorder="1" applyAlignment="1">
      <alignment horizontal="left" vertical="center" wrapText="1"/>
    </xf>
    <xf numFmtId="0" fontId="12" fillId="0" borderId="97" xfId="0" applyFont="1" applyBorder="1" applyAlignment="1">
      <alignment horizontal="left" vertical="center"/>
    </xf>
    <xf numFmtId="0" fontId="12" fillId="0" borderId="99" xfId="0" applyFont="1" applyBorder="1" applyAlignment="1">
      <alignment horizontal="left" vertical="center"/>
    </xf>
    <xf numFmtId="0" fontId="1" fillId="3" borderId="0" xfId="0" applyFont="1" applyFill="1" applyBorder="1"/>
    <xf numFmtId="0" fontId="29" fillId="3" borderId="0" xfId="0" applyFont="1" applyFill="1" applyAlignment="1">
      <alignment horizontal="center"/>
    </xf>
    <xf numFmtId="0" fontId="1" fillId="3" borderId="0" xfId="0" applyFont="1" applyFill="1" applyAlignment="1">
      <alignment vertical="top"/>
    </xf>
    <xf numFmtId="0" fontId="1" fillId="3" borderId="0" xfId="0" applyFont="1" applyFill="1" applyAlignment="1">
      <alignment horizontal="center"/>
    </xf>
    <xf numFmtId="0" fontId="1" fillId="3" borderId="0" xfId="0" applyFont="1" applyFill="1" applyBorder="1" applyProtection="1"/>
    <xf numFmtId="0" fontId="1" fillId="3" borderId="0" xfId="0" applyNumberFormat="1" applyFont="1" applyFill="1" applyProtection="1"/>
    <xf numFmtId="0" fontId="1" fillId="0" borderId="0" xfId="0" applyFont="1" applyAlignment="1">
      <alignment horizontal="left"/>
    </xf>
    <xf numFmtId="165" fontId="12" fillId="14" borderId="85" xfId="7" applyNumberFormat="1" applyFont="1" applyFill="1" applyBorder="1" applyAlignment="1" applyProtection="1">
      <alignment horizontal="center" vertical="center"/>
      <protection locked="0"/>
    </xf>
    <xf numFmtId="0" fontId="14" fillId="0" borderId="0" xfId="0" applyFont="1" applyBorder="1" applyAlignment="1">
      <alignment horizontal="left"/>
    </xf>
    <xf numFmtId="0" fontId="14" fillId="0" borderId="0" xfId="0" applyFont="1" applyFill="1" applyBorder="1" applyAlignment="1">
      <alignment horizontal="left"/>
    </xf>
    <xf numFmtId="0" fontId="1" fillId="0" borderId="0" xfId="8" applyFont="1" applyAlignment="1">
      <alignment vertical="center"/>
    </xf>
    <xf numFmtId="0" fontId="1" fillId="3" borderId="0" xfId="8" applyFont="1" applyFill="1" applyAlignment="1">
      <alignment vertical="center"/>
    </xf>
    <xf numFmtId="0" fontId="12" fillId="0" borderId="0" xfId="8" applyFont="1" applyAlignment="1">
      <alignment vertical="center"/>
    </xf>
    <xf numFmtId="0" fontId="12" fillId="3" borderId="0" xfId="8" applyFont="1" applyFill="1" applyAlignment="1">
      <alignment vertical="center"/>
    </xf>
    <xf numFmtId="0" fontId="1" fillId="0" borderId="56" xfId="0" applyFont="1" applyBorder="1"/>
    <xf numFmtId="0" fontId="1" fillId="0" borderId="57" xfId="0" applyFont="1" applyBorder="1"/>
    <xf numFmtId="0" fontId="1" fillId="14" borderId="1" xfId="0" applyFont="1" applyFill="1" applyBorder="1" applyAlignment="1" applyProtection="1">
      <alignment horizontal="left" vertical="top"/>
      <protection locked="0"/>
    </xf>
    <xf numFmtId="0" fontId="1" fillId="14" borderId="1" xfId="0" applyFont="1" applyFill="1" applyBorder="1" applyProtection="1">
      <protection locked="0"/>
    </xf>
    <xf numFmtId="0" fontId="1" fillId="14" borderId="10" xfId="0" applyFont="1" applyFill="1" applyBorder="1" applyProtection="1">
      <protection locked="0"/>
    </xf>
    <xf numFmtId="0" fontId="14" fillId="14" borderId="1" xfId="0" applyFont="1" applyFill="1" applyBorder="1" applyAlignment="1" applyProtection="1">
      <alignment horizontal="left"/>
      <protection locked="0"/>
    </xf>
    <xf numFmtId="0" fontId="1" fillId="14" borderId="11" xfId="0" applyFont="1" applyFill="1" applyBorder="1" applyProtection="1">
      <protection locked="0"/>
    </xf>
    <xf numFmtId="0" fontId="12" fillId="14" borderId="10" xfId="0" applyFont="1" applyFill="1" applyBorder="1" applyProtection="1">
      <protection locked="0"/>
    </xf>
    <xf numFmtId="0" fontId="1" fillId="14" borderId="1" xfId="0" quotePrefix="1" applyFont="1" applyFill="1" applyBorder="1" applyProtection="1">
      <protection locked="0"/>
    </xf>
    <xf numFmtId="0" fontId="1" fillId="14" borderId="1" xfId="0" applyFont="1" applyFill="1" applyBorder="1" applyAlignment="1" applyProtection="1">
      <alignment wrapText="1"/>
      <protection locked="0"/>
    </xf>
    <xf numFmtId="0" fontId="14" fillId="14" borderId="1" xfId="0" applyFont="1" applyFill="1" applyBorder="1" applyAlignment="1" applyProtection="1">
      <alignment horizontal="center" vertical="center"/>
      <protection locked="0"/>
    </xf>
    <xf numFmtId="0" fontId="1" fillId="14" borderId="1" xfId="0" applyFont="1" applyFill="1" applyBorder="1" applyAlignment="1" applyProtection="1">
      <alignment horizontal="center"/>
      <protection locked="0"/>
    </xf>
    <xf numFmtId="0" fontId="1" fillId="14" borderId="1" xfId="0" applyFont="1" applyFill="1" applyBorder="1" applyAlignment="1" applyProtection="1">
      <alignment horizontal="center" vertical="center"/>
      <protection locked="0"/>
    </xf>
    <xf numFmtId="0" fontId="1" fillId="14" borderId="10" xfId="0" applyFont="1" applyFill="1" applyBorder="1" applyAlignment="1" applyProtection="1">
      <alignment horizontal="center" vertical="center"/>
      <protection locked="0"/>
    </xf>
    <xf numFmtId="0" fontId="1" fillId="14" borderId="1" xfId="0" applyFont="1" applyFill="1" applyBorder="1" applyAlignment="1" applyProtection="1">
      <alignment horizontal="left"/>
      <protection locked="0"/>
    </xf>
    <xf numFmtId="0" fontId="1" fillId="14" borderId="10" xfId="0" applyFont="1" applyFill="1" applyBorder="1" applyAlignment="1" applyProtection="1">
      <alignment horizontal="center"/>
      <protection locked="0"/>
    </xf>
    <xf numFmtId="0" fontId="1" fillId="14" borderId="1" xfId="0" applyFont="1" applyFill="1" applyBorder="1" applyAlignment="1" applyProtection="1">
      <alignment horizontal="right" vertical="center"/>
      <protection locked="0"/>
    </xf>
    <xf numFmtId="0" fontId="12" fillId="14" borderId="1" xfId="0" applyFont="1" applyFill="1" applyBorder="1" applyAlignment="1" applyProtection="1">
      <alignment horizontal="center"/>
      <protection locked="0"/>
    </xf>
    <xf numFmtId="0" fontId="1" fillId="14" borderId="11" xfId="0" applyFont="1" applyFill="1" applyBorder="1" applyAlignment="1" applyProtection="1">
      <alignment horizontal="center"/>
      <protection locked="0"/>
    </xf>
    <xf numFmtId="0" fontId="1" fillId="14" borderId="83" xfId="0" applyFont="1" applyFill="1" applyBorder="1" applyAlignment="1" applyProtection="1">
      <alignment horizontal="center"/>
      <protection locked="0"/>
    </xf>
    <xf numFmtId="0" fontId="1" fillId="14" borderId="1" xfId="0" applyFont="1" applyFill="1" applyBorder="1" applyAlignment="1" applyProtection="1">
      <alignment horizontal="left" vertical="center"/>
      <protection locked="0"/>
    </xf>
    <xf numFmtId="0" fontId="14" fillId="15" borderId="1" xfId="0" applyFont="1" applyFill="1" applyBorder="1" applyAlignment="1" applyProtection="1">
      <alignment horizontal="center" vertical="center"/>
      <protection locked="0"/>
    </xf>
    <xf numFmtId="2" fontId="12" fillId="0" borderId="62" xfId="4" applyNumberFormat="1" applyFont="1" applyFill="1" applyBorder="1" applyProtection="1">
      <alignment horizontal="center" vertical="center"/>
    </xf>
    <xf numFmtId="2" fontId="12" fillId="0" borderId="0" xfId="4" applyNumberFormat="1" applyFont="1" applyFill="1" applyBorder="1" applyProtection="1">
      <alignment horizontal="center" vertical="center"/>
    </xf>
    <xf numFmtId="0" fontId="1" fillId="0" borderId="0" xfId="0" applyFont="1" applyBorder="1" applyAlignment="1" applyProtection="1">
      <alignment horizontal="left" vertical="top" wrapText="1"/>
    </xf>
    <xf numFmtId="0" fontId="1" fillId="0" borderId="0" xfId="0" applyFont="1" applyBorder="1" applyAlignment="1" applyProtection="1">
      <alignment horizontal="left" vertical="top"/>
    </xf>
    <xf numFmtId="0" fontId="1" fillId="0" borderId="1" xfId="0" applyFont="1" applyBorder="1" applyAlignment="1" applyProtection="1">
      <alignment horizontal="left" vertical="top" wrapText="1"/>
    </xf>
    <xf numFmtId="0" fontId="29" fillId="0" borderId="0" xfId="0" applyFont="1" applyAlignment="1" applyProtection="1">
      <alignment horizontal="center"/>
    </xf>
    <xf numFmtId="0" fontId="14" fillId="0" borderId="31" xfId="0" applyFont="1" applyBorder="1" applyAlignment="1" applyProtection="1">
      <alignment horizontal="center" vertical="center"/>
    </xf>
    <xf numFmtId="0" fontId="14" fillId="0" borderId="25" xfId="0" applyFont="1" applyBorder="1" applyAlignment="1" applyProtection="1">
      <alignment horizontal="center" vertical="center"/>
    </xf>
    <xf numFmtId="0" fontId="1" fillId="0" borderId="17" xfId="0" applyFont="1" applyBorder="1" applyAlignment="1" applyProtection="1">
      <alignment horizontal="center" vertical="center"/>
    </xf>
    <xf numFmtId="165" fontId="10" fillId="6" borderId="1" xfId="0" applyNumberFormat="1"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1" fillId="0" borderId="19" xfId="0" applyFont="1" applyBorder="1" applyAlignment="1" applyProtection="1">
      <alignment horizontal="center" vertical="center"/>
    </xf>
    <xf numFmtId="0" fontId="10" fillId="6" borderId="1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1" fillId="0" borderId="17"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6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2" xfId="0" applyFont="1" applyBorder="1" applyAlignment="1" applyProtection="1">
      <alignment horizontal="center" vertical="center"/>
    </xf>
    <xf numFmtId="2" fontId="12" fillId="0" borderId="0" xfId="0" applyNumberFormat="1" applyFont="1" applyBorder="1" applyAlignment="1" applyProtection="1">
      <alignment horizontal="center" vertical="center"/>
    </xf>
    <xf numFmtId="0" fontId="14" fillId="0" borderId="15" xfId="0" applyFont="1" applyFill="1" applyBorder="1" applyAlignment="1" applyProtection="1">
      <alignment horizontal="left"/>
    </xf>
    <xf numFmtId="0" fontId="14" fillId="0" borderId="0" xfId="0" applyFont="1" applyFill="1" applyBorder="1" applyAlignment="1" applyProtection="1">
      <alignment horizontal="left"/>
    </xf>
    <xf numFmtId="0" fontId="1" fillId="0" borderId="17" xfId="0" applyFont="1" applyFill="1" applyBorder="1" applyAlignment="1" applyProtection="1">
      <alignment horizontal="center"/>
    </xf>
    <xf numFmtId="0" fontId="14" fillId="0" borderId="17" xfId="0" applyFont="1" applyBorder="1" applyAlignment="1" applyProtection="1">
      <alignment horizontal="center" vertical="center"/>
    </xf>
    <xf numFmtId="0" fontId="14" fillId="0" borderId="1" xfId="0" applyFont="1" applyBorder="1" applyAlignment="1" applyProtection="1">
      <alignment horizontal="center" vertical="center"/>
    </xf>
    <xf numFmtId="0" fontId="10" fillId="6" borderId="1" xfId="0" applyFont="1" applyFill="1" applyBorder="1" applyAlignment="1" applyProtection="1">
      <alignment horizontal="center"/>
    </xf>
    <xf numFmtId="0" fontId="1" fillId="0" borderId="0" xfId="0" applyFont="1" applyBorder="1" applyAlignment="1" applyProtection="1">
      <alignment horizontal="center"/>
    </xf>
    <xf numFmtId="0" fontId="1" fillId="0" borderId="62" xfId="0" applyFont="1" applyBorder="1" applyAlignment="1" applyProtection="1">
      <alignment horizontal="center"/>
    </xf>
    <xf numFmtId="0" fontId="33" fillId="0" borderId="0" xfId="0" applyFont="1" applyBorder="1" applyAlignment="1" applyProtection="1">
      <alignment horizontal="center"/>
    </xf>
    <xf numFmtId="0" fontId="14" fillId="0" borderId="15" xfId="0" applyFont="1" applyBorder="1" applyAlignment="1" applyProtection="1">
      <alignment horizontal="left"/>
    </xf>
    <xf numFmtId="0" fontId="14" fillId="0" borderId="0" xfId="0" applyFont="1" applyBorder="1" applyAlignment="1" applyProtection="1">
      <alignment horizontal="left"/>
    </xf>
    <xf numFmtId="0" fontId="14" fillId="0" borderId="0" xfId="0" applyFont="1" applyBorder="1" applyProtection="1"/>
    <xf numFmtId="0" fontId="14" fillId="0" borderId="16" xfId="0" applyFont="1" applyBorder="1" applyProtection="1"/>
    <xf numFmtId="0" fontId="1" fillId="0" borderId="15" xfId="0" applyFont="1" applyBorder="1" applyAlignment="1" applyProtection="1">
      <alignment horizontal="left"/>
    </xf>
    <xf numFmtId="0" fontId="1" fillId="0" borderId="0" xfId="0" applyFont="1" applyBorder="1" applyAlignment="1" applyProtection="1">
      <alignment horizontal="left"/>
    </xf>
    <xf numFmtId="0" fontId="14" fillId="0" borderId="17" xfId="0" applyFont="1" applyBorder="1" applyAlignment="1" applyProtection="1">
      <alignment horizontal="left"/>
    </xf>
    <xf numFmtId="0" fontId="14" fillId="0" borderId="1" xfId="0" applyFont="1" applyBorder="1" applyAlignment="1" applyProtection="1">
      <alignment horizontal="left"/>
    </xf>
    <xf numFmtId="0" fontId="1"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2" fontId="12" fillId="0" borderId="0" xfId="0" applyNumberFormat="1" applyFont="1" applyBorder="1" applyAlignment="1" applyProtection="1">
      <alignment horizontal="center"/>
    </xf>
    <xf numFmtId="0" fontId="1" fillId="0" borderId="79" xfId="0" applyFont="1" applyBorder="1" applyAlignment="1" applyProtection="1">
      <alignment horizontal="center" vertical="center"/>
    </xf>
    <xf numFmtId="0" fontId="24" fillId="0" borderId="0" xfId="0" applyFont="1" applyBorder="1" applyAlignment="1" applyProtection="1">
      <alignment horizontal="center" vertical="center"/>
    </xf>
    <xf numFmtId="0" fontId="10" fillId="0" borderId="80" xfId="0" applyFont="1" applyFill="1" applyBorder="1" applyProtection="1"/>
    <xf numFmtId="0" fontId="10" fillId="0" borderId="81" xfId="0" applyFont="1" applyFill="1" applyBorder="1" applyProtection="1"/>
    <xf numFmtId="0" fontId="10" fillId="0" borderId="0" xfId="0" applyFont="1" applyFill="1" applyBorder="1" applyProtection="1"/>
    <xf numFmtId="0" fontId="10" fillId="0" borderId="16" xfId="0" applyFont="1" applyFill="1" applyBorder="1" applyProtection="1"/>
    <xf numFmtId="0" fontId="14" fillId="0" borderId="51" xfId="0" applyFont="1" applyBorder="1" applyAlignment="1" applyProtection="1">
      <alignment horizontal="center" vertical="center"/>
    </xf>
    <xf numFmtId="0" fontId="14" fillId="0" borderId="61" xfId="0" applyFont="1" applyBorder="1" applyProtection="1"/>
    <xf numFmtId="0" fontId="14" fillId="0" borderId="84" xfId="0" applyFont="1" applyBorder="1" applyProtection="1"/>
    <xf numFmtId="0" fontId="14" fillId="0" borderId="82" xfId="0" applyFont="1" applyBorder="1" applyAlignment="1" applyProtection="1">
      <alignment horizontal="center"/>
    </xf>
    <xf numFmtId="0" fontId="1" fillId="0" borderId="14" xfId="0" applyFont="1" applyBorder="1" applyProtection="1"/>
    <xf numFmtId="0" fontId="1" fillId="0" borderId="51" xfId="0" applyFont="1" applyFill="1" applyBorder="1" applyAlignment="1" applyProtection="1">
      <alignment horizontal="right"/>
    </xf>
    <xf numFmtId="0" fontId="10" fillId="0" borderId="96"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16" xfId="0" applyFont="1" applyFill="1" applyBorder="1" applyAlignment="1" applyProtection="1">
      <alignment horizontal="center"/>
    </xf>
    <xf numFmtId="0" fontId="14" fillId="0" borderId="61" xfId="0" applyFont="1" applyBorder="1" applyAlignment="1" applyProtection="1">
      <alignment horizontal="center" vertical="center"/>
    </xf>
    <xf numFmtId="0" fontId="14" fillId="0" borderId="12" xfId="0" applyFont="1" applyBorder="1" applyAlignment="1" applyProtection="1">
      <alignment horizontal="left"/>
    </xf>
    <xf numFmtId="0" fontId="14" fillId="0" borderId="13" xfId="0" applyFont="1" applyBorder="1" applyAlignment="1" applyProtection="1">
      <alignment horizontal="left"/>
    </xf>
    <xf numFmtId="0" fontId="1" fillId="0" borderId="17" xfId="0" applyFont="1" applyBorder="1" applyAlignment="1" applyProtection="1">
      <alignment horizontal="left" vertical="center" wrapText="1"/>
    </xf>
    <xf numFmtId="0" fontId="1" fillId="0" borderId="15" xfId="0" applyFont="1" applyBorder="1" applyAlignment="1" applyProtection="1">
      <alignment horizontal="right"/>
    </xf>
    <xf numFmtId="0" fontId="14" fillId="0" borderId="84" xfId="0" applyFont="1" applyBorder="1" applyAlignment="1" applyProtection="1">
      <alignment horizontal="center" vertical="center"/>
    </xf>
    <xf numFmtId="0" fontId="14" fillId="0" borderId="82" xfId="0" applyFont="1" applyBorder="1" applyAlignment="1" applyProtection="1">
      <alignment horizontal="center" vertical="center"/>
    </xf>
    <xf numFmtId="0" fontId="14" fillId="0" borderId="13" xfId="0" applyFont="1" applyBorder="1" applyAlignment="1" applyProtection="1">
      <alignment horizontal="center" vertical="center"/>
    </xf>
    <xf numFmtId="0" fontId="1" fillId="0" borderId="31" xfId="0" applyFont="1" applyBorder="1" applyAlignment="1" applyProtection="1">
      <alignment horizontal="right" vertical="center"/>
    </xf>
    <xf numFmtId="0" fontId="10" fillId="6" borderId="25" xfId="0" applyFont="1" applyFill="1" applyBorder="1" applyAlignment="1" applyProtection="1">
      <alignment horizontal="center" vertical="center"/>
    </xf>
    <xf numFmtId="0" fontId="1" fillId="0" borderId="17" xfId="0" applyFont="1" applyBorder="1" applyAlignment="1" applyProtection="1">
      <alignment horizontal="right" vertical="center" wrapText="1"/>
    </xf>
    <xf numFmtId="0" fontId="14" fillId="0" borderId="12" xfId="0" applyFont="1" applyFill="1" applyBorder="1" applyAlignment="1" applyProtection="1">
      <alignment horizontal="left"/>
    </xf>
    <xf numFmtId="0" fontId="14" fillId="0" borderId="102" xfId="0" applyFont="1" applyFill="1" applyBorder="1" applyAlignment="1" applyProtection="1">
      <alignment horizontal="left"/>
    </xf>
    <xf numFmtId="0" fontId="14" fillId="0" borderId="103" xfId="0" applyFont="1" applyFill="1" applyBorder="1" applyAlignment="1" applyProtection="1">
      <alignment horizontal="left"/>
    </xf>
    <xf numFmtId="0" fontId="10" fillId="6" borderId="56" xfId="0" applyFont="1" applyFill="1" applyBorder="1" applyAlignment="1" applyProtection="1">
      <alignment horizontal="center"/>
    </xf>
    <xf numFmtId="0" fontId="14" fillId="0" borderId="31" xfId="0" applyFont="1" applyFill="1" applyBorder="1" applyAlignment="1" applyProtection="1">
      <alignment horizontal="left"/>
    </xf>
    <xf numFmtId="0" fontId="14" fillId="0" borderId="17" xfId="0" applyFont="1" applyFill="1" applyBorder="1" applyAlignment="1" applyProtection="1">
      <alignment horizontal="left"/>
    </xf>
    <xf numFmtId="0" fontId="1" fillId="0" borderId="1"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17" xfId="0" applyFont="1" applyFill="1" applyBorder="1" applyAlignment="1" applyProtection="1">
      <alignment horizontal="left"/>
    </xf>
    <xf numFmtId="0" fontId="10" fillId="6" borderId="1" xfId="0" applyFont="1" applyFill="1" applyBorder="1" applyAlignment="1" applyProtection="1">
      <alignment horizontal="left"/>
    </xf>
    <xf numFmtId="0" fontId="10" fillId="6" borderId="11" xfId="0" applyFont="1" applyFill="1" applyBorder="1" applyAlignment="1" applyProtection="1">
      <alignment horizontal="left"/>
    </xf>
    <xf numFmtId="0" fontId="1" fillId="0" borderId="15"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19" xfId="0" applyFont="1" applyFill="1" applyBorder="1" applyAlignment="1" applyProtection="1">
      <alignment horizontal="left"/>
    </xf>
    <xf numFmtId="0" fontId="1" fillId="0" borderId="62" xfId="0" applyFont="1" applyFill="1" applyBorder="1" applyAlignment="1" applyProtection="1">
      <alignment horizontal="left"/>
    </xf>
    <xf numFmtId="0" fontId="1" fillId="0" borderId="62" xfId="0" applyFont="1" applyFill="1" applyBorder="1" applyProtection="1"/>
    <xf numFmtId="0" fontId="12" fillId="14" borderId="1" xfId="0" applyFont="1" applyFill="1" applyBorder="1" applyProtection="1">
      <protection locked="0"/>
    </xf>
    <xf numFmtId="0" fontId="1" fillId="14" borderId="25" xfId="0" applyFont="1" applyFill="1" applyBorder="1" applyAlignment="1" applyProtection="1">
      <alignment horizontal="center"/>
      <protection locked="0"/>
    </xf>
    <xf numFmtId="0" fontId="12" fillId="14" borderId="25" xfId="0" applyFont="1" applyFill="1" applyBorder="1" applyAlignment="1" applyProtection="1">
      <alignment horizontal="center"/>
      <protection locked="0"/>
    </xf>
    <xf numFmtId="0" fontId="1" fillId="14" borderId="26" xfId="0" applyFont="1" applyFill="1" applyBorder="1" applyAlignment="1" applyProtection="1">
      <alignment horizontal="center"/>
      <protection locked="0"/>
    </xf>
    <xf numFmtId="0" fontId="1" fillId="14" borderId="10" xfId="0" applyFont="1" applyFill="1" applyBorder="1" applyAlignment="1" applyProtection="1">
      <alignment horizontal="left"/>
      <protection locked="0"/>
    </xf>
    <xf numFmtId="0" fontId="29" fillId="3" borderId="0" xfId="0" applyFont="1" applyFill="1" applyAlignment="1" applyProtection="1">
      <alignment horizontal="center"/>
    </xf>
    <xf numFmtId="0" fontId="1" fillId="0" borderId="61" xfId="0" applyFont="1" applyBorder="1" applyProtection="1"/>
    <xf numFmtId="0" fontId="14" fillId="0" borderId="86" xfId="0" applyFont="1" applyBorder="1" applyAlignment="1" applyProtection="1">
      <alignment horizontal="center" vertical="center"/>
    </xf>
    <xf numFmtId="0" fontId="3" fillId="0" borderId="96" xfId="0" applyFont="1" applyBorder="1" applyAlignment="1" applyProtection="1">
      <alignment horizontal="center" vertical="center"/>
    </xf>
    <xf numFmtId="2" fontId="12" fillId="0" borderId="96" xfId="0" applyNumberFormat="1" applyFont="1" applyBorder="1" applyAlignment="1" applyProtection="1">
      <alignment horizontal="center" vertical="center"/>
    </xf>
    <xf numFmtId="2" fontId="27" fillId="0" borderId="96" xfId="0" applyNumberFormat="1" applyFont="1" applyBorder="1" applyAlignment="1" applyProtection="1">
      <alignment horizontal="left" vertical="center"/>
    </xf>
    <xf numFmtId="0" fontId="3" fillId="0" borderId="104" xfId="0" applyFont="1" applyBorder="1" applyAlignment="1" applyProtection="1">
      <alignment horizontal="center" vertical="center"/>
    </xf>
    <xf numFmtId="0" fontId="1" fillId="0" borderId="19" xfId="0" applyFont="1" applyBorder="1" applyAlignment="1" applyProtection="1">
      <alignment horizontal="right" vertical="center" wrapText="1"/>
    </xf>
    <xf numFmtId="2" fontId="12" fillId="0" borderId="105" xfId="0" applyNumberFormat="1" applyFont="1" applyBorder="1" applyAlignment="1" applyProtection="1">
      <alignment horizontal="center" vertical="center"/>
    </xf>
    <xf numFmtId="2" fontId="10" fillId="6" borderId="1" xfId="4" applyNumberFormat="1" applyFont="1" applyFill="1" applyBorder="1" applyProtection="1">
      <alignment horizontal="center" vertical="center"/>
    </xf>
    <xf numFmtId="0" fontId="10" fillId="6" borderId="1" xfId="4" applyNumberFormat="1" applyFont="1" applyFill="1" applyBorder="1" applyProtection="1">
      <alignment horizontal="center" vertical="center"/>
    </xf>
    <xf numFmtId="0" fontId="12" fillId="0" borderId="96" xfId="0" applyFont="1" applyBorder="1" applyAlignment="1" applyProtection="1">
      <alignment horizontal="center" vertical="center"/>
    </xf>
    <xf numFmtId="0" fontId="10" fillId="0" borderId="96" xfId="0" applyFont="1" applyFill="1" applyBorder="1" applyProtection="1"/>
    <xf numFmtId="0" fontId="1" fillId="0" borderId="109" xfId="0" applyFont="1" applyBorder="1" applyAlignment="1" applyProtection="1">
      <alignment horizontal="right" vertical="center"/>
    </xf>
    <xf numFmtId="0" fontId="14" fillId="0" borderId="0" xfId="0" applyFont="1" applyBorder="1" applyAlignment="1" applyProtection="1">
      <alignment horizontal="center"/>
    </xf>
    <xf numFmtId="0" fontId="1" fillId="0" borderId="0" xfId="0" applyFont="1" applyBorder="1" applyAlignment="1" applyProtection="1">
      <alignment horizontal="right"/>
    </xf>
    <xf numFmtId="0" fontId="1" fillId="0" borderId="15" xfId="0" applyFont="1" applyBorder="1" applyAlignment="1" applyProtection="1">
      <alignment vertical="top"/>
    </xf>
    <xf numFmtId="0" fontId="14" fillId="0" borderId="25" xfId="0" applyFont="1" applyFill="1" applyBorder="1" applyAlignment="1" applyProtection="1">
      <alignment horizontal="center" vertical="center"/>
    </xf>
    <xf numFmtId="0" fontId="14" fillId="0" borderId="8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 fillId="0" borderId="15" xfId="0" applyFont="1" applyBorder="1" applyAlignment="1" applyProtection="1">
      <alignment horizontal="center" vertical="center" wrapText="1"/>
    </xf>
    <xf numFmtId="0" fontId="1" fillId="0" borderId="0" xfId="0" applyFont="1" applyFill="1" applyBorder="1" applyAlignment="1" applyProtection="1">
      <alignment horizontal="center" vertical="center"/>
    </xf>
    <xf numFmtId="2" fontId="13" fillId="0" borderId="0" xfId="0" applyNumberFormat="1" applyFont="1" applyFill="1" applyBorder="1" applyAlignment="1" applyProtection="1">
      <alignment horizontal="center" vertical="center"/>
    </xf>
    <xf numFmtId="0" fontId="14" fillId="0" borderId="84" xfId="0" applyFont="1" applyBorder="1" applyAlignment="1" applyProtection="1">
      <alignment horizontal="center"/>
    </xf>
    <xf numFmtId="0" fontId="14" fillId="0" borderId="13" xfId="0" applyFont="1" applyBorder="1" applyAlignment="1" applyProtection="1">
      <alignment horizontal="center"/>
    </xf>
    <xf numFmtId="0" fontId="27" fillId="0" borderId="0" xfId="0" applyFont="1" applyFill="1" applyBorder="1" applyAlignment="1" applyProtection="1">
      <alignment horizontal="left" vertical="center"/>
    </xf>
    <xf numFmtId="2" fontId="12" fillId="0" borderId="0" xfId="0" applyNumberFormat="1" applyFont="1" applyFill="1" applyBorder="1" applyAlignment="1" applyProtection="1">
      <alignment horizontal="center"/>
    </xf>
    <xf numFmtId="0" fontId="14" fillId="0" borderId="1" xfId="0" applyFont="1" applyFill="1" applyBorder="1" applyAlignment="1" applyProtection="1">
      <alignment horizontal="left"/>
    </xf>
    <xf numFmtId="0" fontId="14" fillId="0" borderId="16" xfId="0" applyFont="1" applyFill="1" applyBorder="1" applyAlignment="1" applyProtection="1"/>
    <xf numFmtId="0" fontId="1"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2" fontId="12" fillId="0" borderId="0" xfId="0" applyNumberFormat="1" applyFont="1" applyFill="1" applyBorder="1" applyAlignment="1" applyProtection="1">
      <alignment horizontal="center" vertical="center"/>
    </xf>
    <xf numFmtId="0" fontId="1" fillId="0" borderId="15" xfId="0" applyFont="1" applyBorder="1" applyAlignment="1" applyProtection="1">
      <alignment horizontal="center" vertical="center"/>
    </xf>
    <xf numFmtId="0" fontId="24" fillId="0" borderId="0" xfId="0" applyFont="1" applyFill="1" applyBorder="1" applyAlignment="1" applyProtection="1">
      <alignment horizontal="center" vertical="center"/>
    </xf>
    <xf numFmtId="0" fontId="14" fillId="0" borderId="21" xfId="0" applyFont="1" applyBorder="1" applyAlignment="1" applyProtection="1">
      <alignment horizontal="center" vertical="center"/>
    </xf>
    <xf numFmtId="0" fontId="1" fillId="0" borderId="12" xfId="0" applyFont="1" applyBorder="1" applyAlignment="1" applyProtection="1">
      <alignment horizontal="left"/>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79" xfId="0" applyFont="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 fillId="0" borderId="79" xfId="0" applyFont="1" applyBorder="1" applyProtection="1"/>
    <xf numFmtId="0" fontId="1" fillId="0" borderId="31" xfId="0" applyFont="1" applyBorder="1" applyAlignment="1" applyProtection="1">
      <alignment horizontal="right" vertical="center" wrapText="1"/>
    </xf>
    <xf numFmtId="0" fontId="1" fillId="14" borderId="56" xfId="0" applyFont="1" applyFill="1" applyBorder="1" applyProtection="1">
      <protection locked="0"/>
    </xf>
    <xf numFmtId="0" fontId="1" fillId="14" borderId="85" xfId="0" applyFont="1" applyFill="1" applyBorder="1" applyProtection="1">
      <protection locked="0"/>
    </xf>
    <xf numFmtId="0" fontId="1" fillId="14" borderId="55" xfId="0" applyFont="1" applyFill="1" applyBorder="1" applyProtection="1">
      <protection locked="0"/>
    </xf>
    <xf numFmtId="0" fontId="14" fillId="14" borderId="1" xfId="0" applyFont="1" applyFill="1" applyBorder="1" applyAlignment="1" applyProtection="1">
      <alignment horizontal="center"/>
      <protection locked="0"/>
    </xf>
    <xf numFmtId="165" fontId="10" fillId="6" borderId="25" xfId="0" applyNumberFormat="1" applyFont="1" applyFill="1" applyBorder="1" applyAlignment="1">
      <alignment horizontal="center" vertical="center"/>
    </xf>
    <xf numFmtId="0" fontId="0" fillId="0" borderId="0" xfId="0" applyProtection="1"/>
    <xf numFmtId="0" fontId="0" fillId="3" borderId="0" xfId="0" applyFill="1" applyProtection="1"/>
    <xf numFmtId="0" fontId="0" fillId="0" borderId="0" xfId="0" applyFill="1" applyAlignment="1" applyProtection="1">
      <alignment vertical="center" wrapText="1"/>
    </xf>
    <xf numFmtId="0" fontId="0" fillId="0" borderId="0" xfId="0" applyAlignment="1" applyProtection="1">
      <alignment vertical="center" wrapText="1"/>
    </xf>
    <xf numFmtId="0" fontId="0" fillId="3" borderId="0" xfId="0" applyFill="1" applyAlignment="1" applyProtection="1">
      <alignment vertical="center" wrapText="1"/>
    </xf>
    <xf numFmtId="0" fontId="10" fillId="6" borderId="86" xfId="0" applyFont="1" applyFill="1" applyBorder="1" applyAlignment="1" applyProtection="1">
      <alignment horizontal="center" vertical="center"/>
    </xf>
    <xf numFmtId="0" fontId="14" fillId="0" borderId="96" xfId="0" applyFont="1" applyFill="1" applyBorder="1" applyAlignment="1" applyProtection="1">
      <alignment horizontal="center" vertical="center"/>
    </xf>
    <xf numFmtId="0" fontId="0" fillId="0" borderId="16" xfId="0" applyFill="1" applyBorder="1" applyProtection="1"/>
    <xf numFmtId="166" fontId="10" fillId="6" borderId="23" xfId="4" applyNumberFormat="1" applyFont="1" applyFill="1" applyBorder="1" applyProtection="1">
      <alignment horizontal="center" vertical="center"/>
    </xf>
    <xf numFmtId="0" fontId="1" fillId="0" borderId="96" xfId="0" applyFont="1" applyFill="1" applyBorder="1" applyAlignment="1" applyProtection="1">
      <alignment horizontal="center" vertical="center"/>
    </xf>
    <xf numFmtId="2" fontId="10"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xf>
    <xf numFmtId="0" fontId="1" fillId="0" borderId="15" xfId="0" applyFont="1" applyFill="1" applyBorder="1" applyAlignment="1" applyProtection="1">
      <alignment horizontal="center" vertical="center"/>
    </xf>
    <xf numFmtId="2" fontId="10" fillId="0" borderId="0" xfId="0" applyNumberFormat="1" applyFont="1" applyFill="1" applyBorder="1" applyAlignment="1" applyProtection="1">
      <alignment horizontal="center"/>
    </xf>
    <xf numFmtId="0" fontId="1" fillId="0" borderId="19" xfId="0" applyFont="1" applyFill="1" applyBorder="1" applyAlignment="1" applyProtection="1">
      <alignment horizontal="center" vertical="center"/>
    </xf>
    <xf numFmtId="0" fontId="0" fillId="0" borderId="15" xfId="0" applyBorder="1" applyProtection="1"/>
    <xf numFmtId="0" fontId="0" fillId="0" borderId="0" xfId="0" applyBorder="1" applyProtection="1"/>
    <xf numFmtId="0" fontId="0" fillId="0" borderId="16" xfId="0" applyBorder="1" applyProtection="1"/>
    <xf numFmtId="0" fontId="1" fillId="0" borderId="17" xfId="0" applyFont="1" applyFill="1" applyBorder="1" applyAlignment="1" applyProtection="1">
      <alignment horizontal="right" wrapText="1"/>
    </xf>
    <xf numFmtId="0" fontId="1" fillId="0" borderId="15" xfId="0" applyFont="1" applyFill="1" applyBorder="1" applyAlignment="1" applyProtection="1">
      <alignment horizontal="right" wrapText="1"/>
    </xf>
    <xf numFmtId="0" fontId="1" fillId="0" borderId="17" xfId="0" applyFont="1" applyFill="1" applyBorder="1" applyAlignment="1" applyProtection="1">
      <alignment horizontal="right" vertical="center" wrapText="1"/>
    </xf>
    <xf numFmtId="0" fontId="28" fillId="6" borderId="1" xfId="0" applyFont="1" applyFill="1" applyBorder="1" applyAlignment="1" applyProtection="1">
      <alignment vertical="center" wrapText="1"/>
    </xf>
    <xf numFmtId="0" fontId="1" fillId="0" borderId="15" xfId="0" applyFont="1" applyFill="1" applyBorder="1" applyAlignment="1" applyProtection="1">
      <alignment wrapText="1"/>
    </xf>
    <xf numFmtId="0" fontId="1" fillId="0" borderId="79" xfId="0" applyFont="1" applyFill="1" applyBorder="1" applyAlignment="1" applyProtection="1">
      <alignment wrapText="1"/>
    </xf>
    <xf numFmtId="0" fontId="1" fillId="0" borderId="114" xfId="0" applyFont="1" applyFill="1" applyBorder="1" applyProtection="1"/>
    <xf numFmtId="0" fontId="1" fillId="0" borderId="113" xfId="0" applyFont="1" applyBorder="1" applyProtection="1"/>
    <xf numFmtId="0" fontId="1" fillId="0" borderId="51" xfId="0" applyFont="1" applyBorder="1" applyProtection="1"/>
    <xf numFmtId="9" fontId="1" fillId="14" borderId="25" xfId="0" applyNumberFormat="1" applyFont="1" applyFill="1" applyBorder="1" applyAlignment="1" applyProtection="1">
      <alignment horizontal="center"/>
      <protection locked="0"/>
    </xf>
    <xf numFmtId="9" fontId="1" fillId="14" borderId="1" xfId="0" applyNumberFormat="1" applyFont="1" applyFill="1" applyBorder="1" applyAlignment="1" applyProtection="1">
      <alignment horizontal="center"/>
      <protection locked="0"/>
    </xf>
    <xf numFmtId="9" fontId="12" fillId="14" borderId="25" xfId="0" applyNumberFormat="1" applyFont="1" applyFill="1" applyBorder="1" applyAlignment="1" applyProtection="1">
      <alignment horizontal="center"/>
      <protection locked="0"/>
    </xf>
    <xf numFmtId="9" fontId="1" fillId="14" borderId="26" xfId="0" applyNumberFormat="1" applyFont="1" applyFill="1" applyBorder="1" applyAlignment="1" applyProtection="1">
      <alignment horizontal="center"/>
      <protection locked="0"/>
    </xf>
    <xf numFmtId="0" fontId="0" fillId="14" borderId="1" xfId="0" applyFill="1" applyBorder="1" applyProtection="1">
      <protection locked="0"/>
    </xf>
    <xf numFmtId="0" fontId="14" fillId="5" borderId="69" xfId="0" applyFont="1" applyFill="1" applyBorder="1" applyAlignment="1" applyProtection="1">
      <alignment horizontal="center" vertical="center"/>
    </xf>
    <xf numFmtId="0" fontId="14" fillId="5" borderId="70" xfId="0" applyFont="1" applyFill="1" applyBorder="1" applyAlignment="1" applyProtection="1">
      <alignment horizontal="center" vertical="center"/>
    </xf>
    <xf numFmtId="0" fontId="3" fillId="4" borderId="2" xfId="1" applyFont="1" applyBorder="1" applyAlignment="1" applyProtection="1">
      <alignment horizontal="left" vertical="center"/>
    </xf>
    <xf numFmtId="0" fontId="3" fillId="4" borderId="3" xfId="1" applyFont="1" applyBorder="1" applyAlignment="1" applyProtection="1">
      <alignment horizontal="left" vertical="center"/>
    </xf>
    <xf numFmtId="0" fontId="14" fillId="5" borderId="2" xfId="0" applyFont="1" applyFill="1" applyBorder="1" applyAlignment="1" applyProtection="1">
      <alignment horizontal="center"/>
    </xf>
    <xf numFmtId="0" fontId="14" fillId="5" borderId="3" xfId="0" applyFont="1" applyFill="1" applyBorder="1" applyAlignment="1" applyProtection="1">
      <alignment horizontal="center"/>
    </xf>
    <xf numFmtId="0" fontId="14" fillId="5" borderId="71" xfId="0" applyFont="1" applyFill="1" applyBorder="1" applyAlignment="1" applyProtection="1">
      <alignment horizontal="center" vertical="center"/>
    </xf>
    <xf numFmtId="0" fontId="3" fillId="4" borderId="2" xfId="1" applyFont="1" applyBorder="1" applyProtection="1">
      <alignment horizontal="left" vertical="center"/>
    </xf>
    <xf numFmtId="0" fontId="3" fillId="4" borderId="3" xfId="1" applyFont="1" applyBorder="1" applyProtection="1">
      <alignment horizontal="left" vertical="center"/>
    </xf>
    <xf numFmtId="0" fontId="6" fillId="0" borderId="2" xfId="3" applyNumberFormat="1" applyBorder="1" applyAlignment="1" applyProtection="1">
      <alignment horizontal="left" vertical="center"/>
      <protection locked="0"/>
    </xf>
    <xf numFmtId="0" fontId="6" fillId="0" borderId="3" xfId="3" applyNumberFormat="1" applyBorder="1" applyAlignment="1" applyProtection="1">
      <alignment horizontal="left" vertical="center"/>
      <protection locked="0"/>
    </xf>
    <xf numFmtId="0" fontId="12" fillId="16" borderId="12" xfId="1" applyFont="1" applyFill="1" applyBorder="1" applyAlignment="1" applyProtection="1">
      <alignment horizontal="left" vertical="center" wrapText="1"/>
    </xf>
    <xf numFmtId="0" fontId="12" fillId="16" borderId="14" xfId="1" applyFont="1" applyFill="1" applyBorder="1" applyAlignment="1" applyProtection="1">
      <alignment horizontal="left" vertical="center" wrapText="1"/>
    </xf>
    <xf numFmtId="0" fontId="12" fillId="16" borderId="15" xfId="1" applyFont="1" applyFill="1" applyBorder="1" applyAlignment="1" applyProtection="1">
      <alignment horizontal="left" vertical="center" wrapText="1"/>
    </xf>
    <xf numFmtId="0" fontId="12" fillId="16" borderId="16" xfId="1" applyFont="1" applyFill="1" applyBorder="1" applyAlignment="1" applyProtection="1">
      <alignment horizontal="left" vertical="center" wrapText="1"/>
    </xf>
    <xf numFmtId="0" fontId="12" fillId="16" borderId="61" xfId="1" applyFont="1" applyFill="1" applyBorder="1" applyAlignment="1" applyProtection="1">
      <alignment horizontal="left" vertical="center" wrapText="1"/>
    </xf>
    <xf numFmtId="0" fontId="12" fillId="16" borderId="20" xfId="1" applyFont="1" applyFill="1" applyBorder="1" applyAlignment="1" applyProtection="1">
      <alignment horizontal="left" vertical="center" wrapText="1"/>
    </xf>
    <xf numFmtId="0" fontId="3" fillId="2" borderId="64" xfId="1" applyFont="1" applyFill="1" applyBorder="1" applyAlignment="1" applyProtection="1">
      <alignment horizontal="center" vertical="center"/>
    </xf>
    <xf numFmtId="0" fontId="3" fillId="2" borderId="58" xfId="1" applyFont="1" applyFill="1" applyBorder="1" applyAlignment="1" applyProtection="1">
      <alignment horizontal="center" vertical="center"/>
    </xf>
    <xf numFmtId="0" fontId="3" fillId="2" borderId="72" xfId="1" applyFont="1" applyFill="1" applyBorder="1" applyAlignment="1" applyProtection="1">
      <alignment horizontal="center" vertical="center"/>
    </xf>
    <xf numFmtId="0" fontId="3" fillId="2" borderId="65" xfId="1" applyFont="1" applyFill="1" applyBorder="1" applyAlignment="1" applyProtection="1">
      <alignment horizontal="center" vertical="center"/>
    </xf>
    <xf numFmtId="0" fontId="3" fillId="2" borderId="59" xfId="1" applyFont="1" applyFill="1" applyBorder="1" applyAlignment="1" applyProtection="1">
      <alignment horizontal="center" vertical="center"/>
    </xf>
    <xf numFmtId="0" fontId="3" fillId="2" borderId="63" xfId="1" applyFont="1" applyFill="1" applyBorder="1" applyAlignment="1" applyProtection="1">
      <alignment horizontal="center" vertical="center"/>
    </xf>
    <xf numFmtId="0" fontId="1" fillId="0" borderId="41" xfId="5" applyFont="1" applyBorder="1" applyAlignment="1">
      <alignment horizontal="left"/>
    </xf>
    <xf numFmtId="0" fontId="1" fillId="0" borderId="95" xfId="5" applyFont="1" applyBorder="1" applyAlignment="1">
      <alignment horizontal="left"/>
    </xf>
    <xf numFmtId="0" fontId="8" fillId="5" borderId="112" xfId="0" applyFont="1" applyFill="1" applyBorder="1" applyAlignment="1">
      <alignment horizontal="left"/>
    </xf>
    <xf numFmtId="0" fontId="8" fillId="5" borderId="103" xfId="0" applyFont="1" applyFill="1" applyBorder="1" applyAlignment="1">
      <alignment horizontal="left"/>
    </xf>
    <xf numFmtId="0" fontId="1" fillId="0" borderId="93" xfId="5" applyFont="1" applyBorder="1" applyAlignment="1">
      <alignment horizontal="left"/>
    </xf>
    <xf numFmtId="0" fontId="1" fillId="0" borderId="94" xfId="5" applyFont="1" applyBorder="1" applyAlignment="1">
      <alignment horizontal="left"/>
    </xf>
    <xf numFmtId="0" fontId="8" fillId="5" borderId="53" xfId="0" applyFont="1" applyFill="1" applyBorder="1" applyAlignment="1">
      <alignment horizontal="left"/>
    </xf>
    <xf numFmtId="0" fontId="8" fillId="5" borderId="55" xfId="0" applyFont="1" applyFill="1" applyBorder="1" applyAlignment="1">
      <alignment horizontal="left"/>
    </xf>
    <xf numFmtId="0" fontId="14" fillId="0" borderId="21" xfId="5" applyFont="1" applyBorder="1" applyAlignment="1">
      <alignment horizontal="center"/>
    </xf>
    <xf numFmtId="0" fontId="14" fillId="0" borderId="83" xfId="5" applyFont="1" applyBorder="1" applyAlignment="1">
      <alignment horizontal="center"/>
    </xf>
    <xf numFmtId="0" fontId="1" fillId="0" borderId="91" xfId="5" applyFont="1" applyBorder="1" applyAlignment="1">
      <alignment horizontal="left"/>
    </xf>
    <xf numFmtId="0" fontId="1" fillId="0" borderId="92" xfId="5" applyFont="1" applyBorder="1" applyAlignment="1">
      <alignment horizontal="left"/>
    </xf>
    <xf numFmtId="0" fontId="1" fillId="0" borderId="89" xfId="5" applyFont="1" applyBorder="1" applyAlignment="1">
      <alignment horizontal="left"/>
    </xf>
    <xf numFmtId="0" fontId="1" fillId="0" borderId="90" xfId="5" applyFont="1" applyBorder="1" applyAlignment="1">
      <alignment horizontal="left"/>
    </xf>
    <xf numFmtId="0" fontId="3" fillId="8" borderId="12" xfId="1" applyFont="1" applyFill="1" applyBorder="1" applyAlignment="1" applyProtection="1">
      <alignment horizontal="left" vertical="center" wrapText="1"/>
    </xf>
    <xf numFmtId="0" fontId="3" fillId="8" borderId="13" xfId="1" applyFont="1" applyFill="1" applyBorder="1" applyAlignment="1" applyProtection="1">
      <alignment horizontal="left" vertical="center" wrapText="1"/>
    </xf>
    <xf numFmtId="0" fontId="3" fillId="8" borderId="14" xfId="1" applyFont="1" applyFill="1" applyBorder="1" applyAlignment="1" applyProtection="1">
      <alignment horizontal="left" vertical="center" wrapText="1"/>
    </xf>
    <xf numFmtId="0" fontId="3" fillId="8" borderId="15" xfId="1" applyFont="1" applyFill="1" applyBorder="1" applyAlignment="1" applyProtection="1">
      <alignment horizontal="left" vertical="center" wrapText="1"/>
    </xf>
    <xf numFmtId="0" fontId="3" fillId="8" borderId="0" xfId="1" applyFont="1" applyFill="1" applyBorder="1" applyAlignment="1" applyProtection="1">
      <alignment horizontal="left" vertical="center" wrapText="1"/>
    </xf>
    <xf numFmtId="0" fontId="3" fillId="8" borderId="16" xfId="1" applyFont="1" applyFill="1" applyBorder="1" applyAlignment="1" applyProtection="1">
      <alignment horizontal="left" vertical="center" wrapText="1"/>
    </xf>
    <xf numFmtId="0" fontId="3" fillId="8" borderId="51" xfId="1" applyFont="1" applyFill="1" applyBorder="1" applyAlignment="1" applyProtection="1">
      <alignment horizontal="left" vertical="center" wrapText="1"/>
    </xf>
    <xf numFmtId="0" fontId="3" fillId="8" borderId="24" xfId="1" applyFont="1" applyFill="1" applyBorder="1" applyAlignment="1" applyProtection="1">
      <alignment horizontal="left" vertical="center" wrapText="1"/>
    </xf>
    <xf numFmtId="0" fontId="3" fillId="8" borderId="52" xfId="1" applyFont="1" applyFill="1" applyBorder="1" applyAlignment="1" applyProtection="1">
      <alignment horizontal="left" vertical="center" wrapText="1"/>
    </xf>
    <xf numFmtId="0" fontId="3" fillId="4" borderId="4" xfId="1" applyFont="1" applyBorder="1" applyAlignment="1" applyProtection="1">
      <alignment horizontal="left" vertical="center"/>
    </xf>
    <xf numFmtId="0" fontId="14" fillId="0" borderId="61" xfId="0" applyFont="1" applyFill="1" applyBorder="1" applyAlignment="1" applyProtection="1">
      <alignment horizontal="left"/>
    </xf>
    <xf numFmtId="0" fontId="14" fillId="0" borderId="62" xfId="0" applyFont="1" applyFill="1" applyBorder="1" applyAlignment="1" applyProtection="1">
      <alignment horizontal="left"/>
    </xf>
    <xf numFmtId="0" fontId="14" fillId="0" borderId="64" xfId="0" applyFont="1" applyBorder="1" applyAlignment="1" applyProtection="1">
      <alignment horizontal="center" vertical="center"/>
    </xf>
    <xf numFmtId="0" fontId="14" fillId="0" borderId="58" xfId="0" applyFont="1" applyBorder="1" applyAlignment="1" applyProtection="1">
      <alignment horizontal="center" vertical="center"/>
    </xf>
    <xf numFmtId="0" fontId="14" fillId="0" borderId="31" xfId="0" applyFont="1" applyBorder="1" applyAlignment="1" applyProtection="1">
      <alignment horizontal="center" vertical="center"/>
    </xf>
    <xf numFmtId="2" fontId="28" fillId="6" borderId="65" xfId="4" applyNumberFormat="1" applyFont="1" applyFill="1" applyBorder="1" applyAlignment="1" applyProtection="1">
      <alignment horizontal="center" vertical="center"/>
    </xf>
    <xf numFmtId="2" fontId="28" fillId="6" borderId="59" xfId="4" applyNumberFormat="1" applyFont="1" applyFill="1" applyBorder="1" applyAlignment="1" applyProtection="1">
      <alignment horizontal="center" vertical="center"/>
    </xf>
    <xf numFmtId="2" fontId="28" fillId="6" borderId="26" xfId="4" applyNumberFormat="1" applyFont="1" applyFill="1" applyBorder="1" applyAlignment="1" applyProtection="1">
      <alignment horizontal="center" vertical="center"/>
    </xf>
    <xf numFmtId="0" fontId="14" fillId="5" borderId="2" xfId="0" applyFont="1" applyFill="1" applyBorder="1" applyAlignment="1" applyProtection="1">
      <alignment horizontal="left"/>
    </xf>
    <xf numFmtId="0" fontId="14" fillId="5" borderId="4" xfId="0" applyFont="1" applyFill="1" applyBorder="1" applyAlignment="1" applyProtection="1">
      <alignment horizontal="left"/>
    </xf>
    <xf numFmtId="0" fontId="14" fillId="5" borderId="3" xfId="0" applyFont="1" applyFill="1" applyBorder="1" applyAlignment="1" applyProtection="1">
      <alignment horizontal="left"/>
    </xf>
    <xf numFmtId="164" fontId="1" fillId="0" borderId="2" xfId="0" applyNumberFormat="1" applyFont="1" applyBorder="1" applyAlignment="1" applyProtection="1">
      <alignment horizontal="left" vertical="top" wrapText="1"/>
    </xf>
    <xf numFmtId="164" fontId="1" fillId="0" borderId="4" xfId="0" applyNumberFormat="1" applyFont="1" applyBorder="1" applyAlignment="1" applyProtection="1">
      <alignment horizontal="left" vertical="top" wrapText="1"/>
    </xf>
    <xf numFmtId="164" fontId="1" fillId="0" borderId="3" xfId="0" applyNumberFormat="1" applyFont="1" applyBorder="1" applyAlignment="1" applyProtection="1">
      <alignment horizontal="left" vertical="top" wrapText="1"/>
    </xf>
    <xf numFmtId="0" fontId="14" fillId="5" borderId="2" xfId="0" applyFont="1" applyFill="1" applyBorder="1" applyAlignment="1" applyProtection="1">
      <alignment horizontal="left" vertical="center" wrapText="1"/>
    </xf>
    <xf numFmtId="0" fontId="14" fillId="5" borderId="4" xfId="0" applyFont="1" applyFill="1" applyBorder="1" applyAlignment="1" applyProtection="1">
      <alignment horizontal="left" vertical="center" wrapText="1"/>
    </xf>
    <xf numFmtId="0" fontId="14" fillId="5" borderId="3" xfId="0" applyFont="1" applyFill="1" applyBorder="1" applyAlignment="1" applyProtection="1">
      <alignment horizontal="left" vertical="center" wrapText="1"/>
    </xf>
    <xf numFmtId="0" fontId="3" fillId="4" borderId="2" xfId="1" applyFont="1" applyBorder="1" applyAlignment="1" applyProtection="1">
      <alignment horizontal="left" vertical="center" wrapText="1"/>
    </xf>
    <xf numFmtId="0" fontId="14" fillId="5" borderId="6" xfId="0" applyFont="1" applyFill="1" applyBorder="1" applyAlignment="1" applyProtection="1">
      <alignment horizontal="left"/>
    </xf>
    <xf numFmtId="164" fontId="1" fillId="0" borderId="6" xfId="0" applyNumberFormat="1" applyFont="1" applyBorder="1" applyAlignment="1" applyProtection="1">
      <alignment horizontal="left" vertical="top" wrapText="1"/>
    </xf>
    <xf numFmtId="0" fontId="14" fillId="5" borderId="2" xfId="0" applyFont="1" applyFill="1" applyBorder="1" applyAlignment="1">
      <alignment horizontal="left"/>
    </xf>
    <xf numFmtId="0" fontId="14" fillId="5" borderId="6" xfId="0" applyFont="1" applyFill="1" applyBorder="1" applyAlignment="1">
      <alignment horizontal="left"/>
    </xf>
    <xf numFmtId="0" fontId="14" fillId="5" borderId="4" xfId="0" applyFont="1" applyFill="1" applyBorder="1" applyAlignment="1">
      <alignment horizontal="left"/>
    </xf>
    <xf numFmtId="0" fontId="14" fillId="5" borderId="3" xfId="0" applyFont="1" applyFill="1" applyBorder="1" applyAlignment="1">
      <alignment horizontal="left"/>
    </xf>
    <xf numFmtId="0" fontId="14" fillId="0" borderId="61" xfId="0" applyFont="1" applyFill="1" applyBorder="1" applyAlignment="1">
      <alignment horizontal="left"/>
    </xf>
    <xf numFmtId="0" fontId="14" fillId="0" borderId="62" xfId="0" applyFont="1" applyFill="1" applyBorder="1" applyAlignment="1">
      <alignment horizontal="left"/>
    </xf>
    <xf numFmtId="0" fontId="14" fillId="0" borderId="20" xfId="0" applyFont="1" applyFill="1" applyBorder="1" applyAlignment="1">
      <alignment horizontal="left"/>
    </xf>
    <xf numFmtId="0" fontId="14" fillId="0" borderId="1" xfId="0" applyFont="1" applyBorder="1" applyAlignment="1">
      <alignment horizontal="center"/>
    </xf>
    <xf numFmtId="0" fontId="14" fillId="0" borderId="11" xfId="0" applyFont="1" applyBorder="1" applyAlignment="1">
      <alignment horizontal="center"/>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5" xfId="0" applyFont="1" applyBorder="1" applyAlignment="1">
      <alignment horizontal="left" wrapText="1"/>
    </xf>
    <xf numFmtId="0" fontId="1" fillId="0" borderId="0" xfId="0" applyFont="1" applyBorder="1" applyAlignment="1">
      <alignment horizontal="left" wrapText="1"/>
    </xf>
    <xf numFmtId="0" fontId="14" fillId="0" borderId="107" xfId="0" applyFont="1" applyFill="1" applyBorder="1" applyAlignment="1">
      <alignment horizontal="left"/>
    </xf>
    <xf numFmtId="0" fontId="14" fillId="5" borderId="12" xfId="0" applyFont="1" applyFill="1" applyBorder="1" applyAlignment="1" applyProtection="1">
      <alignment horizontal="left"/>
    </xf>
    <xf numFmtId="0" fontId="14" fillId="5" borderId="108" xfId="0" applyFont="1" applyFill="1" applyBorder="1" applyAlignment="1" applyProtection="1">
      <alignment horizontal="left"/>
    </xf>
    <xf numFmtId="0" fontId="1" fillId="0" borderId="53" xfId="0" applyFont="1" applyBorder="1" applyAlignment="1">
      <alignment horizontal="left" vertical="top" wrapText="1"/>
    </xf>
    <xf numFmtId="0" fontId="1" fillId="0" borderId="54" xfId="0" applyFont="1" applyBorder="1" applyAlignment="1">
      <alignment horizontal="left" vertical="top"/>
    </xf>
    <xf numFmtId="0" fontId="1" fillId="0" borderId="55" xfId="0" applyFont="1" applyBorder="1" applyAlignment="1">
      <alignment horizontal="left" vertical="top"/>
    </xf>
    <xf numFmtId="0" fontId="14" fillId="0" borderId="25" xfId="0" applyFont="1" applyBorder="1" applyAlignment="1">
      <alignment horizontal="center"/>
    </xf>
    <xf numFmtId="0" fontId="14" fillId="0" borderId="26" xfId="0" applyFont="1" applyBorder="1" applyAlignment="1">
      <alignment horizontal="center"/>
    </xf>
    <xf numFmtId="0" fontId="1" fillId="0" borderId="1" xfId="0" applyFont="1" applyBorder="1" applyAlignment="1">
      <alignment horizontal="left" vertical="center" wrapText="1"/>
    </xf>
    <xf numFmtId="2" fontId="12" fillId="0" borderId="1" xfId="4" applyNumberFormat="1" applyFont="1" applyFill="1" applyBorder="1" applyAlignment="1" applyProtection="1">
      <alignment horizontal="left" vertical="center"/>
      <protection locked="0"/>
    </xf>
    <xf numFmtId="0" fontId="14" fillId="0" borderId="23" xfId="0" applyFont="1" applyBorder="1" applyAlignment="1">
      <alignment horizontal="center"/>
    </xf>
    <xf numFmtId="0" fontId="14" fillId="0" borderId="83" xfId="0" applyFont="1" applyBorder="1" applyAlignment="1">
      <alignment horizontal="center"/>
    </xf>
    <xf numFmtId="0" fontId="28" fillId="6" borderId="96" xfId="0" applyFont="1" applyFill="1" applyBorder="1" applyAlignment="1">
      <alignment horizontal="center" vertical="center"/>
    </xf>
    <xf numFmtId="0" fontId="28" fillId="6" borderId="0" xfId="0" applyFont="1" applyFill="1" applyBorder="1" applyAlignment="1">
      <alignment horizontal="center" vertical="center"/>
    </xf>
    <xf numFmtId="0" fontId="28" fillId="6" borderId="96" xfId="0" applyFont="1" applyFill="1" applyBorder="1" applyAlignment="1">
      <alignment horizontal="center" vertical="center" wrapText="1"/>
    </xf>
    <xf numFmtId="0" fontId="28" fillId="6" borderId="0" xfId="0" applyFont="1" applyFill="1" applyBorder="1" applyAlignment="1">
      <alignment horizontal="center" vertical="center" wrapText="1"/>
    </xf>
    <xf numFmtId="164" fontId="1" fillId="0" borderId="2" xfId="0" applyNumberFormat="1" applyFont="1" applyBorder="1" applyAlignment="1" applyProtection="1">
      <alignment horizontal="left" vertical="center" wrapText="1"/>
    </xf>
    <xf numFmtId="164" fontId="1" fillId="0" borderId="4" xfId="0" applyNumberFormat="1" applyFont="1" applyBorder="1" applyAlignment="1" applyProtection="1">
      <alignment horizontal="left" vertical="center" wrapText="1"/>
    </xf>
    <xf numFmtId="164" fontId="1" fillId="0" borderId="3" xfId="0" applyNumberFormat="1" applyFont="1" applyBorder="1" applyAlignment="1" applyProtection="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4" fillId="0" borderId="1" xfId="0" applyFont="1" applyBorder="1" applyAlignment="1" applyProtection="1">
      <alignment horizontal="center"/>
    </xf>
    <xf numFmtId="0" fontId="14" fillId="0" borderId="86" xfId="0" applyFont="1" applyBorder="1" applyAlignment="1">
      <alignment horizontal="center"/>
    </xf>
    <xf numFmtId="0" fontId="14" fillId="0" borderId="24"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14" fillId="0" borderId="22" xfId="0" applyFont="1" applyBorder="1" applyAlignment="1">
      <alignment horizontal="center"/>
    </xf>
    <xf numFmtId="0" fontId="14" fillId="0" borderId="18" xfId="0" applyFont="1" applyBorder="1" applyAlignment="1">
      <alignment horizontal="center"/>
    </xf>
    <xf numFmtId="0" fontId="14" fillId="0" borderId="80" xfId="0" applyFont="1" applyBorder="1" applyAlignment="1">
      <alignment horizontal="center"/>
    </xf>
    <xf numFmtId="0" fontId="14" fillId="0" borderId="81" xfId="0" applyFont="1" applyBorder="1" applyAlignment="1">
      <alignment horizontal="center"/>
    </xf>
    <xf numFmtId="0" fontId="28" fillId="6" borderId="105" xfId="0" quotePrefix="1" applyFont="1" applyFill="1" applyBorder="1" applyAlignment="1">
      <alignment horizontal="center" vertical="center"/>
    </xf>
    <xf numFmtId="0" fontId="28" fillId="6" borderId="62" xfId="0" applyFont="1" applyFill="1" applyBorder="1" applyAlignment="1">
      <alignment horizontal="center" vertical="center"/>
    </xf>
    <xf numFmtId="0" fontId="14" fillId="0" borderId="82" xfId="0" applyFont="1" applyBorder="1" applyAlignment="1">
      <alignment horizontal="center"/>
    </xf>
    <xf numFmtId="0" fontId="28" fillId="6" borderId="105" xfId="0" applyFont="1" applyFill="1" applyBorder="1" applyAlignment="1">
      <alignment horizontal="center" vertical="center"/>
    </xf>
    <xf numFmtId="0" fontId="1" fillId="0" borderId="4" xfId="0" applyFont="1" applyBorder="1" applyAlignment="1">
      <alignment horizontal="left" vertical="top"/>
    </xf>
    <xf numFmtId="0" fontId="1" fillId="0" borderId="3" xfId="0" applyFont="1" applyBorder="1" applyAlignment="1">
      <alignment horizontal="left" vertical="top"/>
    </xf>
    <xf numFmtId="0" fontId="3" fillId="4" borderId="2" xfId="1" applyFont="1" applyBorder="1">
      <alignment horizontal="left" vertical="center"/>
    </xf>
    <xf numFmtId="0" fontId="3" fillId="4" borderId="3" xfId="1" applyFont="1" applyBorder="1">
      <alignment horizontal="left" vertical="center"/>
    </xf>
    <xf numFmtId="0" fontId="14" fillId="5" borderId="12" xfId="0" applyFont="1" applyFill="1" applyBorder="1" applyAlignment="1">
      <alignment horizontal="left"/>
    </xf>
    <xf numFmtId="0" fontId="14" fillId="5" borderId="13" xfId="0" applyFont="1" applyFill="1" applyBorder="1" applyAlignment="1">
      <alignment horizontal="left"/>
    </xf>
    <xf numFmtId="0" fontId="14" fillId="5" borderId="14" xfId="0" applyFont="1" applyFill="1" applyBorder="1" applyAlignment="1">
      <alignment horizontal="left"/>
    </xf>
    <xf numFmtId="164" fontId="1" fillId="0" borderId="2"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3" xfId="0" applyNumberFormat="1" applyFont="1" applyBorder="1" applyAlignment="1">
      <alignment horizontal="left" vertical="center" wrapText="1"/>
    </xf>
    <xf numFmtId="0" fontId="14" fillId="0" borderId="11" xfId="0" applyFont="1" applyBorder="1" applyAlignment="1" applyProtection="1">
      <alignment horizontal="center"/>
    </xf>
    <xf numFmtId="0" fontId="14" fillId="5" borderId="13" xfId="0" applyFont="1" applyFill="1" applyBorder="1" applyAlignment="1" applyProtection="1">
      <alignment horizontal="left"/>
    </xf>
    <xf numFmtId="0" fontId="14" fillId="5" borderId="14" xfId="0" applyFont="1" applyFill="1" applyBorder="1" applyAlignment="1" applyProtection="1">
      <alignment horizontal="left"/>
    </xf>
    <xf numFmtId="0" fontId="1" fillId="0" borderId="2" xfId="0" applyFont="1" applyBorder="1" applyAlignment="1" applyProtection="1">
      <alignment horizontal="left" vertical="top" wrapText="1"/>
    </xf>
    <xf numFmtId="0" fontId="1" fillId="0" borderId="4" xfId="0" applyFont="1" applyBorder="1" applyAlignment="1" applyProtection="1">
      <alignment horizontal="left" vertical="top"/>
    </xf>
    <xf numFmtId="0" fontId="1" fillId="0" borderId="3" xfId="0" applyFont="1" applyBorder="1" applyAlignment="1" applyProtection="1">
      <alignment horizontal="left" vertical="top"/>
    </xf>
    <xf numFmtId="0" fontId="28" fillId="6" borderId="96" xfId="0"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14" fillId="0" borderId="1" xfId="0" applyFont="1" applyFill="1" applyBorder="1" applyAlignment="1" applyProtection="1">
      <alignment horizontal="left"/>
    </xf>
    <xf numFmtId="0" fontId="14" fillId="0" borderId="11" xfId="0" applyFont="1" applyFill="1" applyBorder="1" applyAlignment="1" applyProtection="1">
      <alignment horizontal="left"/>
    </xf>
    <xf numFmtId="0" fontId="1" fillId="0" borderId="1" xfId="0" applyFont="1" applyBorder="1" applyAlignment="1" applyProtection="1">
      <alignment horizontal="left" vertical="center" wrapText="1"/>
    </xf>
    <xf numFmtId="2" fontId="12" fillId="0" borderId="1" xfId="4" applyNumberFormat="1" applyFont="1" applyFill="1" applyBorder="1" applyAlignment="1" applyProtection="1">
      <alignment horizontal="left" vertical="center"/>
    </xf>
    <xf numFmtId="0" fontId="14" fillId="0" borderId="23" xfId="0" applyFont="1" applyBorder="1" applyAlignment="1" applyProtection="1">
      <alignment horizontal="center"/>
    </xf>
    <xf numFmtId="0" fontId="14" fillId="0" borderId="83" xfId="0" applyFont="1" applyBorder="1" applyAlignment="1" applyProtection="1">
      <alignment horizontal="center"/>
    </xf>
    <xf numFmtId="0" fontId="14" fillId="0" borderId="25" xfId="0" applyFont="1" applyBorder="1" applyAlignment="1" applyProtection="1">
      <alignment horizontal="center"/>
    </xf>
    <xf numFmtId="0" fontId="14" fillId="0" borderId="26" xfId="0" applyFont="1" applyBorder="1" applyAlignment="1" applyProtection="1">
      <alignment horizontal="center"/>
    </xf>
    <xf numFmtId="0" fontId="14" fillId="21" borderId="2" xfId="0" applyFont="1" applyFill="1" applyBorder="1" applyAlignment="1" applyProtection="1">
      <alignment horizontal="left"/>
    </xf>
    <xf numFmtId="0" fontId="14" fillId="21" borderId="4" xfId="0" applyFont="1" applyFill="1" applyBorder="1" applyAlignment="1" applyProtection="1">
      <alignment horizontal="left"/>
    </xf>
    <xf numFmtId="0" fontId="14" fillId="21" borderId="3" xfId="0" applyFont="1" applyFill="1" applyBorder="1" applyAlignment="1" applyProtection="1">
      <alignment horizontal="left"/>
    </xf>
    <xf numFmtId="0" fontId="14" fillId="0" borderId="20" xfId="0" applyFont="1" applyFill="1" applyBorder="1" applyAlignment="1" applyProtection="1">
      <alignment horizontal="left"/>
    </xf>
    <xf numFmtId="0" fontId="28" fillId="6" borderId="105" xfId="0" applyFont="1" applyFill="1" applyBorder="1" applyAlignment="1" applyProtection="1">
      <alignment horizontal="center" vertical="center"/>
    </xf>
    <xf numFmtId="0" fontId="28" fillId="6" borderId="62" xfId="0" applyFont="1" applyFill="1" applyBorder="1" applyAlignment="1" applyProtection="1">
      <alignment horizontal="center" vertical="center"/>
    </xf>
    <xf numFmtId="2" fontId="12" fillId="0" borderId="0" xfId="4" applyNumberFormat="1" applyFont="1" applyFill="1" applyBorder="1" applyAlignment="1" applyProtection="1">
      <alignment horizontal="left" vertical="center"/>
    </xf>
    <xf numFmtId="0" fontId="14" fillId="0" borderId="0" xfId="0" applyFont="1" applyBorder="1" applyAlignment="1" applyProtection="1">
      <alignment horizontal="center"/>
    </xf>
    <xf numFmtId="2" fontId="12" fillId="0" borderId="23" xfId="4" applyNumberFormat="1" applyFont="1" applyFill="1" applyBorder="1" applyAlignment="1" applyProtection="1">
      <alignment horizontal="left" vertical="center"/>
    </xf>
    <xf numFmtId="2" fontId="12" fillId="0" borderId="22" xfId="4" applyNumberFormat="1" applyFont="1" applyFill="1" applyBorder="1" applyAlignment="1" applyProtection="1">
      <alignment horizontal="left" vertical="center"/>
    </xf>
    <xf numFmtId="2" fontId="12" fillId="0" borderId="83" xfId="4" applyNumberFormat="1" applyFont="1" applyFill="1" applyBorder="1" applyAlignment="1" applyProtection="1">
      <alignment horizontal="left" vertical="center"/>
    </xf>
    <xf numFmtId="0" fontId="28" fillId="6" borderId="105" xfId="0" quotePrefix="1" applyFont="1" applyFill="1" applyBorder="1" applyAlignment="1" applyProtection="1">
      <alignment horizontal="center" vertical="center"/>
    </xf>
    <xf numFmtId="0" fontId="3" fillId="4" borderId="6" xfId="1" applyFont="1" applyBorder="1" applyAlignment="1" applyProtection="1">
      <alignment horizontal="left" vertical="center"/>
    </xf>
    <xf numFmtId="0" fontId="14" fillId="0" borderId="22" xfId="0" applyFont="1" applyBorder="1" applyAlignment="1" applyProtection="1">
      <alignment horizontal="center"/>
    </xf>
    <xf numFmtId="0" fontId="14" fillId="0" borderId="18" xfId="0" applyFont="1" applyBorder="1" applyAlignment="1" applyProtection="1">
      <alignment horizontal="center"/>
    </xf>
    <xf numFmtId="0" fontId="10" fillId="6" borderId="96" xfId="0" applyFont="1" applyFill="1" applyBorder="1" applyAlignment="1" applyProtection="1">
      <alignment horizontal="left" vertical="center"/>
    </xf>
    <xf numFmtId="0" fontId="10" fillId="6" borderId="0" xfId="0" applyFont="1" applyFill="1" applyBorder="1" applyAlignment="1" applyProtection="1">
      <alignment horizontal="left" vertical="center"/>
    </xf>
    <xf numFmtId="0" fontId="14" fillId="0" borderId="15" xfId="0" applyFont="1" applyBorder="1" applyAlignment="1" applyProtection="1">
      <alignment horizontal="left"/>
    </xf>
    <xf numFmtId="0" fontId="14" fillId="0" borderId="0" xfId="0" applyFont="1" applyBorder="1" applyAlignment="1" applyProtection="1">
      <alignment horizontal="left"/>
    </xf>
    <xf numFmtId="0" fontId="14" fillId="0" borderId="0" xfId="0" applyFont="1" applyFill="1" applyBorder="1" applyAlignment="1" applyProtection="1">
      <alignment horizontal="left"/>
    </xf>
    <xf numFmtId="0" fontId="14" fillId="0" borderId="16" xfId="0" applyFont="1" applyBorder="1" applyAlignment="1" applyProtection="1">
      <alignment horizontal="left"/>
    </xf>
    <xf numFmtId="0" fontId="14" fillId="0" borderId="61" xfId="0" applyFont="1" applyBorder="1" applyAlignment="1" applyProtection="1">
      <alignment horizontal="left"/>
    </xf>
    <xf numFmtId="0" fontId="14" fillId="0" borderId="62" xfId="0" applyFont="1" applyBorder="1" applyAlignment="1" applyProtection="1">
      <alignment horizontal="left"/>
    </xf>
    <xf numFmtId="0" fontId="14" fillId="0" borderId="20" xfId="0" applyFont="1" applyBorder="1" applyAlignment="1" applyProtection="1">
      <alignment horizontal="left"/>
    </xf>
    <xf numFmtId="0" fontId="14" fillId="0" borderId="110" xfId="0" applyFont="1" applyBorder="1" applyAlignment="1" applyProtection="1">
      <alignment horizontal="left"/>
    </xf>
    <xf numFmtId="0" fontId="14" fillId="5" borderId="2" xfId="0" applyFont="1" applyFill="1" applyBorder="1" applyAlignment="1" applyProtection="1">
      <alignment horizontal="left" wrapText="1"/>
    </xf>
    <xf numFmtId="0" fontId="14" fillId="5" borderId="6" xfId="0" applyFont="1" applyFill="1" applyBorder="1" applyAlignment="1" applyProtection="1">
      <alignment horizontal="left" wrapText="1"/>
    </xf>
    <xf numFmtId="0" fontId="1" fillId="0" borderId="4"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108" xfId="0" applyFont="1" applyBorder="1" applyAlignment="1" applyProtection="1">
      <alignment horizontal="left" vertical="top" wrapText="1"/>
    </xf>
    <xf numFmtId="0" fontId="28" fillId="6" borderId="96" xfId="0" applyFont="1" applyFill="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12" fillId="14" borderId="31" xfId="4" applyFont="1" applyFill="1" applyBorder="1" applyAlignment="1" applyProtection="1">
      <alignment horizontal="center" vertical="center"/>
      <protection locked="0"/>
    </xf>
    <xf numFmtId="0" fontId="12" fillId="14" borderId="25" xfId="4" applyFont="1" applyFill="1" applyBorder="1" applyAlignment="1" applyProtection="1">
      <alignment horizontal="center" vertical="center"/>
      <protection locked="0"/>
    </xf>
    <xf numFmtId="0" fontId="12" fillId="14" borderId="26" xfId="4" applyFont="1" applyFill="1" applyBorder="1" applyAlignment="1" applyProtection="1">
      <alignment horizontal="center" vertical="center"/>
      <protection locked="0"/>
    </xf>
    <xf numFmtId="0" fontId="12" fillId="14" borderId="17" xfId="4" applyFont="1" applyFill="1" applyBorder="1" applyAlignment="1" applyProtection="1">
      <alignment horizontal="center" vertical="center"/>
      <protection locked="0"/>
    </xf>
    <xf numFmtId="0" fontId="12" fillId="14" borderId="1" xfId="4" applyFont="1" applyFill="1" applyAlignment="1" applyProtection="1">
      <alignment horizontal="center" vertical="center"/>
      <protection locked="0"/>
    </xf>
    <xf numFmtId="0" fontId="12" fillId="14" borderId="11" xfId="4" applyFont="1" applyFill="1" applyBorder="1" applyAlignment="1" applyProtection="1">
      <alignment horizontal="center" vertical="center"/>
      <protection locked="0"/>
    </xf>
    <xf numFmtId="0" fontId="12" fillId="14" borderId="19" xfId="4" applyFont="1" applyFill="1" applyBorder="1" applyAlignment="1" applyProtection="1">
      <alignment horizontal="center" vertical="center"/>
      <protection locked="0"/>
    </xf>
    <xf numFmtId="0" fontId="12" fillId="14" borderId="10" xfId="4" applyFont="1" applyFill="1" applyBorder="1" applyAlignment="1" applyProtection="1">
      <alignment horizontal="center" vertical="center"/>
      <protection locked="0"/>
    </xf>
    <xf numFmtId="0" fontId="12" fillId="14" borderId="8" xfId="4" applyFont="1" applyFill="1" applyBorder="1" applyAlignment="1" applyProtection="1">
      <alignment horizontal="center" vertical="center"/>
      <protection locked="0"/>
    </xf>
    <xf numFmtId="0" fontId="3" fillId="4" borderId="53" xfId="1" applyFont="1" applyBorder="1" applyAlignment="1" applyProtection="1">
      <alignment horizontal="left" vertical="center"/>
    </xf>
    <xf numFmtId="0" fontId="3" fillId="4" borderId="54" xfId="1" applyFont="1" applyBorder="1" applyAlignment="1" applyProtection="1">
      <alignment horizontal="left" vertical="center"/>
    </xf>
    <xf numFmtId="0" fontId="3" fillId="4" borderId="55" xfId="1" applyFont="1" applyBorder="1" applyAlignment="1" applyProtection="1">
      <alignment horizontal="left" vertical="center"/>
    </xf>
    <xf numFmtId="0" fontId="3" fillId="4" borderId="53" xfId="1" applyFont="1" applyBorder="1" applyProtection="1">
      <alignment horizontal="left" vertical="center"/>
    </xf>
    <xf numFmtId="0" fontId="3" fillId="4" borderId="54" xfId="1" applyFont="1" applyBorder="1" applyProtection="1">
      <alignment horizontal="left" vertical="center"/>
    </xf>
    <xf numFmtId="0" fontId="3" fillId="4" borderId="55" xfId="1" applyFont="1" applyBorder="1" applyProtection="1">
      <alignment horizontal="left" vertical="center"/>
    </xf>
    <xf numFmtId="0" fontId="12" fillId="14" borderId="79" xfId="4" applyFont="1" applyFill="1" applyBorder="1" applyAlignment="1" applyProtection="1">
      <alignment horizontal="left" vertical="top" wrapText="1"/>
      <protection locked="0"/>
    </xf>
    <xf numFmtId="0" fontId="12" fillId="14" borderId="80" xfId="4" applyFont="1" applyFill="1" applyBorder="1" applyAlignment="1" applyProtection="1">
      <alignment horizontal="left" vertical="top" wrapText="1"/>
      <protection locked="0"/>
    </xf>
    <xf numFmtId="0" fontId="12" fillId="14" borderId="81" xfId="4" applyFont="1" applyFill="1" applyBorder="1" applyAlignment="1" applyProtection="1">
      <alignment horizontal="left" vertical="top" wrapText="1"/>
      <protection locked="0"/>
    </xf>
    <xf numFmtId="0" fontId="12" fillId="14" borderId="15" xfId="4" applyFont="1" applyFill="1" applyBorder="1" applyAlignment="1" applyProtection="1">
      <alignment horizontal="left" vertical="top" wrapText="1"/>
      <protection locked="0"/>
    </xf>
    <xf numFmtId="0" fontId="12" fillId="14" borderId="0" xfId="4" applyFont="1" applyFill="1" applyBorder="1" applyAlignment="1" applyProtection="1">
      <alignment horizontal="left" vertical="top" wrapText="1"/>
      <protection locked="0"/>
    </xf>
    <xf numFmtId="0" fontId="12" fillId="14" borderId="16" xfId="4" applyFont="1" applyFill="1" applyBorder="1" applyAlignment="1" applyProtection="1">
      <alignment horizontal="left" vertical="top" wrapText="1"/>
      <protection locked="0"/>
    </xf>
    <xf numFmtId="0" fontId="12" fillId="14" borderId="61" xfId="4" applyFont="1" applyFill="1" applyBorder="1" applyAlignment="1" applyProtection="1">
      <alignment horizontal="left" vertical="top" wrapText="1"/>
      <protection locked="0"/>
    </xf>
    <xf numFmtId="0" fontId="12" fillId="14" borderId="62" xfId="4" applyFont="1" applyFill="1" applyBorder="1" applyAlignment="1" applyProtection="1">
      <alignment horizontal="left" vertical="top" wrapText="1"/>
      <protection locked="0"/>
    </xf>
    <xf numFmtId="0" fontId="12" fillId="14" borderId="20" xfId="4" applyFont="1" applyFill="1" applyBorder="1" applyAlignment="1" applyProtection="1">
      <alignment horizontal="left" vertical="top" wrapText="1"/>
      <protection locked="0"/>
    </xf>
    <xf numFmtId="0" fontId="12" fillId="14" borderId="12" xfId="4" applyFont="1" applyFill="1" applyBorder="1" applyAlignment="1" applyProtection="1">
      <alignment horizontal="left" vertical="top" wrapText="1"/>
      <protection locked="0"/>
    </xf>
    <xf numFmtId="0" fontId="12" fillId="14" borderId="13" xfId="4" applyFont="1" applyFill="1" applyBorder="1" applyAlignment="1" applyProtection="1">
      <alignment horizontal="left" vertical="top" wrapText="1"/>
      <protection locked="0"/>
    </xf>
    <xf numFmtId="0" fontId="12" fillId="14" borderId="14" xfId="4" applyFont="1" applyFill="1" applyBorder="1" applyAlignment="1" applyProtection="1">
      <alignment horizontal="left" vertical="top" wrapText="1"/>
      <protection locked="0"/>
    </xf>
    <xf numFmtId="0" fontId="12" fillId="14" borderId="51" xfId="4" applyFont="1" applyFill="1" applyBorder="1" applyAlignment="1" applyProtection="1">
      <alignment horizontal="left" vertical="top" wrapText="1"/>
      <protection locked="0"/>
    </xf>
    <xf numFmtId="0" fontId="12" fillId="14" borderId="24" xfId="4" applyFont="1" applyFill="1" applyBorder="1" applyAlignment="1" applyProtection="1">
      <alignment horizontal="left" vertical="top" wrapText="1"/>
      <protection locked="0"/>
    </xf>
    <xf numFmtId="0" fontId="12" fillId="14" borderId="52" xfId="4" applyFont="1" applyFill="1" applyBorder="1" applyAlignment="1" applyProtection="1">
      <alignment horizontal="left" vertical="top" wrapText="1"/>
      <protection locked="0"/>
    </xf>
    <xf numFmtId="0" fontId="1" fillId="0" borderId="21" xfId="0" applyFont="1" applyBorder="1" applyAlignment="1">
      <alignment horizontal="center"/>
    </xf>
    <xf numFmtId="0" fontId="1" fillId="0" borderId="22" xfId="0" applyFont="1" applyBorder="1" applyAlignment="1">
      <alignment horizontal="center"/>
    </xf>
    <xf numFmtId="0" fontId="1" fillId="0" borderId="18" xfId="0" applyFont="1" applyBorder="1" applyAlignment="1">
      <alignment horizontal="center"/>
    </xf>
    <xf numFmtId="0" fontId="1" fillId="0" borderId="29" xfId="5" applyFont="1" applyBorder="1" applyAlignment="1">
      <alignment horizontal="left"/>
    </xf>
    <xf numFmtId="0" fontId="1" fillId="0" borderId="30" xfId="5" applyFont="1" applyBorder="1" applyAlignment="1">
      <alignment horizontal="left"/>
    </xf>
    <xf numFmtId="0" fontId="12" fillId="8" borderId="31" xfId="1" applyFont="1" applyFill="1" applyBorder="1" applyAlignment="1" applyProtection="1">
      <alignment horizontal="left" vertical="center" wrapText="1"/>
    </xf>
    <xf numFmtId="0" fontId="12" fillId="8" borderId="25" xfId="1" applyFont="1" applyFill="1" applyBorder="1" applyAlignment="1" applyProtection="1">
      <alignment horizontal="left" vertical="center" wrapText="1"/>
    </xf>
    <xf numFmtId="0" fontId="12" fillId="8" borderId="26" xfId="1" applyFont="1" applyFill="1" applyBorder="1" applyAlignment="1" applyProtection="1">
      <alignment horizontal="left" vertical="center" wrapText="1"/>
    </xf>
    <xf numFmtId="0" fontId="12" fillId="8" borderId="17" xfId="1" applyFont="1" applyFill="1" applyBorder="1" applyAlignment="1" applyProtection="1">
      <alignment horizontal="left" vertical="center" wrapText="1"/>
    </xf>
    <xf numFmtId="0" fontId="12" fillId="8" borderId="1" xfId="1" applyFont="1" applyFill="1" applyBorder="1" applyAlignment="1" applyProtection="1">
      <alignment horizontal="left" vertical="center" wrapText="1"/>
    </xf>
    <xf numFmtId="0" fontId="12" fillId="8" borderId="11" xfId="1" applyFont="1" applyFill="1" applyBorder="1" applyAlignment="1" applyProtection="1">
      <alignment horizontal="left" vertical="center" wrapText="1"/>
    </xf>
    <xf numFmtId="0" fontId="14" fillId="0" borderId="17" xfId="5" applyFont="1" applyBorder="1" applyAlignment="1">
      <alignment horizontal="center"/>
    </xf>
    <xf numFmtId="0" fontId="14" fillId="0" borderId="1" xfId="5" applyFont="1" applyBorder="1" applyAlignment="1">
      <alignment horizontal="center"/>
    </xf>
    <xf numFmtId="0" fontId="1" fillId="0" borderId="32" xfId="5" applyFont="1" applyBorder="1" applyAlignment="1">
      <alignment horizontal="left"/>
    </xf>
    <xf numFmtId="0" fontId="1" fillId="0" borderId="33" xfId="5" applyFont="1" applyBorder="1" applyAlignment="1">
      <alignment horizontal="left"/>
    </xf>
    <xf numFmtId="0" fontId="1" fillId="0" borderId="27" xfId="5" applyFont="1" applyBorder="1" applyAlignment="1">
      <alignment horizontal="left"/>
    </xf>
    <xf numFmtId="0" fontId="1" fillId="0" borderId="28" xfId="5" applyFont="1" applyBorder="1" applyAlignment="1">
      <alignment horizontal="left"/>
    </xf>
  </cellXfs>
  <cellStyles count="28">
    <cellStyle name="40% - Accent1" xfId="10" builtinId="31"/>
    <cellStyle name="60% - Accent1 2" xfId="13" xr:uid="{00000000-0005-0000-0000-000001000000}"/>
    <cellStyle name="60% - Accent2" xfId="11" builtinId="36"/>
    <cellStyle name="Auto Populated Cells" xfId="14" xr:uid="{00000000-0005-0000-0000-000003000000}"/>
    <cellStyle name="Calculation 2" xfId="15" xr:uid="{00000000-0005-0000-0000-000004000000}"/>
    <cellStyle name="Conditional Cell" xfId="16" xr:uid="{00000000-0005-0000-0000-000006000000}"/>
    <cellStyle name="Explanatory Text 2" xfId="17" xr:uid="{00000000-0005-0000-0000-000007000000}"/>
    <cellStyle name="Explanatory Text 3" xfId="18" xr:uid="{00000000-0005-0000-0000-000008000000}"/>
    <cellStyle name="Fixed Values" xfId="19" xr:uid="{00000000-0005-0000-0000-000009000000}"/>
    <cellStyle name="Heading 4 2" xfId="1" xr:uid="{00000000-0005-0000-0000-00000A000000}"/>
    <cellStyle name="Hyperlink" xfId="3" builtinId="8"/>
    <cellStyle name="Hyperlink 2" xfId="12" xr:uid="{00000000-0005-0000-0000-00000C000000}"/>
    <cellStyle name="Input 2" xfId="9" xr:uid="{00000000-0005-0000-0000-00000D000000}"/>
    <cellStyle name="Input 3" xfId="4" xr:uid="{00000000-0005-0000-0000-00000E000000}"/>
    <cellStyle name="Neutral 2" xfId="20" xr:uid="{00000000-0005-0000-0000-00000F000000}"/>
    <cellStyle name="Normal" xfId="0" builtinId="0"/>
    <cellStyle name="Normal 2" xfId="2" xr:uid="{00000000-0005-0000-0000-000011000000}"/>
    <cellStyle name="Normal 2 2" xfId="5" xr:uid="{00000000-0005-0000-0000-000012000000}"/>
    <cellStyle name="Normal 3" xfId="21" xr:uid="{00000000-0005-0000-0000-000013000000}"/>
    <cellStyle name="Normal 3 2" xfId="22" xr:uid="{00000000-0005-0000-0000-000014000000}"/>
    <cellStyle name="Normal 3 3" xfId="23" xr:uid="{00000000-0005-0000-0000-000015000000}"/>
    <cellStyle name="Normal 4" xfId="8" xr:uid="{00000000-0005-0000-0000-000016000000}"/>
    <cellStyle name="Output 2" xfId="24" xr:uid="{00000000-0005-0000-0000-000018000000}"/>
    <cellStyle name="Output Cell" xfId="6" xr:uid="{00000000-0005-0000-0000-000019000000}"/>
    <cellStyle name="Percent" xfId="7" builtinId="5"/>
    <cellStyle name="Revision Needed" xfId="25" xr:uid="{00000000-0005-0000-0000-00001B000000}"/>
    <cellStyle name="Tab Header" xfId="26" xr:uid="{00000000-0005-0000-0000-00001C000000}"/>
    <cellStyle name="Table Header" xfId="27" xr:uid="{00000000-0005-0000-0000-00001D000000}"/>
  </cellStyles>
  <dxfs count="15">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FF0000"/>
      </font>
    </dxf>
    <dxf>
      <font>
        <color rgb="FFFF0000"/>
      </font>
    </dxf>
    <dxf>
      <font>
        <color auto="1"/>
      </font>
    </dxf>
    <dxf>
      <font>
        <color auto="1"/>
      </font>
    </dxf>
    <dxf>
      <font>
        <strike val="0"/>
        <color rgb="FFFF0000"/>
      </font>
    </dxf>
    <dxf>
      <font>
        <color auto="1"/>
      </font>
    </dxf>
    <dxf>
      <font>
        <color rgb="FFFF0000"/>
      </font>
    </dxf>
    <dxf>
      <font>
        <strike val="0"/>
        <color rgb="FFFF0000"/>
      </font>
    </dxf>
  </dxfs>
  <tableStyles count="0" defaultTableStyle="TableStyleMedium2" defaultPivotStyle="PivotStyleLight16"/>
  <colors>
    <mruColors>
      <color rgb="FF8000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10/chapter-II/subchapter-D/part-431"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5"/>
  <sheetViews>
    <sheetView showGridLines="0" tabSelected="1" zoomScale="80" zoomScaleNormal="80" workbookViewId="0">
      <selection activeCell="B12" sqref="B12:C12"/>
    </sheetView>
  </sheetViews>
  <sheetFormatPr defaultColWidth="9.140625" defaultRowHeight="18" customHeight="1" x14ac:dyDescent="0.25"/>
  <cols>
    <col min="1" max="1" width="2.7109375" style="93" customWidth="1"/>
    <col min="2" max="2" width="37.7109375" style="93" customWidth="1"/>
    <col min="3" max="3" width="109.5703125" style="93" customWidth="1"/>
    <col min="4" max="4" width="5.85546875" style="93" customWidth="1"/>
    <col min="5" max="5" width="4.140625" style="93" customWidth="1"/>
    <col min="6" max="16384" width="9.140625" style="93"/>
  </cols>
  <sheetData>
    <row r="1" spans="2:5" ht="18" customHeight="1" thickBot="1" x14ac:dyDescent="0.3">
      <c r="E1" s="94"/>
    </row>
    <row r="2" spans="2:5" ht="18" customHeight="1" thickBot="1" x14ac:dyDescent="0.3">
      <c r="B2" s="660" t="str">
        <f>'Version Control'!$B$2</f>
        <v>Title Block</v>
      </c>
      <c r="C2" s="661"/>
      <c r="E2" s="94"/>
    </row>
    <row r="3" spans="2:5" s="97" customFormat="1" ht="18" customHeight="1" x14ac:dyDescent="0.25">
      <c r="B3" s="95" t="str">
        <f>'Version Control'!$B$3</f>
        <v>Test Report Template Name:</v>
      </c>
      <c r="C3" s="96" t="str">
        <f>'Version Control'!$C$3</f>
        <v>Small Electric Motors</v>
      </c>
      <c r="E3" s="98"/>
    </row>
    <row r="4" spans="2:5" s="97" customFormat="1" ht="18" customHeight="1" x14ac:dyDescent="0.25">
      <c r="B4" s="99" t="str">
        <f>'Version Control'!$B$4</f>
        <v>Version Number:</v>
      </c>
      <c r="C4" s="100" t="str">
        <f>'Version Control'!$C$4</f>
        <v>v1.0</v>
      </c>
      <c r="E4" s="98"/>
    </row>
    <row r="5" spans="2:5" s="97" customFormat="1" ht="18" customHeight="1" x14ac:dyDescent="0.25">
      <c r="B5" s="99" t="str">
        <f>'Version Control'!$B$5</f>
        <v xml:space="preserve">Latest Template Revision: </v>
      </c>
      <c r="C5" s="101">
        <f>'Version Control'!$C$5</f>
        <v>45575</v>
      </c>
      <c r="E5" s="98"/>
    </row>
    <row r="6" spans="2:5" s="97" customFormat="1" ht="18" customHeight="1" x14ac:dyDescent="0.25">
      <c r="B6" s="99" t="str">
        <f>'Version Control'!$B$6</f>
        <v>Tab Name:</v>
      </c>
      <c r="C6" s="102" t="str">
        <f ca="1">MID(CELL("filename",A1), FIND("]", CELL("filename", A1))+ 1, 255)</f>
        <v>Instructions</v>
      </c>
      <c r="E6" s="98"/>
    </row>
    <row r="7" spans="2:5" s="97" customFormat="1" ht="18" customHeight="1" x14ac:dyDescent="0.25">
      <c r="B7" s="124" t="str">
        <f>'Version Control'!$B$7</f>
        <v>File Name:</v>
      </c>
      <c r="C7" s="125" t="str">
        <f ca="1">'Version Control'!$C$7</f>
        <v>Small Electric Motors - v1.0.xlsx</v>
      </c>
      <c r="E7" s="98"/>
    </row>
    <row r="8" spans="2:5" s="97" customFormat="1" ht="18" customHeight="1" x14ac:dyDescent="0.25">
      <c r="B8" s="99" t="s">
        <v>82</v>
      </c>
      <c r="C8" s="101" t="str">
        <f>'Version Control'!$C$8</f>
        <v>[MM/DD/YYYY]</v>
      </c>
      <c r="E8" s="98"/>
    </row>
    <row r="9" spans="2:5" s="97" customFormat="1" ht="18" customHeight="1" thickBot="1" x14ac:dyDescent="0.3">
      <c r="B9" s="126" t="s">
        <v>83</v>
      </c>
      <c r="C9" s="127" t="str">
        <f>'Version Control'!$C$9</f>
        <v>[MM/DD/YYYY]</v>
      </c>
      <c r="E9" s="98"/>
    </row>
    <row r="10" spans="2:5" ht="18" customHeight="1" thickBot="1" x14ac:dyDescent="0.3">
      <c r="E10" s="94"/>
    </row>
    <row r="11" spans="2:5" s="460" customFormat="1" ht="18" customHeight="1" thickBot="1" x14ac:dyDescent="0.3">
      <c r="B11" s="665" t="s">
        <v>508</v>
      </c>
      <c r="C11" s="666"/>
      <c r="E11" s="461"/>
    </row>
    <row r="12" spans="2:5" s="460" customFormat="1" ht="18" customHeight="1" thickBot="1" x14ac:dyDescent="0.3">
      <c r="B12" s="667" t="s">
        <v>509</v>
      </c>
      <c r="C12" s="668"/>
      <c r="E12" s="461"/>
    </row>
    <row r="13" spans="2:5" s="462" customFormat="1" ht="18" customHeight="1" thickBot="1" x14ac:dyDescent="0.3">
      <c r="E13" s="463"/>
    </row>
    <row r="14" spans="2:5" ht="18" customHeight="1" thickBot="1" x14ac:dyDescent="0.3">
      <c r="B14" s="660" t="s">
        <v>0</v>
      </c>
      <c r="C14" s="661"/>
      <c r="E14" s="94"/>
    </row>
    <row r="15" spans="2:5" ht="18" customHeight="1" x14ac:dyDescent="0.25">
      <c r="B15" s="103" t="s">
        <v>1</v>
      </c>
      <c r="C15" s="104" t="s">
        <v>2</v>
      </c>
      <c r="E15" s="94"/>
    </row>
    <row r="16" spans="2:5" ht="18" customHeight="1" x14ac:dyDescent="0.25">
      <c r="B16" s="105" t="s">
        <v>3</v>
      </c>
      <c r="C16" s="106" t="s">
        <v>4</v>
      </c>
      <c r="E16" s="94"/>
    </row>
    <row r="17" spans="2:5" ht="18" customHeight="1" x14ac:dyDescent="0.25">
      <c r="B17" s="99" t="str">
        <f t="shared" ref="B17:B29" si="0">C50</f>
        <v>General Info &amp; Test Results</v>
      </c>
      <c r="C17" s="107" t="s">
        <v>5</v>
      </c>
      <c r="E17" s="94"/>
    </row>
    <row r="18" spans="2:5" ht="18" customHeight="1" x14ac:dyDescent="0.25">
      <c r="B18" s="99" t="str">
        <f t="shared" si="0"/>
        <v>Determination of Test Method</v>
      </c>
      <c r="C18" s="107" t="s">
        <v>470</v>
      </c>
      <c r="E18" s="94"/>
    </row>
    <row r="19" spans="2:5" ht="18" customHeight="1" x14ac:dyDescent="0.25">
      <c r="B19" s="99" t="str">
        <f t="shared" si="0"/>
        <v>Setup &amp; Instrumentation</v>
      </c>
      <c r="C19" s="107" t="s">
        <v>468</v>
      </c>
      <c r="E19" s="94"/>
    </row>
    <row r="20" spans="2:5" ht="18" customHeight="1" x14ac:dyDescent="0.25">
      <c r="B20" s="99" t="str">
        <f t="shared" si="0"/>
        <v>CSA C390-10</v>
      </c>
      <c r="C20" s="107" t="s">
        <v>471</v>
      </c>
      <c r="E20" s="94"/>
    </row>
    <row r="21" spans="2:5" ht="18" customHeight="1" x14ac:dyDescent="0.25">
      <c r="B21" s="99" t="str">
        <f t="shared" si="0"/>
        <v>IEC 60034-2-1 Method 2-1-1A</v>
      </c>
      <c r="C21" s="107" t="s">
        <v>472</v>
      </c>
      <c r="E21" s="94"/>
    </row>
    <row r="22" spans="2:5" ht="18" customHeight="1" x14ac:dyDescent="0.25">
      <c r="B22" s="99" t="str">
        <f t="shared" si="0"/>
        <v>IEC 60034-2-1 Method 2-1-1B</v>
      </c>
      <c r="C22" s="107" t="s">
        <v>473</v>
      </c>
      <c r="E22" s="94"/>
    </row>
    <row r="23" spans="2:5" ht="18" customHeight="1" x14ac:dyDescent="0.25">
      <c r="B23" s="99" t="str">
        <f t="shared" si="0"/>
        <v>IEEE 112-2017 Method A</v>
      </c>
      <c r="C23" s="107" t="s">
        <v>474</v>
      </c>
      <c r="E23" s="94"/>
    </row>
    <row r="24" spans="2:5" ht="18" customHeight="1" x14ac:dyDescent="0.25">
      <c r="B24" s="99" t="str">
        <f t="shared" si="0"/>
        <v>IEEE 112-2017 Method B</v>
      </c>
      <c r="C24" s="107" t="s">
        <v>475</v>
      </c>
      <c r="E24" s="94"/>
    </row>
    <row r="25" spans="2:5" ht="18" customHeight="1" x14ac:dyDescent="0.25">
      <c r="B25" s="99" t="str">
        <f t="shared" si="0"/>
        <v>IEEE 114-2010</v>
      </c>
      <c r="C25" s="107" t="s">
        <v>476</v>
      </c>
      <c r="E25" s="94"/>
    </row>
    <row r="26" spans="2:5" ht="18" customHeight="1" x14ac:dyDescent="0.25">
      <c r="B26" s="99" t="str">
        <f t="shared" si="0"/>
        <v>CSA C747-09</v>
      </c>
      <c r="C26" s="107" t="s">
        <v>477</v>
      </c>
      <c r="E26" s="94"/>
    </row>
    <row r="27" spans="2:5" ht="18" customHeight="1" x14ac:dyDescent="0.25">
      <c r="B27" s="99" t="str">
        <f t="shared" si="0"/>
        <v>Photos</v>
      </c>
      <c r="C27" s="107" t="s">
        <v>6</v>
      </c>
      <c r="E27" s="94"/>
    </row>
    <row r="28" spans="2:5" ht="18" customHeight="1" x14ac:dyDescent="0.25">
      <c r="B28" s="99" t="str">
        <f t="shared" si="0"/>
        <v>Comments</v>
      </c>
      <c r="C28" s="107" t="s">
        <v>7</v>
      </c>
      <c r="E28" s="94"/>
    </row>
    <row r="29" spans="2:5" ht="18" customHeight="1" x14ac:dyDescent="0.25">
      <c r="B29" s="99" t="str">
        <f t="shared" si="0"/>
        <v>Report Sign-off Block</v>
      </c>
      <c r="C29" s="107" t="s">
        <v>478</v>
      </c>
      <c r="E29" s="94"/>
    </row>
    <row r="30" spans="2:5" ht="18" customHeight="1" x14ac:dyDescent="0.25">
      <c r="B30" s="108" t="s">
        <v>8</v>
      </c>
      <c r="C30" s="109" t="s">
        <v>9</v>
      </c>
      <c r="E30" s="94"/>
    </row>
    <row r="31" spans="2:5" ht="18" customHeight="1" thickBot="1" x14ac:dyDescent="0.3">
      <c r="B31" s="110" t="s">
        <v>10</v>
      </c>
      <c r="C31" s="111" t="s">
        <v>11</v>
      </c>
      <c r="E31" s="94"/>
    </row>
    <row r="32" spans="2:5" ht="18" customHeight="1" thickBot="1" x14ac:dyDescent="0.3">
      <c r="E32" s="94"/>
    </row>
    <row r="33" spans="2:5" ht="18" customHeight="1" thickBot="1" x14ac:dyDescent="0.4">
      <c r="B33" s="662" t="s">
        <v>12</v>
      </c>
      <c r="C33" s="663"/>
      <c r="E33" s="94"/>
    </row>
    <row r="34" spans="2:5" ht="18" customHeight="1" x14ac:dyDescent="0.25">
      <c r="B34" s="658" t="s">
        <v>13</v>
      </c>
      <c r="C34" s="112" t="s">
        <v>14</v>
      </c>
      <c r="E34" s="94"/>
    </row>
    <row r="35" spans="2:5" ht="18" customHeight="1" x14ac:dyDescent="0.25">
      <c r="B35" s="659"/>
      <c r="C35" s="113" t="s">
        <v>15</v>
      </c>
      <c r="E35" s="94"/>
    </row>
    <row r="36" spans="2:5" ht="18" customHeight="1" x14ac:dyDescent="0.25">
      <c r="B36" s="659" t="s">
        <v>16</v>
      </c>
      <c r="C36" s="2" t="s">
        <v>17</v>
      </c>
      <c r="E36" s="94"/>
    </row>
    <row r="37" spans="2:5" ht="18" customHeight="1" x14ac:dyDescent="0.25">
      <c r="B37" s="659"/>
      <c r="C37" s="3" t="s">
        <v>18</v>
      </c>
      <c r="E37" s="94"/>
    </row>
    <row r="38" spans="2:5" ht="18" customHeight="1" x14ac:dyDescent="0.25">
      <c r="B38" s="659"/>
      <c r="C38" s="114" t="s">
        <v>19</v>
      </c>
      <c r="E38" s="94"/>
    </row>
    <row r="39" spans="2:5" ht="18" customHeight="1" thickBot="1" x14ac:dyDescent="0.3">
      <c r="B39" s="664"/>
      <c r="C39" s="115" t="s">
        <v>20</v>
      </c>
      <c r="E39" s="94"/>
    </row>
    <row r="40" spans="2:5" ht="18" customHeight="1" thickBot="1" x14ac:dyDescent="0.3">
      <c r="C40" s="116"/>
      <c r="E40" s="94"/>
    </row>
    <row r="41" spans="2:5" ht="18" customHeight="1" thickBot="1" x14ac:dyDescent="0.3">
      <c r="B41" s="660" t="s">
        <v>21</v>
      </c>
      <c r="C41" s="661"/>
      <c r="E41" s="94"/>
    </row>
    <row r="42" spans="2:5" ht="18" customHeight="1" x14ac:dyDescent="0.25">
      <c r="B42" s="669" t="s">
        <v>22</v>
      </c>
      <c r="C42" s="670"/>
      <c r="E42" s="94"/>
    </row>
    <row r="43" spans="2:5" ht="18" customHeight="1" x14ac:dyDescent="0.25">
      <c r="B43" s="671"/>
      <c r="C43" s="672"/>
      <c r="E43" s="94"/>
    </row>
    <row r="44" spans="2:5" ht="18" customHeight="1" thickBot="1" x14ac:dyDescent="0.3">
      <c r="B44" s="673"/>
      <c r="C44" s="674"/>
      <c r="E44" s="94"/>
    </row>
    <row r="45" spans="2:5" ht="18" customHeight="1" x14ac:dyDescent="0.25">
      <c r="B45" s="669" t="s">
        <v>23</v>
      </c>
      <c r="C45" s="670"/>
      <c r="E45" s="94"/>
    </row>
    <row r="46" spans="2:5" ht="18" customHeight="1" thickBot="1" x14ac:dyDescent="0.3">
      <c r="B46" s="673"/>
      <c r="C46" s="674"/>
      <c r="E46" s="94"/>
    </row>
    <row r="47" spans="2:5" ht="18" customHeight="1" x14ac:dyDescent="0.25">
      <c r="B47" s="675" t="s">
        <v>24</v>
      </c>
      <c r="C47" s="678" t="s">
        <v>25</v>
      </c>
      <c r="E47" s="94"/>
    </row>
    <row r="48" spans="2:5" ht="18" customHeight="1" x14ac:dyDescent="0.25">
      <c r="B48" s="676"/>
      <c r="C48" s="679"/>
      <c r="E48" s="94"/>
    </row>
    <row r="49" spans="1:5" ht="18" customHeight="1" thickBot="1" x14ac:dyDescent="0.3">
      <c r="B49" s="677"/>
      <c r="C49" s="680"/>
      <c r="E49" s="94"/>
    </row>
    <row r="50" spans="1:5" ht="18" customHeight="1" x14ac:dyDescent="0.25">
      <c r="B50" s="117" t="s">
        <v>26</v>
      </c>
      <c r="C50" s="120" t="s">
        <v>27</v>
      </c>
      <c r="E50" s="94"/>
    </row>
    <row r="51" spans="1:5" ht="18" customHeight="1" x14ac:dyDescent="0.25">
      <c r="B51" s="118" t="s">
        <v>28</v>
      </c>
      <c r="C51" s="425" t="s">
        <v>469</v>
      </c>
      <c r="E51" s="94"/>
    </row>
    <row r="52" spans="1:5" s="97" customFormat="1" ht="18" customHeight="1" x14ac:dyDescent="0.25">
      <c r="B52" s="118" t="s">
        <v>30</v>
      </c>
      <c r="C52" s="425" t="s">
        <v>29</v>
      </c>
      <c r="E52" s="98"/>
    </row>
    <row r="53" spans="1:5" ht="18" customHeight="1" x14ac:dyDescent="0.25">
      <c r="B53" s="118" t="s">
        <v>514</v>
      </c>
      <c r="C53" s="122" t="s">
        <v>457</v>
      </c>
      <c r="E53" s="94"/>
    </row>
    <row r="54" spans="1:5" ht="18" customHeight="1" x14ac:dyDescent="0.25">
      <c r="B54" s="118" t="s">
        <v>515</v>
      </c>
      <c r="C54" s="122" t="s">
        <v>458</v>
      </c>
      <c r="E54" s="94"/>
    </row>
    <row r="55" spans="1:5" ht="18" customHeight="1" x14ac:dyDescent="0.25">
      <c r="B55" s="118" t="s">
        <v>516</v>
      </c>
      <c r="C55" s="122" t="s">
        <v>459</v>
      </c>
      <c r="E55" s="94"/>
    </row>
    <row r="56" spans="1:5" ht="18" customHeight="1" x14ac:dyDescent="0.25">
      <c r="B56" s="118" t="s">
        <v>517</v>
      </c>
      <c r="C56" s="122" t="s">
        <v>460</v>
      </c>
      <c r="E56" s="94"/>
    </row>
    <row r="57" spans="1:5" ht="18" customHeight="1" x14ac:dyDescent="0.25">
      <c r="B57" s="118" t="s">
        <v>518</v>
      </c>
      <c r="C57" s="122" t="s">
        <v>461</v>
      </c>
      <c r="E57" s="94"/>
    </row>
    <row r="58" spans="1:5" ht="18" customHeight="1" x14ac:dyDescent="0.25">
      <c r="B58" s="118" t="s">
        <v>519</v>
      </c>
      <c r="C58" s="122" t="s">
        <v>431</v>
      </c>
      <c r="E58" s="94"/>
    </row>
    <row r="59" spans="1:5" ht="18" customHeight="1" x14ac:dyDescent="0.25">
      <c r="B59" s="118" t="s">
        <v>520</v>
      </c>
      <c r="C59" s="122" t="s">
        <v>432</v>
      </c>
      <c r="E59" s="94"/>
    </row>
    <row r="60" spans="1:5" ht="18" customHeight="1" x14ac:dyDescent="0.25">
      <c r="B60" s="118" t="s">
        <v>31</v>
      </c>
      <c r="C60" s="121" t="s">
        <v>34</v>
      </c>
      <c r="E60" s="94"/>
    </row>
    <row r="61" spans="1:5" ht="18.95" customHeight="1" x14ac:dyDescent="0.25">
      <c r="B61" s="118" t="s">
        <v>32</v>
      </c>
      <c r="C61" s="121" t="s">
        <v>35</v>
      </c>
      <c r="E61" s="94"/>
    </row>
    <row r="62" spans="1:5" ht="18" customHeight="1" thickBot="1" x14ac:dyDescent="0.3">
      <c r="B62" s="119" t="s">
        <v>33</v>
      </c>
      <c r="C62" s="123" t="s">
        <v>36</v>
      </c>
      <c r="E62" s="94"/>
    </row>
    <row r="63" spans="1:5" ht="18" customHeight="1" x14ac:dyDescent="0.25">
      <c r="B63" s="97"/>
      <c r="E63" s="94"/>
    </row>
    <row r="64" spans="1:5" ht="18" customHeight="1" x14ac:dyDescent="0.25">
      <c r="A64" s="94"/>
      <c r="B64" s="94"/>
      <c r="C64" s="94"/>
      <c r="D64" s="94"/>
      <c r="E64" s="94"/>
    </row>
    <row r="65" spans="5:5" ht="18" customHeight="1" x14ac:dyDescent="0.25">
      <c r="E65" s="426"/>
    </row>
  </sheetData>
  <sheetProtection algorithmName="SHA-512" hashValue="qCqcirllLGI47LjyqPzzpqq8g0i2iSiYFaQPwtedpb83Wx6OuNNTnL9c+ofGrd19eVPh5p7e3VJoEC4n1MI8ow==" saltValue="XNQacSZhopXvI9w1y8yUOg==" spinCount="100000" sheet="1" selectLockedCells="1"/>
  <mergeCells count="12">
    <mergeCell ref="B41:C41"/>
    <mergeCell ref="B42:C44"/>
    <mergeCell ref="B45:C46"/>
    <mergeCell ref="B47:B49"/>
    <mergeCell ref="C47:C49"/>
    <mergeCell ref="B34:B35"/>
    <mergeCell ref="B2:C2"/>
    <mergeCell ref="B14:C14"/>
    <mergeCell ref="B33:C33"/>
    <mergeCell ref="B36:B39"/>
    <mergeCell ref="B11:C11"/>
    <mergeCell ref="B12:C12"/>
  </mergeCells>
  <hyperlinks>
    <hyperlink ref="C60" location="Photos!A1" display="Fill in Input Cells on &quot;Photos&quot; tab, if applicable" xr:uid="{00000000-0004-0000-0000-000001000000}"/>
    <hyperlink ref="C61" location="Comments!A1" display="Fill in Input Cells on &quot;Comments&quot; tab" xr:uid="{00000000-0004-0000-0000-000002000000}"/>
    <hyperlink ref="C62" location="'Report Sign-Off Block'!A1" display="Fill in Input Cells on &quot;Report Sign-off Block&quot; tab" xr:uid="{00000000-0004-0000-0000-000003000000}"/>
    <hyperlink ref="C50" location="'General Info &amp; Test Results'!A1" display="Fill in Input Cells on &quot;General Info &amp; Test Results&quot; tab" xr:uid="{00000000-0004-0000-0000-000006000000}"/>
    <hyperlink ref="C51" location="'Determination of Test Method'!A1" display="Determination of Test Method" xr:uid="{CE974394-BDB0-4DB4-B728-0DE168283B85}"/>
    <hyperlink ref="C52" location="'Setup &amp; Instrumentation'!A1" display="Setup &amp; Instrumentation" xr:uid="{3CE4A4CD-35B0-40EE-927B-F84C95A4AF3A}"/>
    <hyperlink ref="C53" location="'CSA C390-10'!A1" display="CSA C390-10" xr:uid="{EFCBE487-0272-4F46-B028-13F00A2E88D8}"/>
    <hyperlink ref="C54" location="'IEC 60034-2-1 Method 2-1-1A'!A1" display="IEC 60034-2-1 Method 2-1-1A" xr:uid="{1AA448A4-3BBD-40FC-A8E8-8B1EB43ACCEE}"/>
    <hyperlink ref="C55" location="'IEC 60034-2-1 Method 2-1-1B'!A1" display="IEC 60034-2-1 Method 2-1-1B" xr:uid="{1DC0A85C-A97C-48FA-A5E5-ADC6578B013E}"/>
    <hyperlink ref="C56" location="'IEEE 112-2017 Method A'!A1" display="IEEE 112-2017 Method A" xr:uid="{4442ADBC-CD52-46DA-BF55-F95927DB5401}"/>
    <hyperlink ref="C57" location="'IEEE 112-2017 Method B'!A1" display="IEEE 112-2017 Method B" xr:uid="{C78D59D4-940B-4D57-A2F0-3AF3FE45ED82}"/>
    <hyperlink ref="C58" location="'IEEE 114-2010'!A1" display="IEEE 114-2010" xr:uid="{6CE09190-6E60-4C07-B6DC-D7FA0793EE68}"/>
    <hyperlink ref="C59" location="'CSA C747-09'!A1" display="CSA C747-09" xr:uid="{B89BD6CB-E215-40CA-8F32-C44D48C02EE0}"/>
    <hyperlink ref="B12" r:id="rId1" display="10 CFR 430 Subpart B Appendix N:  Uniform Test Method for Measuring the Energy Consumption of Furnaces and Boilers [62 FR 26157, May 12, 1997]" xr:uid="{FAB16782-BF28-493A-BB76-B6964BFFA27F}"/>
    <hyperlink ref="B12:C12" r:id="rId2" display="10 CFR 431 Subpart X § 431.444 Test Procedures for the measurement of energy efficiency of small electric motors." xr:uid="{76986C68-C705-4A21-83FF-BA23124309F7}"/>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CE699-ACD8-4669-A92E-A8344EBC02F0}">
  <sheetPr>
    <tabColor rgb="FF0070C0"/>
  </sheetPr>
  <dimension ref="A1:M113"/>
  <sheetViews>
    <sheetView showGridLines="0" zoomScale="80" zoomScaleNormal="80" workbookViewId="0">
      <selection activeCell="C14" sqref="C14"/>
    </sheetView>
  </sheetViews>
  <sheetFormatPr defaultColWidth="9.140625" defaultRowHeight="18" customHeight="1" x14ac:dyDescent="0.3"/>
  <cols>
    <col min="1" max="1" width="9.140625" style="135"/>
    <col min="2" max="2" width="50.5703125" style="135" customWidth="1"/>
    <col min="3" max="3" width="34" style="135" customWidth="1"/>
    <col min="4" max="4" width="28.140625" style="135" customWidth="1"/>
    <col min="5" max="5" width="20.5703125" style="135" customWidth="1"/>
    <col min="6" max="6" width="19" style="135" customWidth="1"/>
    <col min="7" max="7" width="18.5703125" style="135" customWidth="1"/>
    <col min="8" max="8" width="17.140625" style="135" customWidth="1"/>
    <col min="9" max="9" width="10.7109375" style="165" customWidth="1"/>
    <col min="10" max="10" width="4.140625" style="135" customWidth="1"/>
    <col min="11" max="16384" width="9.140625" style="135"/>
  </cols>
  <sheetData>
    <row r="1" spans="2:10" ht="18" customHeight="1" thickBot="1" x14ac:dyDescent="0.35">
      <c r="J1" s="136"/>
    </row>
    <row r="2" spans="2:10" ht="18" customHeight="1" thickBot="1" x14ac:dyDescent="0.35">
      <c r="B2" s="660" t="str">
        <f>'Version Control'!$B$2</f>
        <v>Title Block</v>
      </c>
      <c r="C2" s="811"/>
      <c r="E2" s="1" t="s">
        <v>37</v>
      </c>
      <c r="J2" s="136"/>
    </row>
    <row r="3" spans="2:10" ht="18" customHeight="1" x14ac:dyDescent="0.3">
      <c r="B3" s="137" t="str">
        <f>'Version Control'!$B$3</f>
        <v>Test Report Template Name:</v>
      </c>
      <c r="C3" s="138" t="str">
        <f>'Version Control'!C3</f>
        <v>Small Electric Motors</v>
      </c>
      <c r="J3" s="136"/>
    </row>
    <row r="4" spans="2:10" ht="18" customHeight="1" x14ac:dyDescent="0.3">
      <c r="B4" s="139" t="str">
        <f>'Version Control'!$B$4</f>
        <v>Version Number:</v>
      </c>
      <c r="C4" s="140" t="str">
        <f>'Version Control'!C4</f>
        <v>v1.0</v>
      </c>
      <c r="J4" s="136"/>
    </row>
    <row r="5" spans="2:10" ht="18" customHeight="1" x14ac:dyDescent="0.3">
      <c r="B5" s="139" t="str">
        <f>'Version Control'!$B$5</f>
        <v xml:space="preserve">Latest Template Revision: </v>
      </c>
      <c r="C5" s="141">
        <f>'Version Control'!C5</f>
        <v>45575</v>
      </c>
      <c r="J5" s="136"/>
    </row>
    <row r="6" spans="2:10" ht="18" customHeight="1" x14ac:dyDescent="0.3">
      <c r="B6" s="139" t="str">
        <f>'Version Control'!$B$6</f>
        <v>Tab Name:</v>
      </c>
      <c r="C6" s="142" t="str">
        <f ca="1">MID(CELL("filename",A1), FIND("]", CELL("filename", A1))+ 1, 255)</f>
        <v>IEEE 114-2010</v>
      </c>
      <c r="J6" s="136"/>
    </row>
    <row r="7" spans="2:10" ht="36" customHeight="1" x14ac:dyDescent="0.3">
      <c r="B7" s="99" t="str">
        <f>'Version Control'!$B$7</f>
        <v>File Name:</v>
      </c>
      <c r="C7" s="143" t="str">
        <f ca="1">'Version Control'!C7</f>
        <v>Small Electric Motors - v1.0.xlsx</v>
      </c>
      <c r="J7" s="136"/>
    </row>
    <row r="8" spans="2:10" ht="16.5" x14ac:dyDescent="0.3">
      <c r="B8" s="144" t="s">
        <v>42</v>
      </c>
      <c r="C8" s="145" t="str">
        <f>'General Info &amp; Test Results'!C17</f>
        <v>[MM/DD/YYYY]</v>
      </c>
      <c r="J8" s="136"/>
    </row>
    <row r="9" spans="2:10" ht="18" customHeight="1" thickBot="1" x14ac:dyDescent="0.35">
      <c r="B9" s="146" t="str">
        <f>'Version Control'!$B$9</f>
        <v>Date Test Finished:</v>
      </c>
      <c r="C9" s="147" t="str">
        <f>'Version Control'!C9</f>
        <v>[MM/DD/YYYY]</v>
      </c>
      <c r="J9" s="136"/>
    </row>
    <row r="10" spans="2:10" ht="18" customHeight="1" thickBot="1" x14ac:dyDescent="0.35">
      <c r="B10" s="148"/>
      <c r="C10" s="149"/>
      <c r="J10" s="136"/>
    </row>
    <row r="11" spans="2:10" thickBot="1" x14ac:dyDescent="0.4">
      <c r="B11" s="713" t="s">
        <v>445</v>
      </c>
      <c r="C11" s="713"/>
      <c r="D11" s="713"/>
      <c r="E11" s="713"/>
      <c r="F11" s="713"/>
      <c r="G11" s="713"/>
      <c r="H11" s="723"/>
      <c r="I11" s="135"/>
      <c r="J11" s="136"/>
    </row>
    <row r="12" spans="2:10" ht="75.95" customHeight="1" thickBot="1" x14ac:dyDescent="0.35">
      <c r="B12" s="786" t="s">
        <v>453</v>
      </c>
      <c r="C12" s="787"/>
      <c r="D12" s="787"/>
      <c r="E12" s="787"/>
      <c r="F12" s="787"/>
      <c r="G12" s="787"/>
      <c r="H12" s="788"/>
      <c r="I12" s="135"/>
      <c r="J12" s="136"/>
    </row>
    <row r="13" spans="2:10" ht="18.95" customHeight="1" x14ac:dyDescent="0.3">
      <c r="B13" s="488"/>
      <c r="C13" s="489"/>
      <c r="D13" s="489"/>
      <c r="E13" s="489"/>
      <c r="F13" s="489"/>
      <c r="G13" s="489"/>
      <c r="H13" s="489"/>
      <c r="I13" s="135"/>
      <c r="J13" s="136"/>
    </row>
    <row r="14" spans="2:10" ht="31.5" customHeight="1" x14ac:dyDescent="0.3">
      <c r="B14" s="490" t="s">
        <v>446</v>
      </c>
      <c r="C14" s="466"/>
      <c r="D14" s="489"/>
      <c r="E14" s="489"/>
      <c r="F14" s="489"/>
      <c r="G14" s="489"/>
      <c r="H14" s="489"/>
      <c r="I14" s="135"/>
      <c r="J14" s="136"/>
    </row>
    <row r="15" spans="2:10" ht="21.6" customHeight="1" thickBot="1" x14ac:dyDescent="0.7">
      <c r="B15" s="412"/>
      <c r="C15" s="413"/>
      <c r="D15" s="491"/>
      <c r="E15" s="491"/>
      <c r="F15" s="491"/>
      <c r="G15" s="491"/>
      <c r="H15" s="491"/>
      <c r="I15" s="491"/>
      <c r="J15" s="573"/>
    </row>
    <row r="16" spans="2:10" ht="18" customHeight="1" thickBot="1" x14ac:dyDescent="0.4">
      <c r="B16" s="739" t="s">
        <v>96</v>
      </c>
      <c r="C16" s="739"/>
      <c r="D16" s="739"/>
      <c r="E16" s="739"/>
      <c r="F16" s="739"/>
      <c r="G16" s="739"/>
      <c r="H16" s="740"/>
      <c r="J16" s="136"/>
    </row>
    <row r="17" spans="2:10" ht="38.450000000000003" customHeight="1" thickBot="1" x14ac:dyDescent="0.35">
      <c r="B17" s="716" t="s">
        <v>487</v>
      </c>
      <c r="C17" s="716"/>
      <c r="D17" s="716"/>
      <c r="E17" s="716"/>
      <c r="F17" s="716"/>
      <c r="G17" s="716"/>
      <c r="H17" s="724"/>
      <c r="J17" s="136"/>
    </row>
    <row r="18" spans="2:10" ht="18" customHeight="1" thickBot="1" x14ac:dyDescent="0.35">
      <c r="B18" s="148"/>
      <c r="C18" s="149"/>
      <c r="J18" s="136"/>
    </row>
    <row r="19" spans="2:10" ht="18" customHeight="1" thickBot="1" x14ac:dyDescent="0.4">
      <c r="B19" s="713" t="s">
        <v>98</v>
      </c>
      <c r="C19" s="713"/>
      <c r="D19" s="713"/>
      <c r="E19" s="713"/>
      <c r="F19" s="713"/>
      <c r="G19" s="713"/>
      <c r="H19" s="723"/>
      <c r="J19" s="136"/>
    </row>
    <row r="20" spans="2:10" ht="18" customHeight="1" x14ac:dyDescent="0.3">
      <c r="B20" s="492" t="s">
        <v>69</v>
      </c>
      <c r="C20" s="493" t="s">
        <v>70</v>
      </c>
      <c r="D20" s="168"/>
      <c r="E20" s="168"/>
      <c r="F20" s="271"/>
      <c r="G20" s="168"/>
      <c r="H20" s="175"/>
      <c r="J20" s="136"/>
    </row>
    <row r="21" spans="2:10" ht="18" customHeight="1" x14ac:dyDescent="0.3">
      <c r="B21" s="494" t="s">
        <v>192</v>
      </c>
      <c r="C21" s="496">
        <f>'General Info &amp; Test Results'!C32</f>
        <v>0</v>
      </c>
      <c r="D21" s="168"/>
      <c r="E21" s="168"/>
      <c r="F21" s="168"/>
      <c r="G21" s="168"/>
      <c r="H21" s="175"/>
      <c r="J21" s="136"/>
    </row>
    <row r="22" spans="2:10" ht="18" customHeight="1" x14ac:dyDescent="0.3">
      <c r="B22" s="494" t="s">
        <v>241</v>
      </c>
      <c r="C22" s="496">
        <f>'General Info &amp; Test Results'!C31</f>
        <v>0</v>
      </c>
      <c r="D22" s="168"/>
      <c r="E22" s="168"/>
      <c r="F22" s="168"/>
      <c r="G22" s="168"/>
      <c r="H22" s="175"/>
      <c r="J22" s="136"/>
    </row>
    <row r="23" spans="2:10" ht="18" customHeight="1" x14ac:dyDescent="0.3">
      <c r="B23" s="494" t="s">
        <v>240</v>
      </c>
      <c r="C23" s="495">
        <f>'General Info &amp; Test Results'!C30*745.7</f>
        <v>0</v>
      </c>
      <c r="H23" s="175"/>
      <c r="I23" s="135"/>
      <c r="J23" s="136"/>
    </row>
    <row r="24" spans="2:10" ht="18" customHeight="1" x14ac:dyDescent="0.3">
      <c r="B24" s="494" t="s">
        <v>139</v>
      </c>
      <c r="C24" s="496">
        <f>'General Info &amp; Test Results'!C34</f>
        <v>0</v>
      </c>
      <c r="D24" s="168"/>
      <c r="E24" s="168"/>
      <c r="F24" s="168"/>
      <c r="G24" s="168"/>
      <c r="H24" s="175"/>
      <c r="J24" s="136"/>
    </row>
    <row r="25" spans="2:10" ht="18" customHeight="1" x14ac:dyDescent="0.3">
      <c r="B25" s="494" t="s">
        <v>178</v>
      </c>
      <c r="C25" s="496">
        <f>'General Info &amp; Test Results'!C35</f>
        <v>0</v>
      </c>
      <c r="D25" s="168"/>
      <c r="E25" s="168"/>
      <c r="F25" s="168"/>
      <c r="G25" s="168"/>
      <c r="H25" s="175"/>
      <c r="J25" s="136"/>
    </row>
    <row r="26" spans="2:10" ht="18" customHeight="1" x14ac:dyDescent="0.3">
      <c r="B26" s="494" t="s">
        <v>191</v>
      </c>
      <c r="C26" s="496">
        <f>IFERROR(9.549*C23/C21, 0)</f>
        <v>0</v>
      </c>
      <c r="D26" s="168"/>
      <c r="E26" s="168"/>
      <c r="F26" s="168"/>
      <c r="G26" s="168"/>
      <c r="H26" s="175"/>
      <c r="J26" s="136"/>
    </row>
    <row r="27" spans="2:10" ht="18" customHeight="1" x14ac:dyDescent="0.3">
      <c r="B27" s="494" t="s">
        <v>155</v>
      </c>
      <c r="C27" s="496">
        <f>'General Info &amp; Test Results'!C37</f>
        <v>0</v>
      </c>
      <c r="D27" s="168"/>
      <c r="E27" s="168"/>
      <c r="F27" s="168"/>
      <c r="G27" s="168"/>
      <c r="H27" s="175"/>
      <c r="J27" s="136"/>
    </row>
    <row r="28" spans="2:10" ht="18" customHeight="1" thickBot="1" x14ac:dyDescent="0.35">
      <c r="B28" s="497" t="s">
        <v>179</v>
      </c>
      <c r="C28" s="498" t="str">
        <f>IF(C25="Aluminum",224.8,IF(C25="Copper",234.5,"Winding material needed"))</f>
        <v>Winding material needed</v>
      </c>
      <c r="D28" s="218"/>
      <c r="E28" s="218"/>
      <c r="F28" s="218"/>
      <c r="G28" s="218"/>
      <c r="H28" s="219"/>
      <c r="J28" s="136"/>
    </row>
    <row r="29" spans="2:10" ht="18" customHeight="1" thickBot="1" x14ac:dyDescent="0.35">
      <c r="J29" s="136"/>
    </row>
    <row r="30" spans="2:10" ht="18" customHeight="1" thickBot="1" x14ac:dyDescent="0.4">
      <c r="B30" s="713" t="s">
        <v>176</v>
      </c>
      <c r="C30" s="714"/>
      <c r="D30" s="714"/>
      <c r="E30" s="714"/>
      <c r="F30" s="714"/>
      <c r="G30" s="714"/>
      <c r="H30" s="715"/>
      <c r="J30" s="136"/>
    </row>
    <row r="31" spans="2:10" ht="18" customHeight="1" x14ac:dyDescent="0.3">
      <c r="B31" s="545"/>
      <c r="C31" s="168"/>
      <c r="D31" s="168"/>
      <c r="E31" s="168"/>
      <c r="F31" s="168"/>
      <c r="G31" s="168"/>
      <c r="H31" s="175"/>
      <c r="I31" s="135"/>
      <c r="J31" s="136"/>
    </row>
    <row r="32" spans="2:10" ht="18" customHeight="1" thickBot="1" x14ac:dyDescent="0.4">
      <c r="B32" s="574" t="s">
        <v>428</v>
      </c>
      <c r="C32" s="218"/>
      <c r="D32" s="218"/>
      <c r="E32" s="218"/>
      <c r="F32" s="218"/>
      <c r="G32" s="218"/>
      <c r="H32" s="219"/>
      <c r="I32" s="135"/>
      <c r="J32" s="136"/>
    </row>
    <row r="33" spans="2:10" ht="18" customHeight="1" x14ac:dyDescent="0.3">
      <c r="B33" s="492" t="s">
        <v>69</v>
      </c>
      <c r="C33" s="575" t="s">
        <v>70</v>
      </c>
      <c r="D33" s="576"/>
      <c r="E33" s="548"/>
      <c r="F33" s="168"/>
      <c r="G33" s="271"/>
      <c r="H33" s="175"/>
      <c r="I33" s="135"/>
      <c r="J33" s="136"/>
    </row>
    <row r="34" spans="2:10" ht="18" customHeight="1" x14ac:dyDescent="0.3">
      <c r="B34" s="551" t="s">
        <v>220</v>
      </c>
      <c r="C34" s="476"/>
      <c r="D34" s="577"/>
      <c r="E34" s="527"/>
      <c r="F34" s="168"/>
      <c r="G34" s="168"/>
      <c r="H34" s="220"/>
      <c r="I34" s="135"/>
      <c r="J34" s="136"/>
    </row>
    <row r="35" spans="2:10" ht="18" customHeight="1" x14ac:dyDescent="0.3">
      <c r="B35" s="551" t="s">
        <v>219</v>
      </c>
      <c r="C35" s="476"/>
      <c r="D35" s="577"/>
      <c r="E35" s="501"/>
      <c r="F35" s="168"/>
      <c r="G35" s="168"/>
      <c r="H35" s="220"/>
      <c r="I35" s="135"/>
      <c r="J35" s="136"/>
    </row>
    <row r="36" spans="2:10" ht="18" customHeight="1" x14ac:dyDescent="0.3">
      <c r="B36" s="301" t="s">
        <v>116</v>
      </c>
      <c r="C36" s="476"/>
      <c r="D36" s="578" t="str">
        <f>IF(OR(C36&lt;10,C36&gt;40), "Ambient Temperature of test shall not be less than 10°C or greater than 40°C", " ")</f>
        <v>Ambient Temperature of test shall not be less than 10°C or greater than 40°C</v>
      </c>
      <c r="E36" s="527"/>
      <c r="F36" s="168"/>
      <c r="G36" s="168"/>
      <c r="H36" s="220"/>
      <c r="I36" s="135"/>
      <c r="J36" s="136"/>
    </row>
    <row r="37" spans="2:10" s="165" customFormat="1" ht="18" customHeight="1" x14ac:dyDescent="0.35">
      <c r="B37" s="506"/>
      <c r="C37" s="507"/>
      <c r="D37" s="507"/>
      <c r="E37" s="507"/>
      <c r="F37" s="507"/>
      <c r="G37" s="167"/>
      <c r="H37" s="220"/>
      <c r="J37" s="136"/>
    </row>
    <row r="38" spans="2:10" ht="18" customHeight="1" thickBot="1" x14ac:dyDescent="0.4">
      <c r="B38" s="574" t="s">
        <v>216</v>
      </c>
      <c r="C38" s="218"/>
      <c r="D38" s="218"/>
      <c r="E38" s="218"/>
      <c r="F38" s="218"/>
      <c r="G38" s="218"/>
      <c r="H38" s="219"/>
      <c r="I38" s="135"/>
      <c r="J38" s="136"/>
    </row>
    <row r="39" spans="2:10" ht="18" customHeight="1" x14ac:dyDescent="0.3">
      <c r="B39" s="492" t="s">
        <v>69</v>
      </c>
      <c r="C39" s="575" t="s">
        <v>70</v>
      </c>
      <c r="D39" s="579"/>
      <c r="E39" s="499"/>
      <c r="F39" s="168"/>
      <c r="G39" s="271"/>
      <c r="H39" s="175"/>
      <c r="I39" s="135"/>
      <c r="J39" s="136"/>
    </row>
    <row r="40" spans="2:10" ht="18" customHeight="1" x14ac:dyDescent="0.3">
      <c r="B40" s="551" t="s">
        <v>221</v>
      </c>
      <c r="C40" s="476"/>
      <c r="D40" s="577"/>
      <c r="E40" s="527"/>
      <c r="F40" s="168"/>
      <c r="G40" s="168"/>
      <c r="H40" s="220"/>
      <c r="I40" s="135"/>
      <c r="J40" s="136"/>
    </row>
    <row r="41" spans="2:10" ht="18" customHeight="1" x14ac:dyDescent="0.3">
      <c r="B41" s="551" t="s">
        <v>219</v>
      </c>
      <c r="C41" s="476"/>
      <c r="D41" s="577"/>
      <c r="E41" s="501"/>
      <c r="F41" s="168"/>
      <c r="G41" s="168"/>
      <c r="H41" s="220"/>
      <c r="I41" s="135"/>
      <c r="J41" s="136"/>
    </row>
    <row r="42" spans="2:10" ht="18" customHeight="1" x14ac:dyDescent="0.3">
      <c r="B42" s="301" t="s">
        <v>116</v>
      </c>
      <c r="C42" s="476"/>
      <c r="D42" s="578" t="str">
        <f>IF(OR(C42&lt;10,C42&gt;40), "Ambient Temperature of test shall not be less than 10°C or greater than 40°C", " ")</f>
        <v>Ambient Temperature of test shall not be less than 10°C or greater than 40°C</v>
      </c>
      <c r="E42" s="501"/>
      <c r="F42" s="168"/>
      <c r="G42" s="168"/>
      <c r="H42" s="220"/>
      <c r="I42" s="135"/>
      <c r="J42" s="136"/>
    </row>
    <row r="43" spans="2:10" ht="18" customHeight="1" x14ac:dyDescent="0.3">
      <c r="B43" s="179"/>
      <c r="C43" s="168"/>
      <c r="D43" s="168"/>
      <c r="E43" s="168"/>
      <c r="F43" s="168"/>
      <c r="G43" s="168"/>
      <c r="H43" s="175"/>
      <c r="J43" s="136"/>
    </row>
    <row r="44" spans="2:10" ht="18" customHeight="1" thickBot="1" x14ac:dyDescent="0.4">
      <c r="B44" s="533" t="s">
        <v>105</v>
      </c>
      <c r="C44" s="218"/>
      <c r="D44" s="218"/>
      <c r="E44" s="218"/>
      <c r="F44" s="218"/>
      <c r="G44" s="218"/>
      <c r="H44" s="219"/>
      <c r="I44" s="135"/>
      <c r="J44" s="136"/>
    </row>
    <row r="45" spans="2:10" ht="18" customHeight="1" x14ac:dyDescent="0.3">
      <c r="B45" s="492" t="s">
        <v>69</v>
      </c>
      <c r="C45" s="575" t="s">
        <v>70</v>
      </c>
      <c r="D45" s="579"/>
      <c r="E45" s="499"/>
      <c r="F45" s="168"/>
      <c r="G45" s="271"/>
      <c r="H45" s="175"/>
      <c r="I45" s="135"/>
      <c r="J45" s="136"/>
    </row>
    <row r="46" spans="2:10" ht="18" customHeight="1" x14ac:dyDescent="0.3">
      <c r="B46" s="551" t="s">
        <v>222</v>
      </c>
      <c r="C46" s="496" t="str">
        <f>IFERROR(C48+25, " ")</f>
        <v xml:space="preserve"> </v>
      </c>
      <c r="D46" s="577"/>
      <c r="E46" s="527"/>
      <c r="F46" s="168"/>
      <c r="G46" s="168"/>
      <c r="H46" s="220"/>
      <c r="I46" s="135"/>
      <c r="J46" s="136"/>
    </row>
    <row r="47" spans="2:10" ht="18" customHeight="1" x14ac:dyDescent="0.3">
      <c r="B47" s="551" t="s">
        <v>223</v>
      </c>
      <c r="C47" s="496">
        <f>C40-C42</f>
        <v>0</v>
      </c>
      <c r="D47" s="577"/>
      <c r="E47" s="501"/>
      <c r="F47" s="168"/>
      <c r="G47" s="168"/>
      <c r="H47" s="220"/>
      <c r="I47" s="135"/>
      <c r="J47" s="136"/>
    </row>
    <row r="48" spans="2:10" ht="18" customHeight="1" thickBot="1" x14ac:dyDescent="0.35">
      <c r="B48" s="580" t="s">
        <v>224</v>
      </c>
      <c r="C48" s="498" t="str">
        <f>IFERROR(((C41/C35)*(C28+C36))-C28-C42, " ")</f>
        <v xml:space="preserve"> </v>
      </c>
      <c r="D48" s="581"/>
      <c r="E48" s="502"/>
      <c r="F48" s="218"/>
      <c r="G48" s="218"/>
      <c r="H48" s="400"/>
      <c r="I48" s="135"/>
      <c r="J48" s="136"/>
    </row>
    <row r="49" spans="2:13" ht="18" customHeight="1" x14ac:dyDescent="0.3">
      <c r="J49" s="136"/>
    </row>
    <row r="50" spans="2:13" ht="18" customHeight="1" thickBot="1" x14ac:dyDescent="0.35">
      <c r="J50" s="136"/>
    </row>
    <row r="51" spans="2:13" ht="18" customHeight="1" thickBot="1" x14ac:dyDescent="0.4">
      <c r="B51" s="713" t="s">
        <v>169</v>
      </c>
      <c r="C51" s="714"/>
      <c r="D51" s="714"/>
      <c r="E51" s="714"/>
      <c r="F51" s="714"/>
      <c r="G51" s="714"/>
      <c r="H51" s="715"/>
      <c r="I51" s="167"/>
      <c r="J51" s="454"/>
      <c r="K51" s="168"/>
      <c r="L51" s="168"/>
    </row>
    <row r="52" spans="2:13" ht="18" customHeight="1" x14ac:dyDescent="0.35">
      <c r="B52" s="515"/>
      <c r="C52" s="516"/>
      <c r="D52" s="516"/>
      <c r="E52" s="516"/>
      <c r="F52" s="516"/>
      <c r="G52" s="517"/>
      <c r="H52" s="518"/>
      <c r="I52" s="167"/>
      <c r="J52" s="454"/>
      <c r="K52" s="168"/>
      <c r="L52" s="168"/>
    </row>
    <row r="53" spans="2:13" ht="18" customHeight="1" x14ac:dyDescent="0.35">
      <c r="B53" s="521" t="s">
        <v>99</v>
      </c>
      <c r="C53" s="522" t="s">
        <v>198</v>
      </c>
      <c r="D53" s="522" t="s">
        <v>279</v>
      </c>
      <c r="E53" s="516"/>
      <c r="F53" s="516"/>
      <c r="G53" s="517"/>
      <c r="H53" s="518"/>
      <c r="I53" s="167"/>
      <c r="J53" s="454"/>
      <c r="K53" s="168"/>
      <c r="L53" s="168"/>
    </row>
    <row r="54" spans="2:13" ht="18" customHeight="1" x14ac:dyDescent="0.3">
      <c r="B54" s="301">
        <v>1</v>
      </c>
      <c r="C54" s="480"/>
      <c r="D54" s="523" t="s">
        <v>201</v>
      </c>
      <c r="E54" s="524"/>
      <c r="F54" s="499"/>
      <c r="G54" s="168"/>
      <c r="H54" s="175"/>
      <c r="I54" s="167"/>
      <c r="J54" s="454"/>
      <c r="K54" s="168"/>
      <c r="L54" s="168"/>
    </row>
    <row r="55" spans="2:13" ht="18" customHeight="1" x14ac:dyDescent="0.3">
      <c r="B55" s="301">
        <v>2</v>
      </c>
      <c r="C55" s="467"/>
      <c r="D55" s="523">
        <v>115</v>
      </c>
      <c r="E55" s="505"/>
      <c r="F55" s="501"/>
      <c r="G55" s="168"/>
      <c r="H55" s="175"/>
      <c r="I55" s="167"/>
      <c r="J55" s="454"/>
      <c r="K55" s="168"/>
      <c r="L55" s="168"/>
    </row>
    <row r="56" spans="2:13" ht="18" customHeight="1" x14ac:dyDescent="0.3">
      <c r="B56" s="177">
        <v>3</v>
      </c>
      <c r="C56" s="251"/>
      <c r="D56" s="523">
        <v>100</v>
      </c>
      <c r="E56" s="505"/>
      <c r="F56" s="501"/>
      <c r="G56" s="168"/>
      <c r="H56" s="175"/>
      <c r="I56" s="167"/>
      <c r="J56" s="454"/>
      <c r="K56" s="168"/>
      <c r="L56" s="168"/>
    </row>
    <row r="57" spans="2:13" ht="18" customHeight="1" x14ac:dyDescent="0.3">
      <c r="B57" s="301">
        <v>4</v>
      </c>
      <c r="C57" s="251"/>
      <c r="D57" s="523">
        <v>75</v>
      </c>
      <c r="E57" s="525"/>
      <c r="F57" s="501"/>
      <c r="G57" s="168"/>
      <c r="H57" s="175"/>
      <c r="I57" s="167"/>
      <c r="J57" s="454"/>
      <c r="K57" s="168"/>
      <c r="L57" s="168"/>
    </row>
    <row r="58" spans="2:13" ht="18" customHeight="1" x14ac:dyDescent="0.3">
      <c r="B58" s="301">
        <v>5</v>
      </c>
      <c r="C58" s="251"/>
      <c r="D58" s="523">
        <v>50</v>
      </c>
      <c r="E58" s="505"/>
      <c r="F58" s="501"/>
      <c r="G58" s="168"/>
      <c r="H58" s="175"/>
      <c r="I58" s="167"/>
      <c r="J58" s="454"/>
      <c r="K58" s="168"/>
      <c r="L58" s="168"/>
      <c r="M58" s="168"/>
    </row>
    <row r="59" spans="2:13" ht="18" customHeight="1" x14ac:dyDescent="0.3">
      <c r="B59" s="301">
        <v>6</v>
      </c>
      <c r="C59" s="251"/>
      <c r="D59" s="523">
        <v>25</v>
      </c>
      <c r="E59" s="505"/>
      <c r="F59" s="501"/>
      <c r="G59" s="168"/>
      <c r="H59" s="175"/>
      <c r="I59" s="167"/>
      <c r="J59" s="454"/>
      <c r="K59" s="168"/>
      <c r="L59" s="168"/>
      <c r="M59" s="168"/>
    </row>
    <row r="60" spans="2:13" ht="18" customHeight="1" x14ac:dyDescent="0.3">
      <c r="B60" s="526"/>
      <c r="C60" s="487"/>
      <c r="D60" s="527"/>
      <c r="E60" s="525"/>
      <c r="F60" s="501"/>
      <c r="G60" s="171"/>
      <c r="H60" s="175"/>
      <c r="J60" s="136"/>
      <c r="L60" s="168"/>
      <c r="M60" s="168"/>
    </row>
    <row r="61" spans="2:13" ht="18" customHeight="1" x14ac:dyDescent="0.35">
      <c r="B61" s="284"/>
      <c r="C61" s="760" t="s">
        <v>99</v>
      </c>
      <c r="D61" s="760"/>
      <c r="E61" s="760"/>
      <c r="F61" s="760"/>
      <c r="G61" s="760"/>
      <c r="H61" s="783"/>
      <c r="J61" s="136"/>
      <c r="L61" s="168"/>
      <c r="M61" s="168"/>
    </row>
    <row r="62" spans="2:13" ht="18" customHeight="1" x14ac:dyDescent="0.35">
      <c r="B62" s="229" t="s">
        <v>117</v>
      </c>
      <c r="C62" s="173">
        <v>1</v>
      </c>
      <c r="D62" s="173">
        <v>2</v>
      </c>
      <c r="E62" s="174">
        <v>3</v>
      </c>
      <c r="F62" s="173">
        <v>4</v>
      </c>
      <c r="G62" s="173">
        <v>5</v>
      </c>
      <c r="H62" s="397">
        <v>6</v>
      </c>
      <c r="J62" s="136"/>
      <c r="L62" s="168"/>
      <c r="M62" s="168"/>
    </row>
    <row r="63" spans="2:13" ht="18" customHeight="1" x14ac:dyDescent="0.3">
      <c r="B63" s="177" t="s">
        <v>116</v>
      </c>
      <c r="C63" s="475"/>
      <c r="D63" s="475"/>
      <c r="E63" s="481"/>
      <c r="F63" s="475"/>
      <c r="G63" s="475"/>
      <c r="H63" s="482"/>
      <c r="J63" s="136"/>
      <c r="L63" s="168"/>
      <c r="M63" s="168"/>
    </row>
    <row r="64" spans="2:13" ht="18" customHeight="1" x14ac:dyDescent="0.3">
      <c r="B64" s="177" t="s">
        <v>177</v>
      </c>
      <c r="C64" s="475"/>
      <c r="D64" s="475"/>
      <c r="E64" s="481"/>
      <c r="F64" s="475"/>
      <c r="G64" s="475"/>
      <c r="H64" s="482"/>
      <c r="J64" s="136"/>
      <c r="L64" s="168"/>
      <c r="M64" s="168"/>
    </row>
    <row r="65" spans="2:13" ht="18" customHeight="1" x14ac:dyDescent="0.3">
      <c r="B65" s="406" t="s">
        <v>115</v>
      </c>
      <c r="C65" s="475"/>
      <c r="D65" s="475"/>
      <c r="E65" s="481"/>
      <c r="F65" s="475"/>
      <c r="G65" s="475"/>
      <c r="H65" s="482"/>
      <c r="J65" s="136"/>
      <c r="L65" s="168"/>
      <c r="M65" s="168"/>
    </row>
    <row r="66" spans="2:13" ht="18" customHeight="1" x14ac:dyDescent="0.3">
      <c r="B66" s="177" t="s">
        <v>141</v>
      </c>
      <c r="C66" s="483"/>
      <c r="D66" s="475"/>
      <c r="E66" s="481"/>
      <c r="F66" s="475"/>
      <c r="G66" s="475"/>
      <c r="H66" s="482"/>
      <c r="J66" s="136"/>
      <c r="L66" s="168"/>
      <c r="M66" s="168"/>
    </row>
    <row r="67" spans="2:13" ht="18" customHeight="1" x14ac:dyDescent="0.3">
      <c r="B67" s="333" t="s">
        <v>170</v>
      </c>
      <c r="C67" s="255" t="str">
        <f>IFERROR((C66*($C$46+$C$28))/(C64+$C$28), " ")</f>
        <v xml:space="preserve"> </v>
      </c>
      <c r="D67" s="255" t="str">
        <f t="shared" ref="D67:H67" si="0">IFERROR((D66*($C$46+$C$28))/(D64+$C$28), " ")</f>
        <v xml:space="preserve"> </v>
      </c>
      <c r="E67" s="255" t="str">
        <f t="shared" si="0"/>
        <v xml:space="preserve"> </v>
      </c>
      <c r="F67" s="255" t="str">
        <f t="shared" si="0"/>
        <v xml:space="preserve"> </v>
      </c>
      <c r="G67" s="255" t="str">
        <f t="shared" si="0"/>
        <v xml:space="preserve"> </v>
      </c>
      <c r="H67" s="255" t="str">
        <f t="shared" si="0"/>
        <v xml:space="preserve"> </v>
      </c>
      <c r="J67" s="136"/>
      <c r="L67" s="168"/>
      <c r="M67" s="168"/>
    </row>
    <row r="68" spans="2:13" ht="18" customHeight="1" x14ac:dyDescent="0.3">
      <c r="B68" s="177" t="s">
        <v>101</v>
      </c>
      <c r="C68" s="255" t="str">
        <f>IFERROR($C$25-C67, " ")</f>
        <v xml:space="preserve"> </v>
      </c>
      <c r="D68" s="255" t="str">
        <f t="shared" ref="D68:H68" si="1">IFERROR($C$25-D67, " ")</f>
        <v xml:space="preserve"> </v>
      </c>
      <c r="E68" s="255" t="str">
        <f t="shared" si="1"/>
        <v xml:space="preserve"> </v>
      </c>
      <c r="F68" s="255" t="str">
        <f t="shared" si="1"/>
        <v xml:space="preserve"> </v>
      </c>
      <c r="G68" s="255" t="str">
        <f t="shared" si="1"/>
        <v xml:space="preserve"> </v>
      </c>
      <c r="H68" s="255" t="str">
        <f t="shared" si="1"/>
        <v xml:space="preserve"> </v>
      </c>
      <c r="J68" s="136"/>
      <c r="L68" s="168"/>
      <c r="M68" s="168"/>
    </row>
    <row r="69" spans="2:13" ht="18" customHeight="1" x14ac:dyDescent="0.3">
      <c r="B69" s="177" t="s">
        <v>226</v>
      </c>
      <c r="C69" s="467"/>
      <c r="D69" s="467"/>
      <c r="E69" s="467"/>
      <c r="F69" s="467"/>
      <c r="G69" s="467"/>
      <c r="H69" s="470"/>
      <c r="J69" s="136"/>
      <c r="L69" s="168"/>
      <c r="M69" s="168"/>
    </row>
    <row r="70" spans="2:13" ht="18" customHeight="1" x14ac:dyDescent="0.3">
      <c r="B70" s="177" t="s">
        <v>229</v>
      </c>
      <c r="C70" s="290">
        <f>C69+$C$103</f>
        <v>0</v>
      </c>
      <c r="D70" s="290">
        <f t="shared" ref="D70:H70" si="2">D69+$C$103</f>
        <v>0</v>
      </c>
      <c r="E70" s="290">
        <f t="shared" si="2"/>
        <v>0</v>
      </c>
      <c r="F70" s="290">
        <f t="shared" si="2"/>
        <v>0</v>
      </c>
      <c r="G70" s="290">
        <f t="shared" si="2"/>
        <v>0</v>
      </c>
      <c r="H70" s="344">
        <f t="shared" si="2"/>
        <v>0</v>
      </c>
      <c r="J70" s="136"/>
    </row>
    <row r="71" spans="2:13" ht="18" customHeight="1" x14ac:dyDescent="0.3">
      <c r="B71" s="177" t="s">
        <v>171</v>
      </c>
      <c r="C71" s="255" t="str">
        <f>IFERROR((C68*C70)/9.549, " ")</f>
        <v xml:space="preserve"> </v>
      </c>
      <c r="D71" s="255" t="str">
        <f t="shared" ref="D71:H71" si="3">IFERROR((D68*D70)/9.549, " ")</f>
        <v xml:space="preserve"> </v>
      </c>
      <c r="E71" s="255" t="str">
        <f t="shared" si="3"/>
        <v xml:space="preserve"> </v>
      </c>
      <c r="F71" s="255" t="str">
        <f t="shared" si="3"/>
        <v xml:space="preserve"> </v>
      </c>
      <c r="G71" s="255" t="str">
        <f t="shared" si="3"/>
        <v xml:space="preserve"> </v>
      </c>
      <c r="H71" s="255" t="str">
        <f t="shared" si="3"/>
        <v xml:space="preserve"> </v>
      </c>
      <c r="J71" s="136"/>
    </row>
    <row r="72" spans="2:13" ht="18" customHeight="1" x14ac:dyDescent="0.3">
      <c r="B72" s="177" t="s">
        <v>172</v>
      </c>
      <c r="C72" s="467"/>
      <c r="D72" s="467"/>
      <c r="E72" s="467"/>
      <c r="F72" s="467"/>
      <c r="G72" s="467"/>
      <c r="H72" s="470"/>
      <c r="J72" s="136"/>
    </row>
    <row r="73" spans="2:13" ht="18" customHeight="1" x14ac:dyDescent="0.3">
      <c r="B73" s="177" t="s">
        <v>187</v>
      </c>
      <c r="C73" s="467"/>
      <c r="D73" s="467"/>
      <c r="E73" s="467"/>
      <c r="F73" s="467"/>
      <c r="G73" s="467"/>
      <c r="H73" s="470"/>
      <c r="J73" s="136"/>
    </row>
    <row r="74" spans="2:13" ht="18" customHeight="1" x14ac:dyDescent="0.3">
      <c r="B74" s="177" t="s">
        <v>173</v>
      </c>
      <c r="C74" s="467"/>
      <c r="D74" s="467"/>
      <c r="E74" s="467"/>
      <c r="F74" s="467"/>
      <c r="G74" s="467"/>
      <c r="H74" s="470"/>
      <c r="J74" s="136"/>
    </row>
    <row r="75" spans="2:13" ht="18" customHeight="1" x14ac:dyDescent="0.3">
      <c r="B75" s="177" t="s">
        <v>227</v>
      </c>
      <c r="C75" s="255" t="str">
        <f>IFERROR(($C$35*(C64+$C$28))/($C$36+$C$28), " ")</f>
        <v xml:space="preserve"> </v>
      </c>
      <c r="D75" s="255" t="str">
        <f t="shared" ref="D75:H75" si="4">IFERROR(($C$35*(D64+$C$28))/($C$36+$C$28), " ")</f>
        <v xml:space="preserve"> </v>
      </c>
      <c r="E75" s="255" t="str">
        <f t="shared" si="4"/>
        <v xml:space="preserve"> </v>
      </c>
      <c r="F75" s="255" t="str">
        <f t="shared" si="4"/>
        <v xml:space="preserve"> </v>
      </c>
      <c r="G75" s="255" t="str">
        <f t="shared" si="4"/>
        <v xml:space="preserve"> </v>
      </c>
      <c r="H75" s="255" t="str">
        <f t="shared" si="4"/>
        <v xml:space="preserve"> </v>
      </c>
      <c r="J75" s="136"/>
    </row>
    <row r="76" spans="2:13" ht="18" customHeight="1" x14ac:dyDescent="0.3">
      <c r="B76" s="177" t="s">
        <v>188</v>
      </c>
      <c r="C76" s="255" t="str">
        <f>IFERROR((C73)^2*C75, " ")</f>
        <v xml:space="preserve"> </v>
      </c>
      <c r="D76" s="255" t="str">
        <f t="shared" ref="D76:H76" si="5">IFERROR((D73)^2*D75, " ")</f>
        <v xml:space="preserve"> </v>
      </c>
      <c r="E76" s="255" t="str">
        <f t="shared" si="5"/>
        <v xml:space="preserve"> </v>
      </c>
      <c r="F76" s="255" t="str">
        <f t="shared" si="5"/>
        <v xml:space="preserve"> </v>
      </c>
      <c r="G76" s="255" t="str">
        <f t="shared" si="5"/>
        <v xml:space="preserve"> </v>
      </c>
      <c r="H76" s="255" t="str">
        <f t="shared" si="5"/>
        <v xml:space="preserve"> </v>
      </c>
      <c r="J76" s="136"/>
    </row>
    <row r="77" spans="2:13" ht="18" customHeight="1" x14ac:dyDescent="0.3">
      <c r="B77" s="177" t="s">
        <v>228</v>
      </c>
      <c r="C77" s="255" t="str">
        <f>IFERROR(($C$35*($C$46+$C$28))/($C$36+$C$28), " ")</f>
        <v xml:space="preserve"> </v>
      </c>
      <c r="D77" s="255" t="str">
        <f t="shared" ref="D77:H77" si="6">IFERROR(($C$35*($C$46+$C$28))/($C$36+$C$28), " ")</f>
        <v xml:space="preserve"> </v>
      </c>
      <c r="E77" s="255" t="str">
        <f t="shared" si="6"/>
        <v xml:space="preserve"> </v>
      </c>
      <c r="F77" s="255" t="str">
        <f t="shared" si="6"/>
        <v xml:space="preserve"> </v>
      </c>
      <c r="G77" s="255" t="str">
        <f t="shared" si="6"/>
        <v xml:space="preserve"> </v>
      </c>
      <c r="H77" s="255" t="str">
        <f t="shared" si="6"/>
        <v xml:space="preserve"> </v>
      </c>
      <c r="J77" s="136"/>
    </row>
    <row r="78" spans="2:13" ht="18" customHeight="1" x14ac:dyDescent="0.3">
      <c r="B78" s="177" t="s">
        <v>189</v>
      </c>
      <c r="C78" s="255" t="str">
        <f>IFERROR((C73)^2*C77, " ")</f>
        <v xml:space="preserve"> </v>
      </c>
      <c r="D78" s="255" t="str">
        <f t="shared" ref="D78:H78" si="7">IFERROR((D73)^2*D77, " ")</f>
        <v xml:space="preserve"> </v>
      </c>
      <c r="E78" s="255" t="str">
        <f t="shared" si="7"/>
        <v xml:space="preserve"> </v>
      </c>
      <c r="F78" s="255" t="str">
        <f t="shared" si="7"/>
        <v xml:space="preserve"> </v>
      </c>
      <c r="G78" s="255" t="str">
        <f t="shared" si="7"/>
        <v xml:space="preserve"> </v>
      </c>
      <c r="H78" s="255" t="str">
        <f t="shared" si="7"/>
        <v xml:space="preserve"> </v>
      </c>
      <c r="J78" s="136"/>
    </row>
    <row r="79" spans="2:13" ht="18" customHeight="1" x14ac:dyDescent="0.3">
      <c r="B79" s="177" t="s">
        <v>174</v>
      </c>
      <c r="C79" s="255" t="str">
        <f>IFERROR(C78-C76, " ")</f>
        <v xml:space="preserve"> </v>
      </c>
      <c r="D79" s="255" t="str">
        <f t="shared" ref="D79:H79" si="8">IFERROR(D78-D76, " ")</f>
        <v xml:space="preserve"> </v>
      </c>
      <c r="E79" s="255" t="str">
        <f t="shared" si="8"/>
        <v xml:space="preserve"> </v>
      </c>
      <c r="F79" s="255" t="str">
        <f t="shared" si="8"/>
        <v xml:space="preserve"> </v>
      </c>
      <c r="G79" s="255" t="str">
        <f t="shared" si="8"/>
        <v xml:space="preserve"> </v>
      </c>
      <c r="H79" s="255" t="str">
        <f t="shared" si="8"/>
        <v xml:space="preserve"> </v>
      </c>
      <c r="J79" s="136"/>
    </row>
    <row r="80" spans="2:13" ht="18" customHeight="1" x14ac:dyDescent="0.3">
      <c r="B80" s="177" t="s">
        <v>175</v>
      </c>
      <c r="C80" s="255" t="str">
        <f>IFERROR(C74+C79, " ")</f>
        <v xml:space="preserve"> </v>
      </c>
      <c r="D80" s="255" t="str">
        <f t="shared" ref="D80:H80" si="9">IFERROR(D74+D79, " ")</f>
        <v xml:space="preserve"> </v>
      </c>
      <c r="E80" s="255" t="str">
        <f t="shared" si="9"/>
        <v xml:space="preserve"> </v>
      </c>
      <c r="F80" s="255" t="str">
        <f t="shared" si="9"/>
        <v xml:space="preserve"> </v>
      </c>
      <c r="G80" s="255" t="str">
        <f t="shared" si="9"/>
        <v xml:space="preserve"> </v>
      </c>
      <c r="H80" s="255" t="str">
        <f t="shared" si="9"/>
        <v xml:space="preserve"> </v>
      </c>
      <c r="J80" s="136"/>
    </row>
    <row r="81" spans="2:13" ht="18" customHeight="1" x14ac:dyDescent="0.3">
      <c r="B81" s="177" t="s">
        <v>137</v>
      </c>
      <c r="C81" s="255" t="str">
        <f>IFERROR((100*C74)/(C72*C73), " ")</f>
        <v xml:space="preserve"> </v>
      </c>
      <c r="D81" s="255" t="str">
        <f t="shared" ref="D81:H81" si="10">IFERROR((100*D74)/(D72*D73), " ")</f>
        <v xml:space="preserve"> </v>
      </c>
      <c r="E81" s="255" t="str">
        <f t="shared" si="10"/>
        <v xml:space="preserve"> </v>
      </c>
      <c r="F81" s="255" t="str">
        <f t="shared" si="10"/>
        <v xml:space="preserve"> </v>
      </c>
      <c r="G81" s="255" t="str">
        <f t="shared" si="10"/>
        <v xml:space="preserve"> </v>
      </c>
      <c r="H81" s="255" t="str">
        <f t="shared" si="10"/>
        <v xml:space="preserve"> </v>
      </c>
      <c r="J81" s="136"/>
    </row>
    <row r="82" spans="2:13" ht="18" customHeight="1" x14ac:dyDescent="0.3">
      <c r="B82" s="177" t="s">
        <v>136</v>
      </c>
      <c r="C82" s="255" t="str">
        <f>IFERROR((100*C71/C80), " ")</f>
        <v xml:space="preserve"> </v>
      </c>
      <c r="D82" s="255" t="str">
        <f t="shared" ref="D82:H82" si="11">IFERROR((100*D71/D80), " ")</f>
        <v xml:space="preserve"> </v>
      </c>
      <c r="E82" s="255" t="str">
        <f t="shared" si="11"/>
        <v xml:space="preserve"> </v>
      </c>
      <c r="F82" s="255" t="str">
        <f t="shared" si="11"/>
        <v xml:space="preserve"> </v>
      </c>
      <c r="G82" s="255" t="str">
        <f t="shared" si="11"/>
        <v xml:space="preserve"> </v>
      </c>
      <c r="H82" s="255" t="str">
        <f t="shared" si="11"/>
        <v xml:space="preserve"> </v>
      </c>
      <c r="J82" s="136"/>
    </row>
    <row r="83" spans="2:13" ht="18" customHeight="1" thickBot="1" x14ac:dyDescent="0.35">
      <c r="B83" s="230" t="s">
        <v>190</v>
      </c>
      <c r="C83" s="259" t="str">
        <f>IFERROR(C66/$C$26, " ")</f>
        <v xml:space="preserve"> </v>
      </c>
      <c r="D83" s="259" t="str">
        <f t="shared" ref="D83:H83" si="12">IFERROR(D66/$C$26, " ")</f>
        <v xml:space="preserve"> </v>
      </c>
      <c r="E83" s="259" t="str">
        <f t="shared" si="12"/>
        <v xml:space="preserve"> </v>
      </c>
      <c r="F83" s="259" t="str">
        <f t="shared" si="12"/>
        <v xml:space="preserve"> </v>
      </c>
      <c r="G83" s="259" t="str">
        <f t="shared" si="12"/>
        <v xml:space="preserve"> </v>
      </c>
      <c r="H83" s="259" t="str">
        <f t="shared" si="12"/>
        <v xml:space="preserve"> </v>
      </c>
      <c r="J83" s="136"/>
    </row>
    <row r="84" spans="2:13" ht="18" customHeight="1" x14ac:dyDescent="0.3">
      <c r="J84" s="136"/>
    </row>
    <row r="85" spans="2:13" ht="18" customHeight="1" thickBot="1" x14ac:dyDescent="0.35">
      <c r="J85" s="136"/>
    </row>
    <row r="86" spans="2:13" ht="18" customHeight="1" thickBot="1" x14ac:dyDescent="0.4">
      <c r="B86" s="713" t="s">
        <v>102</v>
      </c>
      <c r="C86" s="714"/>
      <c r="D86" s="714"/>
      <c r="E86" s="714"/>
      <c r="F86" s="714"/>
      <c r="G86" s="714"/>
      <c r="H86" s="715"/>
      <c r="I86" s="135"/>
      <c r="J86" s="136"/>
    </row>
    <row r="87" spans="2:13" ht="18" customHeight="1" x14ac:dyDescent="0.35">
      <c r="B87" s="515"/>
      <c r="C87" s="516"/>
      <c r="D87" s="516"/>
      <c r="E87" s="516"/>
      <c r="F87" s="516"/>
      <c r="G87" s="168"/>
      <c r="H87" s="175"/>
      <c r="I87" s="135"/>
      <c r="J87" s="136"/>
    </row>
    <row r="88" spans="2:13" ht="30.6" customHeight="1" x14ac:dyDescent="0.35">
      <c r="B88" s="544" t="s">
        <v>122</v>
      </c>
      <c r="C88" s="484"/>
      <c r="D88" s="516"/>
      <c r="E88" s="516"/>
      <c r="F88" s="516"/>
      <c r="G88" s="168"/>
      <c r="H88" s="175"/>
      <c r="I88" s="135"/>
      <c r="J88" s="136"/>
    </row>
    <row r="89" spans="2:13" ht="25.5" customHeight="1" x14ac:dyDescent="0.35">
      <c r="B89" s="515"/>
      <c r="C89" s="516"/>
      <c r="D89" s="516"/>
      <c r="E89" s="516"/>
      <c r="F89" s="516"/>
      <c r="G89" s="168"/>
      <c r="H89" s="175"/>
      <c r="I89" s="135"/>
      <c r="J89" s="136"/>
      <c r="M89" s="168"/>
    </row>
    <row r="90" spans="2:13" ht="18" customHeight="1" x14ac:dyDescent="0.35">
      <c r="B90" s="521" t="s">
        <v>119</v>
      </c>
      <c r="C90" s="760" t="s">
        <v>124</v>
      </c>
      <c r="D90" s="760"/>
      <c r="E90" s="760"/>
      <c r="F90" s="516"/>
      <c r="G90" s="517"/>
      <c r="H90" s="518"/>
      <c r="I90" s="135"/>
      <c r="J90" s="136"/>
      <c r="L90" s="168"/>
      <c r="M90" s="168"/>
    </row>
    <row r="91" spans="2:13" ht="27.6" customHeight="1" x14ac:dyDescent="0.3">
      <c r="B91" s="494" t="s">
        <v>92</v>
      </c>
      <c r="C91" s="793" t="s">
        <v>183</v>
      </c>
      <c r="D91" s="793"/>
      <c r="E91" s="793"/>
      <c r="F91" s="499"/>
      <c r="G91" s="168"/>
      <c r="H91" s="175"/>
      <c r="I91" s="135"/>
      <c r="J91" s="136"/>
      <c r="L91" s="168"/>
      <c r="M91" s="168"/>
    </row>
    <row r="92" spans="2:13" ht="23.45" customHeight="1" x14ac:dyDescent="0.3">
      <c r="B92" s="494" t="s">
        <v>123</v>
      </c>
      <c r="C92" s="794" t="s">
        <v>184</v>
      </c>
      <c r="D92" s="794"/>
      <c r="E92" s="794"/>
      <c r="F92" s="501"/>
      <c r="G92" s="168"/>
      <c r="H92" s="175"/>
      <c r="I92" s="135"/>
      <c r="J92" s="136"/>
      <c r="L92" s="168"/>
      <c r="M92" s="168"/>
    </row>
    <row r="93" spans="2:13" ht="23.45" customHeight="1" x14ac:dyDescent="0.3">
      <c r="B93" s="494" t="s">
        <v>185</v>
      </c>
      <c r="C93" s="807" t="s">
        <v>186</v>
      </c>
      <c r="D93" s="808"/>
      <c r="E93" s="809"/>
      <c r="F93" s="501"/>
      <c r="G93" s="168"/>
      <c r="H93" s="175"/>
      <c r="I93" s="135"/>
      <c r="J93" s="136"/>
      <c r="L93" s="168"/>
      <c r="M93" s="168"/>
    </row>
    <row r="94" spans="2:13" ht="26.45" customHeight="1" x14ac:dyDescent="0.3">
      <c r="B94" s="179"/>
      <c r="C94" s="168"/>
      <c r="D94" s="168"/>
      <c r="E94" s="168"/>
      <c r="F94" s="168"/>
      <c r="G94" s="168"/>
      <c r="H94" s="175"/>
      <c r="I94" s="135"/>
      <c r="J94" s="136"/>
    </row>
    <row r="95" spans="2:13" ht="18" customHeight="1" x14ac:dyDescent="0.35">
      <c r="B95" s="284"/>
      <c r="C95" s="760" t="s">
        <v>119</v>
      </c>
      <c r="D95" s="760"/>
      <c r="E95" s="760"/>
      <c r="F95" s="168"/>
      <c r="G95" s="168"/>
      <c r="H95" s="175"/>
      <c r="I95" s="135"/>
      <c r="J95" s="136"/>
    </row>
    <row r="96" spans="2:13" ht="18" customHeight="1" x14ac:dyDescent="0.35">
      <c r="B96" s="229" t="s">
        <v>117</v>
      </c>
      <c r="C96" s="173" t="s">
        <v>92</v>
      </c>
      <c r="D96" s="173" t="s">
        <v>123</v>
      </c>
      <c r="E96" s="173" t="s">
        <v>185</v>
      </c>
      <c r="F96" s="168"/>
      <c r="G96" s="168"/>
      <c r="H96" s="175"/>
      <c r="I96" s="135"/>
      <c r="J96" s="136"/>
    </row>
    <row r="97" spans="1:13" ht="18" customHeight="1" x14ac:dyDescent="0.3">
      <c r="B97" s="177" t="s">
        <v>225</v>
      </c>
      <c r="C97" s="475"/>
      <c r="D97" s="268"/>
      <c r="E97" s="467"/>
      <c r="F97" s="168"/>
      <c r="G97" s="168"/>
      <c r="H97" s="175"/>
      <c r="I97" s="135"/>
      <c r="J97" s="136"/>
    </row>
    <row r="98" spans="1:13" ht="18" customHeight="1" x14ac:dyDescent="0.3">
      <c r="B98" s="177" t="s">
        <v>173</v>
      </c>
      <c r="C98" s="467"/>
      <c r="D98" s="467"/>
      <c r="E98" s="467"/>
      <c r="F98" s="168"/>
      <c r="G98" s="168"/>
      <c r="H98" s="175"/>
      <c r="I98" s="135"/>
      <c r="J98" s="136"/>
    </row>
    <row r="99" spans="1:13" ht="18" customHeight="1" x14ac:dyDescent="0.3">
      <c r="B99" s="545"/>
      <c r="C99" s="168"/>
      <c r="D99" s="168"/>
      <c r="E99" s="168"/>
      <c r="F99" s="168"/>
      <c r="G99" s="168"/>
      <c r="H99" s="175"/>
      <c r="I99" s="135"/>
      <c r="J99" s="136"/>
    </row>
    <row r="100" spans="1:13" ht="18" customHeight="1" thickBot="1" x14ac:dyDescent="0.35">
      <c r="B100" s="179" t="s">
        <v>105</v>
      </c>
      <c r="C100" s="168"/>
      <c r="D100" s="168"/>
      <c r="E100" s="168"/>
      <c r="F100" s="168"/>
      <c r="G100" s="168"/>
      <c r="H100" s="175"/>
      <c r="I100" s="135"/>
      <c r="J100" s="136"/>
    </row>
    <row r="101" spans="1:13" ht="18" customHeight="1" x14ac:dyDescent="0.3">
      <c r="B101" s="546" t="s">
        <v>69</v>
      </c>
      <c r="C101" s="547" t="s">
        <v>70</v>
      </c>
      <c r="D101" s="548"/>
      <c r="E101" s="271"/>
      <c r="F101" s="271"/>
      <c r="G101" s="271"/>
      <c r="H101" s="536"/>
      <c r="I101" s="135"/>
      <c r="J101" s="136"/>
    </row>
    <row r="102" spans="1:13" ht="18" customHeight="1" x14ac:dyDescent="0.3">
      <c r="B102" s="551" t="s">
        <v>106</v>
      </c>
      <c r="C102" s="582" t="str">
        <f>IFERROR((E97-C97)/(E98-C98), " ")</f>
        <v xml:space="preserve"> </v>
      </c>
      <c r="D102" s="527"/>
      <c r="E102" s="168"/>
      <c r="F102" s="168"/>
      <c r="G102" s="167"/>
      <c r="H102" s="175"/>
      <c r="I102" s="135"/>
      <c r="J102" s="136"/>
    </row>
    <row r="103" spans="1:13" ht="18" customHeight="1" x14ac:dyDescent="0.3">
      <c r="B103" s="551" t="s">
        <v>262</v>
      </c>
      <c r="C103" s="583">
        <f>IF(C88="Yes", C102*(C98-D98)-C97, 0)</f>
        <v>0</v>
      </c>
      <c r="D103" s="584"/>
      <c r="E103" s="168"/>
      <c r="F103" s="168"/>
      <c r="G103" s="167"/>
      <c r="H103" s="175"/>
      <c r="I103" s="135"/>
      <c r="J103" s="136"/>
    </row>
    <row r="104" spans="1:13" s="165" customFormat="1" ht="16.5" x14ac:dyDescent="0.3">
      <c r="B104" s="537"/>
      <c r="C104" s="585"/>
      <c r="D104" s="530"/>
      <c r="E104" s="530"/>
      <c r="F104" s="530"/>
      <c r="G104" s="530"/>
      <c r="H104" s="531"/>
      <c r="J104" s="136"/>
    </row>
    <row r="105" spans="1:13" ht="42.6" customHeight="1" thickBot="1" x14ac:dyDescent="0.35">
      <c r="B105" s="586" t="s">
        <v>435</v>
      </c>
      <c r="C105" s="810" t="str">
        <f>IF(C88="No", "N/A", IF(C103&gt;0.05*E69, "Test is invalid, dynamometer correction factor must be within 5% of full load torque measured during test", "Test is valid"))</f>
        <v>Test is valid</v>
      </c>
      <c r="D105" s="804"/>
      <c r="E105" s="804"/>
      <c r="F105" s="218"/>
      <c r="G105" s="218"/>
      <c r="H105" s="219"/>
      <c r="I105" s="135"/>
      <c r="J105" s="136"/>
    </row>
    <row r="106" spans="1:13" ht="18" customHeight="1" x14ac:dyDescent="0.3">
      <c r="I106" s="135"/>
      <c r="J106" s="136"/>
    </row>
    <row r="107" spans="1:13" ht="18" customHeight="1" x14ac:dyDescent="0.3">
      <c r="B107" s="503"/>
      <c r="C107" s="805"/>
      <c r="D107" s="805"/>
      <c r="E107" s="805"/>
      <c r="F107" s="501"/>
      <c r="G107" s="168"/>
      <c r="H107" s="168"/>
      <c r="I107" s="135"/>
      <c r="J107" s="136"/>
      <c r="L107" s="168"/>
      <c r="M107" s="168"/>
    </row>
    <row r="108" spans="1:13" ht="18" customHeight="1" x14ac:dyDescent="0.3">
      <c r="A108" s="136"/>
      <c r="B108" s="454"/>
      <c r="C108" s="454"/>
      <c r="D108" s="454"/>
      <c r="E108" s="454"/>
      <c r="F108" s="454"/>
      <c r="G108" s="454"/>
      <c r="H108" s="454"/>
      <c r="I108" s="136"/>
      <c r="J108" s="136"/>
    </row>
    <row r="109" spans="1:13" ht="18" customHeight="1" x14ac:dyDescent="0.35">
      <c r="B109" s="168"/>
      <c r="C109" s="806"/>
      <c r="D109" s="806"/>
      <c r="E109" s="168"/>
      <c r="F109" s="168"/>
      <c r="G109" s="168"/>
      <c r="H109" s="168"/>
      <c r="I109" s="135"/>
    </row>
    <row r="110" spans="1:13" ht="18" customHeight="1" x14ac:dyDescent="0.35">
      <c r="B110" s="587"/>
      <c r="C110" s="512"/>
      <c r="D110" s="512"/>
      <c r="E110" s="168"/>
      <c r="F110" s="168"/>
      <c r="G110" s="168"/>
      <c r="H110" s="168"/>
      <c r="I110" s="135"/>
    </row>
    <row r="111" spans="1:13" ht="18" customHeight="1" x14ac:dyDescent="0.3">
      <c r="B111" s="588"/>
      <c r="C111" s="512"/>
      <c r="D111" s="512"/>
      <c r="E111" s="168"/>
      <c r="F111" s="168"/>
      <c r="G111" s="168"/>
      <c r="H111" s="168"/>
      <c r="I111" s="135"/>
    </row>
    <row r="112" spans="1:13" ht="18" customHeight="1" x14ac:dyDescent="0.3">
      <c r="B112" s="168"/>
      <c r="C112" s="168"/>
      <c r="D112" s="168"/>
      <c r="E112" s="168"/>
      <c r="F112" s="168"/>
    </row>
    <row r="113" spans="2:6" ht="18" customHeight="1" x14ac:dyDescent="0.3">
      <c r="B113" s="168"/>
      <c r="C113" s="168"/>
      <c r="D113" s="168"/>
      <c r="E113" s="168"/>
      <c r="F113" s="168"/>
    </row>
  </sheetData>
  <sheetProtection algorithmName="SHA-512" hashValue="tCJ0DLSQu86XuXZcASZjCGS2OL94gcRSvFJH54GzM+jwwvQo0YZWNS3qoc/oZ7Jjeql8ON4aGKleGnXPDAocqA==" saltValue="nFyV5WprUHMX4Rp9+Ft+Jw==" spinCount="100000" sheet="1" selectLockedCells="1"/>
  <mergeCells count="18">
    <mergeCell ref="C61:H61"/>
    <mergeCell ref="B2:C2"/>
    <mergeCell ref="B51:H51"/>
    <mergeCell ref="B30:H30"/>
    <mergeCell ref="B16:H16"/>
    <mergeCell ref="B17:H17"/>
    <mergeCell ref="B19:H19"/>
    <mergeCell ref="B11:H11"/>
    <mergeCell ref="B12:H12"/>
    <mergeCell ref="B86:H86"/>
    <mergeCell ref="C107:E107"/>
    <mergeCell ref="C109:D109"/>
    <mergeCell ref="C90:E90"/>
    <mergeCell ref="C91:E91"/>
    <mergeCell ref="C92:E92"/>
    <mergeCell ref="C93:E93"/>
    <mergeCell ref="C95:E95"/>
    <mergeCell ref="C105:E105"/>
  </mergeCells>
  <conditionalFormatting sqref="B90:H105">
    <cfRule type="expression" dxfId="1" priority="1">
      <formula>$C$88="No"</formula>
    </cfRule>
  </conditionalFormatting>
  <hyperlinks>
    <hyperlink ref="E2" location="Instructions!B37" display="Back to Instructions tab" xr:uid="{8290F258-F349-494A-8FB0-659C3854BC1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5BF0B3E-4C35-4281-A94C-0C83B8F0052B}">
          <x14:formula1>
            <xm:f>'Drop-downs'!$B$22:$B$23</xm:f>
          </x14:formula1>
          <xm:sqref>C88 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479A-25CE-4102-ADE6-6C78E9BBB799}">
  <sheetPr>
    <tabColor rgb="FF0070C0"/>
  </sheetPr>
  <dimension ref="A1:L128"/>
  <sheetViews>
    <sheetView showGridLines="0" zoomScale="80" zoomScaleNormal="80" workbookViewId="0">
      <selection activeCell="C120" sqref="C120"/>
    </sheetView>
  </sheetViews>
  <sheetFormatPr defaultColWidth="9.140625" defaultRowHeight="18" customHeight="1" x14ac:dyDescent="0.3"/>
  <cols>
    <col min="1" max="1" width="9.140625" style="135"/>
    <col min="2" max="2" width="42.140625" style="135" customWidth="1"/>
    <col min="3" max="3" width="28.7109375" style="135" customWidth="1"/>
    <col min="4" max="4" width="28.5703125" style="135" customWidth="1"/>
    <col min="5" max="5" width="22.140625" style="135" customWidth="1"/>
    <col min="6" max="6" width="20.85546875" style="135" customWidth="1"/>
    <col min="7" max="7" width="22.42578125" style="135" customWidth="1"/>
    <col min="8" max="8" width="13.28515625" style="165" customWidth="1"/>
    <col min="9" max="9" width="3.140625" style="135" customWidth="1"/>
    <col min="10" max="16384" width="9.140625" style="135"/>
  </cols>
  <sheetData>
    <row r="1" spans="2:12" ht="18" customHeight="1" thickBot="1" x14ac:dyDescent="0.35">
      <c r="I1" s="136"/>
    </row>
    <row r="2" spans="2:12" ht="18" customHeight="1" thickBot="1" x14ac:dyDescent="0.35">
      <c r="B2" s="660" t="str">
        <f>'Version Control'!$B$2</f>
        <v>Title Block</v>
      </c>
      <c r="C2" s="660"/>
      <c r="E2" s="1" t="s">
        <v>37</v>
      </c>
      <c r="H2" s="167"/>
      <c r="I2" s="454"/>
      <c r="J2" s="168"/>
      <c r="K2" s="168"/>
      <c r="L2" s="168"/>
    </row>
    <row r="3" spans="2:12" ht="18" customHeight="1" x14ac:dyDescent="0.3">
      <c r="B3" s="137" t="str">
        <f>'Version Control'!$B$3</f>
        <v>Test Report Template Name:</v>
      </c>
      <c r="C3" s="138" t="str">
        <f>'Version Control'!C3</f>
        <v>Small Electric Motors</v>
      </c>
      <c r="H3" s="167"/>
      <c r="I3" s="454"/>
      <c r="J3" s="168"/>
      <c r="K3" s="168"/>
      <c r="L3" s="168"/>
    </row>
    <row r="4" spans="2:12" ht="18" customHeight="1" x14ac:dyDescent="0.3">
      <c r="B4" s="139" t="str">
        <f>'Version Control'!$B$4</f>
        <v>Version Number:</v>
      </c>
      <c r="C4" s="140" t="str">
        <f>'Version Control'!C4</f>
        <v>v1.0</v>
      </c>
      <c r="H4" s="167"/>
      <c r="I4" s="454"/>
      <c r="J4" s="168"/>
      <c r="K4" s="168"/>
      <c r="L4" s="168"/>
    </row>
    <row r="5" spans="2:12" ht="18" customHeight="1" x14ac:dyDescent="0.3">
      <c r="B5" s="139" t="str">
        <f>'Version Control'!$B$5</f>
        <v xml:space="preserve">Latest Template Revision: </v>
      </c>
      <c r="C5" s="141">
        <f>'Version Control'!C5</f>
        <v>45575</v>
      </c>
      <c r="H5" s="167"/>
      <c r="I5" s="454"/>
      <c r="J5" s="168"/>
      <c r="K5" s="168"/>
      <c r="L5" s="168"/>
    </row>
    <row r="6" spans="2:12" ht="18" customHeight="1" x14ac:dyDescent="0.3">
      <c r="B6" s="139" t="str">
        <f>'Version Control'!$B$6</f>
        <v>Tab Name:</v>
      </c>
      <c r="C6" s="142" t="str">
        <f ca="1">MID(CELL("filename",A1), FIND("]", CELL("filename", A1))+ 1, 255)</f>
        <v>CSA C747-09</v>
      </c>
      <c r="H6" s="167"/>
      <c r="I6" s="454"/>
      <c r="J6" s="168"/>
      <c r="K6" s="168"/>
      <c r="L6" s="168"/>
    </row>
    <row r="7" spans="2:12" ht="36" customHeight="1" x14ac:dyDescent="0.3">
      <c r="B7" s="99" t="str">
        <f>'Version Control'!$B$7</f>
        <v>File Name:</v>
      </c>
      <c r="C7" s="143" t="str">
        <f ca="1">'Version Control'!C7</f>
        <v>Small Electric Motors - v1.0.xlsx</v>
      </c>
      <c r="H7" s="167"/>
      <c r="I7" s="454"/>
      <c r="J7" s="168"/>
      <c r="K7" s="168"/>
      <c r="L7" s="168"/>
    </row>
    <row r="8" spans="2:12" ht="16.5" x14ac:dyDescent="0.3">
      <c r="B8" s="144" t="s">
        <v>42</v>
      </c>
      <c r="C8" s="145" t="str">
        <f>'General Info &amp; Test Results'!C17</f>
        <v>[MM/DD/YYYY]</v>
      </c>
      <c r="H8" s="167"/>
      <c r="I8" s="454"/>
      <c r="J8" s="168"/>
      <c r="K8" s="168"/>
      <c r="L8" s="168"/>
    </row>
    <row r="9" spans="2:12" ht="18" customHeight="1" thickBot="1" x14ac:dyDescent="0.35">
      <c r="B9" s="146" t="str">
        <f>'Version Control'!$B$9</f>
        <v>Date Test Finished:</v>
      </c>
      <c r="C9" s="147" t="str">
        <f>'Version Control'!C9</f>
        <v>[MM/DD/YYYY]</v>
      </c>
      <c r="H9" s="167"/>
      <c r="I9" s="454"/>
      <c r="J9" s="168"/>
      <c r="K9" s="168"/>
      <c r="L9" s="168"/>
    </row>
    <row r="10" spans="2:12" ht="18" customHeight="1" thickBot="1" x14ac:dyDescent="0.35">
      <c r="B10" s="148"/>
      <c r="C10" s="149"/>
      <c r="H10" s="167"/>
      <c r="I10" s="454"/>
      <c r="J10" s="168"/>
      <c r="K10" s="168"/>
      <c r="L10" s="168"/>
    </row>
    <row r="11" spans="2:12" thickBot="1" x14ac:dyDescent="0.4">
      <c r="B11" s="713" t="s">
        <v>445</v>
      </c>
      <c r="C11" s="714"/>
      <c r="D11" s="714"/>
      <c r="E11" s="714"/>
      <c r="F11" s="714"/>
      <c r="G11" s="715"/>
      <c r="H11" s="418"/>
      <c r="I11" s="454"/>
    </row>
    <row r="12" spans="2:12" ht="130.5" customHeight="1" thickBot="1" x14ac:dyDescent="0.35">
      <c r="B12" s="786" t="s">
        <v>454</v>
      </c>
      <c r="C12" s="826"/>
      <c r="D12" s="826"/>
      <c r="E12" s="826"/>
      <c r="F12" s="826"/>
      <c r="G12" s="827"/>
      <c r="H12" s="589"/>
      <c r="I12" s="454"/>
    </row>
    <row r="13" spans="2:12" ht="18.95" customHeight="1" x14ac:dyDescent="0.3">
      <c r="B13" s="488"/>
      <c r="C13" s="489"/>
      <c r="D13" s="489"/>
      <c r="E13" s="489"/>
      <c r="F13" s="489"/>
      <c r="G13" s="489"/>
      <c r="H13" s="489"/>
      <c r="I13" s="136"/>
    </row>
    <row r="14" spans="2:12" ht="31.5" customHeight="1" x14ac:dyDescent="0.3">
      <c r="B14" s="490" t="s">
        <v>446</v>
      </c>
      <c r="C14" s="466"/>
      <c r="D14" s="489"/>
      <c r="E14" s="489"/>
      <c r="F14" s="489"/>
      <c r="G14" s="489"/>
      <c r="H14" s="489"/>
      <c r="I14" s="136"/>
    </row>
    <row r="15" spans="2:12" ht="21.6" customHeight="1" thickBot="1" x14ac:dyDescent="0.7">
      <c r="B15" s="412"/>
      <c r="C15" s="413"/>
      <c r="D15" s="491"/>
      <c r="E15" s="491"/>
      <c r="F15" s="491"/>
      <c r="G15" s="491"/>
      <c r="H15" s="491"/>
      <c r="I15" s="573"/>
      <c r="J15" s="491"/>
    </row>
    <row r="16" spans="2:12" ht="18" customHeight="1" thickBot="1" x14ac:dyDescent="0.4">
      <c r="B16" s="389" t="s">
        <v>96</v>
      </c>
      <c r="C16" s="390"/>
      <c r="D16" s="390"/>
      <c r="E16" s="390"/>
      <c r="F16" s="390"/>
      <c r="G16" s="391"/>
      <c r="H16" s="167"/>
      <c r="I16" s="454"/>
      <c r="J16" s="168"/>
      <c r="K16" s="168"/>
      <c r="L16" s="168"/>
    </row>
    <row r="17" spans="2:12" ht="27.95" customHeight="1" thickBot="1" x14ac:dyDescent="0.35">
      <c r="B17" s="716" t="s">
        <v>488</v>
      </c>
      <c r="C17" s="716"/>
      <c r="D17" s="716"/>
      <c r="E17" s="716"/>
      <c r="F17" s="716"/>
      <c r="G17" s="724"/>
      <c r="H17" s="167"/>
      <c r="I17" s="454"/>
      <c r="J17" s="168"/>
      <c r="K17" s="168"/>
      <c r="L17" s="168"/>
    </row>
    <row r="18" spans="2:12" ht="18" customHeight="1" thickBot="1" x14ac:dyDescent="0.35">
      <c r="B18" s="148"/>
      <c r="C18" s="149"/>
      <c r="H18" s="167"/>
      <c r="I18" s="454"/>
      <c r="J18" s="168"/>
      <c r="K18" s="168"/>
      <c r="L18" s="168"/>
    </row>
    <row r="19" spans="2:12" ht="18" customHeight="1" thickBot="1" x14ac:dyDescent="0.4">
      <c r="B19" s="389" t="s">
        <v>98</v>
      </c>
      <c r="C19" s="390"/>
      <c r="D19" s="390"/>
      <c r="E19" s="390"/>
      <c r="F19" s="390"/>
      <c r="G19" s="391"/>
      <c r="H19" s="167"/>
      <c r="I19" s="454"/>
      <c r="J19" s="168"/>
      <c r="K19" s="168"/>
      <c r="L19" s="168"/>
    </row>
    <row r="20" spans="2:12" ht="18" customHeight="1" x14ac:dyDescent="0.3">
      <c r="B20" s="492" t="s">
        <v>69</v>
      </c>
      <c r="C20" s="590" t="s">
        <v>70</v>
      </c>
      <c r="D20" s="168"/>
      <c r="E20" s="168"/>
      <c r="F20" s="168"/>
      <c r="G20" s="175"/>
      <c r="H20" s="168"/>
      <c r="I20" s="454"/>
      <c r="J20" s="168"/>
      <c r="K20" s="168"/>
      <c r="L20" s="168"/>
    </row>
    <row r="21" spans="2:12" ht="18" customHeight="1" x14ac:dyDescent="0.3">
      <c r="B21" s="494" t="s">
        <v>427</v>
      </c>
      <c r="C21" s="495">
        <f>'General Info &amp; Test Results'!C30*0.7457</f>
        <v>0</v>
      </c>
      <c r="D21" s="168"/>
      <c r="E21" s="168"/>
      <c r="F21" s="168"/>
      <c r="G21" s="175"/>
      <c r="H21" s="168"/>
      <c r="I21" s="454"/>
      <c r="J21" s="168"/>
      <c r="K21" s="168"/>
      <c r="L21" s="168"/>
    </row>
    <row r="22" spans="2:12" ht="18" customHeight="1" x14ac:dyDescent="0.3">
      <c r="B22" s="494" t="s">
        <v>192</v>
      </c>
      <c r="C22" s="496">
        <f>'General Info &amp; Test Results'!C32</f>
        <v>0</v>
      </c>
      <c r="D22" s="168"/>
      <c r="E22" s="168"/>
      <c r="F22" s="168"/>
      <c r="G22" s="175"/>
      <c r="H22" s="168"/>
      <c r="I22" s="454"/>
      <c r="J22" s="168"/>
      <c r="K22" s="168"/>
      <c r="L22" s="168"/>
    </row>
    <row r="23" spans="2:12" ht="18" customHeight="1" thickBot="1" x14ac:dyDescent="0.35">
      <c r="B23" s="497" t="s">
        <v>241</v>
      </c>
      <c r="C23" s="498">
        <f>'General Info &amp; Test Results'!C31</f>
        <v>0</v>
      </c>
      <c r="D23" s="218"/>
      <c r="E23" s="218"/>
      <c r="F23" s="218"/>
      <c r="G23" s="219"/>
      <c r="H23" s="168"/>
      <c r="I23" s="454"/>
      <c r="J23" s="168"/>
      <c r="K23" s="168"/>
      <c r="L23" s="168"/>
    </row>
    <row r="24" spans="2:12" ht="18" customHeight="1" thickBot="1" x14ac:dyDescent="0.35">
      <c r="B24" s="148"/>
      <c r="C24" s="149"/>
      <c r="H24" s="167"/>
      <c r="I24" s="454"/>
      <c r="J24" s="168"/>
      <c r="K24" s="168"/>
      <c r="L24" s="168"/>
    </row>
    <row r="25" spans="2:12" ht="18" customHeight="1" thickBot="1" x14ac:dyDescent="0.4">
      <c r="B25" s="389" t="s">
        <v>97</v>
      </c>
      <c r="C25" s="390"/>
      <c r="D25" s="390"/>
      <c r="E25" s="390"/>
      <c r="F25" s="390"/>
      <c r="G25" s="391"/>
      <c r="H25" s="167"/>
      <c r="I25" s="454"/>
      <c r="J25" s="168"/>
      <c r="K25" s="168"/>
      <c r="L25" s="168"/>
    </row>
    <row r="26" spans="2:12" ht="18" customHeight="1" x14ac:dyDescent="0.3">
      <c r="B26" s="492" t="s">
        <v>69</v>
      </c>
      <c r="C26" s="591" t="s">
        <v>70</v>
      </c>
      <c r="D26" s="592"/>
      <c r="E26" s="168"/>
      <c r="F26" s="271"/>
      <c r="G26" s="175"/>
      <c r="H26" s="168"/>
      <c r="I26" s="454"/>
      <c r="J26" s="168"/>
    </row>
    <row r="27" spans="2:12" ht="18" customHeight="1" x14ac:dyDescent="0.3">
      <c r="B27" s="301" t="s">
        <v>230</v>
      </c>
      <c r="C27" s="476"/>
      <c r="D27" s="593"/>
      <c r="E27" s="171"/>
      <c r="F27" s="168"/>
      <c r="G27" s="175"/>
      <c r="H27" s="168"/>
      <c r="I27" s="454"/>
      <c r="J27" s="168"/>
    </row>
    <row r="28" spans="2:12" ht="18" customHeight="1" x14ac:dyDescent="0.3">
      <c r="B28" s="301" t="s">
        <v>231</v>
      </c>
      <c r="C28" s="496" t="str">
        <f>IFERROR(9549*C23/C22, " ")</f>
        <v xml:space="preserve"> </v>
      </c>
      <c r="D28" s="593"/>
      <c r="E28" s="168"/>
      <c r="F28" s="168"/>
      <c r="G28" s="175"/>
      <c r="H28" s="168"/>
      <c r="I28" s="454"/>
      <c r="J28" s="168"/>
    </row>
    <row r="29" spans="2:12" ht="18" customHeight="1" x14ac:dyDescent="0.3">
      <c r="B29" s="594"/>
      <c r="C29" s="487"/>
      <c r="D29" s="595"/>
      <c r="E29" s="596"/>
      <c r="F29" s="593"/>
      <c r="G29" s="175"/>
      <c r="H29" s="168"/>
      <c r="I29" s="454"/>
      <c r="J29" s="168"/>
      <c r="K29" s="168"/>
      <c r="L29" s="168"/>
    </row>
    <row r="30" spans="2:12" ht="18" customHeight="1" thickBot="1" x14ac:dyDescent="0.4">
      <c r="B30" s="816" t="s">
        <v>217</v>
      </c>
      <c r="C30" s="816"/>
      <c r="D30" s="816"/>
      <c r="E30" s="816"/>
      <c r="F30" s="816"/>
      <c r="G30" s="823"/>
      <c r="H30" s="168"/>
      <c r="I30" s="136"/>
    </row>
    <row r="31" spans="2:12" ht="18" customHeight="1" x14ac:dyDescent="0.35">
      <c r="B31" s="597" t="s">
        <v>69</v>
      </c>
      <c r="C31" s="535" t="s">
        <v>70</v>
      </c>
      <c r="D31" s="598"/>
      <c r="E31" s="271"/>
      <c r="F31" s="271"/>
      <c r="G31" s="536"/>
      <c r="H31" s="135"/>
      <c r="I31" s="136"/>
    </row>
    <row r="32" spans="2:12" ht="18" customHeight="1" x14ac:dyDescent="0.3">
      <c r="B32" s="551" t="s">
        <v>116</v>
      </c>
      <c r="C32" s="476"/>
      <c r="D32" s="599" t="str">
        <f>IF(OR(C32&lt;20,C32&gt;40), "Please maintain ambient temperature of 20-40 ˚C", " ")</f>
        <v>Please maintain ambient temperature of 20-40 ˚C</v>
      </c>
      <c r="E32" s="168"/>
      <c r="F32" s="168"/>
      <c r="G32" s="175"/>
      <c r="H32" s="168"/>
      <c r="I32" s="454"/>
      <c r="J32" s="168"/>
    </row>
    <row r="33" spans="2:12" ht="18" customHeight="1" thickBot="1" x14ac:dyDescent="0.35">
      <c r="B33" s="230" t="s">
        <v>221</v>
      </c>
      <c r="C33" s="468"/>
      <c r="D33" s="218"/>
      <c r="E33" s="218"/>
      <c r="F33" s="218"/>
      <c r="G33" s="219"/>
      <c r="H33" s="135"/>
      <c r="I33" s="136"/>
    </row>
    <row r="34" spans="2:12" s="168" customFormat="1" ht="20.100000000000001" customHeight="1" thickBot="1" x14ac:dyDescent="0.35">
      <c r="B34" s="503"/>
      <c r="C34" s="487"/>
      <c r="D34" s="595"/>
      <c r="E34" s="600"/>
      <c r="F34" s="593"/>
      <c r="G34" s="171"/>
      <c r="I34" s="454"/>
    </row>
    <row r="35" spans="2:12" ht="18.600000000000001" customHeight="1" thickBot="1" x14ac:dyDescent="0.4">
      <c r="B35" s="824" t="s">
        <v>411</v>
      </c>
      <c r="C35" s="824"/>
      <c r="D35" s="824"/>
      <c r="E35" s="824"/>
      <c r="F35" s="824"/>
      <c r="G35" s="825"/>
      <c r="H35" s="167"/>
      <c r="I35" s="454"/>
      <c r="J35" s="168"/>
      <c r="K35" s="168"/>
      <c r="L35" s="168"/>
    </row>
    <row r="36" spans="2:12" ht="33.950000000000003" customHeight="1" thickBot="1" x14ac:dyDescent="0.35">
      <c r="B36" s="828" t="s">
        <v>412</v>
      </c>
      <c r="C36" s="828"/>
      <c r="D36" s="828"/>
      <c r="E36" s="828"/>
      <c r="F36" s="828"/>
      <c r="G36" s="829"/>
      <c r="H36" s="167"/>
      <c r="I36" s="454"/>
      <c r="J36" s="168"/>
      <c r="K36" s="168"/>
      <c r="L36" s="168"/>
    </row>
    <row r="37" spans="2:12" ht="23.1" customHeight="1" x14ac:dyDescent="0.3">
      <c r="B37" s="828"/>
      <c r="C37" s="828"/>
      <c r="D37" s="828"/>
      <c r="E37" s="828"/>
      <c r="F37" s="828"/>
      <c r="G37" s="829"/>
      <c r="H37" s="167"/>
      <c r="I37" s="454"/>
      <c r="J37" s="168"/>
      <c r="K37" s="168"/>
      <c r="L37" s="168"/>
    </row>
    <row r="38" spans="2:12" ht="18" customHeight="1" x14ac:dyDescent="0.35">
      <c r="B38" s="557" t="s">
        <v>99</v>
      </c>
      <c r="C38" s="601" t="s">
        <v>198</v>
      </c>
      <c r="D38" s="601" t="s">
        <v>279</v>
      </c>
      <c r="E38" s="507"/>
      <c r="F38" s="507"/>
      <c r="G38" s="602"/>
      <c r="H38" s="167"/>
      <c r="I38" s="454"/>
      <c r="J38" s="168"/>
      <c r="K38" s="168"/>
      <c r="L38" s="168"/>
    </row>
    <row r="39" spans="2:12" ht="18" customHeight="1" x14ac:dyDescent="0.3">
      <c r="B39" s="301">
        <v>1</v>
      </c>
      <c r="C39" s="480"/>
      <c r="D39" s="603" t="s">
        <v>276</v>
      </c>
      <c r="E39" s="604"/>
      <c r="F39" s="592"/>
      <c r="G39" s="175"/>
      <c r="H39" s="168"/>
      <c r="I39" s="454"/>
      <c r="J39" s="168"/>
      <c r="K39" s="168"/>
      <c r="L39" s="168"/>
    </row>
    <row r="40" spans="2:12" ht="18" customHeight="1" x14ac:dyDescent="0.3">
      <c r="B40" s="301">
        <v>2</v>
      </c>
      <c r="C40" s="251"/>
      <c r="D40" s="603" t="s">
        <v>274</v>
      </c>
      <c r="E40" s="596"/>
      <c r="F40" s="593"/>
      <c r="G40" s="175"/>
      <c r="H40" s="168"/>
      <c r="I40" s="454"/>
      <c r="J40" s="168"/>
      <c r="K40" s="168"/>
      <c r="L40" s="168"/>
    </row>
    <row r="41" spans="2:12" ht="18" customHeight="1" x14ac:dyDescent="0.3">
      <c r="B41" s="177">
        <v>3</v>
      </c>
      <c r="C41" s="251"/>
      <c r="D41" s="603" t="s">
        <v>274</v>
      </c>
      <c r="E41" s="605"/>
      <c r="F41" s="593"/>
      <c r="G41" s="175"/>
      <c r="H41" s="168"/>
      <c r="I41" s="454"/>
      <c r="J41" s="168"/>
      <c r="K41" s="168"/>
      <c r="L41" s="168"/>
    </row>
    <row r="42" spans="2:12" ht="18" customHeight="1" x14ac:dyDescent="0.3">
      <c r="B42" s="301">
        <v>4</v>
      </c>
      <c r="C42" s="251"/>
      <c r="D42" s="603" t="s">
        <v>274</v>
      </c>
      <c r="E42" s="600"/>
      <c r="F42" s="593"/>
      <c r="G42" s="175"/>
      <c r="H42" s="168"/>
      <c r="I42" s="454"/>
      <c r="J42" s="168"/>
      <c r="K42" s="168"/>
      <c r="L42" s="168"/>
    </row>
    <row r="43" spans="2:12" ht="18" customHeight="1" x14ac:dyDescent="0.3">
      <c r="B43" s="301">
        <v>5</v>
      </c>
      <c r="C43" s="251"/>
      <c r="D43" s="603" t="s">
        <v>274</v>
      </c>
      <c r="E43" s="596"/>
      <c r="F43" s="593"/>
      <c r="G43" s="175"/>
      <c r="H43" s="168"/>
      <c r="I43" s="454"/>
      <c r="J43" s="168"/>
      <c r="K43" s="168"/>
      <c r="L43" s="168"/>
    </row>
    <row r="44" spans="2:12" ht="18" customHeight="1" x14ac:dyDescent="0.3">
      <c r="B44" s="606"/>
      <c r="C44" s="487"/>
      <c r="D44" s="607"/>
      <c r="E44" s="600"/>
      <c r="F44" s="593"/>
      <c r="G44" s="396"/>
      <c r="H44" s="168"/>
      <c r="I44" s="454"/>
      <c r="J44" s="168"/>
      <c r="K44" s="168"/>
      <c r="L44" s="168"/>
    </row>
    <row r="45" spans="2:12" ht="18" customHeight="1" x14ac:dyDescent="0.35">
      <c r="B45" s="284"/>
      <c r="C45" s="795" t="s">
        <v>99</v>
      </c>
      <c r="D45" s="795"/>
      <c r="E45" s="795"/>
      <c r="F45" s="795"/>
      <c r="G45" s="783"/>
      <c r="H45" s="168"/>
      <c r="I45" s="454"/>
      <c r="J45" s="168"/>
      <c r="K45" s="168"/>
      <c r="L45" s="168"/>
    </row>
    <row r="46" spans="2:12" ht="18" customHeight="1" x14ac:dyDescent="0.35">
      <c r="B46" s="229" t="s">
        <v>69</v>
      </c>
      <c r="C46" s="173">
        <v>1</v>
      </c>
      <c r="D46" s="173">
        <v>2</v>
      </c>
      <c r="E46" s="174">
        <v>3</v>
      </c>
      <c r="F46" s="173">
        <v>4</v>
      </c>
      <c r="G46" s="397">
        <v>5</v>
      </c>
      <c r="H46" s="168"/>
      <c r="I46" s="454"/>
      <c r="J46" s="168"/>
      <c r="K46" s="168"/>
      <c r="L46" s="168"/>
    </row>
    <row r="47" spans="2:12" ht="18" customHeight="1" x14ac:dyDescent="0.3">
      <c r="B47" s="177" t="s">
        <v>413</v>
      </c>
      <c r="C47" s="467"/>
      <c r="D47" s="467"/>
      <c r="E47" s="568"/>
      <c r="F47" s="467"/>
      <c r="G47" s="470"/>
      <c r="H47" s="168"/>
      <c r="I47" s="454"/>
      <c r="J47" s="168"/>
      <c r="K47" s="168"/>
      <c r="L47" s="168"/>
    </row>
    <row r="48" spans="2:12" ht="18" customHeight="1" x14ac:dyDescent="0.3">
      <c r="B48" s="177" t="s">
        <v>112</v>
      </c>
      <c r="C48" s="467"/>
      <c r="D48" s="467"/>
      <c r="E48" s="467"/>
      <c r="F48" s="467"/>
      <c r="G48" s="470"/>
      <c r="H48" s="168"/>
      <c r="I48" s="454"/>
      <c r="J48" s="168"/>
      <c r="K48" s="168"/>
      <c r="L48" s="168"/>
    </row>
    <row r="49" spans="2:12" ht="18" customHeight="1" x14ac:dyDescent="0.3">
      <c r="B49" s="177" t="s">
        <v>101</v>
      </c>
      <c r="C49" s="467"/>
      <c r="D49" s="467"/>
      <c r="E49" s="467"/>
      <c r="F49" s="467"/>
      <c r="G49" s="470"/>
      <c r="H49" s="168"/>
      <c r="I49" s="454"/>
      <c r="J49" s="168"/>
      <c r="K49" s="168"/>
      <c r="L49" s="168"/>
    </row>
    <row r="50" spans="2:12" ht="18" customHeight="1" x14ac:dyDescent="0.3">
      <c r="B50" s="177" t="s">
        <v>410</v>
      </c>
      <c r="C50" s="467"/>
      <c r="D50" s="467"/>
      <c r="E50" s="467"/>
      <c r="F50" s="467"/>
      <c r="G50" s="470"/>
      <c r="H50" s="168"/>
      <c r="I50" s="454"/>
      <c r="J50" s="168"/>
      <c r="K50" s="168"/>
      <c r="L50" s="168"/>
    </row>
    <row r="51" spans="2:12" ht="18" customHeight="1" x14ac:dyDescent="0.3">
      <c r="B51" s="177" t="s">
        <v>232</v>
      </c>
      <c r="C51" s="467"/>
      <c r="D51" s="467"/>
      <c r="E51" s="467"/>
      <c r="F51" s="467"/>
      <c r="G51" s="470"/>
      <c r="H51" s="168"/>
      <c r="I51" s="454"/>
      <c r="J51" s="168"/>
      <c r="K51" s="168"/>
      <c r="L51" s="168"/>
    </row>
    <row r="52" spans="2:12" ht="18" customHeight="1" x14ac:dyDescent="0.3">
      <c r="B52" s="177" t="s">
        <v>115</v>
      </c>
      <c r="C52" s="467"/>
      <c r="D52" s="467"/>
      <c r="E52" s="467"/>
      <c r="F52" s="467"/>
      <c r="G52" s="470"/>
      <c r="H52" s="168"/>
      <c r="I52" s="454"/>
      <c r="J52" s="168"/>
      <c r="K52" s="168"/>
      <c r="L52" s="168"/>
    </row>
    <row r="53" spans="2:12" ht="18" customHeight="1" x14ac:dyDescent="0.3">
      <c r="B53" s="177" t="s">
        <v>116</v>
      </c>
      <c r="C53" s="467"/>
      <c r="D53" s="467"/>
      <c r="E53" s="467"/>
      <c r="F53" s="467"/>
      <c r="G53" s="470"/>
      <c r="H53" s="167"/>
      <c r="I53" s="454"/>
      <c r="J53" s="168"/>
      <c r="K53" s="168"/>
      <c r="L53" s="168"/>
    </row>
    <row r="54" spans="2:12" ht="18" customHeight="1" x14ac:dyDescent="0.3">
      <c r="B54" s="177" t="s">
        <v>193</v>
      </c>
      <c r="C54" s="467"/>
      <c r="D54" s="467"/>
      <c r="E54" s="467"/>
      <c r="F54" s="467"/>
      <c r="G54" s="470"/>
      <c r="H54" s="167"/>
      <c r="I54" s="454"/>
      <c r="J54" s="168"/>
      <c r="K54" s="168"/>
      <c r="L54" s="168"/>
    </row>
    <row r="55" spans="2:12" ht="18" customHeight="1" x14ac:dyDescent="0.3">
      <c r="B55" s="177" t="s">
        <v>194</v>
      </c>
      <c r="C55" s="467"/>
      <c r="D55" s="467"/>
      <c r="E55" s="467"/>
      <c r="F55" s="467"/>
      <c r="G55" s="470"/>
      <c r="H55" s="167"/>
      <c r="I55" s="454"/>
      <c r="J55" s="168"/>
      <c r="K55" s="168"/>
      <c r="L55" s="168"/>
    </row>
    <row r="56" spans="2:12" ht="18" customHeight="1" x14ac:dyDescent="0.3">
      <c r="B56" s="177" t="s">
        <v>387</v>
      </c>
      <c r="C56" s="255">
        <f>ABS(100*((C52-60)/60))</f>
        <v>100</v>
      </c>
      <c r="D56" s="255">
        <f t="shared" ref="D56:G56" si="0">ABS(100*((D52-60)/60))</f>
        <v>100</v>
      </c>
      <c r="E56" s="255">
        <f t="shared" si="0"/>
        <v>100</v>
      </c>
      <c r="F56" s="255">
        <f t="shared" si="0"/>
        <v>100</v>
      </c>
      <c r="G56" s="255">
        <f t="shared" si="0"/>
        <v>100</v>
      </c>
      <c r="H56" s="167"/>
      <c r="I56" s="454"/>
      <c r="J56" s="168"/>
      <c r="K56" s="168"/>
      <c r="L56" s="168"/>
    </row>
    <row r="57" spans="2:12" ht="18" customHeight="1" x14ac:dyDescent="0.3">
      <c r="B57" s="545"/>
      <c r="C57" s="167"/>
      <c r="D57" s="167"/>
      <c r="E57" s="167"/>
      <c r="F57" s="167"/>
      <c r="G57" s="220"/>
      <c r="H57" s="135"/>
      <c r="I57" s="136"/>
    </row>
    <row r="58" spans="2:12" ht="51" customHeight="1" x14ac:dyDescent="0.3">
      <c r="B58" s="608" t="s">
        <v>409</v>
      </c>
      <c r="C58" s="830" t="str">
        <f>IF((COUNTIF(C55:G55, "&gt;5")+COUNTIF(C56:G56, "&gt;0.5"))&gt;=1, "Supply requirements unmet - ensure that THD does not exceed 5%, and frequency variation is within 0.5% of rated value", "Data is permissible - may proceed with testing")</f>
        <v>Supply requirements unmet - ensure that THD does not exceed 5%, and frequency variation is within 0.5% of rated value</v>
      </c>
      <c r="D58" s="831"/>
      <c r="E58" s="831"/>
      <c r="F58" s="831"/>
      <c r="G58" s="175"/>
      <c r="H58" s="168"/>
      <c r="I58" s="454"/>
    </row>
    <row r="59" spans="2:12" ht="16.5" x14ac:dyDescent="0.3">
      <c r="B59" s="179"/>
      <c r="C59" s="168"/>
      <c r="D59" s="168"/>
      <c r="E59" s="168"/>
      <c r="F59" s="168"/>
      <c r="G59" s="175"/>
      <c r="H59" s="168"/>
      <c r="I59" s="454"/>
    </row>
    <row r="60" spans="2:12" ht="18" customHeight="1" thickBot="1" x14ac:dyDescent="0.4">
      <c r="B60" s="363" t="s">
        <v>414</v>
      </c>
      <c r="C60" s="487"/>
      <c r="D60" s="503"/>
      <c r="E60" s="525"/>
      <c r="F60" s="501"/>
      <c r="G60" s="175"/>
      <c r="H60" s="135"/>
      <c r="I60" s="136"/>
    </row>
    <row r="61" spans="2:12" ht="18" customHeight="1" x14ac:dyDescent="0.3">
      <c r="B61" s="609" t="s">
        <v>415</v>
      </c>
      <c r="C61" s="610"/>
      <c r="D61" s="610"/>
      <c r="E61" s="610"/>
      <c r="F61" s="610"/>
      <c r="G61" s="611"/>
      <c r="H61" s="135"/>
      <c r="I61" s="136"/>
    </row>
    <row r="62" spans="2:12" ht="18" customHeight="1" x14ac:dyDescent="0.3">
      <c r="B62" s="519"/>
      <c r="C62" s="595"/>
      <c r="D62" s="595"/>
      <c r="E62" s="595"/>
      <c r="F62" s="595"/>
      <c r="G62" s="612"/>
      <c r="H62" s="135"/>
      <c r="I62" s="136"/>
    </row>
    <row r="63" spans="2:12" s="167" customFormat="1" ht="17.100000000000001" customHeight="1" x14ac:dyDescent="0.3">
      <c r="B63" s="613" t="s">
        <v>416</v>
      </c>
      <c r="C63" s="484"/>
      <c r="D63" s="530"/>
      <c r="E63" s="530"/>
      <c r="F63" s="530"/>
      <c r="G63" s="531"/>
      <c r="I63" s="454"/>
    </row>
    <row r="64" spans="2:12" s="167" customFormat="1" ht="17.100000000000001" customHeight="1" x14ac:dyDescent="0.3">
      <c r="B64" s="614"/>
      <c r="C64" s="615"/>
      <c r="D64" s="530"/>
      <c r="E64" s="530"/>
      <c r="F64" s="530"/>
      <c r="G64" s="531"/>
      <c r="I64" s="454"/>
    </row>
    <row r="65" spans="2:12" ht="17.100000000000001" customHeight="1" x14ac:dyDescent="0.35">
      <c r="B65" s="284"/>
      <c r="C65" s="795" t="s">
        <v>417</v>
      </c>
      <c r="D65" s="812"/>
      <c r="E65" s="812"/>
      <c r="F65" s="812"/>
      <c r="G65" s="813"/>
      <c r="H65" s="135"/>
      <c r="I65" s="136"/>
    </row>
    <row r="66" spans="2:12" ht="17.100000000000001" customHeight="1" x14ac:dyDescent="0.35">
      <c r="B66" s="229" t="s">
        <v>69</v>
      </c>
      <c r="C66" s="173">
        <v>1</v>
      </c>
      <c r="D66" s="173">
        <v>2</v>
      </c>
      <c r="E66" s="174">
        <v>3</v>
      </c>
      <c r="F66" s="173">
        <v>4</v>
      </c>
      <c r="G66" s="397">
        <v>5</v>
      </c>
      <c r="H66" s="135"/>
      <c r="I66" s="136"/>
    </row>
    <row r="67" spans="2:12" ht="17.100000000000001" customHeight="1" x14ac:dyDescent="0.3">
      <c r="B67" s="177" t="s">
        <v>413</v>
      </c>
      <c r="C67" s="467"/>
      <c r="D67" s="467"/>
      <c r="E67" s="568"/>
      <c r="F67" s="467"/>
      <c r="G67" s="470"/>
      <c r="H67" s="135"/>
      <c r="I67" s="136"/>
    </row>
    <row r="68" spans="2:12" ht="17.100000000000001" customHeight="1" x14ac:dyDescent="0.3">
      <c r="B68" s="177" t="s">
        <v>112</v>
      </c>
      <c r="C68" s="467"/>
      <c r="D68" s="467"/>
      <c r="E68" s="467"/>
      <c r="F68" s="467"/>
      <c r="G68" s="470"/>
      <c r="H68" s="135"/>
      <c r="I68" s="136"/>
    </row>
    <row r="69" spans="2:12" ht="17.100000000000001" customHeight="1" x14ac:dyDescent="0.3">
      <c r="B69" s="177" t="s">
        <v>101</v>
      </c>
      <c r="C69" s="467"/>
      <c r="D69" s="467"/>
      <c r="E69" s="467"/>
      <c r="F69" s="467"/>
      <c r="G69" s="470"/>
      <c r="H69" s="135"/>
      <c r="I69" s="136"/>
    </row>
    <row r="70" spans="2:12" ht="17.100000000000001" customHeight="1" x14ac:dyDescent="0.3">
      <c r="B70" s="177" t="s">
        <v>410</v>
      </c>
      <c r="C70" s="467"/>
      <c r="D70" s="467"/>
      <c r="E70" s="467"/>
      <c r="F70" s="467"/>
      <c r="G70" s="470"/>
      <c r="H70" s="135"/>
      <c r="I70" s="136"/>
    </row>
    <row r="71" spans="2:12" ht="17.100000000000001" customHeight="1" x14ac:dyDescent="0.3">
      <c r="B71" s="177" t="s">
        <v>115</v>
      </c>
      <c r="C71" s="467"/>
      <c r="D71" s="467"/>
      <c r="E71" s="467"/>
      <c r="F71" s="467"/>
      <c r="G71" s="470"/>
      <c r="H71" s="135"/>
      <c r="I71" s="136"/>
    </row>
    <row r="72" spans="2:12" ht="17.100000000000001" customHeight="1" x14ac:dyDescent="0.3">
      <c r="B72" s="177" t="s">
        <v>116</v>
      </c>
      <c r="C72" s="467"/>
      <c r="D72" s="467"/>
      <c r="E72" s="467"/>
      <c r="F72" s="467"/>
      <c r="G72" s="470"/>
      <c r="H72" s="135"/>
      <c r="I72" s="136"/>
    </row>
    <row r="73" spans="2:12" ht="17.100000000000001" customHeight="1" x14ac:dyDescent="0.3">
      <c r="B73" s="406" t="s">
        <v>193</v>
      </c>
      <c r="C73" s="621"/>
      <c r="D73" s="621"/>
      <c r="E73" s="621"/>
      <c r="F73" s="621"/>
      <c r="G73" s="622"/>
      <c r="H73" s="135"/>
      <c r="I73" s="136"/>
    </row>
    <row r="74" spans="2:12" ht="17.100000000000001" customHeight="1" x14ac:dyDescent="0.3">
      <c r="B74" s="177" t="s">
        <v>194</v>
      </c>
      <c r="C74" s="467"/>
      <c r="D74" s="467"/>
      <c r="E74" s="467"/>
      <c r="F74" s="467"/>
      <c r="G74" s="470"/>
      <c r="H74" s="135"/>
      <c r="I74" s="136"/>
    </row>
    <row r="75" spans="2:12" ht="17.100000000000001" customHeight="1" x14ac:dyDescent="0.3">
      <c r="B75" s="177" t="s">
        <v>418</v>
      </c>
      <c r="C75" s="255" t="str">
        <f>IFERROR($C$28*(C69^2/$C$22^2), " ")</f>
        <v xml:space="preserve"> </v>
      </c>
      <c r="D75" s="255" t="str">
        <f t="shared" ref="D75:G75" si="1">IFERROR($C$28*(D69^2/$C$22^2), " ")</f>
        <v xml:space="preserve"> </v>
      </c>
      <c r="E75" s="255" t="str">
        <f t="shared" si="1"/>
        <v xml:space="preserve"> </v>
      </c>
      <c r="F75" s="255" t="str">
        <f t="shared" si="1"/>
        <v xml:space="preserve"> </v>
      </c>
      <c r="G75" s="255" t="str">
        <f t="shared" si="1"/>
        <v xml:space="preserve"> </v>
      </c>
      <c r="H75" s="135"/>
      <c r="I75" s="136"/>
    </row>
    <row r="76" spans="2:12" ht="17.100000000000001" customHeight="1" x14ac:dyDescent="0.3">
      <c r="B76" s="545"/>
      <c r="C76" s="168"/>
      <c r="D76" s="168"/>
      <c r="E76" s="168"/>
      <c r="F76" s="168"/>
      <c r="G76" s="175"/>
      <c r="H76" s="135"/>
      <c r="I76" s="136"/>
    </row>
    <row r="77" spans="2:12" ht="29.1" customHeight="1" thickBot="1" x14ac:dyDescent="0.35">
      <c r="B77" s="616" t="s">
        <v>409</v>
      </c>
      <c r="C77" s="803" t="str">
        <f>IF(COUNTIF(C74:G74, "&gt;5")&gt;=1, "Supply requirements unmet - ensure that THD does not exceed 5%", "Data is permissible - may proceed with testing")</f>
        <v>Data is permissible - may proceed with testing</v>
      </c>
      <c r="D77" s="804"/>
      <c r="E77" s="804"/>
      <c r="F77" s="804"/>
      <c r="G77" s="219"/>
      <c r="H77" s="135"/>
      <c r="I77" s="136"/>
    </row>
    <row r="78" spans="2:12" ht="17.100000000000001" customHeight="1" x14ac:dyDescent="0.3">
      <c r="B78" s="271"/>
      <c r="H78" s="135"/>
      <c r="I78" s="136"/>
    </row>
    <row r="79" spans="2:12" s="167" customFormat="1" ht="18" customHeight="1" thickBot="1" x14ac:dyDescent="0.35">
      <c r="B79" s="617"/>
      <c r="C79" s="618"/>
      <c r="I79" s="454"/>
    </row>
    <row r="80" spans="2:12" ht="18" customHeight="1" thickBot="1" x14ac:dyDescent="0.4">
      <c r="B80" s="389" t="s">
        <v>102</v>
      </c>
      <c r="C80" s="390"/>
      <c r="D80" s="390"/>
      <c r="E80" s="390"/>
      <c r="F80" s="390"/>
      <c r="G80" s="391"/>
      <c r="H80" s="167"/>
      <c r="I80" s="454"/>
      <c r="J80" s="168"/>
      <c r="K80" s="168"/>
      <c r="L80" s="168"/>
    </row>
    <row r="81" spans="2:12" ht="18" customHeight="1" thickBot="1" x14ac:dyDescent="0.35">
      <c r="B81" s="179"/>
      <c r="C81" s="168"/>
      <c r="D81" s="168"/>
      <c r="E81" s="168"/>
      <c r="F81" s="168"/>
      <c r="G81" s="175"/>
      <c r="H81" s="167"/>
      <c r="I81" s="454"/>
      <c r="J81" s="168"/>
      <c r="K81" s="168"/>
      <c r="L81" s="168"/>
    </row>
    <row r="82" spans="2:12" ht="32.1" customHeight="1" thickBot="1" x14ac:dyDescent="0.35">
      <c r="B82" s="182" t="s">
        <v>103</v>
      </c>
      <c r="C82" s="623"/>
      <c r="D82" s="168"/>
      <c r="E82" s="168"/>
      <c r="F82" s="168"/>
      <c r="G82" s="175"/>
      <c r="H82" s="167"/>
      <c r="I82" s="454"/>
      <c r="J82" s="168"/>
      <c r="K82" s="168"/>
      <c r="L82" s="168"/>
    </row>
    <row r="83" spans="2:12" ht="18" customHeight="1" x14ac:dyDescent="0.3">
      <c r="B83" s="179"/>
      <c r="C83" s="168"/>
      <c r="D83" s="168"/>
      <c r="E83" s="168"/>
      <c r="F83" s="168"/>
      <c r="G83" s="175"/>
      <c r="H83" s="167"/>
      <c r="I83" s="454"/>
      <c r="J83" s="168"/>
      <c r="K83" s="168"/>
      <c r="L83" s="168"/>
    </row>
    <row r="84" spans="2:12" ht="18" customHeight="1" thickBot="1" x14ac:dyDescent="0.4">
      <c r="B84" s="820" t="s">
        <v>196</v>
      </c>
      <c r="C84" s="821"/>
      <c r="D84" s="821"/>
      <c r="E84" s="821"/>
      <c r="F84" s="821"/>
      <c r="G84" s="822"/>
      <c r="H84" s="167"/>
      <c r="I84" s="454"/>
      <c r="J84" s="168"/>
      <c r="K84" s="168"/>
      <c r="L84" s="168"/>
    </row>
    <row r="85" spans="2:12" ht="18" customHeight="1" x14ac:dyDescent="0.35">
      <c r="B85" s="231" t="s">
        <v>69</v>
      </c>
      <c r="C85" s="216" t="s">
        <v>70</v>
      </c>
      <c r="D85" s="168"/>
      <c r="E85" s="168"/>
      <c r="F85" s="168"/>
      <c r="G85" s="175"/>
      <c r="H85" s="167"/>
      <c r="I85" s="454"/>
      <c r="J85" s="168"/>
      <c r="K85" s="168"/>
      <c r="L85" s="168"/>
    </row>
    <row r="86" spans="2:12" ht="18" customHeight="1" x14ac:dyDescent="0.35">
      <c r="B86" s="177" t="s">
        <v>199</v>
      </c>
      <c r="C86" s="624"/>
      <c r="D86" s="168"/>
      <c r="E86" s="168"/>
      <c r="F86" s="168"/>
      <c r="G86" s="175"/>
      <c r="H86" s="167"/>
      <c r="I86" s="454"/>
      <c r="J86" s="168"/>
      <c r="K86" s="168"/>
      <c r="L86" s="168"/>
    </row>
    <row r="87" spans="2:12" ht="18" customHeight="1" x14ac:dyDescent="0.3">
      <c r="B87" s="177" t="s">
        <v>413</v>
      </c>
      <c r="C87" s="467"/>
      <c r="D87" s="168"/>
      <c r="E87" s="168"/>
      <c r="F87" s="168"/>
      <c r="G87" s="175"/>
      <c r="H87" s="167"/>
      <c r="I87" s="454"/>
      <c r="J87" s="168"/>
      <c r="K87" s="168"/>
      <c r="L87" s="168"/>
    </row>
    <row r="88" spans="2:12" ht="18" customHeight="1" x14ac:dyDescent="0.3">
      <c r="B88" s="177" t="s">
        <v>112</v>
      </c>
      <c r="C88" s="467"/>
      <c r="D88" s="168"/>
      <c r="E88" s="168"/>
      <c r="F88" s="168"/>
      <c r="G88" s="175"/>
      <c r="H88" s="167"/>
      <c r="I88" s="454"/>
      <c r="J88" s="168"/>
      <c r="K88" s="168"/>
      <c r="L88" s="168"/>
    </row>
    <row r="89" spans="2:12" ht="18" customHeight="1" x14ac:dyDescent="0.3">
      <c r="B89" s="177" t="s">
        <v>101</v>
      </c>
      <c r="C89" s="467"/>
      <c r="D89" s="168"/>
      <c r="E89" s="168"/>
      <c r="F89" s="168"/>
      <c r="G89" s="175"/>
      <c r="H89" s="167"/>
      <c r="I89" s="454"/>
      <c r="J89" s="168"/>
      <c r="K89" s="168"/>
      <c r="L89" s="168"/>
    </row>
    <row r="90" spans="2:12" ht="18" customHeight="1" x14ac:dyDescent="0.3">
      <c r="B90" s="177" t="s">
        <v>410</v>
      </c>
      <c r="C90" s="467"/>
      <c r="D90" s="168"/>
      <c r="E90" s="168"/>
      <c r="F90" s="168"/>
      <c r="G90" s="175"/>
      <c r="H90" s="167"/>
      <c r="I90" s="454"/>
      <c r="J90" s="168"/>
      <c r="K90" s="168"/>
      <c r="L90" s="168"/>
    </row>
    <row r="91" spans="2:12" ht="18" customHeight="1" x14ac:dyDescent="0.3">
      <c r="B91" s="177" t="s">
        <v>232</v>
      </c>
      <c r="C91" s="467"/>
      <c r="D91" s="168"/>
      <c r="E91" s="168"/>
      <c r="F91" s="168"/>
      <c r="G91" s="175"/>
      <c r="H91" s="167"/>
      <c r="I91" s="454"/>
      <c r="J91" s="168"/>
      <c r="K91" s="168"/>
      <c r="L91" s="168"/>
    </row>
    <row r="92" spans="2:12" ht="18" customHeight="1" x14ac:dyDescent="0.3">
      <c r="B92" s="177" t="s">
        <v>115</v>
      </c>
      <c r="C92" s="467"/>
      <c r="D92" s="168"/>
      <c r="E92" s="168"/>
      <c r="F92" s="168"/>
      <c r="G92" s="175"/>
      <c r="H92" s="167"/>
      <c r="I92" s="454"/>
      <c r="J92" s="168"/>
      <c r="K92" s="168"/>
      <c r="L92" s="168"/>
    </row>
    <row r="93" spans="2:12" ht="18" customHeight="1" x14ac:dyDescent="0.3">
      <c r="B93" s="619"/>
      <c r="C93" s="222"/>
      <c r="D93" s="168"/>
      <c r="E93" s="168"/>
      <c r="F93" s="168"/>
      <c r="G93" s="175"/>
      <c r="H93" s="167"/>
      <c r="I93" s="454"/>
      <c r="J93" s="168"/>
      <c r="K93" s="168"/>
      <c r="L93" s="168"/>
    </row>
    <row r="94" spans="2:12" ht="18" customHeight="1" thickBot="1" x14ac:dyDescent="0.4">
      <c r="B94" s="820" t="s">
        <v>195</v>
      </c>
      <c r="C94" s="821"/>
      <c r="D94" s="821"/>
      <c r="E94" s="821"/>
      <c r="F94" s="821"/>
      <c r="G94" s="822"/>
      <c r="H94" s="167"/>
      <c r="I94" s="454"/>
      <c r="J94" s="168"/>
      <c r="K94" s="168"/>
      <c r="L94" s="168"/>
    </row>
    <row r="95" spans="2:12" ht="18" customHeight="1" x14ac:dyDescent="0.35">
      <c r="B95" s="231" t="s">
        <v>69</v>
      </c>
      <c r="C95" s="216" t="s">
        <v>70</v>
      </c>
      <c r="D95" s="168"/>
      <c r="E95" s="168"/>
      <c r="F95" s="168"/>
      <c r="G95" s="175"/>
      <c r="H95" s="168"/>
      <c r="I95" s="454"/>
      <c r="J95" s="168"/>
      <c r="K95" s="168"/>
      <c r="L95" s="168"/>
    </row>
    <row r="96" spans="2:12" ht="18" customHeight="1" x14ac:dyDescent="0.3">
      <c r="B96" s="177" t="s">
        <v>413</v>
      </c>
      <c r="C96" s="467"/>
      <c r="D96" s="168"/>
      <c r="E96" s="168"/>
      <c r="F96" s="168"/>
      <c r="G96" s="175"/>
      <c r="H96" s="168"/>
      <c r="I96" s="454"/>
      <c r="J96" s="168"/>
      <c r="K96" s="168"/>
      <c r="L96" s="168"/>
    </row>
    <row r="97" spans="2:12" ht="18" customHeight="1" x14ac:dyDescent="0.3">
      <c r="B97" s="177" t="s">
        <v>112</v>
      </c>
      <c r="C97" s="467"/>
      <c r="D97" s="168"/>
      <c r="E97" s="168"/>
      <c r="F97" s="168"/>
      <c r="G97" s="175"/>
      <c r="H97" s="168"/>
      <c r="I97" s="454"/>
      <c r="J97" s="168"/>
      <c r="K97" s="168"/>
      <c r="L97" s="168"/>
    </row>
    <row r="98" spans="2:12" ht="18" customHeight="1" x14ac:dyDescent="0.3">
      <c r="B98" s="177" t="s">
        <v>101</v>
      </c>
      <c r="C98" s="467"/>
      <c r="D98" s="168"/>
      <c r="E98" s="168"/>
      <c r="F98" s="168"/>
      <c r="G98" s="175"/>
      <c r="H98" s="168"/>
      <c r="I98" s="454"/>
      <c r="J98" s="168"/>
      <c r="K98" s="168"/>
      <c r="L98" s="168"/>
    </row>
    <row r="99" spans="2:12" ht="18" customHeight="1" x14ac:dyDescent="0.3">
      <c r="B99" s="177" t="s">
        <v>410</v>
      </c>
      <c r="C99" s="467"/>
      <c r="D99" s="168"/>
      <c r="E99" s="168"/>
      <c r="F99" s="168"/>
      <c r="G99" s="175"/>
      <c r="H99" s="168"/>
      <c r="I99" s="454"/>
      <c r="J99" s="168"/>
      <c r="K99" s="168"/>
      <c r="L99" s="168"/>
    </row>
    <row r="100" spans="2:12" ht="18" customHeight="1" x14ac:dyDescent="0.3">
      <c r="B100" s="177" t="s">
        <v>232</v>
      </c>
      <c r="C100" s="467"/>
      <c r="D100" s="168"/>
      <c r="E100" s="168"/>
      <c r="F100" s="168"/>
      <c r="G100" s="175"/>
      <c r="H100" s="168"/>
      <c r="I100" s="454"/>
      <c r="J100" s="168"/>
      <c r="K100" s="168"/>
      <c r="L100" s="168"/>
    </row>
    <row r="101" spans="2:12" ht="18" customHeight="1" x14ac:dyDescent="0.3">
      <c r="B101" s="177" t="s">
        <v>115</v>
      </c>
      <c r="C101" s="467"/>
      <c r="D101" s="168"/>
      <c r="E101" s="168"/>
      <c r="F101" s="168"/>
      <c r="G101" s="175"/>
      <c r="H101" s="168"/>
      <c r="I101" s="454"/>
      <c r="J101" s="168"/>
      <c r="K101" s="168"/>
      <c r="L101" s="168"/>
    </row>
    <row r="102" spans="2:12" ht="18" customHeight="1" x14ac:dyDescent="0.3">
      <c r="B102" s="179"/>
      <c r="C102" s="168"/>
      <c r="D102" s="168"/>
      <c r="E102" s="168"/>
      <c r="F102" s="168"/>
      <c r="G102" s="175"/>
      <c r="H102" s="167"/>
      <c r="I102" s="454"/>
      <c r="J102" s="168"/>
      <c r="K102" s="168"/>
      <c r="L102" s="168"/>
    </row>
    <row r="103" spans="2:12" ht="18" customHeight="1" thickBot="1" x14ac:dyDescent="0.4">
      <c r="B103" s="820" t="s">
        <v>197</v>
      </c>
      <c r="C103" s="821"/>
      <c r="D103" s="821"/>
      <c r="E103" s="821"/>
      <c r="F103" s="821"/>
      <c r="G103" s="822"/>
      <c r="H103" s="167"/>
      <c r="I103" s="454"/>
      <c r="J103" s="168"/>
      <c r="K103" s="168"/>
      <c r="L103" s="168"/>
    </row>
    <row r="104" spans="2:12" ht="18" customHeight="1" x14ac:dyDescent="0.35">
      <c r="B104" s="231" t="s">
        <v>69</v>
      </c>
      <c r="C104" s="216" t="s">
        <v>70</v>
      </c>
      <c r="D104" s="168"/>
      <c r="E104" s="168"/>
      <c r="F104" s="168"/>
      <c r="G104" s="175"/>
      <c r="H104" s="168"/>
      <c r="I104" s="454"/>
      <c r="J104" s="168"/>
      <c r="K104" s="168"/>
      <c r="L104" s="168"/>
    </row>
    <row r="105" spans="2:12" ht="18" customHeight="1" x14ac:dyDescent="0.35">
      <c r="B105" s="177" t="s">
        <v>199</v>
      </c>
      <c r="C105" s="624"/>
      <c r="D105" s="168"/>
      <c r="E105" s="168"/>
      <c r="F105" s="168"/>
      <c r="G105" s="175"/>
      <c r="H105" s="168"/>
      <c r="I105" s="454"/>
      <c r="J105" s="168"/>
      <c r="K105" s="168"/>
      <c r="L105" s="168"/>
    </row>
    <row r="106" spans="2:12" ht="18" customHeight="1" x14ac:dyDescent="0.3">
      <c r="B106" s="177" t="s">
        <v>413</v>
      </c>
      <c r="C106" s="467"/>
      <c r="D106" s="168"/>
      <c r="E106" s="168"/>
      <c r="F106" s="168"/>
      <c r="G106" s="175"/>
      <c r="H106" s="168"/>
      <c r="I106" s="454"/>
      <c r="J106" s="168"/>
      <c r="K106" s="168"/>
      <c r="L106" s="168"/>
    </row>
    <row r="107" spans="2:12" ht="18" customHeight="1" x14ac:dyDescent="0.3">
      <c r="B107" s="177" t="s">
        <v>112</v>
      </c>
      <c r="C107" s="467"/>
      <c r="D107" s="168"/>
      <c r="E107" s="168"/>
      <c r="F107" s="168"/>
      <c r="G107" s="175"/>
      <c r="H107" s="168"/>
      <c r="I107" s="454"/>
      <c r="J107" s="168"/>
      <c r="K107" s="168"/>
      <c r="L107" s="168"/>
    </row>
    <row r="108" spans="2:12" ht="18" customHeight="1" x14ac:dyDescent="0.3">
      <c r="B108" s="177" t="s">
        <v>101</v>
      </c>
      <c r="C108" s="467"/>
      <c r="D108" s="168"/>
      <c r="E108" s="168"/>
      <c r="F108" s="168"/>
      <c r="G108" s="175"/>
      <c r="H108" s="168"/>
      <c r="I108" s="454"/>
      <c r="J108" s="168"/>
      <c r="K108" s="168"/>
      <c r="L108" s="168"/>
    </row>
    <row r="109" spans="2:12" ht="18" customHeight="1" x14ac:dyDescent="0.3">
      <c r="B109" s="177" t="s">
        <v>410</v>
      </c>
      <c r="C109" s="467"/>
      <c r="D109" s="168"/>
      <c r="E109" s="168"/>
      <c r="F109" s="168"/>
      <c r="G109" s="175"/>
      <c r="H109" s="168"/>
      <c r="I109" s="454"/>
      <c r="J109" s="168"/>
      <c r="K109" s="168"/>
      <c r="L109" s="168"/>
    </row>
    <row r="110" spans="2:12" ht="18" customHeight="1" x14ac:dyDescent="0.3">
      <c r="B110" s="232" t="s">
        <v>115</v>
      </c>
      <c r="C110" s="467"/>
      <c r="D110" s="168"/>
      <c r="E110" s="168"/>
      <c r="F110" s="168"/>
      <c r="G110" s="175"/>
      <c r="H110" s="168"/>
      <c r="I110" s="454"/>
      <c r="J110" s="168"/>
      <c r="K110" s="168"/>
      <c r="L110" s="168"/>
    </row>
    <row r="111" spans="2:12" ht="18" customHeight="1" x14ac:dyDescent="0.3">
      <c r="B111" s="179"/>
      <c r="C111" s="168"/>
      <c r="D111" s="168"/>
      <c r="E111" s="168"/>
      <c r="F111" s="168"/>
      <c r="G111" s="175"/>
      <c r="H111" s="167"/>
      <c r="I111" s="454"/>
      <c r="J111" s="168"/>
      <c r="K111" s="168"/>
      <c r="L111" s="168"/>
    </row>
    <row r="112" spans="2:12" ht="18" customHeight="1" thickBot="1" x14ac:dyDescent="0.4">
      <c r="B112" s="816" t="s">
        <v>105</v>
      </c>
      <c r="C112" s="817"/>
      <c r="D112" s="818"/>
      <c r="E112" s="817"/>
      <c r="F112" s="817"/>
      <c r="G112" s="819"/>
      <c r="I112" s="136"/>
    </row>
    <row r="113" spans="1:9" ht="18" customHeight="1" x14ac:dyDescent="0.3">
      <c r="B113" s="546" t="s">
        <v>69</v>
      </c>
      <c r="C113" s="547" t="s">
        <v>70</v>
      </c>
      <c r="D113" s="548"/>
      <c r="E113" s="271"/>
      <c r="F113" s="271"/>
      <c r="G113" s="399"/>
      <c r="H113" s="135"/>
      <c r="I113" s="136"/>
    </row>
    <row r="114" spans="1:9" ht="18" customHeight="1" x14ac:dyDescent="0.3">
      <c r="B114" s="620" t="s">
        <v>106</v>
      </c>
      <c r="C114" s="550" t="str">
        <f>IFERROR((C91-C100)/(C90-C99), " ")</f>
        <v xml:space="preserve"> </v>
      </c>
      <c r="D114" s="501"/>
      <c r="E114" s="168"/>
      <c r="F114" s="168"/>
      <c r="G114" s="220"/>
      <c r="H114" s="135"/>
      <c r="I114" s="136"/>
    </row>
    <row r="115" spans="1:9" ht="18" customHeight="1" x14ac:dyDescent="0.3">
      <c r="B115" s="301" t="s">
        <v>261</v>
      </c>
      <c r="C115" s="496" t="str">
        <f>IFERROR(C114*(C99-C109), " ")</f>
        <v xml:space="preserve"> </v>
      </c>
      <c r="D115" s="501"/>
      <c r="E115" s="168"/>
      <c r="F115" s="168"/>
      <c r="G115" s="220"/>
      <c r="H115" s="135"/>
      <c r="I115" s="136"/>
    </row>
    <row r="116" spans="1:9" ht="18" customHeight="1" thickBot="1" x14ac:dyDescent="0.35">
      <c r="B116" s="315" t="s">
        <v>262</v>
      </c>
      <c r="C116" s="498">
        <f>IF(C82="Yes", C115-C100, 0)</f>
        <v>0</v>
      </c>
      <c r="D116" s="502"/>
      <c r="E116" s="218"/>
      <c r="F116" s="218"/>
      <c r="G116" s="400"/>
      <c r="H116" s="135"/>
      <c r="I116" s="136"/>
    </row>
    <row r="117" spans="1:9" ht="18" customHeight="1" thickBot="1" x14ac:dyDescent="0.35">
      <c r="I117" s="136"/>
    </row>
    <row r="118" spans="1:9" ht="18" customHeight="1" thickBot="1" x14ac:dyDescent="0.4">
      <c r="B118" s="392" t="s">
        <v>419</v>
      </c>
      <c r="C118" s="393"/>
      <c r="D118" s="393"/>
      <c r="E118" s="393"/>
      <c r="F118" s="393"/>
      <c r="G118" s="394"/>
      <c r="I118" s="136"/>
    </row>
    <row r="119" spans="1:9" ht="18" customHeight="1" x14ac:dyDescent="0.3">
      <c r="B119" s="492" t="s">
        <v>69</v>
      </c>
      <c r="C119" s="493" t="s">
        <v>70</v>
      </c>
      <c r="D119" s="499"/>
      <c r="E119" s="168"/>
      <c r="F119" s="168"/>
      <c r="G119" s="399"/>
      <c r="H119" s="135"/>
      <c r="I119" s="136"/>
    </row>
    <row r="120" spans="1:9" ht="18" customHeight="1" x14ac:dyDescent="0.3">
      <c r="B120" s="551" t="s">
        <v>233</v>
      </c>
      <c r="C120" s="476"/>
      <c r="D120" s="501"/>
      <c r="E120" s="168"/>
      <c r="F120" s="168"/>
      <c r="G120" s="220"/>
      <c r="H120" s="135"/>
      <c r="I120" s="136"/>
    </row>
    <row r="121" spans="1:9" ht="20.100000000000001" customHeight="1" x14ac:dyDescent="0.3">
      <c r="B121" s="551" t="s">
        <v>420</v>
      </c>
      <c r="C121" s="496">
        <f>ABS(C120-C27)</f>
        <v>0</v>
      </c>
      <c r="D121" s="501"/>
      <c r="E121" s="168"/>
      <c r="F121" s="168"/>
      <c r="G121" s="220"/>
      <c r="H121" s="135"/>
      <c r="I121" s="136"/>
    </row>
    <row r="122" spans="1:9" s="168" customFormat="1" ht="33.950000000000003" customHeight="1" x14ac:dyDescent="0.3">
      <c r="B122" s="301" t="s">
        <v>421</v>
      </c>
      <c r="C122" s="814" t="str">
        <f>IFERROR(IF((ABS((C28-C121)/C28)*100)&gt;1, "Test is unsatisfactory - Investigate and correct source of error and repeat test", "Test is satisfactory"), " ")</f>
        <v xml:space="preserve"> </v>
      </c>
      <c r="D122" s="815"/>
      <c r="E122" s="815"/>
      <c r="F122" s="815"/>
      <c r="G122" s="220"/>
      <c r="I122" s="454"/>
    </row>
    <row r="123" spans="1:9" s="168" customFormat="1" ht="18" customHeight="1" x14ac:dyDescent="0.3">
      <c r="B123" s="606"/>
      <c r="C123" s="487"/>
      <c r="D123" s="503"/>
      <c r="E123" s="525"/>
      <c r="F123" s="501"/>
      <c r="G123" s="175"/>
      <c r="H123" s="167"/>
      <c r="I123" s="454"/>
    </row>
    <row r="124" spans="1:9" ht="18" customHeight="1" x14ac:dyDescent="0.35">
      <c r="B124" s="284"/>
      <c r="C124" s="795" t="s">
        <v>99</v>
      </c>
      <c r="D124" s="812"/>
      <c r="E124" s="812"/>
      <c r="F124" s="812"/>
      <c r="G124" s="813"/>
      <c r="H124" s="135"/>
      <c r="I124" s="136"/>
    </row>
    <row r="125" spans="1:9" ht="18" customHeight="1" x14ac:dyDescent="0.35">
      <c r="B125" s="229" t="s">
        <v>69</v>
      </c>
      <c r="C125" s="173">
        <v>1</v>
      </c>
      <c r="D125" s="173">
        <v>2</v>
      </c>
      <c r="E125" s="174">
        <v>3</v>
      </c>
      <c r="F125" s="173">
        <v>4</v>
      </c>
      <c r="G125" s="397">
        <v>5</v>
      </c>
      <c r="H125" s="135"/>
      <c r="I125" s="136"/>
    </row>
    <row r="126" spans="1:9" ht="18" customHeight="1" thickBot="1" x14ac:dyDescent="0.35">
      <c r="B126" s="388" t="s">
        <v>136</v>
      </c>
      <c r="C126" s="259" t="str">
        <f>IFERROR(((C51+$C$116-$C$120)/(9549*C50))*C49, " ")</f>
        <v xml:space="preserve"> </v>
      </c>
      <c r="D126" s="259" t="str">
        <f t="shared" ref="D126:G126" si="2">IFERROR(((D51+$C$116-$C$120)/(9549*D50))*D49, " ")</f>
        <v xml:space="preserve"> </v>
      </c>
      <c r="E126" s="259" t="str">
        <f t="shared" si="2"/>
        <v xml:space="preserve"> </v>
      </c>
      <c r="F126" s="259" t="str">
        <f t="shared" si="2"/>
        <v xml:space="preserve"> </v>
      </c>
      <c r="G126" s="259" t="str">
        <f t="shared" si="2"/>
        <v xml:space="preserve"> </v>
      </c>
      <c r="I126" s="136"/>
    </row>
    <row r="127" spans="1:9" ht="18" customHeight="1" x14ac:dyDescent="0.3">
      <c r="I127" s="136"/>
    </row>
    <row r="128" spans="1:9" ht="18" customHeight="1" x14ac:dyDescent="0.3">
      <c r="A128" s="136"/>
      <c r="B128" s="136"/>
      <c r="C128" s="136"/>
      <c r="D128" s="136"/>
      <c r="E128" s="136"/>
      <c r="F128" s="136"/>
      <c r="G128" s="136"/>
      <c r="H128" s="136"/>
      <c r="I128" s="136"/>
    </row>
  </sheetData>
  <sheetProtection algorithmName="SHA-512" hashValue="JKYFjBK4fXuxOuKiH4o+UoL8mOIWJ/WQyD4aQtyqUUraC+yXfh3AV+LhJlR1pFtxhD14FqSejfXfvwltqomqag==" saltValue="uPlLD+F3CVe/kJA4lGZ80A==" spinCount="100000" sheet="1" selectLockedCells="1"/>
  <mergeCells count="17">
    <mergeCell ref="B2:C2"/>
    <mergeCell ref="C45:G45"/>
    <mergeCell ref="B84:G84"/>
    <mergeCell ref="B30:G30"/>
    <mergeCell ref="B35:G35"/>
    <mergeCell ref="B12:G12"/>
    <mergeCell ref="B11:G11"/>
    <mergeCell ref="B36:G37"/>
    <mergeCell ref="C65:G65"/>
    <mergeCell ref="C58:F58"/>
    <mergeCell ref="C77:F77"/>
    <mergeCell ref="C124:G124"/>
    <mergeCell ref="C122:F122"/>
    <mergeCell ref="B112:G112"/>
    <mergeCell ref="B17:G17"/>
    <mergeCell ref="B94:G94"/>
    <mergeCell ref="B103:G103"/>
  </mergeCells>
  <phoneticPr fontId="25" type="noConversion"/>
  <conditionalFormatting sqref="B84:G116">
    <cfRule type="expression" dxfId="0" priority="1">
      <formula>$C$82="No"</formula>
    </cfRule>
  </conditionalFormatting>
  <hyperlinks>
    <hyperlink ref="E2" location="Instructions!B37" display="Back to Instructions tab" xr:uid="{35073CAA-A1BE-421D-9EE1-7CC578E64FD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6326785-9231-4530-AEE4-CEA30FAEEFD1}">
          <x14:formula1>
            <xm:f>'Drop-downs'!$B$22:$B$23</xm:f>
          </x14:formula1>
          <xm:sqref>C82 C14</xm:sqref>
        </x14:dataValidation>
        <x14:dataValidation type="list" allowBlank="1" showInputMessage="1" showErrorMessage="1" xr:uid="{E94568D5-D376-494F-B1C1-C48892834020}">
          <x14:formula1>
            <xm:f>'Drop-downs'!$B$49:$B$52</xm:f>
          </x14:formula1>
          <xm:sqref>C63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I100"/>
  <sheetViews>
    <sheetView showGridLines="0" topLeftCell="A4" zoomScale="80" zoomScaleNormal="80" workbookViewId="0">
      <selection activeCell="B13" sqref="B13:G32"/>
    </sheetView>
  </sheetViews>
  <sheetFormatPr defaultColWidth="9.140625" defaultRowHeight="18" customHeight="1" x14ac:dyDescent="0.3"/>
  <cols>
    <col min="1" max="1" width="9.140625" style="135"/>
    <col min="2" max="2" width="30.7109375" style="135" bestFit="1" customWidth="1"/>
    <col min="3" max="3" width="57.7109375" style="135" bestFit="1" customWidth="1"/>
    <col min="4" max="4" width="9.140625" style="135"/>
    <col min="5" max="5" width="25.140625" style="135" bestFit="1" customWidth="1"/>
    <col min="6" max="6" width="47.42578125" style="135" customWidth="1"/>
    <col min="7" max="8" width="9.140625" style="135"/>
    <col min="9" max="9" width="2.7109375" style="135" customWidth="1"/>
    <col min="10" max="16384" width="9.140625" style="135"/>
  </cols>
  <sheetData>
    <row r="1" spans="2:9" ht="18" customHeight="1" thickBot="1" x14ac:dyDescent="0.35">
      <c r="I1" s="136"/>
    </row>
    <row r="2" spans="2:9" ht="18" customHeight="1" thickBot="1" x14ac:dyDescent="0.35">
      <c r="B2" s="660" t="str">
        <f>'Version Control'!$B$2</f>
        <v>Title Block</v>
      </c>
      <c r="C2" s="661"/>
      <c r="E2" s="152" t="s">
        <v>37</v>
      </c>
      <c r="I2" s="136"/>
    </row>
    <row r="3" spans="2:9" ht="18" customHeight="1" x14ac:dyDescent="0.3">
      <c r="B3" s="137" t="str">
        <f>'Version Control'!$B$3</f>
        <v>Test Report Template Name:</v>
      </c>
      <c r="C3" s="138" t="str">
        <f>'Version Control'!C3</f>
        <v>Small Electric Motors</v>
      </c>
      <c r="I3" s="136"/>
    </row>
    <row r="4" spans="2:9" ht="18" customHeight="1" x14ac:dyDescent="0.3">
      <c r="B4" s="139" t="str">
        <f>'Version Control'!$B$4</f>
        <v>Version Number:</v>
      </c>
      <c r="C4" s="140" t="str">
        <f>'Version Control'!C4</f>
        <v>v1.0</v>
      </c>
      <c r="I4" s="136"/>
    </row>
    <row r="5" spans="2:9" ht="18" customHeight="1" x14ac:dyDescent="0.3">
      <c r="B5" s="139" t="str">
        <f>'Version Control'!$B$5</f>
        <v xml:space="preserve">Latest Template Revision: </v>
      </c>
      <c r="C5" s="141">
        <f>'Version Control'!C5</f>
        <v>45575</v>
      </c>
      <c r="I5" s="136"/>
    </row>
    <row r="6" spans="2:9" ht="18" customHeight="1" x14ac:dyDescent="0.3">
      <c r="B6" s="139" t="str">
        <f>'Version Control'!$B$6</f>
        <v>Tab Name:</v>
      </c>
      <c r="C6" s="142" t="str">
        <f ca="1">MID(CELL("filename",A1), FIND("]", CELL("filename", A1))+ 1, 255)</f>
        <v>Photos</v>
      </c>
      <c r="I6" s="136"/>
    </row>
    <row r="7" spans="2:9" ht="36" customHeight="1" x14ac:dyDescent="0.3">
      <c r="B7" s="99" t="str">
        <f>'Version Control'!$B$7</f>
        <v>File Name:</v>
      </c>
      <c r="C7" s="143" t="str">
        <f ca="1">'Version Control'!C7</f>
        <v>Small Electric Motors - v1.0.xlsx</v>
      </c>
      <c r="I7" s="136"/>
    </row>
    <row r="8" spans="2:9" ht="16.5" x14ac:dyDescent="0.3">
      <c r="B8" s="144" t="s">
        <v>42</v>
      </c>
      <c r="C8" s="145" t="str">
        <f>'General Info &amp; Test Results'!C17</f>
        <v>[MM/DD/YYYY]</v>
      </c>
      <c r="I8" s="136"/>
    </row>
    <row r="9" spans="2:9" ht="18" customHeight="1" thickBot="1" x14ac:dyDescent="0.35">
      <c r="B9" s="146" t="str">
        <f>'Version Control'!$B$9</f>
        <v>Date Test Finished:</v>
      </c>
      <c r="C9" s="147" t="str">
        <f>'Version Control'!C9</f>
        <v>[MM/DD/YYYY]</v>
      </c>
      <c r="I9" s="136"/>
    </row>
    <row r="10" spans="2:9" ht="18" customHeight="1" x14ac:dyDescent="0.3">
      <c r="B10" s="148"/>
      <c r="C10" s="149"/>
      <c r="I10" s="136"/>
    </row>
    <row r="11" spans="2:9" ht="18" customHeight="1" thickBot="1" x14ac:dyDescent="0.35">
      <c r="B11" s="148"/>
      <c r="C11" s="149"/>
      <c r="I11" s="136"/>
    </row>
    <row r="12" spans="2:9" ht="18" customHeight="1" thickBot="1" x14ac:dyDescent="0.35">
      <c r="B12" s="844" t="s">
        <v>504</v>
      </c>
      <c r="C12" s="845"/>
      <c r="D12" s="845"/>
      <c r="E12" s="845"/>
      <c r="F12" s="845"/>
      <c r="G12" s="846"/>
      <c r="I12" s="136"/>
    </row>
    <row r="13" spans="2:9" ht="18" customHeight="1" x14ac:dyDescent="0.3">
      <c r="B13" s="832"/>
      <c r="C13" s="833"/>
      <c r="D13" s="833"/>
      <c r="E13" s="833"/>
      <c r="F13" s="833"/>
      <c r="G13" s="834"/>
      <c r="I13" s="136"/>
    </row>
    <row r="14" spans="2:9" ht="18" customHeight="1" x14ac:dyDescent="0.3">
      <c r="B14" s="835"/>
      <c r="C14" s="836"/>
      <c r="D14" s="836"/>
      <c r="E14" s="836"/>
      <c r="F14" s="836"/>
      <c r="G14" s="837"/>
      <c r="I14" s="136"/>
    </row>
    <row r="15" spans="2:9" ht="18" customHeight="1" x14ac:dyDescent="0.3">
      <c r="B15" s="835"/>
      <c r="C15" s="836"/>
      <c r="D15" s="836"/>
      <c r="E15" s="836"/>
      <c r="F15" s="836"/>
      <c r="G15" s="837"/>
      <c r="I15" s="136"/>
    </row>
    <row r="16" spans="2:9" ht="18" customHeight="1" x14ac:dyDescent="0.3">
      <c r="B16" s="835"/>
      <c r="C16" s="836"/>
      <c r="D16" s="836"/>
      <c r="E16" s="836"/>
      <c r="F16" s="836"/>
      <c r="G16" s="837"/>
      <c r="I16" s="136"/>
    </row>
    <row r="17" spans="2:9" ht="18" customHeight="1" x14ac:dyDescent="0.3">
      <c r="B17" s="835"/>
      <c r="C17" s="836"/>
      <c r="D17" s="836"/>
      <c r="E17" s="836"/>
      <c r="F17" s="836"/>
      <c r="G17" s="837"/>
      <c r="I17" s="136"/>
    </row>
    <row r="18" spans="2:9" ht="18" customHeight="1" x14ac:dyDescent="0.3">
      <c r="B18" s="835"/>
      <c r="C18" s="836"/>
      <c r="D18" s="836"/>
      <c r="E18" s="836"/>
      <c r="F18" s="836"/>
      <c r="G18" s="837"/>
      <c r="I18" s="136"/>
    </row>
    <row r="19" spans="2:9" ht="18" customHeight="1" x14ac:dyDescent="0.3">
      <c r="B19" s="835"/>
      <c r="C19" s="836"/>
      <c r="D19" s="836"/>
      <c r="E19" s="836"/>
      <c r="F19" s="836"/>
      <c r="G19" s="837"/>
      <c r="I19" s="136"/>
    </row>
    <row r="20" spans="2:9" ht="18" customHeight="1" x14ac:dyDescent="0.3">
      <c r="B20" s="835"/>
      <c r="C20" s="836"/>
      <c r="D20" s="836"/>
      <c r="E20" s="836"/>
      <c r="F20" s="836"/>
      <c r="G20" s="837"/>
      <c r="I20" s="136"/>
    </row>
    <row r="21" spans="2:9" ht="18" customHeight="1" x14ac:dyDescent="0.3">
      <c r="B21" s="835"/>
      <c r="C21" s="836"/>
      <c r="D21" s="836"/>
      <c r="E21" s="836"/>
      <c r="F21" s="836"/>
      <c r="G21" s="837"/>
      <c r="I21" s="136"/>
    </row>
    <row r="22" spans="2:9" ht="18" customHeight="1" x14ac:dyDescent="0.3">
      <c r="B22" s="835"/>
      <c r="C22" s="836"/>
      <c r="D22" s="836"/>
      <c r="E22" s="836"/>
      <c r="F22" s="836"/>
      <c r="G22" s="837"/>
      <c r="I22" s="136"/>
    </row>
    <row r="23" spans="2:9" ht="18" customHeight="1" x14ac:dyDescent="0.3">
      <c r="B23" s="835"/>
      <c r="C23" s="836"/>
      <c r="D23" s="836"/>
      <c r="E23" s="836"/>
      <c r="F23" s="836"/>
      <c r="G23" s="837"/>
      <c r="I23" s="136"/>
    </row>
    <row r="24" spans="2:9" ht="18" customHeight="1" x14ac:dyDescent="0.3">
      <c r="B24" s="835"/>
      <c r="C24" s="836"/>
      <c r="D24" s="836"/>
      <c r="E24" s="836"/>
      <c r="F24" s="836"/>
      <c r="G24" s="837"/>
      <c r="I24" s="136"/>
    </row>
    <row r="25" spans="2:9" ht="18" customHeight="1" x14ac:dyDescent="0.3">
      <c r="B25" s="835"/>
      <c r="C25" s="836"/>
      <c r="D25" s="836"/>
      <c r="E25" s="836"/>
      <c r="F25" s="836"/>
      <c r="G25" s="837"/>
      <c r="I25" s="136"/>
    </row>
    <row r="26" spans="2:9" ht="18" customHeight="1" x14ac:dyDescent="0.3">
      <c r="B26" s="835"/>
      <c r="C26" s="836"/>
      <c r="D26" s="836"/>
      <c r="E26" s="836"/>
      <c r="F26" s="836"/>
      <c r="G26" s="837"/>
      <c r="I26" s="136"/>
    </row>
    <row r="27" spans="2:9" ht="18" customHeight="1" x14ac:dyDescent="0.3">
      <c r="B27" s="835"/>
      <c r="C27" s="836"/>
      <c r="D27" s="836"/>
      <c r="E27" s="836"/>
      <c r="F27" s="836"/>
      <c r="G27" s="837"/>
      <c r="I27" s="136"/>
    </row>
    <row r="28" spans="2:9" ht="18" customHeight="1" x14ac:dyDescent="0.3">
      <c r="B28" s="835"/>
      <c r="C28" s="836"/>
      <c r="D28" s="836"/>
      <c r="E28" s="836"/>
      <c r="F28" s="836"/>
      <c r="G28" s="837"/>
      <c r="I28" s="136"/>
    </row>
    <row r="29" spans="2:9" ht="18" customHeight="1" x14ac:dyDescent="0.3">
      <c r="B29" s="835"/>
      <c r="C29" s="836"/>
      <c r="D29" s="836"/>
      <c r="E29" s="836"/>
      <c r="F29" s="836"/>
      <c r="G29" s="837"/>
      <c r="I29" s="136"/>
    </row>
    <row r="30" spans="2:9" ht="18" customHeight="1" x14ac:dyDescent="0.3">
      <c r="B30" s="835"/>
      <c r="C30" s="836"/>
      <c r="D30" s="836"/>
      <c r="E30" s="836"/>
      <c r="F30" s="836"/>
      <c r="G30" s="837"/>
      <c r="I30" s="136"/>
    </row>
    <row r="31" spans="2:9" ht="18" customHeight="1" x14ac:dyDescent="0.3">
      <c r="B31" s="835"/>
      <c r="C31" s="836"/>
      <c r="D31" s="836"/>
      <c r="E31" s="836"/>
      <c r="F31" s="836"/>
      <c r="G31" s="837"/>
      <c r="I31" s="136"/>
    </row>
    <row r="32" spans="2:9" ht="18" customHeight="1" thickBot="1" x14ac:dyDescent="0.35">
      <c r="B32" s="838"/>
      <c r="C32" s="839"/>
      <c r="D32" s="839"/>
      <c r="E32" s="839"/>
      <c r="F32" s="839"/>
      <c r="G32" s="840"/>
      <c r="I32" s="136"/>
    </row>
    <row r="33" spans="2:9" ht="18" customHeight="1" thickBot="1" x14ac:dyDescent="0.35">
      <c r="B33" s="150"/>
      <c r="C33" s="150"/>
      <c r="D33" s="150"/>
      <c r="E33" s="150"/>
      <c r="F33" s="150"/>
      <c r="G33" s="150"/>
      <c r="I33" s="136"/>
    </row>
    <row r="34" spans="2:9" ht="18" customHeight="1" thickBot="1" x14ac:dyDescent="0.35">
      <c r="B34" s="841" t="s">
        <v>505</v>
      </c>
      <c r="C34" s="842"/>
      <c r="D34" s="842"/>
      <c r="E34" s="842"/>
      <c r="F34" s="842"/>
      <c r="G34" s="843"/>
      <c r="I34" s="136"/>
    </row>
    <row r="35" spans="2:9" ht="18" customHeight="1" x14ac:dyDescent="0.3">
      <c r="B35" s="832"/>
      <c r="C35" s="833"/>
      <c r="D35" s="833"/>
      <c r="E35" s="833"/>
      <c r="F35" s="833"/>
      <c r="G35" s="834"/>
      <c r="I35" s="136"/>
    </row>
    <row r="36" spans="2:9" ht="18" customHeight="1" x14ac:dyDescent="0.3">
      <c r="B36" s="835"/>
      <c r="C36" s="836"/>
      <c r="D36" s="836"/>
      <c r="E36" s="836"/>
      <c r="F36" s="836"/>
      <c r="G36" s="837"/>
      <c r="I36" s="136"/>
    </row>
    <row r="37" spans="2:9" ht="18" customHeight="1" x14ac:dyDescent="0.3">
      <c r="B37" s="835"/>
      <c r="C37" s="836"/>
      <c r="D37" s="836"/>
      <c r="E37" s="836"/>
      <c r="F37" s="836"/>
      <c r="G37" s="837"/>
      <c r="I37" s="136"/>
    </row>
    <row r="38" spans="2:9" ht="18" customHeight="1" x14ac:dyDescent="0.3">
      <c r="B38" s="835"/>
      <c r="C38" s="836"/>
      <c r="D38" s="836"/>
      <c r="E38" s="836"/>
      <c r="F38" s="836"/>
      <c r="G38" s="837"/>
      <c r="I38" s="136"/>
    </row>
    <row r="39" spans="2:9" ht="18" customHeight="1" x14ac:dyDescent="0.3">
      <c r="B39" s="835"/>
      <c r="C39" s="836"/>
      <c r="D39" s="836"/>
      <c r="E39" s="836"/>
      <c r="F39" s="836"/>
      <c r="G39" s="837"/>
      <c r="I39" s="136"/>
    </row>
    <row r="40" spans="2:9" ht="18" customHeight="1" x14ac:dyDescent="0.3">
      <c r="B40" s="835"/>
      <c r="C40" s="836"/>
      <c r="D40" s="836"/>
      <c r="E40" s="836"/>
      <c r="F40" s="836"/>
      <c r="G40" s="837"/>
      <c r="I40" s="136"/>
    </row>
    <row r="41" spans="2:9" ht="18" customHeight="1" x14ac:dyDescent="0.3">
      <c r="B41" s="835"/>
      <c r="C41" s="836"/>
      <c r="D41" s="836"/>
      <c r="E41" s="836"/>
      <c r="F41" s="836"/>
      <c r="G41" s="837"/>
      <c r="I41" s="136"/>
    </row>
    <row r="42" spans="2:9" ht="18" customHeight="1" x14ac:dyDescent="0.3">
      <c r="B42" s="835"/>
      <c r="C42" s="836"/>
      <c r="D42" s="836"/>
      <c r="E42" s="836"/>
      <c r="F42" s="836"/>
      <c r="G42" s="837"/>
      <c r="I42" s="136"/>
    </row>
    <row r="43" spans="2:9" ht="18" customHeight="1" x14ac:dyDescent="0.3">
      <c r="B43" s="835"/>
      <c r="C43" s="836"/>
      <c r="D43" s="836"/>
      <c r="E43" s="836"/>
      <c r="F43" s="836"/>
      <c r="G43" s="837"/>
      <c r="I43" s="136"/>
    </row>
    <row r="44" spans="2:9" ht="18" customHeight="1" x14ac:dyDescent="0.3">
      <c r="B44" s="835"/>
      <c r="C44" s="836"/>
      <c r="D44" s="836"/>
      <c r="E44" s="836"/>
      <c r="F44" s="836"/>
      <c r="G44" s="837"/>
      <c r="I44" s="136"/>
    </row>
    <row r="45" spans="2:9" ht="18" customHeight="1" x14ac:dyDescent="0.3">
      <c r="B45" s="835"/>
      <c r="C45" s="836"/>
      <c r="D45" s="836"/>
      <c r="E45" s="836"/>
      <c r="F45" s="836"/>
      <c r="G45" s="837"/>
      <c r="I45" s="136"/>
    </row>
    <row r="46" spans="2:9" ht="18" customHeight="1" x14ac:dyDescent="0.3">
      <c r="B46" s="835"/>
      <c r="C46" s="836"/>
      <c r="D46" s="836"/>
      <c r="E46" s="836"/>
      <c r="F46" s="836"/>
      <c r="G46" s="837"/>
      <c r="I46" s="136"/>
    </row>
    <row r="47" spans="2:9" ht="18" customHeight="1" x14ac:dyDescent="0.3">
      <c r="B47" s="835"/>
      <c r="C47" s="836"/>
      <c r="D47" s="836"/>
      <c r="E47" s="836"/>
      <c r="F47" s="836"/>
      <c r="G47" s="837"/>
      <c r="I47" s="136"/>
    </row>
    <row r="48" spans="2:9" ht="18" customHeight="1" x14ac:dyDescent="0.3">
      <c r="B48" s="835"/>
      <c r="C48" s="836"/>
      <c r="D48" s="836"/>
      <c r="E48" s="836"/>
      <c r="F48" s="836"/>
      <c r="G48" s="837"/>
      <c r="I48" s="136"/>
    </row>
    <row r="49" spans="2:9" ht="18" customHeight="1" x14ac:dyDescent="0.3">
      <c r="B49" s="835"/>
      <c r="C49" s="836"/>
      <c r="D49" s="836"/>
      <c r="E49" s="836"/>
      <c r="F49" s="836"/>
      <c r="G49" s="837"/>
      <c r="I49" s="136"/>
    </row>
    <row r="50" spans="2:9" ht="18" customHeight="1" x14ac:dyDescent="0.3">
      <c r="B50" s="835"/>
      <c r="C50" s="836"/>
      <c r="D50" s="836"/>
      <c r="E50" s="836"/>
      <c r="F50" s="836"/>
      <c r="G50" s="837"/>
      <c r="I50" s="136"/>
    </row>
    <row r="51" spans="2:9" ht="18" customHeight="1" x14ac:dyDescent="0.3">
      <c r="B51" s="835"/>
      <c r="C51" s="836"/>
      <c r="D51" s="836"/>
      <c r="E51" s="836"/>
      <c r="F51" s="836"/>
      <c r="G51" s="837"/>
      <c r="I51" s="136"/>
    </row>
    <row r="52" spans="2:9" ht="18" customHeight="1" x14ac:dyDescent="0.3">
      <c r="B52" s="835"/>
      <c r="C52" s="836"/>
      <c r="D52" s="836"/>
      <c r="E52" s="836"/>
      <c r="F52" s="836"/>
      <c r="G52" s="837"/>
      <c r="I52" s="136"/>
    </row>
    <row r="53" spans="2:9" ht="18" customHeight="1" x14ac:dyDescent="0.3">
      <c r="B53" s="835"/>
      <c r="C53" s="836"/>
      <c r="D53" s="836"/>
      <c r="E53" s="836"/>
      <c r="F53" s="836"/>
      <c r="G53" s="837"/>
      <c r="I53" s="136"/>
    </row>
    <row r="54" spans="2:9" ht="18" customHeight="1" thickBot="1" x14ac:dyDescent="0.35">
      <c r="B54" s="838"/>
      <c r="C54" s="839"/>
      <c r="D54" s="839"/>
      <c r="E54" s="839"/>
      <c r="F54" s="839"/>
      <c r="G54" s="840"/>
      <c r="I54" s="136"/>
    </row>
    <row r="55" spans="2:9" ht="18" customHeight="1" thickBot="1" x14ac:dyDescent="0.35">
      <c r="B55" s="151"/>
      <c r="C55" s="151"/>
      <c r="D55" s="151"/>
      <c r="E55" s="151"/>
      <c r="F55" s="151"/>
      <c r="G55" s="151"/>
      <c r="I55" s="136"/>
    </row>
    <row r="56" spans="2:9" ht="18" customHeight="1" thickBot="1" x14ac:dyDescent="0.35">
      <c r="B56" s="841" t="s">
        <v>506</v>
      </c>
      <c r="C56" s="842"/>
      <c r="D56" s="842"/>
      <c r="E56" s="842"/>
      <c r="F56" s="842"/>
      <c r="G56" s="843"/>
      <c r="I56" s="136"/>
    </row>
    <row r="57" spans="2:9" ht="18" customHeight="1" x14ac:dyDescent="0.3">
      <c r="B57" s="832"/>
      <c r="C57" s="833"/>
      <c r="D57" s="833"/>
      <c r="E57" s="833"/>
      <c r="F57" s="833"/>
      <c r="G57" s="834"/>
      <c r="I57" s="136"/>
    </row>
    <row r="58" spans="2:9" ht="18" customHeight="1" x14ac:dyDescent="0.3">
      <c r="B58" s="835"/>
      <c r="C58" s="836"/>
      <c r="D58" s="836"/>
      <c r="E58" s="836"/>
      <c r="F58" s="836"/>
      <c r="G58" s="837"/>
      <c r="I58" s="136"/>
    </row>
    <row r="59" spans="2:9" ht="18" customHeight="1" x14ac:dyDescent="0.3">
      <c r="B59" s="835"/>
      <c r="C59" s="836"/>
      <c r="D59" s="836"/>
      <c r="E59" s="836"/>
      <c r="F59" s="836"/>
      <c r="G59" s="837"/>
      <c r="I59" s="136"/>
    </row>
    <row r="60" spans="2:9" ht="18" customHeight="1" x14ac:dyDescent="0.3">
      <c r="B60" s="835"/>
      <c r="C60" s="836"/>
      <c r="D60" s="836"/>
      <c r="E60" s="836"/>
      <c r="F60" s="836"/>
      <c r="G60" s="837"/>
      <c r="I60" s="136"/>
    </row>
    <row r="61" spans="2:9" ht="18" customHeight="1" x14ac:dyDescent="0.3">
      <c r="B61" s="835"/>
      <c r="C61" s="836"/>
      <c r="D61" s="836"/>
      <c r="E61" s="836"/>
      <c r="F61" s="836"/>
      <c r="G61" s="837"/>
      <c r="I61" s="136"/>
    </row>
    <row r="62" spans="2:9" ht="18" customHeight="1" x14ac:dyDescent="0.3">
      <c r="B62" s="835"/>
      <c r="C62" s="836"/>
      <c r="D62" s="836"/>
      <c r="E62" s="836"/>
      <c r="F62" s="836"/>
      <c r="G62" s="837"/>
      <c r="I62" s="136"/>
    </row>
    <row r="63" spans="2:9" ht="18" customHeight="1" x14ac:dyDescent="0.3">
      <c r="B63" s="835"/>
      <c r="C63" s="836"/>
      <c r="D63" s="836"/>
      <c r="E63" s="836"/>
      <c r="F63" s="836"/>
      <c r="G63" s="837"/>
      <c r="I63" s="136"/>
    </row>
    <row r="64" spans="2:9" ht="18" customHeight="1" x14ac:dyDescent="0.3">
      <c r="B64" s="835"/>
      <c r="C64" s="836"/>
      <c r="D64" s="836"/>
      <c r="E64" s="836"/>
      <c r="F64" s="836"/>
      <c r="G64" s="837"/>
      <c r="I64" s="136"/>
    </row>
    <row r="65" spans="2:9" ht="18" customHeight="1" x14ac:dyDescent="0.3">
      <c r="B65" s="835"/>
      <c r="C65" s="836"/>
      <c r="D65" s="836"/>
      <c r="E65" s="836"/>
      <c r="F65" s="836"/>
      <c r="G65" s="837"/>
      <c r="I65" s="136"/>
    </row>
    <row r="66" spans="2:9" ht="18" customHeight="1" x14ac:dyDescent="0.3">
      <c r="B66" s="835"/>
      <c r="C66" s="836"/>
      <c r="D66" s="836"/>
      <c r="E66" s="836"/>
      <c r="F66" s="836"/>
      <c r="G66" s="837"/>
      <c r="I66" s="136"/>
    </row>
    <row r="67" spans="2:9" ht="18" customHeight="1" x14ac:dyDescent="0.3">
      <c r="B67" s="835"/>
      <c r="C67" s="836"/>
      <c r="D67" s="836"/>
      <c r="E67" s="836"/>
      <c r="F67" s="836"/>
      <c r="G67" s="837"/>
      <c r="I67" s="136"/>
    </row>
    <row r="68" spans="2:9" ht="18" customHeight="1" x14ac:dyDescent="0.3">
      <c r="B68" s="835"/>
      <c r="C68" s="836"/>
      <c r="D68" s="836"/>
      <c r="E68" s="836"/>
      <c r="F68" s="836"/>
      <c r="G68" s="837"/>
      <c r="I68" s="136"/>
    </row>
    <row r="69" spans="2:9" ht="18" customHeight="1" x14ac:dyDescent="0.3">
      <c r="B69" s="835"/>
      <c r="C69" s="836"/>
      <c r="D69" s="836"/>
      <c r="E69" s="836"/>
      <c r="F69" s="836"/>
      <c r="G69" s="837"/>
      <c r="I69" s="136"/>
    </row>
    <row r="70" spans="2:9" ht="18" customHeight="1" x14ac:dyDescent="0.3">
      <c r="B70" s="835"/>
      <c r="C70" s="836"/>
      <c r="D70" s="836"/>
      <c r="E70" s="836"/>
      <c r="F70" s="836"/>
      <c r="G70" s="837"/>
      <c r="I70" s="136"/>
    </row>
    <row r="71" spans="2:9" ht="18" customHeight="1" x14ac:dyDescent="0.3">
      <c r="B71" s="835"/>
      <c r="C71" s="836"/>
      <c r="D71" s="836"/>
      <c r="E71" s="836"/>
      <c r="F71" s="836"/>
      <c r="G71" s="837"/>
      <c r="I71" s="136"/>
    </row>
    <row r="72" spans="2:9" ht="18" customHeight="1" x14ac:dyDescent="0.3">
      <c r="B72" s="835"/>
      <c r="C72" s="836"/>
      <c r="D72" s="836"/>
      <c r="E72" s="836"/>
      <c r="F72" s="836"/>
      <c r="G72" s="837"/>
      <c r="I72" s="136"/>
    </row>
    <row r="73" spans="2:9" ht="18" customHeight="1" x14ac:dyDescent="0.3">
      <c r="B73" s="835"/>
      <c r="C73" s="836"/>
      <c r="D73" s="836"/>
      <c r="E73" s="836"/>
      <c r="F73" s="836"/>
      <c r="G73" s="837"/>
      <c r="I73" s="136"/>
    </row>
    <row r="74" spans="2:9" ht="18" customHeight="1" x14ac:dyDescent="0.3">
      <c r="B74" s="835"/>
      <c r="C74" s="836"/>
      <c r="D74" s="836"/>
      <c r="E74" s="836"/>
      <c r="F74" s="836"/>
      <c r="G74" s="837"/>
      <c r="I74" s="136"/>
    </row>
    <row r="75" spans="2:9" ht="18" customHeight="1" x14ac:dyDescent="0.3">
      <c r="B75" s="835"/>
      <c r="C75" s="836"/>
      <c r="D75" s="836"/>
      <c r="E75" s="836"/>
      <c r="F75" s="836"/>
      <c r="G75" s="837"/>
      <c r="I75" s="136"/>
    </row>
    <row r="76" spans="2:9" ht="18" customHeight="1" thickBot="1" x14ac:dyDescent="0.35">
      <c r="B76" s="838"/>
      <c r="C76" s="839"/>
      <c r="D76" s="839"/>
      <c r="E76" s="839"/>
      <c r="F76" s="839"/>
      <c r="G76" s="840"/>
      <c r="I76" s="136"/>
    </row>
    <row r="77" spans="2:9" ht="18" customHeight="1" thickBot="1" x14ac:dyDescent="0.35">
      <c r="I77" s="136"/>
    </row>
    <row r="78" spans="2:9" ht="18" customHeight="1" thickBot="1" x14ac:dyDescent="0.35">
      <c r="B78" s="841" t="s">
        <v>507</v>
      </c>
      <c r="C78" s="842"/>
      <c r="D78" s="842"/>
      <c r="E78" s="842"/>
      <c r="F78" s="842"/>
      <c r="G78" s="843"/>
      <c r="I78" s="136"/>
    </row>
    <row r="79" spans="2:9" ht="18" customHeight="1" x14ac:dyDescent="0.3">
      <c r="B79" s="832"/>
      <c r="C79" s="833"/>
      <c r="D79" s="833"/>
      <c r="E79" s="833"/>
      <c r="F79" s="833"/>
      <c r="G79" s="834"/>
      <c r="I79" s="136"/>
    </row>
    <row r="80" spans="2:9" ht="18" customHeight="1" x14ac:dyDescent="0.3">
      <c r="B80" s="835"/>
      <c r="C80" s="836"/>
      <c r="D80" s="836"/>
      <c r="E80" s="836"/>
      <c r="F80" s="836"/>
      <c r="G80" s="837"/>
      <c r="I80" s="136"/>
    </row>
    <row r="81" spans="2:9" ht="18" customHeight="1" x14ac:dyDescent="0.3">
      <c r="B81" s="835"/>
      <c r="C81" s="836"/>
      <c r="D81" s="836"/>
      <c r="E81" s="836"/>
      <c r="F81" s="836"/>
      <c r="G81" s="837"/>
      <c r="I81" s="136"/>
    </row>
    <row r="82" spans="2:9" ht="18" customHeight="1" x14ac:dyDescent="0.3">
      <c r="B82" s="835"/>
      <c r="C82" s="836"/>
      <c r="D82" s="836"/>
      <c r="E82" s="836"/>
      <c r="F82" s="836"/>
      <c r="G82" s="837"/>
      <c r="I82" s="136"/>
    </row>
    <row r="83" spans="2:9" ht="18" customHeight="1" x14ac:dyDescent="0.3">
      <c r="B83" s="835"/>
      <c r="C83" s="836"/>
      <c r="D83" s="836"/>
      <c r="E83" s="836"/>
      <c r="F83" s="836"/>
      <c r="G83" s="837"/>
      <c r="I83" s="136"/>
    </row>
    <row r="84" spans="2:9" ht="18" customHeight="1" x14ac:dyDescent="0.3">
      <c r="B84" s="835"/>
      <c r="C84" s="836"/>
      <c r="D84" s="836"/>
      <c r="E84" s="836"/>
      <c r="F84" s="836"/>
      <c r="G84" s="837"/>
      <c r="I84" s="136"/>
    </row>
    <row r="85" spans="2:9" ht="18" customHeight="1" x14ac:dyDescent="0.3">
      <c r="B85" s="835"/>
      <c r="C85" s="836"/>
      <c r="D85" s="836"/>
      <c r="E85" s="836"/>
      <c r="F85" s="836"/>
      <c r="G85" s="837"/>
      <c r="I85" s="136"/>
    </row>
    <row r="86" spans="2:9" ht="18" customHeight="1" x14ac:dyDescent="0.3">
      <c r="B86" s="835"/>
      <c r="C86" s="836"/>
      <c r="D86" s="836"/>
      <c r="E86" s="836"/>
      <c r="F86" s="836"/>
      <c r="G86" s="837"/>
      <c r="I86" s="136"/>
    </row>
    <row r="87" spans="2:9" ht="18" customHeight="1" x14ac:dyDescent="0.3">
      <c r="B87" s="835"/>
      <c r="C87" s="836"/>
      <c r="D87" s="836"/>
      <c r="E87" s="836"/>
      <c r="F87" s="836"/>
      <c r="G87" s="837"/>
      <c r="I87" s="136"/>
    </row>
    <row r="88" spans="2:9" ht="18" customHeight="1" x14ac:dyDescent="0.3">
      <c r="B88" s="835"/>
      <c r="C88" s="836"/>
      <c r="D88" s="836"/>
      <c r="E88" s="836"/>
      <c r="F88" s="836"/>
      <c r="G88" s="837"/>
      <c r="I88" s="136"/>
    </row>
    <row r="89" spans="2:9" ht="18" customHeight="1" x14ac:dyDescent="0.3">
      <c r="B89" s="835"/>
      <c r="C89" s="836"/>
      <c r="D89" s="836"/>
      <c r="E89" s="836"/>
      <c r="F89" s="836"/>
      <c r="G89" s="837"/>
      <c r="I89" s="136"/>
    </row>
    <row r="90" spans="2:9" ht="18" customHeight="1" x14ac:dyDescent="0.3">
      <c r="B90" s="835"/>
      <c r="C90" s="836"/>
      <c r="D90" s="836"/>
      <c r="E90" s="836"/>
      <c r="F90" s="836"/>
      <c r="G90" s="837"/>
      <c r="I90" s="136"/>
    </row>
    <row r="91" spans="2:9" ht="18" customHeight="1" x14ac:dyDescent="0.3">
      <c r="B91" s="835"/>
      <c r="C91" s="836"/>
      <c r="D91" s="836"/>
      <c r="E91" s="836"/>
      <c r="F91" s="836"/>
      <c r="G91" s="837"/>
      <c r="I91" s="136"/>
    </row>
    <row r="92" spans="2:9" ht="18" customHeight="1" x14ac:dyDescent="0.3">
      <c r="B92" s="835"/>
      <c r="C92" s="836"/>
      <c r="D92" s="836"/>
      <c r="E92" s="836"/>
      <c r="F92" s="836"/>
      <c r="G92" s="837"/>
      <c r="I92" s="136"/>
    </row>
    <row r="93" spans="2:9" ht="18" customHeight="1" x14ac:dyDescent="0.3">
      <c r="B93" s="835"/>
      <c r="C93" s="836"/>
      <c r="D93" s="836"/>
      <c r="E93" s="836"/>
      <c r="F93" s="836"/>
      <c r="G93" s="837"/>
      <c r="I93" s="136"/>
    </row>
    <row r="94" spans="2:9" ht="18" customHeight="1" x14ac:dyDescent="0.3">
      <c r="B94" s="835"/>
      <c r="C94" s="836"/>
      <c r="D94" s="836"/>
      <c r="E94" s="836"/>
      <c r="F94" s="836"/>
      <c r="G94" s="837"/>
      <c r="I94" s="136"/>
    </row>
    <row r="95" spans="2:9" ht="18" customHeight="1" x14ac:dyDescent="0.3">
      <c r="B95" s="835"/>
      <c r="C95" s="836"/>
      <c r="D95" s="836"/>
      <c r="E95" s="836"/>
      <c r="F95" s="836"/>
      <c r="G95" s="837"/>
      <c r="I95" s="136"/>
    </row>
    <row r="96" spans="2:9" ht="18" customHeight="1" x14ac:dyDescent="0.3">
      <c r="B96" s="835"/>
      <c r="C96" s="836"/>
      <c r="D96" s="836"/>
      <c r="E96" s="836"/>
      <c r="F96" s="836"/>
      <c r="G96" s="837"/>
      <c r="I96" s="136"/>
    </row>
    <row r="97" spans="1:9" ht="18" customHeight="1" x14ac:dyDescent="0.3">
      <c r="B97" s="835"/>
      <c r="C97" s="836"/>
      <c r="D97" s="836"/>
      <c r="E97" s="836"/>
      <c r="F97" s="836"/>
      <c r="G97" s="837"/>
      <c r="I97" s="136"/>
    </row>
    <row r="98" spans="1:9" ht="18" customHeight="1" thickBot="1" x14ac:dyDescent="0.35">
      <c r="B98" s="838"/>
      <c r="C98" s="839"/>
      <c r="D98" s="839"/>
      <c r="E98" s="839"/>
      <c r="F98" s="839"/>
      <c r="G98" s="840"/>
      <c r="I98" s="136"/>
    </row>
    <row r="99" spans="1:9" ht="18" customHeight="1" x14ac:dyDescent="0.3">
      <c r="I99" s="136"/>
    </row>
    <row r="100" spans="1:9" ht="18" customHeight="1" x14ac:dyDescent="0.3">
      <c r="A100" s="136"/>
      <c r="B100" s="136"/>
      <c r="C100" s="136"/>
      <c r="D100" s="136"/>
      <c r="E100" s="136"/>
      <c r="F100" s="136"/>
      <c r="G100" s="136"/>
      <c r="H100" s="136"/>
      <c r="I100" s="136"/>
    </row>
  </sheetData>
  <sheetProtection algorithmName="SHA-512" hashValue="ZgbtBwJj9OP0gCvYg4l19sPQ7tr2iM07JF54O3lM2yQAwFIQVgg9aZXfQ4KkQED0gyyqKJXihd4gOC8waFkGGw==" saltValue="KwAWeIcEe5Zh+tuB1zWPdw==" spinCount="100000" sheet="1" selectLockedCells="1"/>
  <mergeCells count="9">
    <mergeCell ref="B2:C2"/>
    <mergeCell ref="B79:G98"/>
    <mergeCell ref="B34:G34"/>
    <mergeCell ref="B35:G54"/>
    <mergeCell ref="B12:G12"/>
    <mergeCell ref="B13:G32"/>
    <mergeCell ref="B78:G78"/>
    <mergeCell ref="B56:G56"/>
    <mergeCell ref="B57:G76"/>
  </mergeCells>
  <hyperlinks>
    <hyperlink ref="E2" location="Instructions!B37" display="Back to Instructions tab" xr:uid="{00000000-0004-0000-08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63"/>
  <sheetViews>
    <sheetView showGridLines="0" topLeftCell="A4" zoomScale="80" zoomScaleNormal="80" workbookViewId="0">
      <selection activeCell="B13" sqref="B13:F16"/>
    </sheetView>
  </sheetViews>
  <sheetFormatPr defaultColWidth="9.140625" defaultRowHeight="18" customHeight="1" x14ac:dyDescent="0.3"/>
  <cols>
    <col min="1" max="1" width="9.140625" style="21"/>
    <col min="2" max="2" width="30.7109375" style="21" bestFit="1" customWidth="1"/>
    <col min="3" max="3" width="57.7109375" style="21" bestFit="1" customWidth="1"/>
    <col min="4" max="4" width="9.140625" style="21"/>
    <col min="5" max="5" width="25.140625" style="21" bestFit="1" customWidth="1"/>
    <col min="6" max="6" width="58.5703125" style="21" customWidth="1"/>
    <col min="7" max="7" width="9.140625" style="21"/>
    <col min="8" max="8" width="2.7109375" style="21" customWidth="1"/>
    <col min="9" max="16384" width="9.140625" style="21"/>
  </cols>
  <sheetData>
    <row r="1" spans="2:8" ht="18" customHeight="1" thickBot="1" x14ac:dyDescent="0.35">
      <c r="H1" s="22"/>
    </row>
    <row r="2" spans="2:8" ht="18" customHeight="1" thickBot="1" x14ac:dyDescent="0.35">
      <c r="B2" s="660" t="str">
        <f>'Version Control'!$B$2</f>
        <v>Title Block</v>
      </c>
      <c r="C2" s="661"/>
      <c r="E2" s="152" t="s">
        <v>37</v>
      </c>
      <c r="H2" s="22"/>
    </row>
    <row r="3" spans="2:8" ht="18" customHeight="1" x14ac:dyDescent="0.3">
      <c r="B3" s="23" t="str">
        <f>'Version Control'!$B$3</f>
        <v>Test Report Template Name:</v>
      </c>
      <c r="C3" s="24" t="str">
        <f>'Version Control'!C3</f>
        <v>Small Electric Motors</v>
      </c>
      <c r="H3" s="22"/>
    </row>
    <row r="4" spans="2:8" ht="18" customHeight="1" x14ac:dyDescent="0.3">
      <c r="B4" s="25" t="str">
        <f>'Version Control'!$B$4</f>
        <v>Version Number:</v>
      </c>
      <c r="C4" s="26" t="str">
        <f>'Version Control'!C4</f>
        <v>v1.0</v>
      </c>
      <c r="E4" s="1"/>
      <c r="H4" s="22"/>
    </row>
    <row r="5" spans="2:8" ht="18" customHeight="1" x14ac:dyDescent="0.3">
      <c r="B5" s="25" t="str">
        <f>'Version Control'!$B$5</f>
        <v xml:space="preserve">Latest Template Revision: </v>
      </c>
      <c r="C5" s="27">
        <f>'Version Control'!C5</f>
        <v>45575</v>
      </c>
      <c r="H5" s="22"/>
    </row>
    <row r="6" spans="2:8" ht="18" customHeight="1" x14ac:dyDescent="0.3">
      <c r="B6" s="25" t="str">
        <f>'Version Control'!$B$6</f>
        <v>Tab Name:</v>
      </c>
      <c r="C6" s="28" t="str">
        <f ca="1">MID(CELL("filename",A1), FIND("]", CELL("filename", A1))+ 1, 255)</f>
        <v>Comments</v>
      </c>
      <c r="H6" s="22"/>
    </row>
    <row r="7" spans="2:8" ht="36" customHeight="1" x14ac:dyDescent="0.3">
      <c r="B7" s="18" t="str">
        <f>'Version Control'!$B$7</f>
        <v>File Name:</v>
      </c>
      <c r="C7" s="47" t="str">
        <f ca="1">'Version Control'!C7</f>
        <v>Small Electric Motors - v1.0.xlsx</v>
      </c>
      <c r="H7" s="22"/>
    </row>
    <row r="8" spans="2:8" ht="16.5" x14ac:dyDescent="0.3">
      <c r="B8" s="55" t="s">
        <v>42</v>
      </c>
      <c r="C8" s="49" t="str">
        <f>'General Info &amp; Test Results'!C17</f>
        <v>[MM/DD/YYYY]</v>
      </c>
      <c r="H8" s="22"/>
    </row>
    <row r="9" spans="2:8" ht="18" customHeight="1" thickBot="1" x14ac:dyDescent="0.35">
      <c r="B9" s="50" t="str">
        <f>'Version Control'!$B$9</f>
        <v>Date Test Finished:</v>
      </c>
      <c r="C9" s="51" t="str">
        <f>'Version Control'!C9</f>
        <v>[MM/DD/YYYY]</v>
      </c>
      <c r="H9" s="22"/>
    </row>
    <row r="10" spans="2:8" ht="18" customHeight="1" x14ac:dyDescent="0.3">
      <c r="B10" s="29"/>
      <c r="C10" s="30"/>
      <c r="H10" s="22"/>
    </row>
    <row r="11" spans="2:8" ht="18" customHeight="1" thickBot="1" x14ac:dyDescent="0.35">
      <c r="B11" s="29"/>
      <c r="C11" s="30"/>
      <c r="H11" s="22"/>
    </row>
    <row r="12" spans="2:8" ht="18" customHeight="1" thickBot="1" x14ac:dyDescent="0.35">
      <c r="B12" s="841" t="s">
        <v>35</v>
      </c>
      <c r="C12" s="842"/>
      <c r="D12" s="842"/>
      <c r="E12" s="842"/>
      <c r="F12" s="843"/>
      <c r="H12" s="22"/>
    </row>
    <row r="13" spans="2:8" ht="18" customHeight="1" x14ac:dyDescent="0.3">
      <c r="B13" s="856"/>
      <c r="C13" s="857"/>
      <c r="D13" s="857"/>
      <c r="E13" s="857"/>
      <c r="F13" s="858"/>
      <c r="H13" s="22"/>
    </row>
    <row r="14" spans="2:8" ht="18" customHeight="1" x14ac:dyDescent="0.3">
      <c r="B14" s="850"/>
      <c r="C14" s="851"/>
      <c r="D14" s="851"/>
      <c r="E14" s="851"/>
      <c r="F14" s="852"/>
      <c r="H14" s="22"/>
    </row>
    <row r="15" spans="2:8" ht="18" customHeight="1" x14ac:dyDescent="0.3">
      <c r="B15" s="850"/>
      <c r="C15" s="851"/>
      <c r="D15" s="851"/>
      <c r="E15" s="851"/>
      <c r="F15" s="852"/>
      <c r="H15" s="22"/>
    </row>
    <row r="16" spans="2:8" ht="18" customHeight="1" x14ac:dyDescent="0.3">
      <c r="B16" s="859"/>
      <c r="C16" s="860"/>
      <c r="D16" s="860"/>
      <c r="E16" s="860"/>
      <c r="F16" s="861"/>
      <c r="H16" s="22"/>
    </row>
    <row r="17" spans="2:8" ht="18" customHeight="1" x14ac:dyDescent="0.3">
      <c r="B17" s="862"/>
      <c r="C17" s="863"/>
      <c r="D17" s="863"/>
      <c r="E17" s="863"/>
      <c r="F17" s="864"/>
      <c r="H17" s="22"/>
    </row>
    <row r="18" spans="2:8" ht="18" customHeight="1" x14ac:dyDescent="0.3">
      <c r="B18" s="847"/>
      <c r="C18" s="848"/>
      <c r="D18" s="848"/>
      <c r="E18" s="848"/>
      <c r="F18" s="849"/>
      <c r="H18" s="22"/>
    </row>
    <row r="19" spans="2:8" ht="18" customHeight="1" x14ac:dyDescent="0.3">
      <c r="B19" s="850"/>
      <c r="C19" s="851"/>
      <c r="D19" s="851"/>
      <c r="E19" s="851"/>
      <c r="F19" s="852"/>
      <c r="H19" s="22"/>
    </row>
    <row r="20" spans="2:8" ht="18" customHeight="1" x14ac:dyDescent="0.3">
      <c r="B20" s="850"/>
      <c r="C20" s="851"/>
      <c r="D20" s="851"/>
      <c r="E20" s="851"/>
      <c r="F20" s="852"/>
      <c r="H20" s="22"/>
    </row>
    <row r="21" spans="2:8" ht="18" customHeight="1" x14ac:dyDescent="0.3">
      <c r="B21" s="859"/>
      <c r="C21" s="860"/>
      <c r="D21" s="860"/>
      <c r="E21" s="860"/>
      <c r="F21" s="861"/>
      <c r="H21" s="22"/>
    </row>
    <row r="22" spans="2:8" ht="18" customHeight="1" x14ac:dyDescent="0.3">
      <c r="B22" s="862"/>
      <c r="C22" s="863"/>
      <c r="D22" s="863"/>
      <c r="E22" s="863"/>
      <c r="F22" s="864"/>
      <c r="H22" s="22"/>
    </row>
    <row r="23" spans="2:8" ht="18" customHeight="1" x14ac:dyDescent="0.3">
      <c r="B23" s="847"/>
      <c r="C23" s="848"/>
      <c r="D23" s="848"/>
      <c r="E23" s="848"/>
      <c r="F23" s="849"/>
      <c r="H23" s="22"/>
    </row>
    <row r="24" spans="2:8" ht="18" customHeight="1" x14ac:dyDescent="0.3">
      <c r="B24" s="850"/>
      <c r="C24" s="851"/>
      <c r="D24" s="851"/>
      <c r="E24" s="851"/>
      <c r="F24" s="852"/>
      <c r="H24" s="22"/>
    </row>
    <row r="25" spans="2:8" ht="18" customHeight="1" x14ac:dyDescent="0.3">
      <c r="B25" s="850"/>
      <c r="C25" s="851"/>
      <c r="D25" s="851"/>
      <c r="E25" s="851"/>
      <c r="F25" s="852"/>
      <c r="H25" s="22"/>
    </row>
    <row r="26" spans="2:8" ht="18" customHeight="1" x14ac:dyDescent="0.3">
      <c r="B26" s="859"/>
      <c r="C26" s="860"/>
      <c r="D26" s="860"/>
      <c r="E26" s="860"/>
      <c r="F26" s="861"/>
      <c r="H26" s="22"/>
    </row>
    <row r="27" spans="2:8" ht="18" customHeight="1" x14ac:dyDescent="0.3">
      <c r="B27" s="862"/>
      <c r="C27" s="863"/>
      <c r="D27" s="863"/>
      <c r="E27" s="863"/>
      <c r="F27" s="864"/>
      <c r="H27" s="22"/>
    </row>
    <row r="28" spans="2:8" ht="18" customHeight="1" x14ac:dyDescent="0.3">
      <c r="B28" s="847"/>
      <c r="C28" s="848"/>
      <c r="D28" s="848"/>
      <c r="E28" s="848"/>
      <c r="F28" s="849"/>
      <c r="H28" s="22"/>
    </row>
    <row r="29" spans="2:8" ht="18" customHeight="1" x14ac:dyDescent="0.3">
      <c r="B29" s="850"/>
      <c r="C29" s="851"/>
      <c r="D29" s="851"/>
      <c r="E29" s="851"/>
      <c r="F29" s="852"/>
      <c r="H29" s="22"/>
    </row>
    <row r="30" spans="2:8" ht="18" customHeight="1" x14ac:dyDescent="0.3">
      <c r="B30" s="850"/>
      <c r="C30" s="851"/>
      <c r="D30" s="851"/>
      <c r="E30" s="851"/>
      <c r="F30" s="852"/>
      <c r="H30" s="22"/>
    </row>
    <row r="31" spans="2:8" ht="18" customHeight="1" x14ac:dyDescent="0.3">
      <c r="B31" s="859"/>
      <c r="C31" s="860"/>
      <c r="D31" s="860"/>
      <c r="E31" s="860"/>
      <c r="F31" s="861"/>
      <c r="H31" s="22"/>
    </row>
    <row r="32" spans="2:8" ht="18" customHeight="1" x14ac:dyDescent="0.3">
      <c r="B32" s="862"/>
      <c r="C32" s="863"/>
      <c r="D32" s="863"/>
      <c r="E32" s="863"/>
      <c r="F32" s="864"/>
      <c r="H32" s="22"/>
    </row>
    <row r="33" spans="2:8" ht="18" customHeight="1" x14ac:dyDescent="0.3">
      <c r="B33" s="847"/>
      <c r="C33" s="848"/>
      <c r="D33" s="848"/>
      <c r="E33" s="848"/>
      <c r="F33" s="849"/>
      <c r="H33" s="22"/>
    </row>
    <row r="34" spans="2:8" ht="18" customHeight="1" x14ac:dyDescent="0.3">
      <c r="B34" s="850"/>
      <c r="C34" s="851"/>
      <c r="D34" s="851"/>
      <c r="E34" s="851"/>
      <c r="F34" s="852"/>
      <c r="H34" s="22"/>
    </row>
    <row r="35" spans="2:8" ht="18" customHeight="1" x14ac:dyDescent="0.3">
      <c r="B35" s="850"/>
      <c r="C35" s="851"/>
      <c r="D35" s="851"/>
      <c r="E35" s="851"/>
      <c r="F35" s="852"/>
      <c r="H35" s="22"/>
    </row>
    <row r="36" spans="2:8" ht="18" customHeight="1" x14ac:dyDescent="0.3">
      <c r="B36" s="859"/>
      <c r="C36" s="860"/>
      <c r="D36" s="860"/>
      <c r="E36" s="860"/>
      <c r="F36" s="861"/>
      <c r="H36" s="22"/>
    </row>
    <row r="37" spans="2:8" ht="18" customHeight="1" x14ac:dyDescent="0.3">
      <c r="B37" s="862"/>
      <c r="C37" s="863"/>
      <c r="D37" s="863"/>
      <c r="E37" s="863"/>
      <c r="F37" s="864"/>
      <c r="H37" s="22"/>
    </row>
    <row r="38" spans="2:8" ht="18" customHeight="1" x14ac:dyDescent="0.3">
      <c r="B38" s="847"/>
      <c r="C38" s="848"/>
      <c r="D38" s="848"/>
      <c r="E38" s="848"/>
      <c r="F38" s="849"/>
      <c r="H38" s="22"/>
    </row>
    <row r="39" spans="2:8" ht="18" customHeight="1" x14ac:dyDescent="0.3">
      <c r="B39" s="850"/>
      <c r="C39" s="851"/>
      <c r="D39" s="851"/>
      <c r="E39" s="851"/>
      <c r="F39" s="852"/>
      <c r="H39" s="22"/>
    </row>
    <row r="40" spans="2:8" ht="18" customHeight="1" x14ac:dyDescent="0.3">
      <c r="B40" s="850"/>
      <c r="C40" s="851"/>
      <c r="D40" s="851"/>
      <c r="E40" s="851"/>
      <c r="F40" s="852"/>
      <c r="H40" s="22"/>
    </row>
    <row r="41" spans="2:8" ht="18" customHeight="1" x14ac:dyDescent="0.3">
      <c r="B41" s="859"/>
      <c r="C41" s="860"/>
      <c r="D41" s="860"/>
      <c r="E41" s="860"/>
      <c r="F41" s="861"/>
      <c r="H41" s="22"/>
    </row>
    <row r="42" spans="2:8" ht="18" customHeight="1" x14ac:dyDescent="0.3">
      <c r="B42" s="862"/>
      <c r="C42" s="863"/>
      <c r="D42" s="863"/>
      <c r="E42" s="863"/>
      <c r="F42" s="864"/>
      <c r="H42" s="22"/>
    </row>
    <row r="43" spans="2:8" ht="18" customHeight="1" x14ac:dyDescent="0.3">
      <c r="B43" s="847"/>
      <c r="C43" s="848"/>
      <c r="D43" s="848"/>
      <c r="E43" s="848"/>
      <c r="F43" s="849"/>
      <c r="H43" s="22"/>
    </row>
    <row r="44" spans="2:8" ht="18" customHeight="1" x14ac:dyDescent="0.3">
      <c r="B44" s="850"/>
      <c r="C44" s="851"/>
      <c r="D44" s="851"/>
      <c r="E44" s="851"/>
      <c r="F44" s="852"/>
      <c r="H44" s="22"/>
    </row>
    <row r="45" spans="2:8" ht="18" customHeight="1" x14ac:dyDescent="0.3">
      <c r="B45" s="850"/>
      <c r="C45" s="851"/>
      <c r="D45" s="851"/>
      <c r="E45" s="851"/>
      <c r="F45" s="852"/>
      <c r="H45" s="22"/>
    </row>
    <row r="46" spans="2:8" ht="18" customHeight="1" x14ac:dyDescent="0.3">
      <c r="B46" s="859"/>
      <c r="C46" s="860"/>
      <c r="D46" s="860"/>
      <c r="E46" s="860"/>
      <c r="F46" s="861"/>
      <c r="H46" s="22"/>
    </row>
    <row r="47" spans="2:8" ht="18" customHeight="1" x14ac:dyDescent="0.3">
      <c r="B47" s="59"/>
      <c r="C47" s="60"/>
      <c r="D47" s="60"/>
      <c r="E47" s="60"/>
      <c r="F47" s="61"/>
      <c r="H47" s="22"/>
    </row>
    <row r="48" spans="2:8" ht="18" customHeight="1" x14ac:dyDescent="0.3">
      <c r="B48" s="847"/>
      <c r="C48" s="848"/>
      <c r="D48" s="848"/>
      <c r="E48" s="848"/>
      <c r="F48" s="849"/>
      <c r="H48" s="22"/>
    </row>
    <row r="49" spans="1:8" ht="18" customHeight="1" x14ac:dyDescent="0.3">
      <c r="B49" s="850"/>
      <c r="C49" s="851"/>
      <c r="D49" s="851"/>
      <c r="E49" s="851"/>
      <c r="F49" s="852"/>
      <c r="H49" s="22"/>
    </row>
    <row r="50" spans="1:8" ht="18" customHeight="1" x14ac:dyDescent="0.3">
      <c r="B50" s="850"/>
      <c r="C50" s="851"/>
      <c r="D50" s="851"/>
      <c r="E50" s="851"/>
      <c r="F50" s="852"/>
      <c r="H50" s="22"/>
    </row>
    <row r="51" spans="1:8" ht="18" customHeight="1" x14ac:dyDescent="0.3">
      <c r="B51" s="859"/>
      <c r="C51" s="860"/>
      <c r="D51" s="860"/>
      <c r="E51" s="860"/>
      <c r="F51" s="861"/>
      <c r="H51" s="22"/>
    </row>
    <row r="52" spans="1:8" ht="18" customHeight="1" x14ac:dyDescent="0.3">
      <c r="B52" s="59"/>
      <c r="C52" s="60"/>
      <c r="D52" s="60"/>
      <c r="E52" s="60"/>
      <c r="F52" s="61"/>
      <c r="H52" s="22"/>
    </row>
    <row r="53" spans="1:8" ht="18" customHeight="1" x14ac:dyDescent="0.3">
      <c r="B53" s="847"/>
      <c r="C53" s="848"/>
      <c r="D53" s="848"/>
      <c r="E53" s="848"/>
      <c r="F53" s="849"/>
      <c r="H53" s="22"/>
    </row>
    <row r="54" spans="1:8" ht="18" customHeight="1" x14ac:dyDescent="0.3">
      <c r="B54" s="850"/>
      <c r="C54" s="851"/>
      <c r="D54" s="851"/>
      <c r="E54" s="851"/>
      <c r="F54" s="852"/>
      <c r="H54" s="22"/>
    </row>
    <row r="55" spans="1:8" ht="18" customHeight="1" x14ac:dyDescent="0.3">
      <c r="B55" s="850"/>
      <c r="C55" s="851"/>
      <c r="D55" s="851"/>
      <c r="E55" s="851"/>
      <c r="F55" s="852"/>
      <c r="H55" s="22"/>
    </row>
    <row r="56" spans="1:8" ht="18" customHeight="1" x14ac:dyDescent="0.3">
      <c r="B56" s="859"/>
      <c r="C56" s="860"/>
      <c r="D56" s="860"/>
      <c r="E56" s="860"/>
      <c r="F56" s="861"/>
      <c r="H56" s="22"/>
    </row>
    <row r="57" spans="1:8" ht="18" customHeight="1" x14ac:dyDescent="0.3">
      <c r="B57" s="59"/>
      <c r="C57" s="60"/>
      <c r="D57" s="60"/>
      <c r="E57" s="60"/>
      <c r="F57" s="61"/>
      <c r="H57" s="22"/>
    </row>
    <row r="58" spans="1:8" ht="18" customHeight="1" x14ac:dyDescent="0.3">
      <c r="B58" s="847"/>
      <c r="C58" s="848"/>
      <c r="D58" s="848"/>
      <c r="E58" s="848"/>
      <c r="F58" s="849"/>
      <c r="H58" s="22"/>
    </row>
    <row r="59" spans="1:8" ht="18" customHeight="1" x14ac:dyDescent="0.3">
      <c r="B59" s="850"/>
      <c r="C59" s="851"/>
      <c r="D59" s="851"/>
      <c r="E59" s="851"/>
      <c r="F59" s="852"/>
      <c r="H59" s="22"/>
    </row>
    <row r="60" spans="1:8" ht="18" customHeight="1" x14ac:dyDescent="0.3">
      <c r="B60" s="850"/>
      <c r="C60" s="851"/>
      <c r="D60" s="851"/>
      <c r="E60" s="851"/>
      <c r="F60" s="852"/>
      <c r="H60" s="22"/>
    </row>
    <row r="61" spans="1:8" ht="18" customHeight="1" thickBot="1" x14ac:dyDescent="0.35">
      <c r="B61" s="853"/>
      <c r="C61" s="854"/>
      <c r="D61" s="854"/>
      <c r="E61" s="854"/>
      <c r="F61" s="855"/>
      <c r="H61" s="22"/>
    </row>
    <row r="62" spans="1:8" ht="18" customHeight="1" x14ac:dyDescent="0.3">
      <c r="H62" s="22"/>
    </row>
    <row r="63" spans="1:8" ht="18" customHeight="1" x14ac:dyDescent="0.3">
      <c r="A63" s="22"/>
      <c r="B63" s="22"/>
      <c r="C63" s="22"/>
      <c r="D63" s="22"/>
      <c r="E63" s="22"/>
      <c r="F63" s="22"/>
      <c r="G63" s="22"/>
      <c r="H63" s="22"/>
    </row>
  </sheetData>
  <sheetProtection algorithmName="SHA-512" hashValue="oLXa5IQS3Tf/6nAdoGctpnQmMwMtbKbClfQuit/aF/H75WoCJzpibK4mFinmMsA9YBSKVM2cvppLYfjyw8IniA==" saltValue="U8UikmnaMlDiMroCfxvnyw==" spinCount="100000" sheet="1" selectLockedCells="1"/>
  <mergeCells count="18">
    <mergeCell ref="B2:C2"/>
    <mergeCell ref="B28:F31"/>
    <mergeCell ref="B58:F61"/>
    <mergeCell ref="B12:F12"/>
    <mergeCell ref="B13:F16"/>
    <mergeCell ref="B18:F21"/>
    <mergeCell ref="B23:F26"/>
    <mergeCell ref="B17:F17"/>
    <mergeCell ref="B22:F22"/>
    <mergeCell ref="B27:F27"/>
    <mergeCell ref="B32:F32"/>
    <mergeCell ref="B33:F36"/>
    <mergeCell ref="B37:F37"/>
    <mergeCell ref="B38:F41"/>
    <mergeCell ref="B42:F42"/>
    <mergeCell ref="B43:F46"/>
    <mergeCell ref="B48:F51"/>
    <mergeCell ref="B53:F56"/>
  </mergeCells>
  <hyperlinks>
    <hyperlink ref="E2" location="Instructions!B37" display="Back to Instructions tab" xr:uid="{62978A1E-6019-4D7E-AD5C-BDCF6D92D67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21"/>
  <sheetViews>
    <sheetView showGridLines="0" zoomScale="80" zoomScaleNormal="80" workbookViewId="0">
      <selection activeCell="E16" sqref="E16"/>
    </sheetView>
  </sheetViews>
  <sheetFormatPr defaultColWidth="9.140625" defaultRowHeight="18" customHeight="1" x14ac:dyDescent="0.3"/>
  <cols>
    <col min="1" max="1" width="9.140625" style="21"/>
    <col min="2" max="2" width="30.7109375" style="21" bestFit="1" customWidth="1"/>
    <col min="3" max="3" width="53.42578125" style="21" customWidth="1"/>
    <col min="4" max="4" width="40.28515625" style="21" customWidth="1"/>
    <col min="5" max="5" width="40.85546875" style="21" customWidth="1"/>
    <col min="6" max="6" width="9.140625" style="21"/>
    <col min="7" max="7" width="2.7109375" style="21" customWidth="1"/>
    <col min="8" max="16384" width="9.140625" style="21"/>
  </cols>
  <sheetData>
    <row r="1" spans="2:7" ht="18" customHeight="1" thickBot="1" x14ac:dyDescent="0.35">
      <c r="G1" s="22"/>
    </row>
    <row r="2" spans="2:7" ht="18" customHeight="1" thickBot="1" x14ac:dyDescent="0.35">
      <c r="B2" s="660" t="str">
        <f>'Version Control'!$B$2</f>
        <v>Title Block</v>
      </c>
      <c r="C2" s="661"/>
      <c r="E2" s="152" t="s">
        <v>37</v>
      </c>
      <c r="G2" s="22"/>
    </row>
    <row r="3" spans="2:7" ht="18" customHeight="1" x14ac:dyDescent="0.3">
      <c r="B3" s="23" t="str">
        <f>'Version Control'!$B$3</f>
        <v>Test Report Template Name:</v>
      </c>
      <c r="C3" s="24" t="str">
        <f>'Version Control'!C3</f>
        <v>Small Electric Motors</v>
      </c>
      <c r="G3" s="22"/>
    </row>
    <row r="4" spans="2:7" ht="18" customHeight="1" x14ac:dyDescent="0.3">
      <c r="B4" s="25" t="str">
        <f>'Version Control'!$B$4</f>
        <v>Version Number:</v>
      </c>
      <c r="C4" s="26" t="str">
        <f>'Version Control'!C4</f>
        <v>v1.0</v>
      </c>
      <c r="E4" s="1"/>
      <c r="G4" s="22"/>
    </row>
    <row r="5" spans="2:7" ht="18" customHeight="1" x14ac:dyDescent="0.3">
      <c r="B5" s="25" t="str">
        <f>'Version Control'!$B$5</f>
        <v xml:space="preserve">Latest Template Revision: </v>
      </c>
      <c r="C5" s="27">
        <f>'Version Control'!C5</f>
        <v>45575</v>
      </c>
      <c r="G5" s="22"/>
    </row>
    <row r="6" spans="2:7" ht="18" customHeight="1" x14ac:dyDescent="0.3">
      <c r="B6" s="25" t="str">
        <f>'Version Control'!$B$6</f>
        <v>Tab Name:</v>
      </c>
      <c r="C6" s="28" t="str">
        <f ca="1">MID(CELL("filename",A1), FIND("]", CELL("filename", A1))+ 1, 255)</f>
        <v>Report Sign-Off Block</v>
      </c>
      <c r="G6" s="22"/>
    </row>
    <row r="7" spans="2:7" ht="36" customHeight="1" x14ac:dyDescent="0.3">
      <c r="B7" s="18" t="str">
        <f>'Version Control'!$B$7</f>
        <v>File Name:</v>
      </c>
      <c r="C7" s="47" t="str">
        <f ca="1">'Version Control'!C7</f>
        <v>Small Electric Motors - v1.0.xlsx</v>
      </c>
      <c r="G7" s="22"/>
    </row>
    <row r="8" spans="2:7" ht="16.5" x14ac:dyDescent="0.3">
      <c r="B8" s="55" t="s">
        <v>42</v>
      </c>
      <c r="C8" s="49" t="str">
        <f>'General Info &amp; Test Results'!C17</f>
        <v>[MM/DD/YYYY]</v>
      </c>
      <c r="G8" s="22"/>
    </row>
    <row r="9" spans="2:7" ht="18" customHeight="1" thickBot="1" x14ac:dyDescent="0.35">
      <c r="B9" s="50" t="str">
        <f>'Version Control'!$B$9</f>
        <v>Date Test Finished:</v>
      </c>
      <c r="C9" s="51" t="str">
        <f>'Version Control'!C9</f>
        <v>[MM/DD/YYYY]</v>
      </c>
      <c r="G9" s="22"/>
    </row>
    <row r="10" spans="2:7" ht="18" customHeight="1" x14ac:dyDescent="0.3">
      <c r="G10" s="22"/>
    </row>
    <row r="11" spans="2:7" ht="18" customHeight="1" thickBot="1" x14ac:dyDescent="0.35">
      <c r="G11" s="22"/>
    </row>
    <row r="12" spans="2:7" ht="18" customHeight="1" thickBot="1" x14ac:dyDescent="0.35">
      <c r="B12" s="660" t="s">
        <v>46</v>
      </c>
      <c r="C12" s="704"/>
      <c r="D12" s="704"/>
      <c r="E12" s="661"/>
      <c r="G12" s="22"/>
    </row>
    <row r="13" spans="2:7" ht="18" customHeight="1" x14ac:dyDescent="0.3">
      <c r="B13" s="867" t="s">
        <v>71</v>
      </c>
      <c r="C13" s="868"/>
      <c r="D13" s="868"/>
      <c r="E13" s="869"/>
      <c r="G13" s="22"/>
    </row>
    <row r="14" spans="2:7" ht="18" customHeight="1" x14ac:dyDescent="0.3">
      <c r="B14" s="870"/>
      <c r="C14" s="871"/>
      <c r="D14" s="871"/>
      <c r="E14" s="872"/>
      <c r="G14" s="22"/>
    </row>
    <row r="15" spans="2:7" ht="18" customHeight="1" x14ac:dyDescent="0.35">
      <c r="B15" s="873" t="s">
        <v>52</v>
      </c>
      <c r="C15" s="874"/>
      <c r="D15" s="37" t="s">
        <v>53</v>
      </c>
      <c r="E15" s="38" t="s">
        <v>54</v>
      </c>
      <c r="G15" s="22"/>
    </row>
    <row r="16" spans="2:7" ht="18" customHeight="1" x14ac:dyDescent="0.3">
      <c r="B16" s="875" t="s">
        <v>56</v>
      </c>
      <c r="C16" s="876"/>
      <c r="D16" s="10" t="str">
        <f>'General Info &amp; Test Results'!C18</f>
        <v>[MM/DD/YYYY]</v>
      </c>
      <c r="E16" s="11" t="s">
        <v>72</v>
      </c>
      <c r="G16" s="22"/>
    </row>
    <row r="17" spans="1:7" ht="18" customHeight="1" x14ac:dyDescent="0.3">
      <c r="B17" s="877" t="s">
        <v>58</v>
      </c>
      <c r="C17" s="878"/>
      <c r="D17" s="12" t="s">
        <v>43</v>
      </c>
      <c r="E17" s="11" t="s">
        <v>72</v>
      </c>
      <c r="G17" s="22"/>
    </row>
    <row r="18" spans="1:7" ht="18" customHeight="1" x14ac:dyDescent="0.3">
      <c r="B18" s="877" t="s">
        <v>60</v>
      </c>
      <c r="C18" s="878"/>
      <c r="D18" s="12" t="s">
        <v>43</v>
      </c>
      <c r="E18" s="11" t="s">
        <v>72</v>
      </c>
      <c r="G18" s="22"/>
    </row>
    <row r="19" spans="1:7" ht="18" customHeight="1" thickBot="1" x14ac:dyDescent="0.35">
      <c r="B19" s="865" t="s">
        <v>60</v>
      </c>
      <c r="C19" s="866"/>
      <c r="D19" s="13" t="s">
        <v>43</v>
      </c>
      <c r="E19" s="15" t="s">
        <v>72</v>
      </c>
      <c r="G19" s="22"/>
    </row>
    <row r="20" spans="1:7" ht="18" customHeight="1" x14ac:dyDescent="0.3">
      <c r="G20" s="22"/>
    </row>
    <row r="21" spans="1:7" ht="18" customHeight="1" x14ac:dyDescent="0.3">
      <c r="A21" s="22"/>
      <c r="B21" s="22"/>
      <c r="C21" s="22"/>
      <c r="D21" s="22"/>
      <c r="E21" s="22"/>
      <c r="F21" s="22"/>
      <c r="G21" s="22"/>
    </row>
  </sheetData>
  <sheetProtection algorithmName="SHA-512" hashValue="+bNm8IhEFslyla89uMaFMxLCSYEE2HEBL3tIsRo6t0OiIok6h2NfK2R20JwCMMT5oUb2FkGRcoVWNtNPJqd06Q==" saltValue="gEimi67NahQ23/oQTCZ3Uw==" spinCount="100000" sheet="1" selectLockedCells="1"/>
  <mergeCells count="8">
    <mergeCell ref="B2:C2"/>
    <mergeCell ref="B19:C19"/>
    <mergeCell ref="B12:E12"/>
    <mergeCell ref="B13:E14"/>
    <mergeCell ref="B15:C15"/>
    <mergeCell ref="B16:C16"/>
    <mergeCell ref="B17:C17"/>
    <mergeCell ref="B18:C18"/>
  </mergeCells>
  <hyperlinks>
    <hyperlink ref="E2" location="Instructions!B37" display="Back to Instructions tab" xr:uid="{1F3CDF8A-E62C-4C8C-91F1-5F1E9572797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4"/>
  <sheetViews>
    <sheetView showGridLines="0" zoomScale="80" zoomScaleNormal="80" workbookViewId="0">
      <selection activeCell="E2" sqref="E2"/>
    </sheetView>
  </sheetViews>
  <sheetFormatPr defaultColWidth="9.140625" defaultRowHeight="18" customHeight="1" x14ac:dyDescent="0.3"/>
  <cols>
    <col min="1" max="1" width="9.140625" style="21"/>
    <col min="2" max="2" width="41.5703125" style="21" customWidth="1"/>
    <col min="3" max="3" width="57.7109375" style="21" bestFit="1" customWidth="1"/>
    <col min="4" max="4" width="9.85546875" style="21" customWidth="1"/>
    <col min="5" max="5" width="27.5703125" style="21" customWidth="1"/>
    <col min="6" max="6" width="5" style="21" customWidth="1"/>
    <col min="7" max="16384" width="9.140625" style="21"/>
  </cols>
  <sheetData>
    <row r="1" spans="2:6" ht="18" customHeight="1" thickBot="1" x14ac:dyDescent="0.35">
      <c r="F1" s="22"/>
    </row>
    <row r="2" spans="2:6" ht="18" customHeight="1" thickBot="1" x14ac:dyDescent="0.35">
      <c r="B2" s="660" t="str">
        <f>'Version Control'!$B$2</f>
        <v>Title Block</v>
      </c>
      <c r="C2" s="660"/>
      <c r="D2" s="62"/>
      <c r="E2" s="152" t="s">
        <v>37</v>
      </c>
      <c r="F2" s="22"/>
    </row>
    <row r="3" spans="2:6" ht="18" customHeight="1" x14ac:dyDescent="0.3">
      <c r="B3" s="23" t="str">
        <f>'Version Control'!$B$3</f>
        <v>Test Report Template Name:</v>
      </c>
      <c r="C3" s="24" t="str">
        <f>'Version Control'!C3</f>
        <v>Small Electric Motors</v>
      </c>
      <c r="D3" s="63"/>
      <c r="F3" s="22"/>
    </row>
    <row r="4" spans="2:6" ht="18" customHeight="1" x14ac:dyDescent="0.3">
      <c r="B4" s="25" t="str">
        <f>'Version Control'!$B$4</f>
        <v>Version Number:</v>
      </c>
      <c r="C4" s="26" t="str">
        <f>'Version Control'!C4</f>
        <v>v1.0</v>
      </c>
      <c r="D4" s="63"/>
      <c r="F4" s="22"/>
    </row>
    <row r="5" spans="2:6" ht="18" customHeight="1" x14ac:dyDescent="0.3">
      <c r="B5" s="25" t="str">
        <f>'Version Control'!$B$5</f>
        <v xml:space="preserve">Latest Template Revision: </v>
      </c>
      <c r="C5" s="27">
        <f>'Version Control'!C5</f>
        <v>45575</v>
      </c>
      <c r="D5" s="30"/>
      <c r="F5" s="22"/>
    </row>
    <row r="6" spans="2:6" ht="18" customHeight="1" x14ac:dyDescent="0.3">
      <c r="B6" s="25" t="str">
        <f>'Version Control'!$B$6</f>
        <v>Tab Name:</v>
      </c>
      <c r="C6" s="28" t="str">
        <f ca="1">MID(CELL("filename",A1), FIND("]", CELL("filename", A1))+ 1, 255)</f>
        <v>Drop-downs</v>
      </c>
      <c r="D6" s="64"/>
      <c r="F6" s="22"/>
    </row>
    <row r="7" spans="2:6" ht="36" customHeight="1" x14ac:dyDescent="0.3">
      <c r="B7" s="18" t="str">
        <f>'Version Control'!$B$7</f>
        <v>File Name:</v>
      </c>
      <c r="C7" s="47" t="str">
        <f ca="1">'Version Control'!C7</f>
        <v>Small Electric Motors - v1.0.xlsx</v>
      </c>
      <c r="D7" s="65"/>
      <c r="F7" s="22"/>
    </row>
    <row r="8" spans="2:6" ht="16.5" x14ac:dyDescent="0.3">
      <c r="B8" s="55" t="s">
        <v>42</v>
      </c>
      <c r="C8" s="49" t="str">
        <f>'General Info &amp; Test Results'!C17</f>
        <v>[MM/DD/YYYY]</v>
      </c>
      <c r="D8" s="65"/>
      <c r="F8" s="22"/>
    </row>
    <row r="9" spans="2:6" ht="18" customHeight="1" thickBot="1" x14ac:dyDescent="0.35">
      <c r="B9" s="50" t="str">
        <f>'Version Control'!$B$9</f>
        <v>Date Test Finished:</v>
      </c>
      <c r="C9" s="51" t="str">
        <f>'Version Control'!C9</f>
        <v>[MM/DD/YYYY]</v>
      </c>
      <c r="D9" s="30"/>
      <c r="F9" s="22"/>
    </row>
    <row r="10" spans="2:6" ht="18" customHeight="1" x14ac:dyDescent="0.3">
      <c r="B10" s="29"/>
      <c r="C10" s="30"/>
      <c r="D10" s="30"/>
      <c r="F10" s="22"/>
    </row>
    <row r="11" spans="2:6" ht="18" customHeight="1" x14ac:dyDescent="0.3">
      <c r="B11" s="29" t="s">
        <v>456</v>
      </c>
      <c r="C11" s="30"/>
      <c r="D11" s="30"/>
      <c r="F11" s="22"/>
    </row>
    <row r="12" spans="2:6" ht="18" customHeight="1" x14ac:dyDescent="0.3">
      <c r="B12" s="66" t="s">
        <v>457</v>
      </c>
      <c r="C12" s="30"/>
      <c r="D12" s="30"/>
      <c r="F12" s="22"/>
    </row>
    <row r="13" spans="2:6" ht="18" customHeight="1" x14ac:dyDescent="0.3">
      <c r="B13" s="67" t="s">
        <v>458</v>
      </c>
      <c r="C13" s="30"/>
      <c r="D13" s="30"/>
      <c r="F13" s="22"/>
    </row>
    <row r="14" spans="2:6" ht="18" customHeight="1" x14ac:dyDescent="0.3">
      <c r="B14" s="67" t="s">
        <v>459</v>
      </c>
      <c r="C14" s="30"/>
      <c r="D14" s="30"/>
      <c r="F14" s="22"/>
    </row>
    <row r="15" spans="2:6" ht="18" customHeight="1" x14ac:dyDescent="0.3">
      <c r="B15" s="67" t="s">
        <v>460</v>
      </c>
      <c r="C15" s="30"/>
      <c r="D15" s="30"/>
      <c r="F15" s="22"/>
    </row>
    <row r="16" spans="2:6" ht="18" customHeight="1" x14ac:dyDescent="0.3">
      <c r="B16" s="67" t="s">
        <v>461</v>
      </c>
      <c r="C16" s="30"/>
      <c r="D16" s="30"/>
      <c r="F16" s="22"/>
    </row>
    <row r="17" spans="2:6" ht="18" customHeight="1" x14ac:dyDescent="0.3">
      <c r="B17" s="67" t="s">
        <v>431</v>
      </c>
      <c r="C17" s="30"/>
      <c r="D17" s="30"/>
      <c r="F17" s="22"/>
    </row>
    <row r="18" spans="2:6" ht="18" customHeight="1" x14ac:dyDescent="0.3">
      <c r="B18" s="67" t="s">
        <v>432</v>
      </c>
      <c r="C18" s="30"/>
      <c r="D18" s="30"/>
      <c r="F18" s="22"/>
    </row>
    <row r="19" spans="2:6" ht="18" customHeight="1" x14ac:dyDescent="0.3">
      <c r="B19" s="68" t="s">
        <v>489</v>
      </c>
      <c r="C19" s="30"/>
      <c r="D19" s="30"/>
      <c r="F19" s="22"/>
    </row>
    <row r="20" spans="2:6" ht="18" customHeight="1" x14ac:dyDescent="0.3">
      <c r="B20" s="29"/>
      <c r="C20" s="30"/>
      <c r="D20" s="30"/>
      <c r="F20" s="22"/>
    </row>
    <row r="21" spans="2:6" ht="18" customHeight="1" x14ac:dyDescent="0.3">
      <c r="B21" s="29" t="s">
        <v>86</v>
      </c>
      <c r="C21" s="30"/>
      <c r="D21" s="30"/>
      <c r="F21" s="22"/>
    </row>
    <row r="22" spans="2:6" ht="18" customHeight="1" x14ac:dyDescent="0.3">
      <c r="B22" s="66" t="s">
        <v>87</v>
      </c>
      <c r="C22" s="30"/>
      <c r="D22" s="30"/>
      <c r="F22" s="22"/>
    </row>
    <row r="23" spans="2:6" ht="18" customHeight="1" x14ac:dyDescent="0.3">
      <c r="B23" s="69" t="s">
        <v>88</v>
      </c>
      <c r="F23" s="22"/>
    </row>
    <row r="24" spans="2:6" ht="18" customHeight="1" x14ac:dyDescent="0.3">
      <c r="F24" s="22"/>
    </row>
    <row r="25" spans="2:6" ht="18" customHeight="1" x14ac:dyDescent="0.3">
      <c r="B25" s="21" t="s">
        <v>510</v>
      </c>
      <c r="F25" s="22"/>
    </row>
    <row r="26" spans="2:6" ht="18" customHeight="1" x14ac:dyDescent="0.3">
      <c r="B26" s="464" t="s">
        <v>511</v>
      </c>
      <c r="F26" s="22"/>
    </row>
    <row r="27" spans="2:6" ht="18" customHeight="1" x14ac:dyDescent="0.3">
      <c r="B27" s="465" t="s">
        <v>512</v>
      </c>
      <c r="F27" s="22"/>
    </row>
    <row r="28" spans="2:6" ht="18" customHeight="1" x14ac:dyDescent="0.3">
      <c r="B28" s="69" t="s">
        <v>513</v>
      </c>
      <c r="F28" s="22"/>
    </row>
    <row r="29" spans="2:6" ht="18" customHeight="1" x14ac:dyDescent="0.3">
      <c r="F29" s="22"/>
    </row>
    <row r="30" spans="2:6" ht="18" customHeight="1" x14ac:dyDescent="0.3">
      <c r="B30" s="29" t="s">
        <v>90</v>
      </c>
      <c r="C30" s="30"/>
      <c r="D30" s="30"/>
      <c r="F30" s="22"/>
    </row>
    <row r="31" spans="2:6" ht="18" customHeight="1" x14ac:dyDescent="0.3">
      <c r="B31" s="159">
        <v>2</v>
      </c>
      <c r="C31" s="30"/>
      <c r="D31" s="30"/>
      <c r="F31" s="22"/>
    </row>
    <row r="32" spans="2:6" ht="18" customHeight="1" x14ac:dyDescent="0.3">
      <c r="B32" s="160">
        <v>4</v>
      </c>
      <c r="C32" s="30"/>
      <c r="D32" s="30"/>
      <c r="F32" s="22"/>
    </row>
    <row r="33" spans="2:6" ht="18" customHeight="1" x14ac:dyDescent="0.3">
      <c r="B33" s="160">
        <v>6</v>
      </c>
      <c r="C33" s="30"/>
      <c r="D33" s="30"/>
      <c r="F33" s="22"/>
    </row>
    <row r="34" spans="2:6" ht="18" customHeight="1" x14ac:dyDescent="0.3">
      <c r="B34" s="160">
        <v>8</v>
      </c>
      <c r="C34" s="30"/>
      <c r="D34" s="30"/>
      <c r="F34" s="22"/>
    </row>
    <row r="35" spans="2:6" ht="18" customHeight="1" x14ac:dyDescent="0.3">
      <c r="B35" s="160">
        <v>10</v>
      </c>
      <c r="C35" s="30"/>
      <c r="D35" s="30"/>
      <c r="F35" s="22"/>
    </row>
    <row r="36" spans="2:6" ht="18" customHeight="1" x14ac:dyDescent="0.3">
      <c r="B36" s="161" t="s">
        <v>89</v>
      </c>
      <c r="F36" s="22"/>
    </row>
    <row r="37" spans="2:6" ht="18" customHeight="1" x14ac:dyDescent="0.3">
      <c r="F37" s="22"/>
    </row>
    <row r="38" spans="2:6" ht="18" customHeight="1" x14ac:dyDescent="0.3">
      <c r="B38" s="29" t="s">
        <v>180</v>
      </c>
      <c r="C38" s="30"/>
      <c r="D38" s="30"/>
      <c r="F38" s="22"/>
    </row>
    <row r="39" spans="2:6" ht="18" customHeight="1" x14ac:dyDescent="0.3">
      <c r="B39" s="66" t="s">
        <v>181</v>
      </c>
      <c r="C39" s="30"/>
      <c r="D39" s="30"/>
      <c r="F39" s="22"/>
    </row>
    <row r="40" spans="2:6" ht="18" customHeight="1" x14ac:dyDescent="0.3">
      <c r="B40" s="68" t="s">
        <v>182</v>
      </c>
      <c r="C40" s="30"/>
      <c r="D40" s="30"/>
      <c r="F40" s="22"/>
    </row>
    <row r="41" spans="2:6" ht="18" customHeight="1" x14ac:dyDescent="0.3">
      <c r="B41" s="29"/>
      <c r="C41" s="30"/>
      <c r="D41" s="30"/>
      <c r="F41" s="22"/>
    </row>
    <row r="42" spans="2:6" ht="18" customHeight="1" x14ac:dyDescent="0.3">
      <c r="B42" s="29" t="s">
        <v>211</v>
      </c>
      <c r="C42" s="30"/>
      <c r="D42" s="30"/>
      <c r="F42" s="22"/>
    </row>
    <row r="43" spans="2:6" ht="18" customHeight="1" x14ac:dyDescent="0.3">
      <c r="B43" s="66" t="s">
        <v>212</v>
      </c>
      <c r="C43" s="30"/>
      <c r="D43" s="30"/>
      <c r="F43" s="22"/>
    </row>
    <row r="44" spans="2:6" ht="18" customHeight="1" x14ac:dyDescent="0.3">
      <c r="B44" s="67" t="s">
        <v>213</v>
      </c>
      <c r="C44" s="30"/>
      <c r="D44" s="30"/>
      <c r="F44" s="22"/>
    </row>
    <row r="45" spans="2:6" ht="18" customHeight="1" x14ac:dyDescent="0.3">
      <c r="B45" s="67" t="s">
        <v>215</v>
      </c>
      <c r="C45" s="30"/>
      <c r="D45" s="30"/>
      <c r="F45" s="22"/>
    </row>
    <row r="46" spans="2:6" ht="18" customHeight="1" x14ac:dyDescent="0.3">
      <c r="B46" s="68" t="s">
        <v>214</v>
      </c>
      <c r="C46" s="30"/>
      <c r="D46" s="30"/>
      <c r="F46" s="22"/>
    </row>
    <row r="47" spans="2:6" ht="18" customHeight="1" x14ac:dyDescent="0.3">
      <c r="B47" s="29"/>
      <c r="C47" s="30"/>
      <c r="D47" s="30"/>
      <c r="F47" s="22"/>
    </row>
    <row r="48" spans="2:6" ht="18" customHeight="1" x14ac:dyDescent="0.3">
      <c r="B48" s="29" t="s">
        <v>422</v>
      </c>
      <c r="C48" s="30"/>
      <c r="D48" s="30"/>
      <c r="F48" s="22"/>
    </row>
    <row r="49" spans="1:6" ht="18" customHeight="1" x14ac:dyDescent="0.3">
      <c r="B49" s="66" t="s">
        <v>426</v>
      </c>
      <c r="C49" s="30"/>
      <c r="D49" s="30"/>
      <c r="F49" s="22"/>
    </row>
    <row r="50" spans="1:6" ht="18" customHeight="1" x14ac:dyDescent="0.3">
      <c r="B50" s="67" t="s">
        <v>423</v>
      </c>
      <c r="C50" s="30"/>
      <c r="D50" s="30"/>
      <c r="F50" s="22"/>
    </row>
    <row r="51" spans="1:6" ht="18" customHeight="1" x14ac:dyDescent="0.3">
      <c r="B51" s="67" t="s">
        <v>424</v>
      </c>
      <c r="C51" s="30"/>
      <c r="D51" s="30"/>
      <c r="F51" s="22"/>
    </row>
    <row r="52" spans="1:6" ht="18" customHeight="1" x14ac:dyDescent="0.3">
      <c r="B52" s="68" t="s">
        <v>425</v>
      </c>
      <c r="C52" s="30"/>
      <c r="D52" s="30"/>
      <c r="F52" s="22"/>
    </row>
    <row r="53" spans="1:6" ht="18" customHeight="1" x14ac:dyDescent="0.3">
      <c r="B53" s="29"/>
      <c r="C53" s="30"/>
      <c r="D53" s="30"/>
      <c r="F53" s="22"/>
    </row>
    <row r="54" spans="1:6" ht="18" customHeight="1" x14ac:dyDescent="0.3">
      <c r="A54" s="22"/>
      <c r="B54" s="22"/>
      <c r="C54" s="22"/>
      <c r="D54" s="22"/>
      <c r="E54" s="22"/>
      <c r="F54" s="22"/>
    </row>
  </sheetData>
  <sheetProtection algorithmName="SHA-512" hashValue="oGuAYse6PovrlIF0clONwQkF5S5iFgmqn3hdQU+hFKMEH149k2aC895+9Dcd1FaOC8f5q+RUbFoVNP6+isrRxw==" saltValue="B9XUqVY4TekAAAvFlDw6rA==" spinCount="100000" sheet="1" selectLockedCells="1"/>
  <mergeCells count="1">
    <mergeCell ref="B2:C2"/>
  </mergeCells>
  <hyperlinks>
    <hyperlink ref="E2" location="Instructions!B37" display="Back to Instructions tab" xr:uid="{E6457FBE-3AAD-4863-AA7E-C66EC9DA6EA6}"/>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showGridLines="0" zoomScale="80" zoomScaleNormal="80" workbookViewId="0">
      <selection activeCell="E2" sqref="E2"/>
    </sheetView>
  </sheetViews>
  <sheetFormatPr defaultColWidth="9.140625" defaultRowHeight="18" customHeight="1" x14ac:dyDescent="0.3"/>
  <cols>
    <col min="1" max="1" width="9.140625" style="21"/>
    <col min="2" max="2" width="30.7109375" style="21" bestFit="1" customWidth="1"/>
    <col min="3" max="3" width="57.7109375" style="21" bestFit="1" customWidth="1"/>
    <col min="4" max="4" width="9.140625" style="21"/>
    <col min="5" max="5" width="28" style="21" customWidth="1"/>
    <col min="6" max="6" width="2.7109375" style="21" customWidth="1"/>
    <col min="7" max="16384" width="9.140625" style="21"/>
  </cols>
  <sheetData>
    <row r="1" spans="1:6" ht="18" customHeight="1" thickBot="1" x14ac:dyDescent="0.35">
      <c r="A1" s="29"/>
      <c r="B1" s="70"/>
      <c r="C1" s="29"/>
      <c r="D1" s="29"/>
      <c r="E1" s="29"/>
      <c r="F1" s="71"/>
    </row>
    <row r="2" spans="1:6" ht="18" customHeight="1" thickBot="1" x14ac:dyDescent="0.35">
      <c r="A2" s="29"/>
      <c r="B2" s="660" t="s">
        <v>73</v>
      </c>
      <c r="C2" s="661"/>
      <c r="D2" s="29"/>
      <c r="E2" s="152" t="s">
        <v>37</v>
      </c>
      <c r="F2" s="71"/>
    </row>
    <row r="3" spans="1:6" ht="18" customHeight="1" x14ac:dyDescent="0.3">
      <c r="A3" s="29"/>
      <c r="B3" s="23" t="s">
        <v>74</v>
      </c>
      <c r="C3" s="24" t="s">
        <v>480</v>
      </c>
      <c r="D3" s="29"/>
      <c r="E3" s="29"/>
      <c r="F3" s="71"/>
    </row>
    <row r="4" spans="1:6" ht="18" customHeight="1" x14ac:dyDescent="0.3">
      <c r="A4" s="29"/>
      <c r="B4" s="25" t="s">
        <v>75</v>
      </c>
      <c r="C4" s="28" t="str">
        <f>INDEX(B14:B55,COUNTA(B14:B55),1)</f>
        <v>v1.0</v>
      </c>
      <c r="D4" s="29"/>
      <c r="E4" s="29"/>
      <c r="F4" s="71"/>
    </row>
    <row r="5" spans="1:6" ht="18" customHeight="1" x14ac:dyDescent="0.3">
      <c r="A5" s="29"/>
      <c r="B5" s="25" t="s">
        <v>76</v>
      </c>
      <c r="C5" s="27">
        <f>IF(MAX(B14:C99)=0, "No Revision Dates Entered",MAX(C14:C99))</f>
        <v>45575</v>
      </c>
      <c r="D5" s="29"/>
      <c r="E5" s="29"/>
      <c r="F5" s="71"/>
    </row>
    <row r="6" spans="1:6" ht="18" customHeight="1" x14ac:dyDescent="0.3">
      <c r="A6" s="29"/>
      <c r="B6" s="25" t="s">
        <v>77</v>
      </c>
      <c r="C6" s="26" t="str">
        <f ca="1">MID(CELL("filename",A1), FIND("]", CELL("filename", A1))+ 1, 255)</f>
        <v>Version Control</v>
      </c>
      <c r="D6" s="29"/>
      <c r="E6" s="29"/>
      <c r="F6" s="71"/>
    </row>
    <row r="7" spans="1:6" ht="36" customHeight="1" x14ac:dyDescent="0.3">
      <c r="A7" s="29"/>
      <c r="B7" s="55" t="s">
        <v>78</v>
      </c>
      <c r="C7" s="72" t="str">
        <f ca="1">MID(CELL("FILENAME",G15),FIND("[",CELL("FILENAME",G15))+1,FIND("]",CELL("FILENAME",G15))-FIND("[",CELL("FILENAME",G15))-1)</f>
        <v>Small Electric Motors - v1.0.xlsx</v>
      </c>
      <c r="D7" s="29"/>
      <c r="E7" s="29"/>
      <c r="F7" s="71"/>
    </row>
    <row r="8" spans="1:6" ht="16.5" x14ac:dyDescent="0.3">
      <c r="A8" s="29"/>
      <c r="B8" s="55" t="s">
        <v>42</v>
      </c>
      <c r="C8" s="49" t="str">
        <f>'General Info &amp; Test Results'!C17</f>
        <v>[MM/DD/YYYY]</v>
      </c>
      <c r="D8" s="29"/>
      <c r="E8" s="29"/>
      <c r="F8" s="71"/>
    </row>
    <row r="9" spans="1:6" ht="18" customHeight="1" thickBot="1" x14ac:dyDescent="0.35">
      <c r="A9" s="29"/>
      <c r="B9" s="50" t="s">
        <v>44</v>
      </c>
      <c r="C9" s="51" t="str">
        <f>'General Info &amp; Test Results'!C18</f>
        <v>[MM/DD/YYYY]</v>
      </c>
      <c r="D9" s="29"/>
      <c r="E9" s="29"/>
      <c r="F9" s="71"/>
    </row>
    <row r="10" spans="1:6" ht="18" customHeight="1" x14ac:dyDescent="0.3">
      <c r="A10" s="29"/>
      <c r="B10" s="29"/>
      <c r="C10" s="29"/>
      <c r="D10" s="29"/>
      <c r="E10" s="29"/>
      <c r="F10" s="71"/>
    </row>
    <row r="11" spans="1:6" ht="18" customHeight="1" thickBot="1" x14ac:dyDescent="0.35">
      <c r="A11" s="29"/>
      <c r="B11" s="29"/>
      <c r="C11" s="29"/>
      <c r="D11" s="29"/>
      <c r="E11" s="29"/>
      <c r="F11" s="71"/>
    </row>
    <row r="12" spans="1:6" ht="18" customHeight="1" thickBot="1" x14ac:dyDescent="0.35">
      <c r="A12" s="29"/>
      <c r="B12" s="660" t="s">
        <v>79</v>
      </c>
      <c r="C12" s="661"/>
      <c r="D12" s="29"/>
      <c r="E12" s="29"/>
      <c r="F12" s="71"/>
    </row>
    <row r="13" spans="1:6" ht="18" customHeight="1" x14ac:dyDescent="0.35">
      <c r="A13" s="29"/>
      <c r="B13" s="73" t="s">
        <v>80</v>
      </c>
      <c r="C13" s="74" t="s">
        <v>53</v>
      </c>
      <c r="D13" s="29"/>
      <c r="E13" s="29"/>
      <c r="F13" s="71"/>
    </row>
    <row r="14" spans="1:6" ht="18" customHeight="1" x14ac:dyDescent="0.3">
      <c r="A14" s="29"/>
      <c r="B14" s="75" t="s">
        <v>81</v>
      </c>
      <c r="C14" s="76">
        <v>45575</v>
      </c>
      <c r="D14" s="29"/>
      <c r="E14" s="29"/>
      <c r="F14" s="71"/>
    </row>
    <row r="15" spans="1:6" ht="18" customHeight="1" x14ac:dyDescent="0.3">
      <c r="A15" s="29"/>
      <c r="B15" s="77"/>
      <c r="C15" s="78"/>
      <c r="D15" s="29"/>
      <c r="E15" s="29"/>
      <c r="F15" s="71"/>
    </row>
    <row r="16" spans="1:6" ht="18" customHeight="1" x14ac:dyDescent="0.3">
      <c r="A16" s="29"/>
      <c r="B16" s="77"/>
      <c r="C16" s="78"/>
      <c r="D16" s="29"/>
      <c r="E16" s="29"/>
      <c r="F16" s="71"/>
    </row>
    <row r="17" spans="1:6" ht="18" customHeight="1" x14ac:dyDescent="0.3">
      <c r="A17" s="29"/>
      <c r="B17" s="79"/>
      <c r="C17" s="80"/>
      <c r="D17" s="29"/>
      <c r="E17" s="29"/>
      <c r="F17" s="71"/>
    </row>
    <row r="18" spans="1:6" ht="18" customHeight="1" x14ac:dyDescent="0.3">
      <c r="A18" s="29"/>
      <c r="B18" s="79"/>
      <c r="C18" s="80"/>
      <c r="D18" s="29"/>
      <c r="E18" s="29"/>
      <c r="F18" s="71"/>
    </row>
    <row r="19" spans="1:6" ht="18" customHeight="1" x14ac:dyDescent="0.3">
      <c r="A19" s="29"/>
      <c r="B19" s="79"/>
      <c r="C19" s="80"/>
      <c r="D19" s="29"/>
      <c r="E19" s="29"/>
      <c r="F19" s="71"/>
    </row>
    <row r="20" spans="1:6" ht="18" customHeight="1" x14ac:dyDescent="0.3">
      <c r="A20" s="29"/>
      <c r="B20" s="79"/>
      <c r="C20" s="80"/>
      <c r="D20" s="29"/>
      <c r="E20" s="29"/>
      <c r="F20" s="71"/>
    </row>
    <row r="21" spans="1:6" ht="18" customHeight="1" x14ac:dyDescent="0.3">
      <c r="A21" s="29"/>
      <c r="B21" s="79"/>
      <c r="C21" s="80"/>
      <c r="D21" s="29"/>
      <c r="E21" s="29"/>
      <c r="F21" s="71"/>
    </row>
    <row r="22" spans="1:6" ht="18" customHeight="1" x14ac:dyDescent="0.3">
      <c r="A22" s="29"/>
      <c r="B22" s="79"/>
      <c r="C22" s="80"/>
      <c r="D22" s="29"/>
      <c r="E22" s="29"/>
      <c r="F22" s="71"/>
    </row>
    <row r="23" spans="1:6" ht="18" customHeight="1" thickBot="1" x14ac:dyDescent="0.35">
      <c r="A23" s="29"/>
      <c r="B23" s="81"/>
      <c r="C23" s="82"/>
      <c r="D23" s="29"/>
      <c r="E23" s="29"/>
      <c r="F23" s="71"/>
    </row>
    <row r="24" spans="1:6" ht="18" customHeight="1" x14ac:dyDescent="0.3">
      <c r="A24" s="29"/>
      <c r="B24" s="29"/>
      <c r="C24" s="70"/>
      <c r="D24" s="29"/>
      <c r="E24" s="29"/>
      <c r="F24" s="71"/>
    </row>
    <row r="25" spans="1:6" ht="18" customHeight="1" x14ac:dyDescent="0.3">
      <c r="A25" s="71"/>
      <c r="B25" s="71"/>
      <c r="C25" s="83"/>
      <c r="D25" s="71"/>
      <c r="E25" s="71"/>
      <c r="F25" s="71"/>
    </row>
  </sheetData>
  <sheetProtection algorithmName="SHA-512" hashValue="8GsFWjTxlsLtZeMGZ7EARZXKkKa33bgRtm2gtW/mnBHiYw6wTRk6JxipXriHsSZ0n+IZWn4jzNfx+E17LSL6HA==" saltValue="z0i45VBAfOn8bYqJst8hxA==" spinCount="100000" sheet="1" selectLockedCells="1"/>
  <mergeCells count="2">
    <mergeCell ref="B2:C2"/>
    <mergeCell ref="B12:C12"/>
  </mergeCells>
  <phoneticPr fontId="25" type="noConversion"/>
  <hyperlinks>
    <hyperlink ref="E2" location="Instructions!B37" display="Back to Instructions tab" xr:uid="{9EF6ED20-95BE-4780-9ED4-669F877270E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56"/>
  <sheetViews>
    <sheetView showGridLines="0" zoomScale="80" zoomScaleNormal="80" workbookViewId="0">
      <selection activeCell="C13" sqref="C13"/>
    </sheetView>
  </sheetViews>
  <sheetFormatPr defaultColWidth="9.140625" defaultRowHeight="18" customHeight="1" x14ac:dyDescent="0.3"/>
  <cols>
    <col min="1" max="1" width="3.42578125" style="21" customWidth="1"/>
    <col min="2" max="2" width="60.85546875" style="21" customWidth="1"/>
    <col min="3" max="3" width="43.85546875" style="21" customWidth="1"/>
    <col min="4" max="4" width="9.140625" style="21"/>
    <col min="5" max="5" width="48.42578125" style="21" customWidth="1"/>
    <col min="6" max="6" width="36.85546875" style="21" customWidth="1"/>
    <col min="7" max="7" width="24.7109375" style="21" customWidth="1"/>
    <col min="8" max="8" width="40" style="21" customWidth="1"/>
    <col min="9" max="9" width="5.42578125" style="21" customWidth="1"/>
    <col min="10" max="10" width="2.7109375" style="188" customWidth="1"/>
    <col min="11" max="16384" width="9.140625" style="21"/>
  </cols>
  <sheetData>
    <row r="1" spans="2:10" ht="18" customHeight="1" thickBot="1" x14ac:dyDescent="0.35">
      <c r="J1" s="22"/>
    </row>
    <row r="2" spans="2:10" ht="18" customHeight="1" thickBot="1" x14ac:dyDescent="0.35">
      <c r="B2" s="660" t="str">
        <f>'Version Control'!$B$2</f>
        <v>Title Block</v>
      </c>
      <c r="C2" s="661"/>
      <c r="E2" s="152" t="s">
        <v>37</v>
      </c>
      <c r="J2" s="22"/>
    </row>
    <row r="3" spans="2:10" ht="18" customHeight="1" x14ac:dyDescent="0.3">
      <c r="B3" s="95" t="str">
        <f>'Version Control'!$B$3</f>
        <v>Test Report Template Name:</v>
      </c>
      <c r="C3" s="96" t="str">
        <f>'Version Control'!$C$3</f>
        <v>Small Electric Motors</v>
      </c>
      <c r="J3" s="22"/>
    </row>
    <row r="4" spans="2:10" ht="18" customHeight="1" x14ac:dyDescent="0.3">
      <c r="B4" s="99" t="str">
        <f>'Version Control'!$B$4</f>
        <v>Version Number:</v>
      </c>
      <c r="C4" s="100" t="str">
        <f>'Version Control'!$C$4</f>
        <v>v1.0</v>
      </c>
      <c r="J4" s="22"/>
    </row>
    <row r="5" spans="2:10" ht="18" customHeight="1" x14ac:dyDescent="0.3">
      <c r="B5" s="99" t="str">
        <f>'Version Control'!$B$5</f>
        <v xml:space="preserve">Latest Template Revision: </v>
      </c>
      <c r="C5" s="101">
        <f>'Version Control'!$C$5</f>
        <v>45575</v>
      </c>
      <c r="J5" s="22"/>
    </row>
    <row r="6" spans="2:10" ht="18" customHeight="1" x14ac:dyDescent="0.3">
      <c r="B6" s="99" t="str">
        <f>'Version Control'!$B$6</f>
        <v>Tab Name:</v>
      </c>
      <c r="C6" s="102" t="str">
        <f ca="1">MID(CELL("filename",A1), FIND("]", CELL("filename", A1))+ 1, 255)</f>
        <v>General Info &amp; Test Results</v>
      </c>
      <c r="J6" s="22"/>
    </row>
    <row r="7" spans="2:10" ht="18" customHeight="1" x14ac:dyDescent="0.3">
      <c r="B7" s="124" t="str">
        <f>'Version Control'!$B$7</f>
        <v>File Name:</v>
      </c>
      <c r="C7" s="125" t="str">
        <f ca="1">'Version Control'!$C$7</f>
        <v>Small Electric Motors - v1.0.xlsx</v>
      </c>
      <c r="J7" s="22"/>
    </row>
    <row r="8" spans="2:10" ht="18" customHeight="1" x14ac:dyDescent="0.35">
      <c r="B8" s="99" t="s">
        <v>82</v>
      </c>
      <c r="C8" s="101" t="str">
        <f>'Version Control'!$C$8</f>
        <v>[MM/DD/YYYY]</v>
      </c>
      <c r="E8" s="423"/>
      <c r="J8" s="22"/>
    </row>
    <row r="9" spans="2:10" ht="18" customHeight="1" thickBot="1" x14ac:dyDescent="0.35">
      <c r="B9" s="126" t="s">
        <v>83</v>
      </c>
      <c r="C9" s="127" t="str">
        <f>'Version Control'!$C$9</f>
        <v>[MM/DD/YYYY]</v>
      </c>
      <c r="J9" s="22"/>
    </row>
    <row r="10" spans="2:10" ht="18" customHeight="1" x14ac:dyDescent="0.3">
      <c r="B10" s="29"/>
      <c r="C10" s="30"/>
      <c r="E10" s="420"/>
      <c r="F10" s="162"/>
      <c r="G10" s="162"/>
      <c r="H10" s="162"/>
      <c r="J10" s="22"/>
    </row>
    <row r="11" spans="2:10" ht="18" customHeight="1" thickBot="1" x14ac:dyDescent="0.35">
      <c r="B11" s="29"/>
      <c r="C11" s="30"/>
      <c r="E11" s="420"/>
      <c r="F11" s="162"/>
      <c r="G11" s="162"/>
      <c r="H11" s="162"/>
      <c r="J11" s="22"/>
    </row>
    <row r="12" spans="2:10" ht="18" customHeight="1" thickBot="1" x14ac:dyDescent="0.4">
      <c r="B12" s="687" t="s">
        <v>38</v>
      </c>
      <c r="C12" s="688"/>
      <c r="E12" s="683" t="s">
        <v>479</v>
      </c>
      <c r="F12" s="684"/>
      <c r="G12" s="427"/>
      <c r="H12" s="162"/>
      <c r="J12" s="22"/>
    </row>
    <row r="13" spans="2:10" ht="18" customHeight="1" x14ac:dyDescent="0.35">
      <c r="B13" s="31" t="s">
        <v>39</v>
      </c>
      <c r="C13" s="4"/>
      <c r="E13" s="429" t="s">
        <v>483</v>
      </c>
      <c r="F13" s="430" t="str">
        <f>IF('Determination of Test Method'!C22=0, " ", 'Determination of Test Method'!C22)</f>
        <v xml:space="preserve"> </v>
      </c>
      <c r="G13" s="427"/>
      <c r="H13" s="162"/>
      <c r="J13" s="22"/>
    </row>
    <row r="14" spans="2:10" ht="18" customHeight="1" thickBot="1" x14ac:dyDescent="0.4">
      <c r="B14" s="32" t="s">
        <v>40</v>
      </c>
      <c r="C14" s="5"/>
      <c r="E14" s="431"/>
      <c r="F14" s="432"/>
      <c r="G14" s="427"/>
      <c r="H14" s="162"/>
      <c r="I14" s="188"/>
      <c r="J14" s="22"/>
    </row>
    <row r="15" spans="2:10" ht="18" customHeight="1" thickBot="1" x14ac:dyDescent="0.4">
      <c r="B15" s="130"/>
      <c r="C15" s="14"/>
      <c r="E15" s="433" t="s">
        <v>198</v>
      </c>
      <c r="F15" s="434" t="s">
        <v>136</v>
      </c>
      <c r="G15" s="162"/>
      <c r="J15" s="22"/>
    </row>
    <row r="16" spans="2:10" ht="18" customHeight="1" thickBot="1" x14ac:dyDescent="0.4">
      <c r="B16" s="660" t="s">
        <v>41</v>
      </c>
      <c r="C16" s="661"/>
      <c r="E16" s="435" t="str">
        <f>IF(F13="CSA C390-10", 'CSA C390-10'!C48, IF(F13="IEC 60034-2-1 Method 2-1-1A", 100, IF(F13="IEC 60034-2-1 Method 2-1-1B", 'IEC 60034-2-1 Method 2-1-1B'!C52, IF(F13="IEEE 112-2017MethodA", 'IEEE 112-2017 Method A'!C47, IF(F13="IEEE 112-2017MethodB", 'IEEE 112-2017 Method B'!C88, IF(F13="IEEE 114-2010", 'IEEE 114-2010'!C54, IF(F13="CSA C747-09", 'CSA C747-09'!C39, IF(F13="Alternative efficiency determination method", 100, " "))))))))</f>
        <v xml:space="preserve"> </v>
      </c>
      <c r="F16" s="436" t="str">
        <f>IF(F13="CSA C390-10",'CSA C390-10'!C100,IF(F13="IEC 60034-2-1 Method 2-1-1A",'IEC 60034-2-1 Method 2-1-1A'!C31,IF(F13="IEC 60034-2-1 Method 2-1-1B",'IEC 60034-2-1 Method 2-1-1B'!C138,IF(F13="IEEE 112-2017MethodA",'IEEE 112-2017 Method A'!C78,IF(F13="IEEE 112-2017MethodB",'IEEE 112-2017 Method B'!C165,IF(F13="IEEE 114-2010",'IEEE 114-2010'!C82,IF(F13="CSA C747-09",'CSA C747-09'!C126, IF(F13="Alternative efficiency determination method", 'Determination of Test Method'!C34, " "))))))))</f>
        <v xml:space="preserve"> </v>
      </c>
      <c r="G16" s="427"/>
      <c r="H16" s="162"/>
      <c r="J16" s="22"/>
    </row>
    <row r="17" spans="2:10" ht="18" customHeight="1" x14ac:dyDescent="0.35">
      <c r="B17" s="19" t="s">
        <v>42</v>
      </c>
      <c r="C17" s="6" t="s">
        <v>43</v>
      </c>
      <c r="E17" s="437" t="str">
        <f>IF(F13="CSA C390-10",'CSA C390-10'!C49,IF(F13="IEC 60034-2-1 Method 2-1-1B",'IEC 60034-2-1 Method 2-1-1B'!C53,IF(F13="IEEE 112-2017MethodA",'IEEE 112-2017 Method A'!C48,IF(F13="IEEE 112-2017MethodB",'IEEE 112-2017 Method B'!C89,IF(F13="IEEE 114-2010",'IEEE 114-2010'!C55,IF(F13="CSA C747-09",'CSA C747-09'!C40," "))))))</f>
        <v xml:space="preserve"> </v>
      </c>
      <c r="F17" s="263" t="str">
        <f>IF(F13="CSA C390-10",'CSA C390-10'!D100,IF(F13="IEC 60034-2-1 Method 2-1-1B",'IEC 60034-2-1 Method 2-1-1B'!D138,IF(F13="IEEE 112-2017MethodA",'IEEE 112-2017 Method A'!D78,IF(F13="IEEE 112-2017MethodB",'IEEE 112-2017 Method B'!D165,IF(F13="IEEE 114-2010",'IEEE 114-2010'!D82,IF(F13="CSA C747-09",'CSA C747-09'!D126," "))))))</f>
        <v xml:space="preserve"> </v>
      </c>
      <c r="G17" s="427"/>
      <c r="H17" s="162"/>
      <c r="J17" s="22"/>
    </row>
    <row r="18" spans="2:10" ht="18" customHeight="1" thickBot="1" x14ac:dyDescent="0.4">
      <c r="B18" s="20" t="s">
        <v>44</v>
      </c>
      <c r="C18" s="7" t="s">
        <v>43</v>
      </c>
      <c r="E18" s="437" t="str">
        <f>IF(F13="CSA C390-10",'CSA C390-10'!C50,IF(F13="IEC 60034-2-1 Method 2-1-1B",'IEC 60034-2-1 Method 2-1-1B'!C54,IF(F13="IEEE 112-2017MethodA",'IEEE 112-2017 Method A'!C49,IF(F13="IEEE 112-2017MethodB",'IEEE 112-2017 Method B'!C90,IF(F13="IEEE 114-2010",'IEEE 114-2010'!C56,IF(F13="CSA C747-09",'CSA C747-09'!C41," "))))))</f>
        <v xml:space="preserve"> </v>
      </c>
      <c r="F18" s="263" t="str">
        <f>IF(F13="CSA C390-10",'CSA C390-10'!E100,IF(F13="IEC 60034-2-1 Method 2-1-1B",'IEC 60034-2-1 Method 2-1-1B'!E138,IF(F13="IEEE 112-2017MethodA",'IEEE 112-2017 Method A'!E78,IF(F13="IEEE 112-2017MethodB",'IEEE 112-2017 Method B'!E165,IF(F13="IEEE 114-2010",'IEEE 114-2010'!E82,IF(F13="CSA C747-09",'CSA C747-09'!E126," "))))))</f>
        <v xml:space="preserve"> </v>
      </c>
      <c r="G18" s="427"/>
      <c r="H18" s="162"/>
      <c r="J18" s="22"/>
    </row>
    <row r="19" spans="2:10" ht="18" customHeight="1" thickBot="1" x14ac:dyDescent="0.4">
      <c r="E19" s="437" t="str">
        <f>IF(F13="CSA C390-10",'CSA C390-10'!C51,IF(F13="IEC 60034-2-1 Method 2-1-1B",'IEC 60034-2-1 Method 2-1-1B'!C55,IF(F13="IEEE 112-2017MethodA",'IEEE 112-2017 Method A'!C50,IF(F13="IEEE 112-2017MethodB",'IEEE 112-2017 Method B'!C91,IF(F13="IEEE 114-2010",'IEEE 114-2010'!C57,IF(F13="CSA C747-09",'CSA C747-09'!C42," "))))))</f>
        <v xml:space="preserve"> </v>
      </c>
      <c r="F19" s="263" t="str">
        <f>IF(F13="CSA C390-10",'CSA C390-10'!F100,IF(F13="IEC 60034-2-1 Method 2-1-1B",'IEC 60034-2-1 Method 2-1-1B'!F138,IF(F13="IEEE 112-2017MethodA",'IEEE 112-2017 Method A'!F78,IF(F13="IEEE 112-2017MethodB",'IEEE 112-2017 Method B'!F165,IF(F13="IEEE 114-2010",'IEEE 114-2010'!F82,IF(F13="CSA C747-09",'CSA C747-09'!F126," "))))))</f>
        <v xml:space="preserve"> </v>
      </c>
      <c r="G19" s="427"/>
      <c r="H19" s="162"/>
      <c r="J19" s="22"/>
    </row>
    <row r="20" spans="2:10" ht="18" customHeight="1" thickBot="1" x14ac:dyDescent="0.4">
      <c r="B20" s="660" t="s">
        <v>45</v>
      </c>
      <c r="C20" s="661"/>
      <c r="E20" s="437" t="str">
        <f>IF(F13="CSA C390-10",'CSA C390-10'!C52,IF(F13="IEC 60034-2-1 Method 2-1-1B",'IEC 60034-2-1 Method 2-1-1B'!C56,IF(F13="IEEE 112-2017MethodA",'IEEE 112-2017 Method A'!C51,IF(F13="IEEE 112-2017MethodB",'IEEE 112-2017 Method B'!C92,IF(F13="IEEE 114-2010",'IEEE 114-2010'!C58,IF(F13="CSA C747-09",'CSA C747-09'!C43," "))))))</f>
        <v xml:space="preserve"> </v>
      </c>
      <c r="F20" s="263" t="str">
        <f>IF(F13="CSA C390-10",'CSA C390-10'!G100,IF(F13="IEC 60034-2-1 Method 2-1-1B",'IEC 60034-2-1 Method 2-1-1B'!G138,IF(F13="IEEE 112-2017MethodA",'IEEE 112-2017 Method A'!G78,IF(F13="IEEE 112-2017MethodB",'IEEE 112-2017 Method B'!G165,IF(F13="IEEE 114-2010",'IEEE 114-2010'!G82,IF(F13="CSA C747-09",'CSA C747-09'!G126," "))))))</f>
        <v xml:space="preserve"> </v>
      </c>
      <c r="G20" s="427"/>
      <c r="H20" s="162"/>
      <c r="J20" s="22"/>
    </row>
    <row r="21" spans="2:10" ht="18" customHeight="1" x14ac:dyDescent="0.35">
      <c r="B21" s="35" t="s">
        <v>47</v>
      </c>
      <c r="C21" s="8"/>
      <c r="E21" s="437" t="str">
        <f>IF(F13="CSA C390-10",'CSA C390-10'!C53,IF(F13="IEC 60034-2-1 Method 2-1-1B",'IEC 60034-2-1 Method 2-1-1B'!C57,IF(F13="IEEE 112-2017MethodA",'IEEE 112-2017 Method A'!C52,IF(F13="IEEE 112-2017MethodB",'IEEE 112-2017 Method B'!C93,IF(F13="IEEE 114-2010",'IEEE 114-2010'!C59," ")))))</f>
        <v xml:space="preserve"> </v>
      </c>
      <c r="F21" s="263" t="str">
        <f>IF(F13="CSA C390-10",'CSA C390-10'!H100,IF(F13="IEC 60034-2-1 Method 2-1-1B",'IEC 60034-2-1 Method 2-1-1B'!H138,IF(F13="IEEE 112-2017MethodA",'IEEE 112-2017 Method A'!H78,IF(F13="IEEE 112-2017MethodB",'IEEE 112-2017 Method B'!H165,IF(F13="IEEE 114-2010",'IEEE 114-2010'!H82," ")))))</f>
        <v xml:space="preserve"> </v>
      </c>
      <c r="G21" s="427"/>
      <c r="H21" s="162"/>
      <c r="J21" s="22"/>
    </row>
    <row r="22" spans="2:10" ht="18" customHeight="1" x14ac:dyDescent="0.35">
      <c r="B22" s="36" t="s">
        <v>49</v>
      </c>
      <c r="C22" s="8"/>
      <c r="D22" s="14"/>
      <c r="E22" s="162"/>
      <c r="F22" s="428"/>
      <c r="G22" s="421"/>
      <c r="H22" s="162"/>
      <c r="J22" s="22"/>
    </row>
    <row r="23" spans="2:10" ht="18" customHeight="1" x14ac:dyDescent="0.3">
      <c r="B23" s="36" t="s">
        <v>50</v>
      </c>
      <c r="C23" s="8"/>
      <c r="D23" s="14"/>
      <c r="E23" s="129"/>
      <c r="F23" s="131"/>
      <c r="G23" s="130"/>
      <c r="J23" s="22"/>
    </row>
    <row r="24" spans="2:10" ht="18" customHeight="1" thickBot="1" x14ac:dyDescent="0.35">
      <c r="B24" s="36" t="s">
        <v>51</v>
      </c>
      <c r="C24" s="8"/>
      <c r="D24" s="14"/>
      <c r="E24" s="132" t="s">
        <v>84</v>
      </c>
      <c r="F24" s="33"/>
      <c r="G24" s="34"/>
      <c r="H24" s="34"/>
      <c r="J24" s="22"/>
    </row>
    <row r="25" spans="2:10" ht="18" customHeight="1" thickBot="1" x14ac:dyDescent="0.35">
      <c r="B25" s="36" t="s">
        <v>55</v>
      </c>
      <c r="C25" s="9" t="s">
        <v>43</v>
      </c>
      <c r="E25" s="660" t="s">
        <v>46</v>
      </c>
      <c r="F25" s="704"/>
      <c r="G25" s="704"/>
      <c r="H25" s="661"/>
      <c r="J25" s="22"/>
    </row>
    <row r="26" spans="2:10" ht="18" customHeight="1" x14ac:dyDescent="0.3">
      <c r="B26" s="36" t="s">
        <v>57</v>
      </c>
      <c r="C26" s="9" t="s">
        <v>43</v>
      </c>
      <c r="E26" s="695" t="s">
        <v>48</v>
      </c>
      <c r="F26" s="696"/>
      <c r="G26" s="696"/>
      <c r="H26" s="697"/>
      <c r="J26" s="22"/>
    </row>
    <row r="27" spans="2:10" ht="18" customHeight="1" thickBot="1" x14ac:dyDescent="0.35">
      <c r="B27" s="43" t="s">
        <v>59</v>
      </c>
      <c r="C27" s="5"/>
      <c r="E27" s="698"/>
      <c r="F27" s="699"/>
      <c r="G27" s="699"/>
      <c r="H27" s="700"/>
      <c r="J27" s="22"/>
    </row>
    <row r="28" spans="2:10" ht="18" customHeight="1" thickBot="1" x14ac:dyDescent="0.35">
      <c r="B28" s="46"/>
      <c r="E28" s="701"/>
      <c r="F28" s="702"/>
      <c r="G28" s="702"/>
      <c r="H28" s="703"/>
      <c r="J28" s="22"/>
    </row>
    <row r="29" spans="2:10" ht="18" customHeight="1" thickBot="1" x14ac:dyDescent="0.4">
      <c r="B29" s="157" t="s">
        <v>61</v>
      </c>
      <c r="C29" s="158"/>
      <c r="D29" s="424"/>
      <c r="E29" s="689" t="s">
        <v>52</v>
      </c>
      <c r="F29" s="690"/>
      <c r="G29" s="92" t="s">
        <v>53</v>
      </c>
      <c r="H29" s="38" t="s">
        <v>54</v>
      </c>
      <c r="J29" s="22"/>
    </row>
    <row r="30" spans="2:10" customFormat="1" ht="18" customHeight="1" x14ac:dyDescent="0.3">
      <c r="B30" s="444" t="s">
        <v>437</v>
      </c>
      <c r="C30" s="457"/>
      <c r="E30" s="691" t="s">
        <v>56</v>
      </c>
      <c r="F30" s="692"/>
      <c r="G30" s="39" t="str">
        <f>'Report Sign-Off Block'!D16</f>
        <v>[MM/DD/YYYY]</v>
      </c>
      <c r="H30" s="40" t="str">
        <f>IF('Report Sign-Off Block'!E16&lt;&gt;0,'Report Sign-Off Block'!E16,"")</f>
        <v>[Test Lab Name]</v>
      </c>
      <c r="I30" s="21"/>
      <c r="J30" s="22"/>
    </row>
    <row r="31" spans="2:10" customFormat="1" ht="18" customHeight="1" x14ac:dyDescent="0.3">
      <c r="B31" s="445" t="s">
        <v>241</v>
      </c>
      <c r="C31" s="306"/>
      <c r="E31" s="693" t="s">
        <v>58</v>
      </c>
      <c r="F31" s="694"/>
      <c r="G31" s="41" t="str">
        <f>'Report Sign-Off Block'!D17</f>
        <v>[MM/DD/YYYY]</v>
      </c>
      <c r="H31" s="42" t="str">
        <f>IF('Report Sign-Off Block'!E17&lt;&gt;0,'Report Sign-Off Block'!E17,"")</f>
        <v>[Test Lab Name]</v>
      </c>
      <c r="I31" s="21"/>
      <c r="J31" s="22"/>
    </row>
    <row r="32" spans="2:10" ht="18" customHeight="1" x14ac:dyDescent="0.3">
      <c r="B32" s="444" t="s">
        <v>263</v>
      </c>
      <c r="C32" s="308"/>
      <c r="E32" s="685" t="s">
        <v>60</v>
      </c>
      <c r="F32" s="686"/>
      <c r="G32" s="133" t="str">
        <f>'Report Sign-Off Block'!D18</f>
        <v>[MM/DD/YYYY]</v>
      </c>
      <c r="H32" s="134" t="str">
        <f>'Report Sign-Off Block'!E18</f>
        <v>[Test Lab Name]</v>
      </c>
      <c r="I32" s="188"/>
      <c r="J32" s="22"/>
    </row>
    <row r="33" spans="1:10" ht="18" customHeight="1" thickBot="1" x14ac:dyDescent="0.35">
      <c r="B33" s="446" t="s">
        <v>438</v>
      </c>
      <c r="C33" s="305"/>
      <c r="E33" s="681" t="s">
        <v>60</v>
      </c>
      <c r="F33" s="682"/>
      <c r="G33" s="44" t="str">
        <f>'Report Sign-Off Block'!D19</f>
        <v>[MM/DD/YYYY]</v>
      </c>
      <c r="H33" s="45" t="str">
        <f>'Report Sign-Off Block'!E19</f>
        <v>[Test Lab Name]</v>
      </c>
      <c r="I33" s="188"/>
      <c r="J33" s="56"/>
    </row>
    <row r="34" spans="1:10" ht="18" customHeight="1" x14ac:dyDescent="0.3">
      <c r="B34" s="445" t="s">
        <v>436</v>
      </c>
      <c r="C34" s="305"/>
      <c r="I34" s="188"/>
      <c r="J34" s="56"/>
    </row>
    <row r="35" spans="1:10" ht="18" customHeight="1" x14ac:dyDescent="0.3">
      <c r="B35" s="447" t="s">
        <v>140</v>
      </c>
      <c r="C35" s="307"/>
      <c r="I35" s="188"/>
      <c r="J35" s="22"/>
    </row>
    <row r="36" spans="1:10" ht="18" customHeight="1" x14ac:dyDescent="0.3">
      <c r="B36" s="448" t="s">
        <v>210</v>
      </c>
      <c r="C36" s="306"/>
      <c r="E36" s="456"/>
      <c r="I36" s="188"/>
      <c r="J36" s="22"/>
    </row>
    <row r="37" spans="1:10" ht="18" customHeight="1" thickBot="1" x14ac:dyDescent="0.35">
      <c r="B37" s="449" t="s">
        <v>155</v>
      </c>
      <c r="C37" s="439"/>
      <c r="E37"/>
      <c r="F37"/>
      <c r="G37"/>
      <c r="H37"/>
      <c r="I37" s="188"/>
      <c r="J37" s="22"/>
    </row>
    <row r="38" spans="1:10" ht="18" customHeight="1" x14ac:dyDescent="0.3">
      <c r="B38" s="188"/>
      <c r="C38" s="188"/>
      <c r="I38" s="188"/>
      <c r="J38" s="22"/>
    </row>
    <row r="39" spans="1:10" ht="18" customHeight="1" x14ac:dyDescent="0.3">
      <c r="B39" s="188"/>
      <c r="C39" s="188"/>
      <c r="I39" s="188"/>
      <c r="J39" s="22"/>
    </row>
    <row r="40" spans="1:10" ht="18" customHeight="1" x14ac:dyDescent="0.3">
      <c r="A40" s="22"/>
      <c r="B40" s="22"/>
      <c r="C40" s="22"/>
      <c r="D40" s="450"/>
      <c r="E40" s="22"/>
      <c r="F40" s="22"/>
      <c r="G40" s="22"/>
      <c r="H40" s="22"/>
      <c r="I40" s="22"/>
      <c r="J40" s="22"/>
    </row>
    <row r="41" spans="1:10" ht="18" customHeight="1" x14ac:dyDescent="0.3">
      <c r="B41" s="188"/>
      <c r="C41" s="188"/>
      <c r="E41" s="162"/>
      <c r="F41" s="188"/>
      <c r="G41" s="188"/>
      <c r="H41" s="188"/>
      <c r="I41" s="188"/>
    </row>
    <row r="42" spans="1:10" s="188" customFormat="1" ht="18" customHeight="1" x14ac:dyDescent="0.3"/>
    <row r="43" spans="1:10" s="188" customFormat="1" ht="18" customHeight="1" x14ac:dyDescent="0.3"/>
    <row r="44" spans="1:10" s="188" customFormat="1" ht="18" customHeight="1" x14ac:dyDescent="0.3"/>
    <row r="45" spans="1:10" s="188" customFormat="1" ht="18" customHeight="1" x14ac:dyDescent="0.3"/>
    <row r="46" spans="1:10" s="188" customFormat="1" ht="18" customHeight="1" x14ac:dyDescent="0.3"/>
    <row r="47" spans="1:10" s="188" customFormat="1" ht="18" customHeight="1" x14ac:dyDescent="0.3"/>
    <row r="48" spans="1:10" s="188" customFormat="1" ht="18" customHeight="1" x14ac:dyDescent="0.3"/>
    <row r="49" spans="2:8" s="188" customFormat="1" ht="18" customHeight="1" x14ac:dyDescent="0.3"/>
    <row r="50" spans="2:8" s="188" customFormat="1" ht="18" customHeight="1" x14ac:dyDescent="0.3"/>
    <row r="51" spans="2:8" s="188" customFormat="1" ht="18" customHeight="1" x14ac:dyDescent="0.3"/>
    <row r="52" spans="2:8" s="188" customFormat="1" ht="18" customHeight="1" x14ac:dyDescent="0.3">
      <c r="B52" s="21"/>
      <c r="C52" s="21"/>
    </row>
    <row r="53" spans="2:8" s="188" customFormat="1" ht="18" customHeight="1" x14ac:dyDescent="0.3">
      <c r="B53" s="21"/>
      <c r="C53" s="21"/>
    </row>
    <row r="54" spans="2:8" s="188" customFormat="1" ht="18" customHeight="1" x14ac:dyDescent="0.3">
      <c r="B54" s="21"/>
      <c r="C54" s="21"/>
    </row>
    <row r="55" spans="2:8" s="188" customFormat="1" ht="18" customHeight="1" x14ac:dyDescent="0.3">
      <c r="B55" s="21"/>
      <c r="C55" s="21"/>
      <c r="E55" s="21"/>
      <c r="F55" s="21"/>
      <c r="G55" s="21"/>
      <c r="H55" s="21"/>
    </row>
    <row r="56" spans="2:8" s="188" customFormat="1" ht="18" customHeight="1" x14ac:dyDescent="0.3">
      <c r="B56" s="21"/>
      <c r="C56" s="21"/>
      <c r="E56" s="21"/>
      <c r="F56" s="21"/>
      <c r="G56" s="21"/>
      <c r="H56" s="21"/>
    </row>
  </sheetData>
  <sheetProtection algorithmName="SHA-512" hashValue="D39dCGluZfPwDuoEsbs2NrL9ZQ+I0k17fqMjSmqFU3BnwUOQguC+ZMd6I0LVVjylV98uW+xZZp3w9B5fSDwsdQ==" saltValue="2hSvmBXpChq4e9LFFOI7IA==" spinCount="100000" sheet="1" selectLockedCells="1"/>
  <mergeCells count="12">
    <mergeCell ref="E33:F33"/>
    <mergeCell ref="E12:F12"/>
    <mergeCell ref="B2:C2"/>
    <mergeCell ref="E32:F32"/>
    <mergeCell ref="B12:C12"/>
    <mergeCell ref="B20:C20"/>
    <mergeCell ref="E29:F29"/>
    <mergeCell ref="E30:F30"/>
    <mergeCell ref="E31:F31"/>
    <mergeCell ref="B16:C16"/>
    <mergeCell ref="E26:H28"/>
    <mergeCell ref="E25:H25"/>
  </mergeCells>
  <conditionalFormatting sqref="C25">
    <cfRule type="expression" dxfId="14" priority="3">
      <formula>$C$25&gt;$C$17</formula>
    </cfRule>
  </conditionalFormatting>
  <conditionalFormatting sqref="C26">
    <cfRule type="expression" dxfId="13" priority="2">
      <formula>$C$26&lt;$C$25</formula>
    </cfRule>
  </conditionalFormatting>
  <conditionalFormatting sqref="C25:C26">
    <cfRule type="expression" dxfId="12" priority="1">
      <formula>NOT(ISNUMBER($C$25))</formula>
    </cfRule>
  </conditionalFormatting>
  <hyperlinks>
    <hyperlink ref="E2" location="Instructions!B37" display="Back to Instructions tab"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C9348807-6390-4E81-BED6-7C8A1E26BA98}">
          <x14:formula1>
            <xm:f>'Drop-downs'!$B$31:$B$36</xm:f>
          </x14:formula1>
          <xm:sqref>C34</xm:sqref>
        </x14:dataValidation>
        <x14:dataValidation type="list" allowBlank="1" showInputMessage="1" showErrorMessage="1" xr:uid="{85A822F1-3ABA-4EEC-9945-3113DE32C73B}">
          <x14:formula1>
            <xm:f>'Drop-downs'!$B$43:$B$46</xm:f>
          </x14:formula1>
          <xm:sqref>C36</xm:sqref>
        </x14:dataValidation>
        <x14:dataValidation type="list" allowBlank="1" showInputMessage="1" showErrorMessage="1" xr:uid="{BF83EC50-1733-4F45-A0AA-1FD341034646}">
          <x14:formula1>
            <xm:f>'Drop-downs'!$B$39:$B$40</xm:f>
          </x14:formula1>
          <xm:sqref>C37</xm:sqref>
        </x14:dataValidation>
        <x14:dataValidation type="list" allowBlank="1" showInputMessage="1" showErrorMessage="1" xr:uid="{260C874F-A070-4474-8FFC-653CFEC60964}">
          <x14:formula1>
            <xm:f>'Drop-downs'!$B$26:$B$28</xm:f>
          </x14:formula1>
          <xm:sqref>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B182-B11D-4197-89C6-839A7295AA42}">
  <sheetPr>
    <tabColor rgb="FF0070C0"/>
  </sheetPr>
  <dimension ref="A1:J46"/>
  <sheetViews>
    <sheetView showGridLines="0" zoomScale="80" zoomScaleNormal="80" workbookViewId="0">
      <selection activeCell="C22" sqref="C22"/>
    </sheetView>
  </sheetViews>
  <sheetFormatPr defaultColWidth="9.140625" defaultRowHeight="18" customHeight="1" x14ac:dyDescent="0.3"/>
  <cols>
    <col min="1" max="1" width="3.85546875" style="135" customWidth="1"/>
    <col min="2" max="2" width="54" style="135" customWidth="1"/>
    <col min="3" max="3" width="67.7109375" style="135" customWidth="1"/>
    <col min="4" max="4" width="38.140625" style="135" customWidth="1"/>
    <col min="5" max="5" width="25.140625" style="135" bestFit="1" customWidth="1"/>
    <col min="6" max="7" width="18.5703125" style="135" bestFit="1" customWidth="1"/>
    <col min="8" max="9" width="15.7109375" style="135" customWidth="1"/>
    <col min="10" max="10" width="4.140625" style="135" customWidth="1"/>
    <col min="11" max="19" width="9.140625" style="135"/>
    <col min="20" max="20" width="2.7109375" style="135" customWidth="1"/>
    <col min="21" max="16384" width="9.140625" style="135"/>
  </cols>
  <sheetData>
    <row r="1" spans="1:10" ht="18" customHeight="1" thickBot="1" x14ac:dyDescent="0.35">
      <c r="J1" s="136"/>
    </row>
    <row r="2" spans="1:10" ht="18" customHeight="1" thickBot="1" x14ac:dyDescent="0.35">
      <c r="B2" s="660" t="str">
        <f>'Version Control'!$B$2</f>
        <v>Title Block</v>
      </c>
      <c r="C2" s="661"/>
      <c r="E2" s="1" t="s">
        <v>37</v>
      </c>
      <c r="J2" s="136"/>
    </row>
    <row r="3" spans="1:10" ht="18" customHeight="1" x14ac:dyDescent="0.3">
      <c r="B3" s="137" t="str">
        <f>'Version Control'!$B$3</f>
        <v>Test Report Template Name:</v>
      </c>
      <c r="C3" s="138" t="str">
        <f>'Version Control'!C3</f>
        <v>Small Electric Motors</v>
      </c>
      <c r="J3" s="136"/>
    </row>
    <row r="4" spans="1:10" ht="18" customHeight="1" x14ac:dyDescent="0.3">
      <c r="B4" s="139" t="str">
        <f>'Version Control'!$B$4</f>
        <v>Version Number:</v>
      </c>
      <c r="C4" s="140" t="str">
        <f>'Version Control'!C4</f>
        <v>v1.0</v>
      </c>
      <c r="J4" s="136"/>
    </row>
    <row r="5" spans="1:10" ht="18" customHeight="1" x14ac:dyDescent="0.3">
      <c r="B5" s="139" t="str">
        <f>'Version Control'!$B$5</f>
        <v xml:space="preserve">Latest Template Revision: </v>
      </c>
      <c r="C5" s="141">
        <f>'Version Control'!C5</f>
        <v>45575</v>
      </c>
      <c r="J5" s="136"/>
    </row>
    <row r="6" spans="1:10" ht="18" customHeight="1" x14ac:dyDescent="0.3">
      <c r="B6" s="139" t="str">
        <f>'Version Control'!$B$6</f>
        <v>Tab Name:</v>
      </c>
      <c r="C6" s="142" t="str">
        <f ca="1">MID(CELL("filename",A1), FIND("]", CELL("filename", A1))+ 1, 255)</f>
        <v>Determination of Test Method</v>
      </c>
      <c r="J6" s="136"/>
    </row>
    <row r="7" spans="1:10" ht="36" customHeight="1" x14ac:dyDescent="0.3">
      <c r="B7" s="99" t="str">
        <f>'Version Control'!$B$7</f>
        <v>File Name:</v>
      </c>
      <c r="C7" s="143" t="str">
        <f ca="1">'Version Control'!C7</f>
        <v>Small Electric Motors - v1.0.xlsx</v>
      </c>
      <c r="J7" s="136"/>
    </row>
    <row r="8" spans="1:10" ht="16.5" x14ac:dyDescent="0.3">
      <c r="B8" s="144" t="s">
        <v>42</v>
      </c>
      <c r="C8" s="145" t="str">
        <f>'General Info &amp; Test Results'!C17</f>
        <v>[MM/DD/YYYY]</v>
      </c>
      <c r="J8" s="136"/>
    </row>
    <row r="9" spans="1:10" ht="18" customHeight="1" thickBot="1" x14ac:dyDescent="0.35">
      <c r="B9" s="146" t="str">
        <f>'Version Control'!$B$9</f>
        <v>Date Test Finished:</v>
      </c>
      <c r="C9" s="147" t="str">
        <f>'Version Control'!C9</f>
        <v>[MM/DD/YYYY]</v>
      </c>
      <c r="J9" s="136"/>
    </row>
    <row r="10" spans="1:10" ht="18" customHeight="1" x14ac:dyDescent="0.3">
      <c r="J10" s="136"/>
    </row>
    <row r="11" spans="1:10" s="626" customFormat="1" ht="18" customHeight="1" thickBot="1" x14ac:dyDescent="0.3">
      <c r="J11" s="627"/>
    </row>
    <row r="12" spans="1:10" ht="18" customHeight="1" thickBot="1" x14ac:dyDescent="0.4">
      <c r="B12" s="713" t="s">
        <v>218</v>
      </c>
      <c r="C12" s="714"/>
      <c r="D12" s="714"/>
      <c r="E12" s="714"/>
      <c r="F12" s="714"/>
      <c r="G12" s="714"/>
      <c r="H12" s="715"/>
      <c r="I12" s="165"/>
      <c r="J12" s="136"/>
    </row>
    <row r="13" spans="1:10" ht="72.599999999999994" customHeight="1" thickBot="1" x14ac:dyDescent="0.35">
      <c r="B13" s="716" t="s">
        <v>484</v>
      </c>
      <c r="C13" s="717"/>
      <c r="D13" s="717"/>
      <c r="E13" s="717"/>
      <c r="F13" s="717"/>
      <c r="G13" s="717"/>
      <c r="H13" s="718"/>
      <c r="I13" s="165"/>
      <c r="J13" s="136"/>
    </row>
    <row r="14" spans="1:10" ht="29.1" customHeight="1" thickBot="1" x14ac:dyDescent="0.35">
      <c r="A14" s="168"/>
      <c r="B14" s="265"/>
      <c r="C14" s="265"/>
      <c r="D14" s="265"/>
      <c r="E14" s="265"/>
      <c r="F14" s="265"/>
      <c r="G14" s="265"/>
      <c r="H14" s="272"/>
      <c r="I14" s="165"/>
      <c r="J14" s="136"/>
    </row>
    <row r="15" spans="1:10" s="629" customFormat="1" ht="17.100000000000001" customHeight="1" thickBot="1" x14ac:dyDescent="0.3">
      <c r="A15" s="628"/>
      <c r="B15" s="719" t="s">
        <v>481</v>
      </c>
      <c r="C15" s="720"/>
      <c r="D15" s="720"/>
      <c r="E15" s="720"/>
      <c r="F15" s="720"/>
      <c r="G15" s="720"/>
      <c r="H15" s="721"/>
      <c r="J15" s="630"/>
    </row>
    <row r="16" spans="1:10" s="626" customFormat="1" ht="15" customHeight="1" x14ac:dyDescent="0.25">
      <c r="B16" s="549" t="s">
        <v>85</v>
      </c>
      <c r="C16" s="631" t="str">
        <f>IF(OR('General Info &amp; Test Results'!C33="Two-phase",'General Info &amp; Test Results'!C33="Three-phase"), "Polyphase", IF('General Info &amp; Test Results'!C33="Single-Phase", "Single-Phase", " "))</f>
        <v xml:space="preserve"> </v>
      </c>
      <c r="D16" s="632"/>
      <c r="E16" s="592"/>
      <c r="F16" s="592"/>
      <c r="G16" s="592"/>
      <c r="H16" s="633"/>
      <c r="J16" s="627"/>
    </row>
    <row r="17" spans="1:10" s="626" customFormat="1" ht="17.100000000000001" customHeight="1" x14ac:dyDescent="0.3">
      <c r="B17" s="551" t="s">
        <v>482</v>
      </c>
      <c r="C17" s="634">
        <f>'General Info &amp; Test Results'!C30</f>
        <v>0</v>
      </c>
      <c r="D17" s="635"/>
      <c r="E17" s="636"/>
      <c r="F17" s="595"/>
      <c r="G17" s="637"/>
      <c r="H17" s="633"/>
      <c r="J17" s="627"/>
    </row>
    <row r="18" spans="1:10" s="626" customFormat="1" ht="22.5" customHeight="1" thickBot="1" x14ac:dyDescent="0.35">
      <c r="B18" s="638"/>
      <c r="C18" s="487"/>
      <c r="D18" s="595"/>
      <c r="E18" s="639"/>
      <c r="F18" s="595"/>
      <c r="G18" s="637"/>
      <c r="H18" s="633"/>
      <c r="J18" s="627"/>
    </row>
    <row r="19" spans="1:10" s="626" customFormat="1" ht="18" customHeight="1" x14ac:dyDescent="0.3">
      <c r="A19" s="135"/>
      <c r="B19" s="707" t="s">
        <v>91</v>
      </c>
      <c r="C19" s="710" t="str">
        <f>IF(C16="Single-Phase","IEEE 114-2010, CSA C747-09, or IEC 60034-2-1 Method 2-1-1A",IF(AND(C16="Polyphase",C17&lt;=1),"IEEE 112-2017 Method A, CSA C747-09, or IEC 60034-2-1 Method 2-1-1A",IF(AND(C16="Polyphase",C17&gt;1),"IEEE 112-2017 Method B, CSA C390-10, or IEC 60034-2-1 Method 2-1-1B","More product information needed for determination")))</f>
        <v>More product information needed for determination</v>
      </c>
      <c r="D19" s="595"/>
      <c r="E19" s="639"/>
      <c r="F19" s="595"/>
      <c r="G19" s="637"/>
      <c r="H19" s="220"/>
      <c r="I19" s="135"/>
      <c r="J19" s="627"/>
    </row>
    <row r="20" spans="1:10" ht="18.95" customHeight="1" x14ac:dyDescent="0.3">
      <c r="B20" s="708"/>
      <c r="C20" s="711"/>
      <c r="D20" s="595"/>
      <c r="E20" s="636"/>
      <c r="F20" s="595"/>
      <c r="G20" s="637"/>
      <c r="H20" s="220"/>
      <c r="J20" s="136"/>
    </row>
    <row r="21" spans="1:10" ht="32.450000000000003" customHeight="1" x14ac:dyDescent="0.3">
      <c r="B21" s="709"/>
      <c r="C21" s="712"/>
      <c r="D21" s="595"/>
      <c r="E21" s="639"/>
      <c r="F21" s="595"/>
      <c r="G21" s="637"/>
      <c r="H21" s="220"/>
      <c r="J21" s="136"/>
    </row>
    <row r="22" spans="1:10" ht="26.45" customHeight="1" thickBot="1" x14ac:dyDescent="0.35">
      <c r="B22" s="640" t="s">
        <v>455</v>
      </c>
      <c r="C22" s="422"/>
      <c r="D22" s="440"/>
      <c r="E22" s="218"/>
      <c r="F22" s="218"/>
      <c r="G22" s="218"/>
      <c r="H22" s="219"/>
      <c r="J22" s="136"/>
    </row>
    <row r="23" spans="1:10" ht="21.95" customHeight="1" thickBot="1" x14ac:dyDescent="0.35">
      <c r="J23" s="136"/>
    </row>
    <row r="24" spans="1:10" thickBot="1" x14ac:dyDescent="0.4">
      <c r="B24" s="713" t="s">
        <v>490</v>
      </c>
      <c r="C24" s="714"/>
      <c r="D24" s="714"/>
      <c r="E24" s="714"/>
      <c r="F24" s="714"/>
      <c r="G24" s="714"/>
      <c r="H24" s="715"/>
      <c r="J24" s="136"/>
    </row>
    <row r="25" spans="1:10" s="626" customFormat="1" ht="15" x14ac:dyDescent="0.25">
      <c r="B25" s="641"/>
      <c r="C25" s="642"/>
      <c r="D25" s="642"/>
      <c r="E25" s="642"/>
      <c r="F25" s="642"/>
      <c r="G25" s="642"/>
      <c r="H25" s="643"/>
      <c r="J25" s="627"/>
    </row>
    <row r="26" spans="1:10" s="626" customFormat="1" ht="48.6" customHeight="1" x14ac:dyDescent="0.3">
      <c r="B26" s="341" t="s">
        <v>491</v>
      </c>
      <c r="C26" s="467"/>
      <c r="D26" s="642"/>
      <c r="E26" s="642"/>
      <c r="F26" s="642"/>
      <c r="G26" s="642"/>
      <c r="H26" s="643"/>
      <c r="J26" s="627"/>
    </row>
    <row r="27" spans="1:10" s="165" customFormat="1" ht="28.5" customHeight="1" x14ac:dyDescent="0.3">
      <c r="B27" s="335" t="s">
        <v>492</v>
      </c>
      <c r="C27" s="467"/>
      <c r="D27" s="167"/>
      <c r="E27" s="167"/>
      <c r="F27" s="167"/>
      <c r="G27" s="167"/>
      <c r="H27" s="220"/>
      <c r="J27" s="136"/>
    </row>
    <row r="28" spans="1:10" s="165" customFormat="1" ht="38.1" customHeight="1" x14ac:dyDescent="0.3">
      <c r="B28" s="644" t="s">
        <v>493</v>
      </c>
      <c r="C28" s="467"/>
      <c r="D28" s="167"/>
      <c r="E28" s="167"/>
      <c r="F28" s="167"/>
      <c r="G28" s="167"/>
      <c r="H28" s="220"/>
      <c r="J28" s="136"/>
    </row>
    <row r="29" spans="1:10" s="165" customFormat="1" ht="18.95" customHeight="1" x14ac:dyDescent="0.3">
      <c r="B29" s="645"/>
      <c r="C29" s="167"/>
      <c r="D29" s="167"/>
      <c r="E29" s="167"/>
      <c r="F29" s="167"/>
      <c r="G29" s="167"/>
      <c r="H29" s="220"/>
      <c r="J29" s="136"/>
    </row>
    <row r="30" spans="1:10" s="165" customFormat="1" ht="30.95" customHeight="1" x14ac:dyDescent="0.3">
      <c r="B30" s="646" t="s">
        <v>494</v>
      </c>
      <c r="C30" s="647" t="str">
        <f>IF(AND(C26="Yes",C28="Yes"), "Yes", IF(C28="No", "Additional testing and compliance required, please refer to 10 CFR 431.445(c)", "No, permissible AEDMs must comply with testing requirements above"))</f>
        <v>No, permissible AEDMs must comply with testing requirements above</v>
      </c>
      <c r="D30" s="167"/>
      <c r="E30" s="167"/>
      <c r="F30" s="167"/>
      <c r="G30" s="167"/>
      <c r="H30" s="220"/>
      <c r="J30" s="136"/>
    </row>
    <row r="31" spans="1:10" s="165" customFormat="1" ht="18.95" customHeight="1" x14ac:dyDescent="0.3">
      <c r="B31" s="648"/>
      <c r="C31" s="167"/>
      <c r="D31" s="167"/>
      <c r="E31" s="167"/>
      <c r="F31" s="167"/>
      <c r="G31" s="167"/>
      <c r="H31" s="220"/>
      <c r="J31" s="136"/>
    </row>
    <row r="32" spans="1:10" ht="18" customHeight="1" thickBot="1" x14ac:dyDescent="0.4">
      <c r="B32" s="705" t="s">
        <v>496</v>
      </c>
      <c r="C32" s="706"/>
      <c r="D32" s="706"/>
      <c r="E32" s="706"/>
      <c r="F32" s="706"/>
      <c r="G32" s="218"/>
      <c r="H32" s="219"/>
      <c r="J32" s="136"/>
    </row>
    <row r="33" spans="1:10" s="165" customFormat="1" ht="18.95" customHeight="1" x14ac:dyDescent="0.3">
      <c r="B33" s="648"/>
      <c r="C33" s="167"/>
      <c r="D33" s="167"/>
      <c r="E33" s="167"/>
      <c r="F33" s="167"/>
      <c r="G33" s="167"/>
      <c r="H33" s="220"/>
      <c r="J33" s="136"/>
    </row>
    <row r="34" spans="1:10" s="165" customFormat="1" ht="18.95" customHeight="1" x14ac:dyDescent="0.3">
      <c r="B34" s="644" t="s">
        <v>495</v>
      </c>
      <c r="C34" s="467"/>
      <c r="D34" s="167"/>
      <c r="E34" s="167"/>
      <c r="F34" s="167"/>
      <c r="G34" s="167"/>
      <c r="H34" s="220"/>
      <c r="J34" s="136"/>
    </row>
    <row r="35" spans="1:10" s="165" customFormat="1" ht="8.1" customHeight="1" x14ac:dyDescent="0.3">
      <c r="B35" s="645"/>
      <c r="C35" s="167"/>
      <c r="D35" s="167"/>
      <c r="E35" s="167"/>
      <c r="F35" s="167"/>
      <c r="G35" s="167"/>
      <c r="H35" s="220"/>
      <c r="J35" s="136"/>
    </row>
    <row r="36" spans="1:10" s="165" customFormat="1" ht="18.95" customHeight="1" x14ac:dyDescent="0.35">
      <c r="B36" s="506" t="s">
        <v>497</v>
      </c>
      <c r="C36" s="167"/>
      <c r="D36" s="167"/>
      <c r="E36" s="167"/>
      <c r="F36" s="167"/>
      <c r="G36" s="167"/>
      <c r="H36" s="220"/>
      <c r="J36" s="136"/>
    </row>
    <row r="37" spans="1:10" s="165" customFormat="1" ht="18.600000000000001" customHeight="1" x14ac:dyDescent="0.3">
      <c r="B37" s="649" t="s">
        <v>499</v>
      </c>
      <c r="C37" s="650"/>
      <c r="D37" s="167"/>
      <c r="E37" s="167"/>
      <c r="F37" s="167"/>
      <c r="G37" s="167"/>
      <c r="H37" s="220"/>
      <c r="J37" s="136"/>
    </row>
    <row r="38" spans="1:10" ht="16.5" x14ac:dyDescent="0.3">
      <c r="B38" s="179" t="s">
        <v>500</v>
      </c>
      <c r="C38" s="651"/>
      <c r="D38" s="168"/>
      <c r="E38" s="168"/>
      <c r="F38" s="168"/>
      <c r="G38" s="168"/>
      <c r="H38" s="175"/>
      <c r="J38" s="136"/>
    </row>
    <row r="39" spans="1:10" ht="18" customHeight="1" x14ac:dyDescent="0.3">
      <c r="B39" s="179" t="s">
        <v>501</v>
      </c>
      <c r="C39" s="651"/>
      <c r="D39" s="168"/>
      <c r="E39" s="168"/>
      <c r="F39" s="168"/>
      <c r="G39" s="168"/>
      <c r="H39" s="175"/>
      <c r="J39" s="136"/>
    </row>
    <row r="40" spans="1:10" ht="18.95" customHeight="1" x14ac:dyDescent="0.3">
      <c r="B40" s="179" t="s">
        <v>502</v>
      </c>
      <c r="C40" s="651"/>
      <c r="D40" s="168"/>
      <c r="E40" s="168"/>
      <c r="F40" s="168"/>
      <c r="G40" s="168"/>
      <c r="H40" s="175"/>
      <c r="J40" s="136"/>
    </row>
    <row r="41" spans="1:10" ht="18" customHeight="1" x14ac:dyDescent="0.3">
      <c r="B41" s="652" t="s">
        <v>503</v>
      </c>
      <c r="C41" s="192"/>
      <c r="D41" s="168"/>
      <c r="E41" s="168"/>
      <c r="F41" s="168"/>
      <c r="G41" s="168"/>
      <c r="H41" s="175"/>
      <c r="J41" s="136"/>
    </row>
    <row r="42" spans="1:10" ht="11.1" customHeight="1" x14ac:dyDescent="0.3">
      <c r="B42" s="179"/>
      <c r="C42" s="168"/>
      <c r="D42" s="168"/>
      <c r="E42" s="168"/>
      <c r="F42" s="168"/>
      <c r="G42" s="168"/>
      <c r="H42" s="175"/>
      <c r="J42" s="136"/>
    </row>
    <row r="43" spans="1:10" ht="18" customHeight="1" thickBot="1" x14ac:dyDescent="0.35">
      <c r="B43" s="230" t="s">
        <v>498</v>
      </c>
      <c r="C43" s="9" t="s">
        <v>43</v>
      </c>
      <c r="D43" s="218"/>
      <c r="E43" s="218"/>
      <c r="F43" s="218"/>
      <c r="G43" s="218"/>
      <c r="H43" s="219"/>
      <c r="J43" s="136"/>
    </row>
    <row r="44" spans="1:10" ht="18" customHeight="1" x14ac:dyDescent="0.3">
      <c r="J44" s="136"/>
    </row>
    <row r="45" spans="1:10" ht="18" customHeight="1" x14ac:dyDescent="0.3">
      <c r="J45" s="136"/>
    </row>
    <row r="46" spans="1:10" ht="18" customHeight="1" x14ac:dyDescent="0.3">
      <c r="A46" s="136"/>
      <c r="B46" s="136"/>
      <c r="C46" s="136"/>
      <c r="D46" s="136"/>
      <c r="E46" s="136"/>
      <c r="F46" s="136"/>
      <c r="G46" s="136"/>
      <c r="H46" s="136"/>
      <c r="I46" s="136"/>
      <c r="J46" s="136"/>
    </row>
  </sheetData>
  <sheetProtection algorithmName="SHA-512" hashValue="4zpcT87jo+eFWUk/16JENuYwpNcYHaigb3ZF0c4JKU3GnXsmJ8C+fsiXSLTVCh/x8scQwMU6beR1YCkyGLYSSw==" saltValue="6gfvV/76CcZNI6bqNlDjnQ==" spinCount="100000" sheet="1" selectLockedCells="1"/>
  <mergeCells count="8">
    <mergeCell ref="B32:F32"/>
    <mergeCell ref="B2:C2"/>
    <mergeCell ref="B19:B21"/>
    <mergeCell ref="C19:C21"/>
    <mergeCell ref="B12:H12"/>
    <mergeCell ref="B13:H13"/>
    <mergeCell ref="B15:H15"/>
    <mergeCell ref="B24:H24"/>
  </mergeCells>
  <conditionalFormatting sqref="C43">
    <cfRule type="expression" dxfId="11" priority="2">
      <formula>$C$25&gt;$C$17</formula>
    </cfRule>
  </conditionalFormatting>
  <conditionalFormatting sqref="C43">
    <cfRule type="expression" dxfId="10" priority="1">
      <formula>NOT(ISNUMBER($C$25))</formula>
    </cfRule>
  </conditionalFormatting>
  <hyperlinks>
    <hyperlink ref="E2" location="Instructions!B37" display="Back to Instructions tab" xr:uid="{6A62E6D5-DCC9-4A18-9057-DB7DCF992CBE}"/>
  </hyperlinks>
  <pageMargins left="0.7" right="0.7" top="0.75" bottom="0.75" header="0.3" footer="0.3"/>
  <pageSetup orientation="portrait" horizontalDpi="4294967293"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61CBB758-A097-4C06-9E91-FD6ABCA4FACE}">
          <x14:formula1>
            <xm:f>'Drop-downs'!$B$12:$B$19</xm:f>
          </x14:formula1>
          <xm:sqref>C22</xm:sqref>
        </x14:dataValidation>
        <x14:dataValidation type="list" allowBlank="1" showInputMessage="1" showErrorMessage="1" xr:uid="{D5D2D06E-4E98-4A99-AAAC-3905D2DDDE43}">
          <x14:formula1>
            <xm:f>'Drop-downs'!$B$22:$B$23</xm:f>
          </x14:formula1>
          <xm:sqref>C26 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J45"/>
  <sheetViews>
    <sheetView showGridLines="0" zoomScale="80" zoomScaleNormal="80" workbookViewId="0">
      <selection activeCell="B14" sqref="B14"/>
    </sheetView>
  </sheetViews>
  <sheetFormatPr defaultColWidth="9.140625" defaultRowHeight="18" customHeight="1" x14ac:dyDescent="0.3"/>
  <cols>
    <col min="1" max="1" width="2.7109375" style="21" customWidth="1"/>
    <col min="2" max="2" width="55" style="21" customWidth="1"/>
    <col min="3" max="3" width="44.140625" style="21" customWidth="1"/>
    <col min="4" max="4" width="33.140625" style="21" customWidth="1"/>
    <col min="5" max="5" width="29.5703125" style="21" customWidth="1"/>
    <col min="6" max="6" width="36.140625" style="21" customWidth="1"/>
    <col min="7" max="7" width="28.28515625" style="21" customWidth="1"/>
    <col min="8" max="8" width="29.7109375" style="21" bestFit="1" customWidth="1"/>
    <col min="9" max="9" width="5.42578125" style="21" customWidth="1"/>
    <col min="10" max="10" width="3.42578125" style="21" customWidth="1"/>
    <col min="11" max="16384" width="9.140625" style="21"/>
  </cols>
  <sheetData>
    <row r="1" spans="2:10" ht="18" customHeight="1" thickBot="1" x14ac:dyDescent="0.35">
      <c r="J1" s="22"/>
    </row>
    <row r="2" spans="2:10" ht="18" customHeight="1" thickBot="1" x14ac:dyDescent="0.35">
      <c r="B2" s="660" t="str">
        <f>'Version Control'!$B$2</f>
        <v>Title Block</v>
      </c>
      <c r="C2" s="661"/>
      <c r="J2" s="22"/>
    </row>
    <row r="3" spans="2:10" ht="18" customHeight="1" x14ac:dyDescent="0.3">
      <c r="B3" s="23" t="str">
        <f>'Version Control'!$B$3</f>
        <v>Test Report Template Name:</v>
      </c>
      <c r="C3" s="24" t="str">
        <f>'Version Control'!C3</f>
        <v>Small Electric Motors</v>
      </c>
      <c r="J3" s="22"/>
    </row>
    <row r="4" spans="2:10" ht="18" customHeight="1" x14ac:dyDescent="0.3">
      <c r="B4" s="25" t="str">
        <f>'Version Control'!$B$4</f>
        <v>Version Number:</v>
      </c>
      <c r="C4" s="26" t="str">
        <f>'Version Control'!C4</f>
        <v>v1.0</v>
      </c>
      <c r="J4" s="22"/>
    </row>
    <row r="5" spans="2:10" ht="18" customHeight="1" x14ac:dyDescent="0.3">
      <c r="B5" s="25" t="str">
        <f>'Version Control'!$B$5</f>
        <v xml:space="preserve">Latest Template Revision: </v>
      </c>
      <c r="C5" s="27">
        <f>'Version Control'!C5</f>
        <v>45575</v>
      </c>
      <c r="J5" s="22"/>
    </row>
    <row r="6" spans="2:10" ht="18" customHeight="1" x14ac:dyDescent="0.3">
      <c r="B6" s="25" t="str">
        <f>'Version Control'!$B$6</f>
        <v>Tab Name:</v>
      </c>
      <c r="C6" s="28" t="str">
        <f ca="1">MID(CELL("filename",A1), FIND("]", CELL("filename", A1))+ 1, 255)</f>
        <v>Setup &amp; Instrumentation</v>
      </c>
      <c r="J6" s="22"/>
    </row>
    <row r="7" spans="2:10" ht="36" customHeight="1" x14ac:dyDescent="0.3">
      <c r="B7" s="18" t="str">
        <f>'Version Control'!$B$7</f>
        <v>File Name:</v>
      </c>
      <c r="C7" s="47" t="str">
        <f ca="1">'Version Control'!C7</f>
        <v>Small Electric Motors - v1.0.xlsx</v>
      </c>
      <c r="J7" s="22"/>
    </row>
    <row r="8" spans="2:10" ht="16.5" x14ac:dyDescent="0.3">
      <c r="B8" s="48" t="str">
        <f>'Version Control'!B8</f>
        <v>Date Test Started:</v>
      </c>
      <c r="C8" s="49" t="str">
        <f>'Version Control'!C8</f>
        <v>[MM/DD/YYYY]</v>
      </c>
      <c r="J8" s="22"/>
    </row>
    <row r="9" spans="2:10" ht="18" customHeight="1" thickBot="1" x14ac:dyDescent="0.35">
      <c r="B9" s="50" t="str">
        <f>'Version Control'!B9</f>
        <v>Date Test Finished:</v>
      </c>
      <c r="C9" s="51" t="str">
        <f>'Version Control'!C9</f>
        <v>[MM/DD/YYYY]</v>
      </c>
      <c r="J9" s="22"/>
    </row>
    <row r="10" spans="2:10" ht="18" customHeight="1" x14ac:dyDescent="0.3">
      <c r="J10" s="22"/>
    </row>
    <row r="11" spans="2:10" ht="18" customHeight="1" thickBot="1" x14ac:dyDescent="0.35">
      <c r="J11" s="22"/>
    </row>
    <row r="12" spans="2:10" ht="66" customHeight="1" thickBot="1" x14ac:dyDescent="0.35">
      <c r="B12" s="722" t="s">
        <v>462</v>
      </c>
      <c r="C12" s="704"/>
      <c r="D12" s="704"/>
      <c r="E12" s="704"/>
      <c r="F12" s="704"/>
      <c r="G12" s="704"/>
      <c r="H12" s="661"/>
      <c r="J12" s="22"/>
    </row>
    <row r="13" spans="2:10" ht="18" customHeight="1" x14ac:dyDescent="0.35">
      <c r="B13" s="52" t="s">
        <v>62</v>
      </c>
      <c r="C13" s="53" t="s">
        <v>63</v>
      </c>
      <c r="D13" s="53" t="s">
        <v>64</v>
      </c>
      <c r="E13" s="53" t="s">
        <v>65</v>
      </c>
      <c r="F13" s="53" t="s">
        <v>66</v>
      </c>
      <c r="G13" s="53" t="s">
        <v>67</v>
      </c>
      <c r="H13" s="54" t="s">
        <v>68</v>
      </c>
      <c r="J13" s="22"/>
    </row>
    <row r="14" spans="2:10" ht="18" customHeight="1" x14ac:dyDescent="0.3">
      <c r="B14" s="87"/>
      <c r="C14" s="88"/>
      <c r="D14" s="88"/>
      <c r="E14" s="88"/>
      <c r="F14" s="88"/>
      <c r="G14" s="16" t="s">
        <v>43</v>
      </c>
      <c r="H14" s="9" t="s">
        <v>43</v>
      </c>
      <c r="J14" s="22"/>
    </row>
    <row r="15" spans="2:10" ht="18" customHeight="1" x14ac:dyDescent="0.3">
      <c r="B15" s="87"/>
      <c r="C15" s="88"/>
      <c r="D15" s="88"/>
      <c r="E15" s="88"/>
      <c r="F15" s="88"/>
      <c r="G15" s="16" t="s">
        <v>43</v>
      </c>
      <c r="H15" s="9" t="s">
        <v>43</v>
      </c>
      <c r="J15" s="22"/>
    </row>
    <row r="16" spans="2:10" ht="18" customHeight="1" x14ac:dyDescent="0.3">
      <c r="B16" s="87"/>
      <c r="C16" s="88"/>
      <c r="D16" s="88"/>
      <c r="E16" s="88"/>
      <c r="F16" s="88"/>
      <c r="G16" s="16" t="s">
        <v>43</v>
      </c>
      <c r="H16" s="9" t="s">
        <v>43</v>
      </c>
      <c r="J16" s="22"/>
    </row>
    <row r="17" spans="2:10" ht="18" customHeight="1" x14ac:dyDescent="0.3">
      <c r="B17" s="87"/>
      <c r="C17" s="88"/>
      <c r="D17" s="88"/>
      <c r="E17" s="88"/>
      <c r="F17" s="88"/>
      <c r="G17" s="16" t="s">
        <v>43</v>
      </c>
      <c r="H17" s="9" t="s">
        <v>43</v>
      </c>
      <c r="J17" s="22"/>
    </row>
    <row r="18" spans="2:10" ht="18" customHeight="1" x14ac:dyDescent="0.3">
      <c r="B18" s="87"/>
      <c r="C18" s="88"/>
      <c r="D18" s="88"/>
      <c r="E18" s="88"/>
      <c r="F18" s="88"/>
      <c r="G18" s="16" t="s">
        <v>43</v>
      </c>
      <c r="H18" s="9" t="s">
        <v>43</v>
      </c>
      <c r="J18" s="22"/>
    </row>
    <row r="19" spans="2:10" ht="18" customHeight="1" x14ac:dyDescent="0.3">
      <c r="B19" s="87"/>
      <c r="C19" s="88"/>
      <c r="D19" s="88"/>
      <c r="E19" s="88"/>
      <c r="F19" s="88"/>
      <c r="G19" s="16" t="s">
        <v>43</v>
      </c>
      <c r="H19" s="9" t="s">
        <v>43</v>
      </c>
      <c r="J19" s="22"/>
    </row>
    <row r="20" spans="2:10" ht="18" customHeight="1" x14ac:dyDescent="0.3">
      <c r="B20" s="87"/>
      <c r="C20" s="88"/>
      <c r="D20" s="88"/>
      <c r="E20" s="88"/>
      <c r="F20" s="88"/>
      <c r="G20" s="16" t="s">
        <v>43</v>
      </c>
      <c r="H20" s="9" t="s">
        <v>43</v>
      </c>
      <c r="J20" s="22"/>
    </row>
    <row r="21" spans="2:10" ht="18" customHeight="1" x14ac:dyDescent="0.3">
      <c r="B21" s="87"/>
      <c r="C21" s="88"/>
      <c r="D21" s="88"/>
      <c r="E21" s="88"/>
      <c r="F21" s="88"/>
      <c r="G21" s="16" t="s">
        <v>43</v>
      </c>
      <c r="H21" s="9" t="s">
        <v>43</v>
      </c>
      <c r="J21" s="22"/>
    </row>
    <row r="22" spans="2:10" ht="18" customHeight="1" x14ac:dyDescent="0.3">
      <c r="B22" s="87"/>
      <c r="C22" s="88"/>
      <c r="D22" s="88"/>
      <c r="E22" s="88"/>
      <c r="F22" s="88"/>
      <c r="G22" s="16" t="s">
        <v>43</v>
      </c>
      <c r="H22" s="9" t="s">
        <v>43</v>
      </c>
      <c r="J22" s="22"/>
    </row>
    <row r="23" spans="2:10" ht="18" customHeight="1" x14ac:dyDescent="0.3">
      <c r="B23" s="87"/>
      <c r="C23" s="88"/>
      <c r="D23" s="88"/>
      <c r="E23" s="88"/>
      <c r="F23" s="88"/>
      <c r="G23" s="16" t="s">
        <v>43</v>
      </c>
      <c r="H23" s="9" t="s">
        <v>43</v>
      </c>
      <c r="J23" s="22"/>
    </row>
    <row r="24" spans="2:10" ht="18" customHeight="1" x14ac:dyDescent="0.3">
      <c r="B24" s="87"/>
      <c r="C24" s="88"/>
      <c r="D24" s="88"/>
      <c r="E24" s="88"/>
      <c r="F24" s="88"/>
      <c r="G24" s="16" t="s">
        <v>43</v>
      </c>
      <c r="H24" s="9" t="s">
        <v>43</v>
      </c>
      <c r="J24" s="22"/>
    </row>
    <row r="25" spans="2:10" ht="18" customHeight="1" x14ac:dyDescent="0.3">
      <c r="B25" s="87"/>
      <c r="C25" s="88"/>
      <c r="D25" s="88"/>
      <c r="E25" s="88"/>
      <c r="F25" s="88"/>
      <c r="G25" s="16" t="s">
        <v>43</v>
      </c>
      <c r="H25" s="9" t="s">
        <v>43</v>
      </c>
      <c r="J25" s="22"/>
    </row>
    <row r="26" spans="2:10" ht="18" customHeight="1" x14ac:dyDescent="0.3">
      <c r="B26" s="87"/>
      <c r="C26" s="88"/>
      <c r="D26" s="88"/>
      <c r="E26" s="88"/>
      <c r="F26" s="88"/>
      <c r="G26" s="16" t="s">
        <v>43</v>
      </c>
      <c r="H26" s="9" t="s">
        <v>43</v>
      </c>
      <c r="J26" s="22"/>
    </row>
    <row r="27" spans="2:10" ht="18" customHeight="1" x14ac:dyDescent="0.3">
      <c r="B27" s="87"/>
      <c r="C27" s="88"/>
      <c r="D27" s="88"/>
      <c r="E27" s="88"/>
      <c r="F27" s="88"/>
      <c r="G27" s="16" t="s">
        <v>43</v>
      </c>
      <c r="H27" s="9" t="s">
        <v>43</v>
      </c>
      <c r="J27" s="22"/>
    </row>
    <row r="28" spans="2:10" ht="18" customHeight="1" x14ac:dyDescent="0.3">
      <c r="B28" s="87"/>
      <c r="C28" s="88"/>
      <c r="D28" s="88"/>
      <c r="E28" s="88"/>
      <c r="F28" s="88"/>
      <c r="G28" s="16" t="s">
        <v>43</v>
      </c>
      <c r="H28" s="9" t="s">
        <v>43</v>
      </c>
      <c r="J28" s="22"/>
    </row>
    <row r="29" spans="2:10" ht="18" customHeight="1" x14ac:dyDescent="0.3">
      <c r="B29" s="87"/>
      <c r="C29" s="88"/>
      <c r="D29" s="88"/>
      <c r="E29" s="88"/>
      <c r="F29" s="88"/>
      <c r="G29" s="16" t="s">
        <v>43</v>
      </c>
      <c r="H29" s="9" t="s">
        <v>43</v>
      </c>
      <c r="J29" s="22"/>
    </row>
    <row r="30" spans="2:10" ht="18" customHeight="1" x14ac:dyDescent="0.3">
      <c r="B30" s="87"/>
      <c r="C30" s="88"/>
      <c r="D30" s="88"/>
      <c r="E30" s="88"/>
      <c r="F30" s="88"/>
      <c r="G30" s="16" t="s">
        <v>43</v>
      </c>
      <c r="H30" s="9" t="s">
        <v>43</v>
      </c>
      <c r="J30" s="22"/>
    </row>
    <row r="31" spans="2:10" ht="18" customHeight="1" x14ac:dyDescent="0.3">
      <c r="B31" s="87"/>
      <c r="C31" s="88"/>
      <c r="D31" s="88"/>
      <c r="E31" s="88"/>
      <c r="F31" s="88"/>
      <c r="G31" s="16" t="s">
        <v>43</v>
      </c>
      <c r="H31" s="9" t="s">
        <v>43</v>
      </c>
      <c r="J31" s="22"/>
    </row>
    <row r="32" spans="2:10" ht="18" customHeight="1" x14ac:dyDescent="0.3">
      <c r="B32" s="87"/>
      <c r="C32" s="88"/>
      <c r="D32" s="88"/>
      <c r="E32" s="88"/>
      <c r="F32" s="88"/>
      <c r="G32" s="16" t="s">
        <v>43</v>
      </c>
      <c r="H32" s="9" t="s">
        <v>43</v>
      </c>
      <c r="J32" s="22"/>
    </row>
    <row r="33" spans="1:10" ht="18" customHeight="1" x14ac:dyDescent="0.3">
      <c r="B33" s="87"/>
      <c r="C33" s="88"/>
      <c r="D33" s="88"/>
      <c r="E33" s="88"/>
      <c r="F33" s="88"/>
      <c r="G33" s="16" t="s">
        <v>43</v>
      </c>
      <c r="H33" s="9" t="s">
        <v>43</v>
      </c>
      <c r="J33" s="22"/>
    </row>
    <row r="34" spans="1:10" ht="18" customHeight="1" x14ac:dyDescent="0.3">
      <c r="B34" s="87"/>
      <c r="C34" s="88"/>
      <c r="D34" s="88"/>
      <c r="E34" s="88"/>
      <c r="F34" s="88"/>
      <c r="G34" s="16" t="s">
        <v>43</v>
      </c>
      <c r="H34" s="9" t="s">
        <v>43</v>
      </c>
      <c r="J34" s="22"/>
    </row>
    <row r="35" spans="1:10" ht="18" customHeight="1" x14ac:dyDescent="0.3">
      <c r="B35" s="87"/>
      <c r="C35" s="88"/>
      <c r="D35" s="88"/>
      <c r="E35" s="88"/>
      <c r="F35" s="88"/>
      <c r="G35" s="16" t="s">
        <v>43</v>
      </c>
      <c r="H35" s="9" t="s">
        <v>43</v>
      </c>
      <c r="J35" s="22"/>
    </row>
    <row r="36" spans="1:10" ht="18" customHeight="1" x14ac:dyDescent="0.3">
      <c r="B36" s="87"/>
      <c r="C36" s="88"/>
      <c r="D36" s="88"/>
      <c r="E36" s="88"/>
      <c r="F36" s="88"/>
      <c r="G36" s="16" t="s">
        <v>43</v>
      </c>
      <c r="H36" s="9" t="s">
        <v>43</v>
      </c>
      <c r="J36" s="22"/>
    </row>
    <row r="37" spans="1:10" ht="18" customHeight="1" x14ac:dyDescent="0.3">
      <c r="B37" s="87"/>
      <c r="C37" s="88"/>
      <c r="D37" s="88"/>
      <c r="E37" s="88"/>
      <c r="F37" s="88"/>
      <c r="G37" s="16" t="s">
        <v>43</v>
      </c>
      <c r="H37" s="9" t="s">
        <v>43</v>
      </c>
      <c r="J37" s="22"/>
    </row>
    <row r="38" spans="1:10" ht="18" customHeight="1" x14ac:dyDescent="0.3">
      <c r="B38" s="87"/>
      <c r="C38" s="88"/>
      <c r="D38" s="88"/>
      <c r="E38" s="88"/>
      <c r="F38" s="88"/>
      <c r="G38" s="16" t="s">
        <v>43</v>
      </c>
      <c r="H38" s="9" t="s">
        <v>43</v>
      </c>
      <c r="J38" s="22"/>
    </row>
    <row r="39" spans="1:10" ht="18" customHeight="1" x14ac:dyDescent="0.3">
      <c r="B39" s="87"/>
      <c r="C39" s="88"/>
      <c r="D39" s="88"/>
      <c r="E39" s="88"/>
      <c r="F39" s="88"/>
      <c r="G39" s="16" t="s">
        <v>43</v>
      </c>
      <c r="H39" s="9" t="s">
        <v>43</v>
      </c>
      <c r="J39" s="22"/>
    </row>
    <row r="40" spans="1:10" ht="18" customHeight="1" x14ac:dyDescent="0.3">
      <c r="B40" s="87"/>
      <c r="C40" s="88"/>
      <c r="D40" s="88"/>
      <c r="E40" s="88"/>
      <c r="F40" s="88"/>
      <c r="G40" s="16" t="s">
        <v>43</v>
      </c>
      <c r="H40" s="9" t="s">
        <v>43</v>
      </c>
      <c r="J40" s="22"/>
    </row>
    <row r="41" spans="1:10" ht="18" customHeight="1" x14ac:dyDescent="0.3">
      <c r="B41" s="87"/>
      <c r="C41" s="88"/>
      <c r="D41" s="88"/>
      <c r="E41" s="88"/>
      <c r="F41" s="88"/>
      <c r="G41" s="16" t="s">
        <v>43</v>
      </c>
      <c r="H41" s="9" t="s">
        <v>43</v>
      </c>
      <c r="J41" s="22"/>
    </row>
    <row r="42" spans="1:10" ht="18" customHeight="1" x14ac:dyDescent="0.3">
      <c r="B42" s="87"/>
      <c r="C42" s="88"/>
      <c r="D42" s="88"/>
      <c r="E42" s="88"/>
      <c r="F42" s="88"/>
      <c r="G42" s="16" t="s">
        <v>43</v>
      </c>
      <c r="H42" s="9" t="s">
        <v>43</v>
      </c>
      <c r="J42" s="22"/>
    </row>
    <row r="43" spans="1:10" ht="18" customHeight="1" thickBot="1" x14ac:dyDescent="0.35">
      <c r="B43" s="89"/>
      <c r="C43" s="90"/>
      <c r="D43" s="90"/>
      <c r="E43" s="90"/>
      <c r="F43" s="90"/>
      <c r="G43" s="17" t="s">
        <v>43</v>
      </c>
      <c r="H43" s="5" t="s">
        <v>43</v>
      </c>
      <c r="J43" s="22"/>
    </row>
    <row r="44" spans="1:10" ht="18" customHeight="1" x14ac:dyDescent="0.3">
      <c r="J44" s="22"/>
    </row>
    <row r="45" spans="1:10" ht="18" customHeight="1" x14ac:dyDescent="0.3">
      <c r="A45" s="22"/>
      <c r="B45" s="22"/>
      <c r="C45" s="22"/>
      <c r="D45" s="22"/>
      <c r="E45" s="22"/>
      <c r="F45" s="22"/>
      <c r="G45" s="22"/>
      <c r="H45" s="22"/>
      <c r="I45" s="22"/>
      <c r="J45" s="22"/>
    </row>
  </sheetData>
  <sheetProtection algorithmName="SHA-512" hashValue="ivCV/D2BnIshl13W/oWgydzdtd77CejbP84ZBvmXwpVLVBYm82bsAJCBHqFI3LkhGMEsl7LLhH6GfsHHUUA4BQ==" saltValue="8HHY8blnwT8dPnS/SKCN8Q==" spinCount="100000" sheet="1" selectLockedCells="1"/>
  <protectedRanges>
    <protectedRange sqref="B14:H43" name="Range1_1"/>
  </protectedRanges>
  <mergeCells count="2">
    <mergeCell ref="B2:C2"/>
    <mergeCell ref="B12:H12"/>
  </mergeCells>
  <conditionalFormatting sqref="G14:G43">
    <cfRule type="expression" dxfId="9" priority="5">
      <formula>ISTEXT(G14)</formula>
    </cfRule>
    <cfRule type="expression" dxfId="8" priority="6">
      <formula>$G14&gt;$C$8</formula>
    </cfRule>
  </conditionalFormatting>
  <conditionalFormatting sqref="H14:H43">
    <cfRule type="expression" dxfId="7" priority="7">
      <formula>$H14&lt;$C$9</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E90A-B644-4184-BB77-9EDC32556200}">
  <sheetPr>
    <tabColor rgb="FF0070C0"/>
  </sheetPr>
  <dimension ref="A1:M203"/>
  <sheetViews>
    <sheetView showGridLines="0" zoomScale="80" zoomScaleNormal="80" workbookViewId="0">
      <selection activeCell="C14" sqref="C14"/>
    </sheetView>
  </sheetViews>
  <sheetFormatPr defaultColWidth="8.7109375" defaultRowHeight="16.5" x14ac:dyDescent="0.3"/>
  <cols>
    <col min="1" max="1" width="8.7109375" style="21"/>
    <col min="2" max="2" width="40.140625" style="21" customWidth="1"/>
    <col min="3" max="3" width="40.5703125" style="21" customWidth="1"/>
    <col min="4" max="4" width="27.42578125" style="21" customWidth="1"/>
    <col min="5" max="5" width="42.140625" style="21" customWidth="1"/>
    <col min="6" max="6" width="24.42578125" style="21" customWidth="1"/>
    <col min="7" max="7" width="37.7109375" style="21" customWidth="1"/>
    <col min="8" max="9" width="28" style="21" customWidth="1"/>
    <col min="10" max="10" width="6" style="21" customWidth="1"/>
    <col min="11" max="11" width="28.5703125" style="21" customWidth="1"/>
    <col min="12" max="12" width="38.5703125" style="21" customWidth="1"/>
    <col min="13" max="13" width="25.7109375" style="21" customWidth="1"/>
    <col min="14" max="16384" width="8.7109375" style="21"/>
  </cols>
  <sheetData>
    <row r="1" spans="2:10" ht="20.45" customHeight="1" thickBot="1" x14ac:dyDescent="0.7">
      <c r="B1" s="187"/>
      <c r="C1" s="187"/>
      <c r="D1" s="187"/>
      <c r="E1" s="187"/>
      <c r="F1" s="187"/>
      <c r="G1" s="187"/>
      <c r="H1" s="187"/>
      <c r="I1" s="187"/>
      <c r="J1" s="451"/>
    </row>
    <row r="2" spans="2:10" ht="23.1" customHeight="1" thickBot="1" x14ac:dyDescent="0.7">
      <c r="B2" s="660" t="str">
        <f>'Version Control'!$B$2</f>
        <v>Title Block</v>
      </c>
      <c r="C2" s="660"/>
      <c r="D2" s="187"/>
      <c r="E2" s="187"/>
      <c r="F2" s="187"/>
      <c r="G2" s="152" t="s">
        <v>37</v>
      </c>
      <c r="H2" s="187"/>
      <c r="I2" s="187"/>
      <c r="J2" s="451"/>
    </row>
    <row r="3" spans="2:10" ht="23.1" customHeight="1" x14ac:dyDescent="0.65">
      <c r="B3" s="277" t="str">
        <f>'Version Control'!$B$3</f>
        <v>Test Report Template Name:</v>
      </c>
      <c r="C3" s="279" t="str">
        <f>'Version Control'!C3</f>
        <v>Small Electric Motors</v>
      </c>
      <c r="D3" s="187"/>
      <c r="E3" s="281"/>
      <c r="F3" s="187"/>
      <c r="G3" s="187"/>
      <c r="H3" s="187"/>
      <c r="I3" s="187"/>
      <c r="J3" s="451"/>
    </row>
    <row r="4" spans="2:10" ht="18.600000000000001" customHeight="1" x14ac:dyDescent="0.65">
      <c r="B4" s="276" t="str">
        <f>'Version Control'!$B$4</f>
        <v>Version Number:</v>
      </c>
      <c r="C4" s="100" t="str">
        <f>'Version Control'!C4</f>
        <v>v1.0</v>
      </c>
      <c r="D4" s="187"/>
      <c r="E4" s="187"/>
      <c r="F4" s="187"/>
      <c r="G4" s="187"/>
      <c r="H4" s="187"/>
      <c r="I4" s="187"/>
      <c r="J4" s="451"/>
    </row>
    <row r="5" spans="2:10" ht="27" customHeight="1" x14ac:dyDescent="0.65">
      <c r="B5" s="276" t="str">
        <f>'Version Control'!$B$5</f>
        <v xml:space="preserve">Latest Template Revision: </v>
      </c>
      <c r="C5" s="101">
        <f>'Version Control'!C5</f>
        <v>45575</v>
      </c>
      <c r="D5" s="187"/>
      <c r="E5" s="187"/>
      <c r="F5" s="187"/>
      <c r="G5" s="187"/>
      <c r="H5" s="187"/>
      <c r="I5" s="187"/>
      <c r="J5" s="451"/>
    </row>
    <row r="6" spans="2:10" ht="22.5" customHeight="1" x14ac:dyDescent="0.65">
      <c r="B6" s="276" t="str">
        <f>'Version Control'!$B$6</f>
        <v>Tab Name:</v>
      </c>
      <c r="C6" s="102" t="str">
        <f ca="1">MID(CELL("filename",A1), FIND("]", CELL("filename", A1))+ 1, 255)</f>
        <v>CSA C390-10</v>
      </c>
      <c r="D6" s="187"/>
      <c r="E6" s="187"/>
      <c r="F6" s="187"/>
      <c r="G6" s="187"/>
      <c r="H6" s="187"/>
      <c r="I6" s="187"/>
      <c r="J6" s="451"/>
    </row>
    <row r="7" spans="2:10" ht="26.45" customHeight="1" x14ac:dyDescent="0.65">
      <c r="B7" s="276" t="str">
        <f>'Version Control'!$B$7</f>
        <v>File Name:</v>
      </c>
      <c r="C7" s="143" t="str">
        <f ca="1">'Version Control'!C7</f>
        <v>Small Electric Motors - v1.0.xlsx</v>
      </c>
      <c r="D7" s="187"/>
      <c r="E7" s="187"/>
      <c r="F7" s="187"/>
      <c r="G7" s="187"/>
      <c r="H7" s="187"/>
      <c r="I7" s="187"/>
      <c r="J7" s="451"/>
    </row>
    <row r="8" spans="2:10" ht="25.5" customHeight="1" x14ac:dyDescent="0.65">
      <c r="B8" s="144" t="s">
        <v>42</v>
      </c>
      <c r="C8" s="145" t="str">
        <f>'General Info &amp; Test Results'!C17</f>
        <v>[MM/DD/YYYY]</v>
      </c>
      <c r="D8" s="187"/>
      <c r="E8" s="187"/>
      <c r="F8" s="187"/>
      <c r="G8" s="187"/>
      <c r="H8" s="187"/>
      <c r="I8" s="187"/>
      <c r="J8" s="451"/>
    </row>
    <row r="9" spans="2:10" ht="21.6" customHeight="1" thickBot="1" x14ac:dyDescent="0.7">
      <c r="B9" s="278" t="str">
        <f>'Version Control'!$B$9</f>
        <v>Date Test Finished:</v>
      </c>
      <c r="C9" s="280" t="str">
        <f>'Version Control'!C9</f>
        <v>[MM/DD/YYYY]</v>
      </c>
      <c r="D9" s="187"/>
      <c r="E9" s="187"/>
      <c r="F9" s="187"/>
      <c r="G9" s="187"/>
      <c r="H9" s="187"/>
      <c r="I9" s="187"/>
      <c r="J9" s="451"/>
    </row>
    <row r="10" spans="2:10" ht="21.6" customHeight="1" thickBot="1" x14ac:dyDescent="0.7">
      <c r="B10" s="412"/>
      <c r="C10" s="413"/>
      <c r="D10" s="187"/>
      <c r="E10" s="414"/>
      <c r="F10" s="187"/>
      <c r="G10" s="187"/>
      <c r="H10" s="187"/>
      <c r="I10" s="187"/>
      <c r="J10" s="451"/>
    </row>
    <row r="11" spans="2:10" ht="18" thickBot="1" x14ac:dyDescent="0.4">
      <c r="B11" s="739" t="s">
        <v>445</v>
      </c>
      <c r="C11" s="739"/>
      <c r="D11" s="739"/>
      <c r="E11" s="739"/>
      <c r="F11" s="739"/>
      <c r="G11" s="739"/>
      <c r="H11" s="740"/>
      <c r="J11" s="22"/>
    </row>
    <row r="12" spans="2:10" ht="191.1" customHeight="1" thickBot="1" x14ac:dyDescent="0.35">
      <c r="B12" s="741" t="s">
        <v>447</v>
      </c>
      <c r="C12" s="742"/>
      <c r="D12" s="742"/>
      <c r="E12" s="742"/>
      <c r="F12" s="742"/>
      <c r="G12" s="742"/>
      <c r="H12" s="743"/>
      <c r="J12" s="22"/>
    </row>
    <row r="13" spans="2:10" ht="18.95" customHeight="1" x14ac:dyDescent="0.3">
      <c r="B13" s="415"/>
      <c r="C13" s="416"/>
      <c r="D13" s="416"/>
      <c r="E13" s="416"/>
      <c r="F13" s="416"/>
      <c r="G13" s="416"/>
      <c r="H13" s="416"/>
      <c r="J13" s="22"/>
    </row>
    <row r="14" spans="2:10" ht="31.5" customHeight="1" x14ac:dyDescent="0.3">
      <c r="B14" s="417" t="s">
        <v>446</v>
      </c>
      <c r="C14" s="466"/>
      <c r="D14" s="416"/>
      <c r="E14" s="416"/>
      <c r="F14" s="416"/>
      <c r="G14" s="416"/>
      <c r="H14" s="416"/>
      <c r="J14" s="22"/>
    </row>
    <row r="15" spans="2:10" ht="21.6" customHeight="1" thickBot="1" x14ac:dyDescent="0.7">
      <c r="B15" s="412"/>
      <c r="C15" s="413"/>
      <c r="D15" s="187"/>
      <c r="E15" s="187"/>
      <c r="F15" s="187"/>
      <c r="G15" s="187"/>
      <c r="H15" s="187"/>
      <c r="I15" s="187"/>
      <c r="J15" s="451"/>
    </row>
    <row r="16" spans="2:10" ht="18" thickBot="1" x14ac:dyDescent="0.4">
      <c r="B16" s="713" t="s">
        <v>96</v>
      </c>
      <c r="C16" s="713"/>
      <c r="D16" s="713"/>
      <c r="E16" s="713"/>
      <c r="F16" s="713"/>
      <c r="G16" s="713"/>
      <c r="H16" s="723"/>
      <c r="J16" s="22"/>
    </row>
    <row r="17" spans="2:10" ht="39.6" customHeight="1" thickBot="1" x14ac:dyDescent="0.35">
      <c r="B17" s="716" t="s">
        <v>463</v>
      </c>
      <c r="C17" s="716"/>
      <c r="D17" s="716"/>
      <c r="E17" s="716"/>
      <c r="F17" s="716"/>
      <c r="G17" s="716"/>
      <c r="H17" s="724"/>
      <c r="J17" s="22"/>
    </row>
    <row r="18" spans="2:10" ht="17.25" thickBot="1" x14ac:dyDescent="0.35">
      <c r="J18" s="22"/>
    </row>
    <row r="19" spans="2:10" ht="18" thickBot="1" x14ac:dyDescent="0.4">
      <c r="B19" s="725" t="s">
        <v>98</v>
      </c>
      <c r="C19" s="725"/>
      <c r="D19" s="725"/>
      <c r="E19" s="725"/>
      <c r="F19" s="725"/>
      <c r="G19" s="725"/>
      <c r="H19" s="726"/>
      <c r="J19" s="22"/>
    </row>
    <row r="20" spans="2:10" ht="17.45" customHeight="1" x14ac:dyDescent="0.3">
      <c r="B20" s="239" t="s">
        <v>69</v>
      </c>
      <c r="C20" s="209" t="s">
        <v>70</v>
      </c>
      <c r="D20" s="130"/>
      <c r="E20" s="130"/>
      <c r="F20" s="130"/>
      <c r="G20" s="130"/>
      <c r="H20" s="58"/>
      <c r="J20" s="22"/>
    </row>
    <row r="21" spans="2:10" x14ac:dyDescent="0.3">
      <c r="B21" s="85" t="s">
        <v>437</v>
      </c>
      <c r="C21" s="443">
        <f>'General Info &amp; Test Results'!C30</f>
        <v>0</v>
      </c>
      <c r="D21" s="130"/>
      <c r="E21" s="130"/>
      <c r="F21" s="130"/>
      <c r="G21" s="130"/>
      <c r="H21" s="58"/>
      <c r="J21" s="22"/>
    </row>
    <row r="22" spans="2:10" x14ac:dyDescent="0.3">
      <c r="B22" s="85" t="s">
        <v>388</v>
      </c>
      <c r="C22" s="253">
        <f>'General Info &amp; Test Results'!C31</f>
        <v>0</v>
      </c>
      <c r="D22" s="130"/>
      <c r="E22" s="130"/>
      <c r="F22" s="130"/>
      <c r="G22" s="130"/>
      <c r="H22" s="58"/>
      <c r="J22" s="22"/>
    </row>
    <row r="23" spans="2:10" x14ac:dyDescent="0.3">
      <c r="B23" s="85" t="s">
        <v>139</v>
      </c>
      <c r="C23" s="253">
        <f>'General Info &amp; Test Results'!C34</f>
        <v>0</v>
      </c>
      <c r="D23" s="130"/>
      <c r="E23" s="130"/>
      <c r="F23" s="130"/>
      <c r="G23" s="130"/>
      <c r="H23" s="58"/>
      <c r="J23" s="22"/>
    </row>
    <row r="24" spans="2:10" x14ac:dyDescent="0.3">
      <c r="B24" s="366" t="s">
        <v>202</v>
      </c>
      <c r="C24" s="253">
        <f>'General Info &amp; Test Results'!C37</f>
        <v>0</v>
      </c>
      <c r="D24" s="130"/>
      <c r="E24" s="130"/>
      <c r="F24" s="130"/>
      <c r="G24" s="130"/>
      <c r="H24" s="58"/>
      <c r="J24" s="22"/>
    </row>
    <row r="25" spans="2:10" ht="17.25" thickBot="1" x14ac:dyDescent="0.35">
      <c r="B25" s="367" t="s">
        <v>444</v>
      </c>
      <c r="C25" s="368" t="str">
        <f>IF(C24="Aluminum",224.6,IF(C24="Copper",234.5,"Winding material needed"))</f>
        <v>Winding material needed</v>
      </c>
      <c r="D25" s="226"/>
      <c r="E25" s="226"/>
      <c r="F25" s="226"/>
      <c r="G25" s="226"/>
      <c r="H25" s="227"/>
      <c r="J25" s="22"/>
    </row>
    <row r="26" spans="2:10" ht="17.25" thickBot="1" x14ac:dyDescent="0.35">
      <c r="J26" s="22"/>
    </row>
    <row r="27" spans="2:10" ht="18" thickBot="1" x14ac:dyDescent="0.4">
      <c r="B27" s="725" t="s">
        <v>408</v>
      </c>
      <c r="C27" s="725"/>
      <c r="D27" s="725"/>
      <c r="E27" s="725"/>
      <c r="F27" s="725"/>
      <c r="G27" s="725"/>
      <c r="H27" s="726"/>
      <c r="I27"/>
      <c r="J27" s="56"/>
    </row>
    <row r="28" spans="2:10" s="188" customFormat="1" ht="17.25" x14ac:dyDescent="0.35">
      <c r="B28" s="250" t="s">
        <v>407</v>
      </c>
      <c r="C28" s="320"/>
      <c r="D28" s="320"/>
      <c r="E28" s="320"/>
      <c r="F28" s="320"/>
      <c r="G28" s="320"/>
      <c r="H28" s="369"/>
      <c r="I28" s="324"/>
      <c r="J28" s="56"/>
    </row>
    <row r="29" spans="2:10" ht="17.25" x14ac:dyDescent="0.3">
      <c r="B29" s="239" t="s">
        <v>69</v>
      </c>
      <c r="C29" s="325" t="s">
        <v>70</v>
      </c>
      <c r="D29" s="154"/>
      <c r="E29" s="154"/>
      <c r="F29" s="154"/>
      <c r="G29" s="154"/>
      <c r="H29" s="57"/>
      <c r="I29"/>
      <c r="J29" s="56"/>
    </row>
    <row r="30" spans="2:10" ht="21.6" customHeight="1" x14ac:dyDescent="0.3">
      <c r="B30" s="176" t="s">
        <v>297</v>
      </c>
      <c r="C30" s="467"/>
      <c r="D30" s="154"/>
      <c r="E30" s="154"/>
      <c r="F30" s="154"/>
      <c r="G30" s="154"/>
      <c r="H30" s="57"/>
      <c r="I30"/>
      <c r="J30" s="56"/>
    </row>
    <row r="31" spans="2:10" ht="17.25" thickBot="1" x14ac:dyDescent="0.35">
      <c r="B31" s="282" t="s">
        <v>298</v>
      </c>
      <c r="C31" s="468"/>
      <c r="D31" s="360"/>
      <c r="E31" s="360"/>
      <c r="F31" s="360"/>
      <c r="G31" s="360"/>
      <c r="H31" s="370"/>
      <c r="I31"/>
      <c r="J31" s="56"/>
    </row>
    <row r="32" spans="2:10" ht="17.25" thickBot="1" x14ac:dyDescent="0.35">
      <c r="B32"/>
      <c r="C32"/>
      <c r="D32"/>
      <c r="J32" s="22"/>
    </row>
    <row r="33" spans="2:13" ht="18" thickBot="1" x14ac:dyDescent="0.4">
      <c r="B33" s="725" t="s">
        <v>272</v>
      </c>
      <c r="C33" s="725"/>
      <c r="D33" s="725"/>
      <c r="E33" s="725"/>
      <c r="F33" s="725"/>
      <c r="G33" s="725"/>
      <c r="H33" s="726"/>
      <c r="J33" s="22"/>
    </row>
    <row r="34" spans="2:13" ht="15.95" customHeight="1" x14ac:dyDescent="0.3">
      <c r="B34" s="734" t="s">
        <v>360</v>
      </c>
      <c r="C34" s="735"/>
      <c r="D34" s="735"/>
      <c r="E34" s="735"/>
      <c r="F34" s="735"/>
      <c r="G34" s="371"/>
      <c r="H34" s="373"/>
      <c r="J34" s="22"/>
      <c r="L34" s="130"/>
      <c r="M34" s="130"/>
    </row>
    <row r="35" spans="2:13" x14ac:dyDescent="0.3">
      <c r="B35" s="736"/>
      <c r="C35" s="737"/>
      <c r="D35" s="737"/>
      <c r="E35" s="737"/>
      <c r="F35" s="737"/>
      <c r="G35" s="372"/>
      <c r="H35" s="374"/>
      <c r="J35" s="22"/>
    </row>
    <row r="36" spans="2:13" ht="17.25" x14ac:dyDescent="0.3">
      <c r="B36" s="239" t="s">
        <v>69</v>
      </c>
      <c r="C36" s="325" t="s">
        <v>70</v>
      </c>
      <c r="D36" s="130"/>
      <c r="E36" s="130"/>
      <c r="F36" s="130"/>
      <c r="G36" s="130"/>
      <c r="H36" s="58"/>
      <c r="J36" s="22"/>
    </row>
    <row r="37" spans="2:13" ht="24.95" customHeight="1" x14ac:dyDescent="0.3">
      <c r="B37" s="176" t="s">
        <v>299</v>
      </c>
      <c r="C37" s="164" t="str">
        <f>IF(C21=0,"Provide rated hp", IF(C21&lt;=50,30,IF(AND(C21&gt;50,C21&lt;=200),90,IF(C21&gt;200,120,"Provide rated hp"))))</f>
        <v>Provide rated hp</v>
      </c>
      <c r="D37" s="383"/>
      <c r="E37" s="130"/>
      <c r="F37" s="130"/>
      <c r="G37" s="130"/>
      <c r="H37" s="58"/>
      <c r="J37" s="22"/>
    </row>
    <row r="38" spans="2:13" x14ac:dyDescent="0.3">
      <c r="B38" s="243" t="s">
        <v>300</v>
      </c>
      <c r="C38" s="467"/>
      <c r="D38" s="130"/>
      <c r="E38" s="130"/>
      <c r="F38" s="130"/>
      <c r="G38" s="130"/>
      <c r="H38" s="58"/>
      <c r="J38" s="22"/>
    </row>
    <row r="39" spans="2:13" ht="15" customHeight="1" x14ac:dyDescent="0.3">
      <c r="B39" s="237" t="s">
        <v>357</v>
      </c>
      <c r="C39" s="467"/>
      <c r="D39" s="130"/>
      <c r="E39" s="154"/>
      <c r="F39" s="154"/>
      <c r="G39" s="130"/>
      <c r="H39" s="58"/>
      <c r="J39" s="22"/>
    </row>
    <row r="40" spans="2:13" ht="16.5" customHeight="1" x14ac:dyDescent="0.3">
      <c r="B40" s="180" t="s">
        <v>358</v>
      </c>
      <c r="C40" s="467"/>
      <c r="D40" s="130"/>
      <c r="E40" s="154"/>
      <c r="F40" s="154"/>
      <c r="G40" s="130"/>
      <c r="H40" s="58"/>
      <c r="J40" s="22"/>
    </row>
    <row r="41" spans="2:13" x14ac:dyDescent="0.3">
      <c r="B41" s="180" t="s">
        <v>359</v>
      </c>
      <c r="C41" s="467"/>
      <c r="D41" s="130"/>
      <c r="E41" s="154"/>
      <c r="F41" s="154"/>
      <c r="G41" s="130"/>
      <c r="H41" s="58"/>
      <c r="J41" s="22"/>
    </row>
    <row r="42" spans="2:13" x14ac:dyDescent="0.3">
      <c r="B42" s="180" t="s">
        <v>362</v>
      </c>
      <c r="C42" s="256" t="str">
        <f>IFERROR((C39/C31)*(C30+C25)-C25, " ")</f>
        <v xml:space="preserve"> </v>
      </c>
      <c r="D42" s="130"/>
      <c r="E42" s="154"/>
      <c r="F42" s="154"/>
      <c r="G42" s="130"/>
      <c r="H42" s="58"/>
      <c r="J42" s="22"/>
    </row>
    <row r="43" spans="2:13" x14ac:dyDescent="0.3">
      <c r="B43" s="180" t="s">
        <v>312</v>
      </c>
      <c r="C43" s="256" t="str">
        <f>IFERROR(C42-C41, " ")</f>
        <v xml:space="preserve"> </v>
      </c>
      <c r="D43" s="130"/>
      <c r="E43" s="130"/>
      <c r="F43" s="130"/>
      <c r="G43" s="130"/>
      <c r="H43" s="58"/>
      <c r="J43" s="22"/>
    </row>
    <row r="44" spans="2:13" ht="17.25" thickBot="1" x14ac:dyDescent="0.35">
      <c r="B44" s="328" t="s">
        <v>315</v>
      </c>
      <c r="C44" s="128" t="str">
        <f>IFERROR(C39*(C43+25-C41+C25)/(C43+C25), " ")</f>
        <v xml:space="preserve"> </v>
      </c>
      <c r="D44" s="226"/>
      <c r="E44" s="226"/>
      <c r="F44" s="226"/>
      <c r="G44" s="226"/>
      <c r="H44" s="227"/>
      <c r="J44" s="22"/>
    </row>
    <row r="45" spans="2:13" ht="17.25" thickBot="1" x14ac:dyDescent="0.35">
      <c r="B45"/>
      <c r="C45"/>
      <c r="D45"/>
      <c r="E45"/>
      <c r="F45"/>
      <c r="J45" s="22"/>
    </row>
    <row r="46" spans="2:13" ht="18" thickBot="1" x14ac:dyDescent="0.4">
      <c r="B46" s="725" t="s">
        <v>304</v>
      </c>
      <c r="C46" s="725"/>
      <c r="D46" s="725"/>
      <c r="E46" s="725"/>
      <c r="F46" s="725"/>
      <c r="G46" s="725"/>
      <c r="H46" s="726"/>
      <c r="J46" s="22"/>
    </row>
    <row r="47" spans="2:13" ht="17.25" x14ac:dyDescent="0.35">
      <c r="B47" s="193" t="s">
        <v>99</v>
      </c>
      <c r="C47" s="264" t="s">
        <v>198</v>
      </c>
      <c r="D47" s="194" t="s">
        <v>279</v>
      </c>
      <c r="E47" s="130"/>
      <c r="F47" s="130"/>
      <c r="G47" s="130"/>
      <c r="H47" s="58"/>
      <c r="J47" s="22"/>
    </row>
    <row r="48" spans="2:13" ht="17.100000000000001" customHeight="1" x14ac:dyDescent="0.35">
      <c r="B48" s="180">
        <v>1</v>
      </c>
      <c r="C48" s="469"/>
      <c r="D48" s="84" t="s">
        <v>204</v>
      </c>
      <c r="E48" s="130"/>
      <c r="F48" s="130"/>
      <c r="G48" s="130"/>
      <c r="H48" s="58"/>
      <c r="J48" s="22"/>
    </row>
    <row r="49" spans="2:10" ht="17.25" x14ac:dyDescent="0.35">
      <c r="B49" s="180">
        <v>2</v>
      </c>
      <c r="C49" s="469"/>
      <c r="D49" s="84" t="s">
        <v>205</v>
      </c>
      <c r="E49" s="130"/>
      <c r="F49" s="130"/>
      <c r="G49" s="130"/>
      <c r="H49" s="58"/>
      <c r="J49" s="22"/>
    </row>
    <row r="50" spans="2:10" ht="17.25" x14ac:dyDescent="0.35">
      <c r="B50" s="180">
        <v>3</v>
      </c>
      <c r="C50" s="469"/>
      <c r="D50" s="84" t="s">
        <v>206</v>
      </c>
      <c r="E50" s="130"/>
      <c r="F50" s="130"/>
      <c r="G50" s="130"/>
      <c r="H50" s="58"/>
      <c r="J50" s="22"/>
    </row>
    <row r="51" spans="2:10" ht="17.25" x14ac:dyDescent="0.35">
      <c r="B51" s="180">
        <v>4</v>
      </c>
      <c r="C51" s="469"/>
      <c r="D51" s="84" t="s">
        <v>207</v>
      </c>
      <c r="E51" s="130"/>
      <c r="F51" s="130"/>
      <c r="G51" s="130"/>
      <c r="H51" s="58"/>
      <c r="J51" s="22"/>
    </row>
    <row r="52" spans="2:10" ht="17.25" x14ac:dyDescent="0.35">
      <c r="B52" s="180">
        <v>5</v>
      </c>
      <c r="C52" s="469"/>
      <c r="D52" s="84" t="s">
        <v>208</v>
      </c>
      <c r="E52" s="130"/>
      <c r="F52" s="130"/>
      <c r="G52" s="130"/>
      <c r="H52" s="58"/>
      <c r="J52" s="22"/>
    </row>
    <row r="53" spans="2:10" ht="17.25" x14ac:dyDescent="0.35">
      <c r="B53" s="180">
        <v>6</v>
      </c>
      <c r="C53" s="469"/>
      <c r="D53" s="84" t="s">
        <v>209</v>
      </c>
      <c r="E53" s="130"/>
      <c r="F53" s="130"/>
      <c r="G53" s="130"/>
      <c r="H53" s="58"/>
      <c r="J53" s="22"/>
    </row>
    <row r="54" spans="2:10" x14ac:dyDescent="0.3">
      <c r="B54" s="155"/>
      <c r="C54" s="154"/>
      <c r="D54" s="130"/>
      <c r="E54" s="130"/>
      <c r="F54" s="130"/>
      <c r="G54" s="130"/>
      <c r="H54" s="58"/>
      <c r="J54" s="22"/>
    </row>
    <row r="55" spans="2:10" ht="17.25" x14ac:dyDescent="0.35">
      <c r="B55" s="155"/>
      <c r="C55" s="732" t="s">
        <v>99</v>
      </c>
      <c r="D55" s="732"/>
      <c r="E55" s="732"/>
      <c r="F55" s="732"/>
      <c r="G55" s="732"/>
      <c r="H55" s="733"/>
      <c r="J55" s="22"/>
    </row>
    <row r="56" spans="2:10" ht="17.25" x14ac:dyDescent="0.35">
      <c r="B56" s="375" t="s">
        <v>301</v>
      </c>
      <c r="C56" s="310">
        <v>1</v>
      </c>
      <c r="D56" s="310">
        <v>2</v>
      </c>
      <c r="E56" s="310">
        <v>3</v>
      </c>
      <c r="F56" s="310">
        <v>4</v>
      </c>
      <c r="G56" s="310">
        <v>5</v>
      </c>
      <c r="H56" s="381">
        <v>6</v>
      </c>
      <c r="J56" s="22"/>
    </row>
    <row r="57" spans="2:10" x14ac:dyDescent="0.3">
      <c r="B57" s="180" t="s">
        <v>226</v>
      </c>
      <c r="C57" s="467"/>
      <c r="D57" s="467"/>
      <c r="E57" s="467"/>
      <c r="F57" s="467"/>
      <c r="G57" s="467"/>
      <c r="H57" s="470"/>
      <c r="J57" s="22"/>
    </row>
    <row r="58" spans="2:10" x14ac:dyDescent="0.3">
      <c r="B58" s="180" t="s">
        <v>382</v>
      </c>
      <c r="C58" s="467"/>
      <c r="D58" s="467"/>
      <c r="E58" s="467"/>
      <c r="F58" s="467"/>
      <c r="G58" s="467"/>
      <c r="H58" s="470"/>
      <c r="J58" s="22"/>
    </row>
    <row r="59" spans="2:10" x14ac:dyDescent="0.3">
      <c r="B59" s="180" t="s">
        <v>309</v>
      </c>
      <c r="C59" s="467"/>
      <c r="D59" s="467"/>
      <c r="E59" s="467"/>
      <c r="F59" s="467"/>
      <c r="G59" s="467"/>
      <c r="H59" s="470"/>
      <c r="J59" s="22"/>
    </row>
    <row r="60" spans="2:10" x14ac:dyDescent="0.3">
      <c r="B60" s="180" t="s">
        <v>310</v>
      </c>
      <c r="C60" s="467"/>
      <c r="D60" s="467"/>
      <c r="E60" s="467"/>
      <c r="F60" s="467"/>
      <c r="G60" s="467"/>
      <c r="H60" s="470"/>
      <c r="J60" s="22"/>
    </row>
    <row r="61" spans="2:10" x14ac:dyDescent="0.3">
      <c r="B61" s="180" t="s">
        <v>311</v>
      </c>
      <c r="C61" s="467"/>
      <c r="D61" s="467"/>
      <c r="E61" s="467"/>
      <c r="F61" s="467"/>
      <c r="G61" s="467"/>
      <c r="H61" s="470"/>
      <c r="J61" s="22"/>
    </row>
    <row r="62" spans="2:10" x14ac:dyDescent="0.3">
      <c r="B62" s="180" t="s">
        <v>101</v>
      </c>
      <c r="C62" s="467"/>
      <c r="D62" s="467"/>
      <c r="E62" s="467"/>
      <c r="F62" s="467"/>
      <c r="G62" s="467"/>
      <c r="H62" s="470"/>
      <c r="J62" s="22"/>
    </row>
    <row r="63" spans="2:10" x14ac:dyDescent="0.3">
      <c r="B63" s="180" t="s">
        <v>383</v>
      </c>
      <c r="C63" s="467"/>
      <c r="D63" s="467"/>
      <c r="E63" s="467"/>
      <c r="F63" s="467"/>
      <c r="G63" s="467"/>
      <c r="H63" s="470"/>
      <c r="J63" s="22"/>
    </row>
    <row r="64" spans="2:10" x14ac:dyDescent="0.3">
      <c r="B64" s="180" t="s">
        <v>303</v>
      </c>
      <c r="C64" s="467"/>
      <c r="D64" s="467"/>
      <c r="E64" s="467"/>
      <c r="F64" s="467"/>
      <c r="G64" s="467"/>
      <c r="H64" s="470"/>
      <c r="J64" s="22"/>
    </row>
    <row r="65" spans="2:10" x14ac:dyDescent="0.3">
      <c r="B65" s="180" t="s">
        <v>305</v>
      </c>
      <c r="C65" s="467"/>
      <c r="D65" s="467"/>
      <c r="E65" s="467"/>
      <c r="F65" s="467"/>
      <c r="G65" s="467"/>
      <c r="H65" s="470"/>
      <c r="J65" s="22"/>
    </row>
    <row r="66" spans="2:10" x14ac:dyDescent="0.3">
      <c r="B66" s="180" t="s">
        <v>306</v>
      </c>
      <c r="C66" s="467"/>
      <c r="D66" s="467"/>
      <c r="E66" s="467"/>
      <c r="F66" s="467"/>
      <c r="G66" s="467"/>
      <c r="H66" s="470"/>
      <c r="J66" s="22"/>
    </row>
    <row r="67" spans="2:10" x14ac:dyDescent="0.3">
      <c r="B67" s="180" t="s">
        <v>307</v>
      </c>
      <c r="C67" s="467"/>
      <c r="D67" s="467"/>
      <c r="E67" s="467"/>
      <c r="F67" s="467"/>
      <c r="G67" s="467"/>
      <c r="H67" s="470"/>
      <c r="J67" s="22"/>
    </row>
    <row r="68" spans="2:10" x14ac:dyDescent="0.3">
      <c r="B68" s="180" t="s">
        <v>115</v>
      </c>
      <c r="C68" s="467"/>
      <c r="D68" s="467"/>
      <c r="E68" s="467"/>
      <c r="F68" s="467"/>
      <c r="G68" s="467"/>
      <c r="H68" s="470"/>
      <c r="J68" s="22"/>
    </row>
    <row r="69" spans="2:10" x14ac:dyDescent="0.3">
      <c r="B69" s="180" t="s">
        <v>194</v>
      </c>
      <c r="C69" s="467"/>
      <c r="D69" s="467"/>
      <c r="E69" s="467"/>
      <c r="F69" s="467"/>
      <c r="G69" s="467"/>
      <c r="H69" s="470"/>
      <c r="J69" s="22"/>
    </row>
    <row r="70" spans="2:10" x14ac:dyDescent="0.3">
      <c r="B70" s="180" t="s">
        <v>367</v>
      </c>
      <c r="C70" s="260">
        <f t="shared" ref="C70:H70" si="0">(C59+C60+C61)/3</f>
        <v>0</v>
      </c>
      <c r="D70" s="260">
        <f t="shared" si="0"/>
        <v>0</v>
      </c>
      <c r="E70" s="260">
        <f t="shared" si="0"/>
        <v>0</v>
      </c>
      <c r="F70" s="260">
        <f t="shared" si="0"/>
        <v>0</v>
      </c>
      <c r="G70" s="260">
        <f t="shared" si="0"/>
        <v>0</v>
      </c>
      <c r="H70" s="261">
        <f t="shared" si="0"/>
        <v>0</v>
      </c>
      <c r="J70" s="22"/>
    </row>
    <row r="71" spans="2:10" x14ac:dyDescent="0.3">
      <c r="B71" s="180" t="s">
        <v>389</v>
      </c>
      <c r="C71" s="260">
        <f>(C65+C66+C67)/3</f>
        <v>0</v>
      </c>
      <c r="D71" s="260">
        <f t="shared" ref="D71:H71" si="1">(D65+D66+D67)/3</f>
        <v>0</v>
      </c>
      <c r="E71" s="260">
        <f t="shared" si="1"/>
        <v>0</v>
      </c>
      <c r="F71" s="260">
        <f t="shared" si="1"/>
        <v>0</v>
      </c>
      <c r="G71" s="260">
        <f t="shared" si="1"/>
        <v>0</v>
      </c>
      <c r="H71" s="260">
        <f t="shared" si="1"/>
        <v>0</v>
      </c>
      <c r="J71" s="22"/>
    </row>
    <row r="72" spans="2:10" x14ac:dyDescent="0.3">
      <c r="B72" s="180" t="s">
        <v>386</v>
      </c>
      <c r="C72" s="256" t="str">
        <f>IFERROR(ABS(100*(MAX(ABS(C65-C71), ABS(C66-C71), ABS(C67-C71))/C71)), " ")</f>
        <v xml:space="preserve"> </v>
      </c>
      <c r="D72" s="256" t="str">
        <f t="shared" ref="D72:H72" si="2">IFERROR(ABS(100*(MAX(ABS(D65-D71), ABS(D66-D71), ABS(D67-D71))/D71)), " ")</f>
        <v xml:space="preserve"> </v>
      </c>
      <c r="E72" s="256" t="str">
        <f t="shared" si="2"/>
        <v xml:space="preserve"> </v>
      </c>
      <c r="F72" s="256" t="str">
        <f t="shared" si="2"/>
        <v xml:space="preserve"> </v>
      </c>
      <c r="G72" s="256" t="str">
        <f t="shared" si="2"/>
        <v xml:space="preserve"> </v>
      </c>
      <c r="H72" s="256" t="str">
        <f t="shared" si="2"/>
        <v xml:space="preserve"> </v>
      </c>
      <c r="J72" s="22"/>
    </row>
    <row r="73" spans="2:10" x14ac:dyDescent="0.3">
      <c r="B73" s="180" t="s">
        <v>387</v>
      </c>
      <c r="C73" s="260">
        <f>ABS(100*((C68-60)/60))</f>
        <v>100</v>
      </c>
      <c r="D73" s="260">
        <f t="shared" ref="D73:H73" si="3">ABS(100*((D68-60)/60))</f>
        <v>100</v>
      </c>
      <c r="E73" s="260">
        <f t="shared" si="3"/>
        <v>100</v>
      </c>
      <c r="F73" s="260">
        <f t="shared" si="3"/>
        <v>100</v>
      </c>
      <c r="G73" s="260">
        <f t="shared" si="3"/>
        <v>100</v>
      </c>
      <c r="H73" s="260">
        <f t="shared" si="3"/>
        <v>100</v>
      </c>
      <c r="J73" s="22"/>
    </row>
    <row r="74" spans="2:10" x14ac:dyDescent="0.3">
      <c r="B74" s="180" t="s">
        <v>229</v>
      </c>
      <c r="C74" s="260">
        <f t="shared" ref="C74:H74" si="4">C57+$C$200</f>
        <v>0</v>
      </c>
      <c r="D74" s="260">
        <f t="shared" si="4"/>
        <v>0</v>
      </c>
      <c r="E74" s="260">
        <f t="shared" si="4"/>
        <v>0</v>
      </c>
      <c r="F74" s="260">
        <f t="shared" si="4"/>
        <v>0</v>
      </c>
      <c r="G74" s="260">
        <f t="shared" si="4"/>
        <v>0</v>
      </c>
      <c r="H74" s="260">
        <f t="shared" si="4"/>
        <v>0</v>
      </c>
      <c r="J74" s="22"/>
    </row>
    <row r="75" spans="2:10" ht="18" x14ac:dyDescent="0.3">
      <c r="B75" s="180" t="s">
        <v>449</v>
      </c>
      <c r="C75" s="260">
        <f>C74^2</f>
        <v>0</v>
      </c>
      <c r="D75" s="260">
        <f t="shared" ref="D75:H75" si="5">D74^2</f>
        <v>0</v>
      </c>
      <c r="E75" s="260">
        <f t="shared" si="5"/>
        <v>0</v>
      </c>
      <c r="F75" s="260">
        <f t="shared" si="5"/>
        <v>0</v>
      </c>
      <c r="G75" s="260">
        <f t="shared" si="5"/>
        <v>0</v>
      </c>
      <c r="H75" s="261">
        <f t="shared" si="5"/>
        <v>0</v>
      </c>
      <c r="J75" s="22"/>
    </row>
    <row r="76" spans="2:10" x14ac:dyDescent="0.3">
      <c r="B76" s="180" t="s">
        <v>368</v>
      </c>
      <c r="C76" s="260" t="str">
        <f>IFERROR(SQRT((C71-(SQRT(3)/2)*C70*C79)^2 + ((SQRT(3)/2)*C70*C78*(C80))^2), " ")</f>
        <v xml:space="preserve"> </v>
      </c>
      <c r="D76" s="260" t="str">
        <f t="shared" ref="D76:H76" si="6">IFERROR(SQRT((D71-(SQRT(3)/2)*D70*D79)^2 + ((SQRT(3)/2)*D70*D78*(D80))^2), " ")</f>
        <v xml:space="preserve"> </v>
      </c>
      <c r="E76" s="260" t="str">
        <f t="shared" si="6"/>
        <v xml:space="preserve"> </v>
      </c>
      <c r="F76" s="260" t="str">
        <f t="shared" si="6"/>
        <v xml:space="preserve"> </v>
      </c>
      <c r="G76" s="260" t="str">
        <f t="shared" si="6"/>
        <v xml:space="preserve"> </v>
      </c>
      <c r="H76" s="260" t="str">
        <f t="shared" si="6"/>
        <v xml:space="preserve"> </v>
      </c>
      <c r="J76" s="22"/>
    </row>
    <row r="77" spans="2:10" x14ac:dyDescent="0.3">
      <c r="B77" s="180" t="s">
        <v>313</v>
      </c>
      <c r="C77" s="260" t="str">
        <f>IFERROR((C63-C141)/(C140)*C142+C143, " ")</f>
        <v xml:space="preserve"> </v>
      </c>
      <c r="D77" s="260" t="str">
        <f t="shared" ref="D77:H77" si="7">IFERROR((D63-D141)/(D140)*D142+D143, " ")</f>
        <v xml:space="preserve"> </v>
      </c>
      <c r="E77" s="260" t="str">
        <f t="shared" si="7"/>
        <v xml:space="preserve"> </v>
      </c>
      <c r="F77" s="260" t="str">
        <f t="shared" si="7"/>
        <v xml:space="preserve"> </v>
      </c>
      <c r="G77" s="260" t="str">
        <f t="shared" si="7"/>
        <v xml:space="preserve"> </v>
      </c>
      <c r="H77" s="260" t="str">
        <f t="shared" si="7"/>
        <v xml:space="preserve"> </v>
      </c>
      <c r="J77" s="22"/>
    </row>
    <row r="78" spans="2:10" x14ac:dyDescent="0.3">
      <c r="B78" s="180" t="s">
        <v>363</v>
      </c>
      <c r="C78" s="260" t="str">
        <f>IFERROR($C$31*((C77+$C$25)/($C$30+$C$25)), " ")</f>
        <v xml:space="preserve"> </v>
      </c>
      <c r="D78" s="260" t="str">
        <f t="shared" ref="D78:H78" si="8">IFERROR($C$31*((D77+$C$25)/($C$30+$C$25)), " ")</f>
        <v xml:space="preserve"> </v>
      </c>
      <c r="E78" s="260" t="str">
        <f t="shared" si="8"/>
        <v xml:space="preserve"> </v>
      </c>
      <c r="F78" s="260" t="str">
        <f t="shared" si="8"/>
        <v xml:space="preserve"> </v>
      </c>
      <c r="G78" s="260" t="str">
        <f t="shared" si="8"/>
        <v xml:space="preserve"> </v>
      </c>
      <c r="H78" s="260" t="str">
        <f t="shared" si="8"/>
        <v xml:space="preserve"> </v>
      </c>
      <c r="J78" s="22"/>
    </row>
    <row r="79" spans="2:10" x14ac:dyDescent="0.3">
      <c r="B79" s="180" t="s">
        <v>369</v>
      </c>
      <c r="C79" s="260" t="str">
        <f>IFERROR((C58)/(SQRT(3)*C71*C70), " ")</f>
        <v xml:space="preserve"> </v>
      </c>
      <c r="D79" s="260" t="str">
        <f t="shared" ref="D79:H79" si="9">IFERROR((D58)/(SQRT(3)*D71*D70), " ")</f>
        <v xml:space="preserve"> </v>
      </c>
      <c r="E79" s="260" t="str">
        <f t="shared" si="9"/>
        <v xml:space="preserve"> </v>
      </c>
      <c r="F79" s="260" t="str">
        <f t="shared" si="9"/>
        <v xml:space="preserve"> </v>
      </c>
      <c r="G79" s="260" t="str">
        <f t="shared" si="9"/>
        <v xml:space="preserve"> </v>
      </c>
      <c r="H79" s="260" t="str">
        <f t="shared" si="9"/>
        <v xml:space="preserve"> </v>
      </c>
      <c r="J79" s="22"/>
    </row>
    <row r="80" spans="2:10" x14ac:dyDescent="0.3">
      <c r="B80" s="180" t="s">
        <v>370</v>
      </c>
      <c r="C80" s="260" t="str">
        <f>IFERROR(SQRT((1-C79)^2), " ")</f>
        <v xml:space="preserve"> </v>
      </c>
      <c r="D80" s="260" t="str">
        <f t="shared" ref="D80:H80" si="10">IFERROR(SQRT((1-D79)^2), " ")</f>
        <v xml:space="preserve"> </v>
      </c>
      <c r="E80" s="260" t="str">
        <f t="shared" si="10"/>
        <v xml:space="preserve"> </v>
      </c>
      <c r="F80" s="260" t="str">
        <f t="shared" si="10"/>
        <v xml:space="preserve"> </v>
      </c>
      <c r="G80" s="260" t="str">
        <f t="shared" si="10"/>
        <v xml:space="preserve"> </v>
      </c>
      <c r="H80" s="260" t="str">
        <f t="shared" si="10"/>
        <v xml:space="preserve"> </v>
      </c>
      <c r="J80" s="22"/>
    </row>
    <row r="81" spans="2:10" x14ac:dyDescent="0.3">
      <c r="B81" s="180" t="s">
        <v>365</v>
      </c>
      <c r="C81" s="260" t="str">
        <f>IFERROR(_xlfn.FORECAST.LINEAR(C76,$C$150:$H$150,$C$130:$H$130), " ")</f>
        <v xml:space="preserve"> </v>
      </c>
      <c r="D81" s="260" t="str">
        <f t="shared" ref="D81:H81" si="11">IFERROR(_xlfn.FORECAST.LINEAR(D76,$C$150:$H$150,$C$130:$H$130), " ")</f>
        <v xml:space="preserve"> </v>
      </c>
      <c r="E81" s="260" t="str">
        <f t="shared" si="11"/>
        <v xml:space="preserve"> </v>
      </c>
      <c r="F81" s="260" t="str">
        <f t="shared" si="11"/>
        <v xml:space="preserve"> </v>
      </c>
      <c r="G81" s="260" t="str">
        <f t="shared" si="11"/>
        <v xml:space="preserve"> </v>
      </c>
      <c r="H81" s="260" t="str">
        <f t="shared" si="11"/>
        <v xml:space="preserve"> </v>
      </c>
      <c r="J81" s="22"/>
    </row>
    <row r="82" spans="2:10" x14ac:dyDescent="0.3">
      <c r="B82" s="163"/>
      <c r="C82" s="130"/>
      <c r="D82" s="130"/>
      <c r="E82" s="130"/>
      <c r="F82" s="130"/>
      <c r="G82" s="130"/>
      <c r="H82" s="58"/>
      <c r="J82" s="22"/>
    </row>
    <row r="83" spans="2:10" ht="42.6" customHeight="1" x14ac:dyDescent="0.3">
      <c r="B83" s="387" t="s">
        <v>409</v>
      </c>
      <c r="C83" s="750" t="str">
        <f>IF((COUNTIF(C69:H69, "&gt;5")+COUNTIF(C72:H72, "&gt;0.5")+COUNTIF(C73:H73, "&gt;0.5"))&gt;=1, "Supply requirements unmet - ensure that THD does not exceed 5%, and both voltage unbalance and frequency variation are within 0.5%", "Data is permissible - may proceed with testing")</f>
        <v>Supply requirements unmet - ensure that THD does not exceed 5%, and both voltage unbalance and frequency variation are within 0.5%</v>
      </c>
      <c r="D83" s="751"/>
      <c r="E83" s="751"/>
      <c r="F83" s="751"/>
      <c r="G83" s="130"/>
      <c r="H83" s="58"/>
      <c r="J83" s="22"/>
    </row>
    <row r="84" spans="2:10" x14ac:dyDescent="0.3">
      <c r="B84" s="163"/>
      <c r="D84" s="130"/>
      <c r="E84" s="130"/>
      <c r="F84" s="130"/>
      <c r="G84" s="130"/>
      <c r="H84" s="58"/>
      <c r="J84" s="22"/>
    </row>
    <row r="85" spans="2:10" ht="18" thickBot="1" x14ac:dyDescent="0.4">
      <c r="B85" s="729" t="s">
        <v>105</v>
      </c>
      <c r="C85" s="730"/>
      <c r="D85" s="730"/>
      <c r="E85" s="730"/>
      <c r="F85" s="730"/>
      <c r="G85" s="730"/>
      <c r="H85" s="731"/>
      <c r="J85" s="22"/>
    </row>
    <row r="86" spans="2:10" ht="17.25" x14ac:dyDescent="0.35">
      <c r="B86" s="155"/>
      <c r="C86" s="744" t="s">
        <v>99</v>
      </c>
      <c r="D86" s="744"/>
      <c r="E86" s="744"/>
      <c r="F86" s="744"/>
      <c r="G86" s="744"/>
      <c r="H86" s="745"/>
      <c r="J86" s="22"/>
    </row>
    <row r="87" spans="2:10" ht="17.25" x14ac:dyDescent="0.35">
      <c r="B87" s="375" t="s">
        <v>301</v>
      </c>
      <c r="C87" s="310">
        <v>1</v>
      </c>
      <c r="D87" s="310">
        <v>2</v>
      </c>
      <c r="E87" s="310">
        <v>3</v>
      </c>
      <c r="F87" s="310">
        <v>4</v>
      </c>
      <c r="G87" s="310">
        <v>5</v>
      </c>
      <c r="H87" s="381">
        <v>6</v>
      </c>
      <c r="J87" s="22"/>
    </row>
    <row r="88" spans="2:10" x14ac:dyDescent="0.3">
      <c r="B88" s="180" t="s">
        <v>371</v>
      </c>
      <c r="C88" s="260" t="str">
        <f>IFERROR((1.5*(C70)^2*C78)/1000, " ")</f>
        <v xml:space="preserve"> </v>
      </c>
      <c r="D88" s="260" t="str">
        <f t="shared" ref="D88:H88" si="12">IFERROR((1.5*(D70)^2*D78)/1000, " ")</f>
        <v xml:space="preserve"> </v>
      </c>
      <c r="E88" s="260" t="str">
        <f t="shared" si="12"/>
        <v xml:space="preserve"> </v>
      </c>
      <c r="F88" s="260" t="str">
        <f t="shared" si="12"/>
        <v xml:space="preserve"> </v>
      </c>
      <c r="G88" s="260" t="str">
        <f t="shared" si="12"/>
        <v xml:space="preserve"> </v>
      </c>
      <c r="H88" s="260" t="str">
        <f t="shared" si="12"/>
        <v xml:space="preserve"> </v>
      </c>
      <c r="J88" s="22"/>
    </row>
    <row r="89" spans="2:10" x14ac:dyDescent="0.3">
      <c r="B89" s="180" t="s">
        <v>178</v>
      </c>
      <c r="C89" s="260" t="str">
        <f>IFERROR(120*(C68/$C$23), " ")</f>
        <v xml:space="preserve"> </v>
      </c>
      <c r="D89" s="260" t="str">
        <f t="shared" ref="D89:H89" si="13">IFERROR(120*(D68/$C$23), " ")</f>
        <v xml:space="preserve"> </v>
      </c>
      <c r="E89" s="260" t="str">
        <f t="shared" si="13"/>
        <v xml:space="preserve"> </v>
      </c>
      <c r="F89" s="260" t="str">
        <f t="shared" si="13"/>
        <v xml:space="preserve"> </v>
      </c>
      <c r="G89" s="260" t="str">
        <f t="shared" si="13"/>
        <v xml:space="preserve"> </v>
      </c>
      <c r="H89" s="260" t="str">
        <f t="shared" si="13"/>
        <v xml:space="preserve"> </v>
      </c>
      <c r="J89" s="22"/>
    </row>
    <row r="90" spans="2:10" x14ac:dyDescent="0.3">
      <c r="B90" s="180" t="s">
        <v>314</v>
      </c>
      <c r="C90" s="260" t="str">
        <f>IFERROR((C89-C62)/C89, " ")</f>
        <v xml:space="preserve"> </v>
      </c>
      <c r="D90" s="260" t="str">
        <f t="shared" ref="D90:H90" si="14">IFERROR((D89-D62)/D89, " ")</f>
        <v xml:space="preserve"> </v>
      </c>
      <c r="E90" s="260" t="str">
        <f t="shared" si="14"/>
        <v xml:space="preserve"> </v>
      </c>
      <c r="F90" s="260" t="str">
        <f t="shared" si="14"/>
        <v xml:space="preserve"> </v>
      </c>
      <c r="G90" s="260" t="str">
        <f t="shared" si="14"/>
        <v xml:space="preserve"> </v>
      </c>
      <c r="H90" s="260" t="str">
        <f t="shared" si="14"/>
        <v xml:space="preserve"> </v>
      </c>
      <c r="J90" s="22"/>
    </row>
    <row r="91" spans="2:10" x14ac:dyDescent="0.3">
      <c r="B91" s="180" t="s">
        <v>373</v>
      </c>
      <c r="C91" s="283" t="str">
        <f>IFERROR(_xlfn.FORECAST.LINEAR(C71,$C$152:$F$152,$C$130:$F$130), " ")</f>
        <v xml:space="preserve"> </v>
      </c>
      <c r="D91" s="283" t="str">
        <f t="shared" ref="D91:H91" si="15">IFERROR(_xlfn.FORECAST.LINEAR(D71,$C$152:$F$152,$C$130:$F$130), " ")</f>
        <v xml:space="preserve"> </v>
      </c>
      <c r="E91" s="283" t="str">
        <f t="shared" si="15"/>
        <v xml:space="preserve"> </v>
      </c>
      <c r="F91" s="283" t="str">
        <f t="shared" si="15"/>
        <v xml:space="preserve"> </v>
      </c>
      <c r="G91" s="283" t="str">
        <f t="shared" si="15"/>
        <v xml:space="preserve"> </v>
      </c>
      <c r="H91" s="283" t="str">
        <f t="shared" si="15"/>
        <v xml:space="preserve"> </v>
      </c>
      <c r="J91" s="22"/>
    </row>
    <row r="92" spans="2:10" x14ac:dyDescent="0.3">
      <c r="B92" s="180" t="s">
        <v>372</v>
      </c>
      <c r="C92" s="382" t="str">
        <f>IFERROR((C58-C88-C91)*C90, " ")</f>
        <v xml:space="preserve"> </v>
      </c>
      <c r="D92" s="382" t="str">
        <f t="shared" ref="D92:H92" si="16">IFERROR((D58-D88-D91)*D90, " ")</f>
        <v xml:space="preserve"> </v>
      </c>
      <c r="E92" s="382" t="str">
        <f t="shared" si="16"/>
        <v xml:space="preserve"> </v>
      </c>
      <c r="F92" s="382" t="str">
        <f t="shared" si="16"/>
        <v xml:space="preserve"> </v>
      </c>
      <c r="G92" s="382" t="str">
        <f t="shared" si="16"/>
        <v xml:space="preserve"> </v>
      </c>
      <c r="H92" s="382" t="str">
        <f t="shared" si="16"/>
        <v xml:space="preserve"> </v>
      </c>
      <c r="J92" s="22"/>
    </row>
    <row r="93" spans="2:10" x14ac:dyDescent="0.3">
      <c r="B93" s="180" t="s">
        <v>374</v>
      </c>
      <c r="C93" s="260">
        <f t="shared" ref="C93:H93" si="17">(C74*C62)/9549</f>
        <v>0</v>
      </c>
      <c r="D93" s="260">
        <f t="shared" si="17"/>
        <v>0</v>
      </c>
      <c r="E93" s="260">
        <f t="shared" si="17"/>
        <v>0</v>
      </c>
      <c r="F93" s="260">
        <f t="shared" si="17"/>
        <v>0</v>
      </c>
      <c r="G93" s="260">
        <f t="shared" si="17"/>
        <v>0</v>
      </c>
      <c r="H93" s="261">
        <f t="shared" si="17"/>
        <v>0</v>
      </c>
      <c r="J93" s="22"/>
    </row>
    <row r="94" spans="2:10" x14ac:dyDescent="0.3">
      <c r="B94" s="180" t="s">
        <v>375</v>
      </c>
      <c r="C94" s="260" t="str">
        <f>IFERROR(C58-C93-C88-C91-$C$155-C92, " ")</f>
        <v xml:space="preserve"> </v>
      </c>
      <c r="D94" s="260" t="str">
        <f t="shared" ref="D94:H94" si="18">IFERROR(D58-D93-D88-D91-$C$155-D92, " ")</f>
        <v xml:space="preserve"> </v>
      </c>
      <c r="E94" s="260" t="str">
        <f t="shared" si="18"/>
        <v xml:space="preserve"> </v>
      </c>
      <c r="F94" s="260" t="str">
        <f t="shared" si="18"/>
        <v xml:space="preserve"> </v>
      </c>
      <c r="G94" s="260" t="str">
        <f t="shared" si="18"/>
        <v xml:space="preserve"> </v>
      </c>
      <c r="H94" s="260" t="str">
        <f t="shared" si="18"/>
        <v xml:space="preserve"> </v>
      </c>
      <c r="J94" s="22"/>
    </row>
    <row r="95" spans="2:10" x14ac:dyDescent="0.3">
      <c r="B95" s="376" t="s">
        <v>384</v>
      </c>
      <c r="C95" s="260" t="str">
        <f>IFERROR($C$103*C75, " ")</f>
        <v xml:space="preserve"> </v>
      </c>
      <c r="D95" s="260" t="str">
        <f t="shared" ref="D95:H95" si="19">IFERROR($C$103*D75, " ")</f>
        <v xml:space="preserve"> </v>
      </c>
      <c r="E95" s="260" t="str">
        <f t="shared" si="19"/>
        <v xml:space="preserve"> </v>
      </c>
      <c r="F95" s="260" t="str">
        <f t="shared" si="19"/>
        <v xml:space="preserve"> </v>
      </c>
      <c r="G95" s="260" t="str">
        <f t="shared" si="19"/>
        <v xml:space="preserve"> </v>
      </c>
      <c r="H95" s="260" t="str">
        <f t="shared" si="19"/>
        <v xml:space="preserve"> </v>
      </c>
      <c r="J95" s="22"/>
    </row>
    <row r="96" spans="2:10" x14ac:dyDescent="0.3">
      <c r="B96" s="180" t="s">
        <v>378</v>
      </c>
      <c r="C96" s="260" t="str">
        <f>IFERROR((1.5*(C70)^2*$C$44)/1000, " ")</f>
        <v xml:space="preserve"> </v>
      </c>
      <c r="D96" s="260" t="str">
        <f t="shared" ref="D96:H96" si="20">IFERROR((1.5*(D70)^2*$C$44)/1000, " ")</f>
        <v xml:space="preserve"> </v>
      </c>
      <c r="E96" s="260" t="str">
        <f t="shared" si="20"/>
        <v xml:space="preserve"> </v>
      </c>
      <c r="F96" s="260" t="str">
        <f t="shared" si="20"/>
        <v xml:space="preserve"> </v>
      </c>
      <c r="G96" s="260" t="str">
        <f t="shared" si="20"/>
        <v xml:space="preserve"> </v>
      </c>
      <c r="H96" s="260" t="str">
        <f t="shared" si="20"/>
        <v xml:space="preserve"> </v>
      </c>
      <c r="J96" s="22"/>
    </row>
    <row r="97" spans="2:10" x14ac:dyDescent="0.3">
      <c r="B97" s="180" t="s">
        <v>379</v>
      </c>
      <c r="C97" s="260" t="str">
        <f>IFERROR(C90*($C$42+25-$C$41+$C$25)/(C77+$C$25), " ")</f>
        <v xml:space="preserve"> </v>
      </c>
      <c r="D97" s="260" t="str">
        <f t="shared" ref="D97:H97" si="21">IFERROR(D90*($C$42+25-$C$41+$C$25)/(D77+$C$25), " ")</f>
        <v xml:space="preserve"> </v>
      </c>
      <c r="E97" s="260" t="str">
        <f t="shared" si="21"/>
        <v xml:space="preserve"> </v>
      </c>
      <c r="F97" s="260" t="str">
        <f t="shared" si="21"/>
        <v xml:space="preserve"> </v>
      </c>
      <c r="G97" s="260" t="str">
        <f t="shared" si="21"/>
        <v xml:space="preserve"> </v>
      </c>
      <c r="H97" s="260" t="str">
        <f t="shared" si="21"/>
        <v xml:space="preserve"> </v>
      </c>
      <c r="J97" s="22"/>
    </row>
    <row r="98" spans="2:10" x14ac:dyDescent="0.3">
      <c r="B98" s="180" t="s">
        <v>380</v>
      </c>
      <c r="C98" s="260" t="str">
        <f>IFERROR((C58-C96-C91)*C97, " ")</f>
        <v xml:space="preserve"> </v>
      </c>
      <c r="D98" s="260" t="str">
        <f t="shared" ref="D98:H98" si="22">IFERROR((D58-D96-D91)*D97, " ")</f>
        <v xml:space="preserve"> </v>
      </c>
      <c r="E98" s="260" t="str">
        <f t="shared" si="22"/>
        <v xml:space="preserve"> </v>
      </c>
      <c r="F98" s="260" t="str">
        <f t="shared" si="22"/>
        <v xml:space="preserve"> </v>
      </c>
      <c r="G98" s="260" t="str">
        <f t="shared" si="22"/>
        <v xml:space="preserve"> </v>
      </c>
      <c r="H98" s="260" t="str">
        <f t="shared" si="22"/>
        <v xml:space="preserve"> </v>
      </c>
      <c r="J98" s="22"/>
    </row>
    <row r="99" spans="2:10" x14ac:dyDescent="0.3">
      <c r="B99" s="180" t="s">
        <v>381</v>
      </c>
      <c r="C99" s="260" t="str">
        <f>IFERROR(C58-C91-$C$155-C95-C96-C98, " ")</f>
        <v xml:space="preserve"> </v>
      </c>
      <c r="D99" s="260" t="str">
        <f t="shared" ref="D99:H99" si="23">IFERROR(D58-D91-$C$155-D95-D96-D98, " ")</f>
        <v xml:space="preserve"> </v>
      </c>
      <c r="E99" s="260" t="str">
        <f t="shared" si="23"/>
        <v xml:space="preserve"> </v>
      </c>
      <c r="F99" s="260" t="str">
        <f t="shared" si="23"/>
        <v xml:space="preserve"> </v>
      </c>
      <c r="G99" s="260" t="str">
        <f t="shared" si="23"/>
        <v xml:space="preserve"> </v>
      </c>
      <c r="H99" s="260" t="str">
        <f t="shared" si="23"/>
        <v xml:space="preserve"> </v>
      </c>
      <c r="J99" s="22"/>
    </row>
    <row r="100" spans="2:10" x14ac:dyDescent="0.3">
      <c r="B100" s="180" t="s">
        <v>136</v>
      </c>
      <c r="C100" s="256" t="str">
        <f>IFERROR(C99/C58, " ")</f>
        <v xml:space="preserve"> </v>
      </c>
      <c r="D100" s="256" t="str">
        <f t="shared" ref="D100:H100" si="24">IFERROR(D99/D58, " ")</f>
        <v xml:space="preserve"> </v>
      </c>
      <c r="E100" s="256" t="str">
        <f t="shared" si="24"/>
        <v xml:space="preserve"> </v>
      </c>
      <c r="F100" s="256" t="str">
        <f t="shared" si="24"/>
        <v xml:space="preserve"> </v>
      </c>
      <c r="G100" s="256" t="str">
        <f t="shared" si="24"/>
        <v xml:space="preserve"> </v>
      </c>
      <c r="H100" s="256" t="str">
        <f t="shared" si="24"/>
        <v xml:space="preserve"> </v>
      </c>
      <c r="J100" s="22"/>
    </row>
    <row r="101" spans="2:10" x14ac:dyDescent="0.3">
      <c r="B101" s="163"/>
      <c r="C101" s="130"/>
      <c r="D101" s="130"/>
      <c r="E101" s="130"/>
      <c r="F101" s="130"/>
      <c r="G101" s="130"/>
      <c r="H101" s="58"/>
      <c r="J101" s="22"/>
    </row>
    <row r="102" spans="2:10" ht="18.75" x14ac:dyDescent="0.35">
      <c r="B102" s="163" t="s">
        <v>448</v>
      </c>
      <c r="C102" s="130"/>
      <c r="D102" s="130"/>
      <c r="E102" s="130"/>
      <c r="F102" s="130"/>
      <c r="G102" s="130"/>
      <c r="H102" s="58"/>
      <c r="J102" s="22"/>
    </row>
    <row r="103" spans="2:10" x14ac:dyDescent="0.3">
      <c r="B103" s="180" t="s">
        <v>106</v>
      </c>
      <c r="C103" s="256" t="str">
        <f>IFERROR(SLOPE(C94:H94,C75:H75), " ")</f>
        <v xml:space="preserve"> </v>
      </c>
      <c r="D103" s="130"/>
      <c r="E103" s="130"/>
      <c r="F103" s="130"/>
      <c r="G103" s="130"/>
      <c r="H103" s="58"/>
      <c r="J103" s="22"/>
    </row>
    <row r="104" spans="2:10" x14ac:dyDescent="0.3">
      <c r="B104" s="180" t="s">
        <v>110</v>
      </c>
      <c r="C104" s="256" t="str">
        <f>IFERROR(INTERCEPT(C94:H94,C75:H75), " ")</f>
        <v xml:space="preserve"> </v>
      </c>
      <c r="D104" s="130"/>
      <c r="E104" s="130"/>
      <c r="F104" s="130"/>
      <c r="G104" s="130"/>
      <c r="H104" s="58"/>
      <c r="J104" s="22"/>
    </row>
    <row r="105" spans="2:10" x14ac:dyDescent="0.3">
      <c r="B105" s="180" t="s">
        <v>94</v>
      </c>
      <c r="C105" s="256" t="str">
        <f>IFERROR(CORREL(C75:H75,C94:H94), " ")</f>
        <v xml:space="preserve"> </v>
      </c>
      <c r="D105" s="130"/>
      <c r="E105" s="130"/>
      <c r="F105" s="130"/>
      <c r="G105" s="130"/>
      <c r="H105" s="58"/>
      <c r="J105" s="22"/>
    </row>
    <row r="106" spans="2:10" x14ac:dyDescent="0.3">
      <c r="B106" s="180" t="s">
        <v>376</v>
      </c>
      <c r="C106" s="256" t="str">
        <f>IF(C105&gt;=0.95, "Yes", "No")</f>
        <v>Yes</v>
      </c>
      <c r="D106" s="130"/>
      <c r="E106" s="130"/>
      <c r="F106" s="130"/>
      <c r="G106" s="130"/>
      <c r="H106" s="58"/>
      <c r="J106" s="22"/>
    </row>
    <row r="107" spans="2:10" ht="17.25" thickBot="1" x14ac:dyDescent="0.35">
      <c r="B107" s="282" t="s">
        <v>377</v>
      </c>
      <c r="C107" s="471"/>
      <c r="D107" s="226"/>
      <c r="E107" s="226"/>
      <c r="F107" s="226"/>
      <c r="G107" s="226"/>
      <c r="H107" s="227"/>
      <c r="J107" s="22"/>
    </row>
    <row r="108" spans="2:10" ht="17.25" thickBot="1" x14ac:dyDescent="0.35">
      <c r="J108" s="22"/>
    </row>
    <row r="109" spans="2:10" ht="18" thickBot="1" x14ac:dyDescent="0.4">
      <c r="B109" s="725" t="s">
        <v>308</v>
      </c>
      <c r="C109" s="725"/>
      <c r="D109" s="725"/>
      <c r="E109" s="725"/>
      <c r="F109" s="725"/>
      <c r="G109" s="725"/>
      <c r="H109" s="726"/>
      <c r="J109" s="22"/>
    </row>
    <row r="110" spans="2:10" s="313" customFormat="1" ht="34.5" x14ac:dyDescent="0.25">
      <c r="B110" s="311" t="s">
        <v>158</v>
      </c>
      <c r="C110" s="312" t="s">
        <v>203</v>
      </c>
      <c r="D110" s="312" t="s">
        <v>280</v>
      </c>
      <c r="E110" s="372"/>
      <c r="F110" s="372"/>
      <c r="G110" s="372"/>
      <c r="H110" s="374"/>
      <c r="J110" s="452"/>
    </row>
    <row r="111" spans="2:10" ht="17.25" x14ac:dyDescent="0.35">
      <c r="B111" s="240">
        <v>1</v>
      </c>
      <c r="C111" s="469"/>
      <c r="D111" s="84" t="s">
        <v>204</v>
      </c>
      <c r="E111" s="130"/>
      <c r="F111" s="130"/>
      <c r="G111" s="130"/>
      <c r="H111" s="58"/>
      <c r="J111" s="22"/>
    </row>
    <row r="112" spans="2:10" ht="17.25" x14ac:dyDescent="0.35">
      <c r="B112" s="240">
        <v>2</v>
      </c>
      <c r="C112" s="469"/>
      <c r="D112" s="84" t="s">
        <v>205</v>
      </c>
      <c r="E112" s="130"/>
      <c r="F112" s="130"/>
      <c r="G112" s="130"/>
      <c r="H112" s="58"/>
      <c r="J112" s="22"/>
    </row>
    <row r="113" spans="2:10" ht="17.25" x14ac:dyDescent="0.35">
      <c r="B113" s="240">
        <v>3</v>
      </c>
      <c r="C113" s="469"/>
      <c r="D113" s="84" t="s">
        <v>206</v>
      </c>
      <c r="E113" s="130"/>
      <c r="F113" s="130"/>
      <c r="G113" s="130"/>
      <c r="H113" s="58"/>
      <c r="J113" s="22"/>
    </row>
    <row r="114" spans="2:10" ht="17.25" x14ac:dyDescent="0.35">
      <c r="B114" s="240">
        <v>4</v>
      </c>
      <c r="C114" s="469"/>
      <c r="D114" s="84" t="s">
        <v>207</v>
      </c>
      <c r="E114" s="130"/>
      <c r="F114" s="130"/>
      <c r="G114" s="130"/>
      <c r="H114" s="58"/>
      <c r="J114" s="22"/>
    </row>
    <row r="115" spans="2:10" ht="17.25" x14ac:dyDescent="0.35">
      <c r="B115" s="240">
        <v>5</v>
      </c>
      <c r="C115" s="469"/>
      <c r="D115" s="84" t="s">
        <v>208</v>
      </c>
      <c r="E115" s="130"/>
      <c r="F115" s="130"/>
      <c r="G115" s="130"/>
      <c r="H115" s="58"/>
      <c r="J115" s="22"/>
    </row>
    <row r="116" spans="2:10" ht="17.25" x14ac:dyDescent="0.35">
      <c r="B116" s="240">
        <v>6</v>
      </c>
      <c r="C116" s="469"/>
      <c r="D116" s="84" t="s">
        <v>209</v>
      </c>
      <c r="E116" s="130"/>
      <c r="F116" s="130"/>
      <c r="G116" s="130"/>
      <c r="H116" s="58"/>
      <c r="J116" s="22"/>
    </row>
    <row r="117" spans="2:10" x14ac:dyDescent="0.3">
      <c r="B117" s="155"/>
      <c r="C117" s="130"/>
      <c r="D117" s="130"/>
      <c r="E117" s="130"/>
      <c r="F117" s="130"/>
      <c r="G117" s="130"/>
      <c r="H117" s="58"/>
      <c r="J117" s="22"/>
    </row>
    <row r="118" spans="2:10" ht="17.25" x14ac:dyDescent="0.35">
      <c r="B118" s="155"/>
      <c r="C118" s="732" t="s">
        <v>158</v>
      </c>
      <c r="D118" s="732"/>
      <c r="E118" s="732"/>
      <c r="F118" s="732"/>
      <c r="G118" s="732"/>
      <c r="H118" s="733"/>
      <c r="J118" s="22"/>
    </row>
    <row r="119" spans="2:10" s="319" customFormat="1" ht="17.25" x14ac:dyDescent="0.35">
      <c r="B119" s="195" t="s">
        <v>301</v>
      </c>
      <c r="C119" s="310">
        <v>1</v>
      </c>
      <c r="D119" s="310">
        <v>2</v>
      </c>
      <c r="E119" s="310">
        <v>3</v>
      </c>
      <c r="F119" s="310">
        <v>4</v>
      </c>
      <c r="G119" s="310">
        <v>5</v>
      </c>
      <c r="H119" s="381">
        <v>6</v>
      </c>
      <c r="J119" s="453"/>
    </row>
    <row r="120" spans="2:10" x14ac:dyDescent="0.3">
      <c r="B120" s="180" t="s">
        <v>305</v>
      </c>
      <c r="C120" s="467"/>
      <c r="D120" s="467"/>
      <c r="E120" s="467"/>
      <c r="F120" s="467"/>
      <c r="G120" s="467"/>
      <c r="H120" s="470"/>
      <c r="J120" s="22"/>
    </row>
    <row r="121" spans="2:10" x14ac:dyDescent="0.3">
      <c r="B121" s="180" t="s">
        <v>306</v>
      </c>
      <c r="C121" s="467"/>
      <c r="D121" s="467"/>
      <c r="E121" s="467"/>
      <c r="F121" s="467"/>
      <c r="G121" s="467"/>
      <c r="H121" s="470"/>
      <c r="J121" s="22"/>
    </row>
    <row r="122" spans="2:10" x14ac:dyDescent="0.3">
      <c r="B122" s="180" t="s">
        <v>307</v>
      </c>
      <c r="C122" s="467"/>
      <c r="D122" s="467"/>
      <c r="E122" s="467"/>
      <c r="F122" s="467"/>
      <c r="G122" s="467"/>
      <c r="H122" s="470"/>
      <c r="J122" s="22"/>
    </row>
    <row r="123" spans="2:10" x14ac:dyDescent="0.3">
      <c r="B123" s="180" t="s">
        <v>309</v>
      </c>
      <c r="C123" s="467"/>
      <c r="D123" s="467"/>
      <c r="E123" s="467"/>
      <c r="F123" s="467"/>
      <c r="G123" s="467"/>
      <c r="H123" s="470"/>
      <c r="J123" s="22"/>
    </row>
    <row r="124" spans="2:10" x14ac:dyDescent="0.3">
      <c r="B124" s="180" t="s">
        <v>310</v>
      </c>
      <c r="C124" s="467"/>
      <c r="D124" s="467"/>
      <c r="E124" s="467"/>
      <c r="F124" s="467"/>
      <c r="G124" s="467"/>
      <c r="H124" s="470"/>
      <c r="J124" s="22"/>
    </row>
    <row r="125" spans="2:10" x14ac:dyDescent="0.3">
      <c r="B125" s="180" t="s">
        <v>311</v>
      </c>
      <c r="C125" s="467"/>
      <c r="D125" s="467"/>
      <c r="E125" s="467"/>
      <c r="F125" s="467"/>
      <c r="G125" s="467"/>
      <c r="H125" s="470"/>
      <c r="J125" s="22"/>
    </row>
    <row r="126" spans="2:10" x14ac:dyDescent="0.3">
      <c r="B126" s="180" t="s">
        <v>295</v>
      </c>
      <c r="C126" s="467"/>
      <c r="D126" s="467"/>
      <c r="E126" s="467"/>
      <c r="F126" s="467"/>
      <c r="G126" s="467"/>
      <c r="H126" s="470"/>
      <c r="J126" s="22"/>
    </row>
    <row r="127" spans="2:10" x14ac:dyDescent="0.3">
      <c r="B127" s="180" t="s">
        <v>294</v>
      </c>
      <c r="C127" s="467"/>
      <c r="D127" s="467"/>
      <c r="E127" s="467"/>
      <c r="F127" s="467"/>
      <c r="G127" s="467"/>
      <c r="H127" s="470"/>
      <c r="J127" s="22"/>
    </row>
    <row r="128" spans="2:10" x14ac:dyDescent="0.3">
      <c r="B128" s="180" t="s">
        <v>296</v>
      </c>
      <c r="C128" s="467"/>
      <c r="D128" s="467"/>
      <c r="E128" s="467"/>
      <c r="F128" s="467"/>
      <c r="G128" s="467"/>
      <c r="H128" s="470"/>
      <c r="J128" s="22"/>
    </row>
    <row r="129" spans="1:10" x14ac:dyDescent="0.3">
      <c r="B129" s="180" t="s">
        <v>194</v>
      </c>
      <c r="C129" s="467"/>
      <c r="D129" s="467"/>
      <c r="E129" s="467"/>
      <c r="F129" s="467"/>
      <c r="G129" s="467"/>
      <c r="H129" s="470"/>
      <c r="J129" s="22"/>
    </row>
    <row r="130" spans="1:10" x14ac:dyDescent="0.3">
      <c r="B130" s="180" t="s">
        <v>302</v>
      </c>
      <c r="C130" s="260">
        <f>(C120+C121+C122)/3</f>
        <v>0</v>
      </c>
      <c r="D130" s="260">
        <f t="shared" ref="D130:H130" si="25">(D120+D121+D122)/3</f>
        <v>0</v>
      </c>
      <c r="E130" s="260">
        <f t="shared" si="25"/>
        <v>0</v>
      </c>
      <c r="F130" s="260">
        <f t="shared" si="25"/>
        <v>0</v>
      </c>
      <c r="G130" s="260">
        <f t="shared" si="25"/>
        <v>0</v>
      </c>
      <c r="H130" s="261">
        <f t="shared" si="25"/>
        <v>0</v>
      </c>
      <c r="J130" s="22"/>
    </row>
    <row r="131" spans="1:10" x14ac:dyDescent="0.3">
      <c r="B131" s="180" t="s">
        <v>390</v>
      </c>
      <c r="C131" s="253">
        <f t="shared" ref="C131:H131" si="26">(C123+C124+C125)/3</f>
        <v>0</v>
      </c>
      <c r="D131" s="253">
        <f t="shared" si="26"/>
        <v>0</v>
      </c>
      <c r="E131" s="253">
        <f t="shared" si="26"/>
        <v>0</v>
      </c>
      <c r="F131" s="253">
        <f t="shared" si="26"/>
        <v>0</v>
      </c>
      <c r="G131" s="253">
        <f t="shared" si="26"/>
        <v>0</v>
      </c>
      <c r="H131" s="380">
        <f t="shared" si="26"/>
        <v>0</v>
      </c>
      <c r="J131" s="22"/>
    </row>
    <row r="132" spans="1:10" x14ac:dyDescent="0.3">
      <c r="B132" s="180" t="s">
        <v>386</v>
      </c>
      <c r="C132" s="256" t="str">
        <f>IFERROR(ABS(100*(MAX(ABS(C120-C130), ABS(C121-C130), ABS(C122-C130))/C130)), " ")</f>
        <v xml:space="preserve"> </v>
      </c>
      <c r="D132" s="256" t="str">
        <f t="shared" ref="D132:H132" si="27">IFERROR(ABS(100*(MAX(ABS(D120-D130), ABS(D121-D130), ABS(D122-D130))/D130)), " ")</f>
        <v xml:space="preserve"> </v>
      </c>
      <c r="E132" s="256" t="str">
        <f t="shared" si="27"/>
        <v xml:space="preserve"> </v>
      </c>
      <c r="F132" s="256" t="str">
        <f t="shared" si="27"/>
        <v xml:space="preserve"> </v>
      </c>
      <c r="G132" s="256" t="str">
        <f t="shared" si="27"/>
        <v xml:space="preserve"> </v>
      </c>
      <c r="H132" s="256" t="str">
        <f t="shared" si="27"/>
        <v xml:space="preserve"> </v>
      </c>
      <c r="J132" s="22"/>
    </row>
    <row r="133" spans="1:10" x14ac:dyDescent="0.3">
      <c r="B133" s="180" t="s">
        <v>387</v>
      </c>
      <c r="C133" s="260">
        <f>ABS(100*((C126-60)/60))</f>
        <v>100</v>
      </c>
      <c r="D133" s="260">
        <f t="shared" ref="D133:H133" si="28">ABS(100*((D126-60)/60))</f>
        <v>100</v>
      </c>
      <c r="E133" s="260">
        <f t="shared" si="28"/>
        <v>100</v>
      </c>
      <c r="F133" s="260">
        <f t="shared" si="28"/>
        <v>100</v>
      </c>
      <c r="G133" s="260">
        <f t="shared" si="28"/>
        <v>100</v>
      </c>
      <c r="H133" s="260">
        <f t="shared" si="28"/>
        <v>100</v>
      </c>
      <c r="J133" s="22"/>
    </row>
    <row r="134" spans="1:10" x14ac:dyDescent="0.3">
      <c r="B134" s="163"/>
      <c r="C134" s="130"/>
      <c r="D134" s="130"/>
      <c r="E134" s="130"/>
      <c r="F134" s="130"/>
      <c r="G134" s="130"/>
      <c r="H134" s="58"/>
      <c r="J134" s="22"/>
    </row>
    <row r="135" spans="1:10" ht="39.950000000000003" customHeight="1" x14ac:dyDescent="0.3">
      <c r="B135" s="387" t="s">
        <v>409</v>
      </c>
      <c r="C135" s="750" t="str">
        <f>IF((COUNTIF(C129:H129, "&gt;5")+COUNTIF(C132:H132, "&gt;0.5")+COUNTIF(C133:H133, "&gt;0.5"))&gt;=1, "Supply requirements unmet - ensure that THD does not exceed 5%, and both voltage unbalance and frequency variation are within 0.5%", "Data is permissible - may proceed with testing")</f>
        <v>Supply requirements unmet - ensure that THD does not exceed 5%, and both voltage unbalance and frequency variation are within 0.5%</v>
      </c>
      <c r="D135" s="751"/>
      <c r="E135" s="751"/>
      <c r="F135" s="751"/>
      <c r="G135" s="130"/>
      <c r="H135" s="58"/>
      <c r="J135" s="22"/>
    </row>
    <row r="136" spans="1:10" x14ac:dyDescent="0.3">
      <c r="B136" s="163"/>
      <c r="C136" s="130"/>
      <c r="D136" s="130"/>
      <c r="E136" s="130"/>
      <c r="F136" s="130"/>
      <c r="G136" s="130"/>
      <c r="H136" s="58"/>
      <c r="J136" s="22"/>
    </row>
    <row r="137" spans="1:10" ht="18" thickBot="1" x14ac:dyDescent="0.4">
      <c r="B137" s="729" t="s">
        <v>271</v>
      </c>
      <c r="C137" s="729"/>
      <c r="D137" s="729"/>
      <c r="E137" s="729"/>
      <c r="F137" s="729"/>
      <c r="G137" s="729"/>
      <c r="H137" s="738"/>
      <c r="J137" s="22"/>
    </row>
    <row r="138" spans="1:10" s="188" customFormat="1" ht="17.25" x14ac:dyDescent="0.35">
      <c r="B138" s="214"/>
      <c r="C138" s="320"/>
      <c r="D138" s="320"/>
      <c r="E138" s="320"/>
      <c r="F138" s="320"/>
      <c r="G138" s="320"/>
      <c r="H138" s="369"/>
      <c r="J138" s="22"/>
    </row>
    <row r="139" spans="1:10" s="188" customFormat="1" ht="17.25" x14ac:dyDescent="0.35">
      <c r="B139" s="384" t="s">
        <v>69</v>
      </c>
      <c r="C139" s="309" t="s">
        <v>70</v>
      </c>
      <c r="D139" s="320"/>
      <c r="E139" s="320"/>
      <c r="F139" s="320"/>
      <c r="G139" s="320"/>
      <c r="H139" s="369"/>
      <c r="J139" s="22"/>
    </row>
    <row r="140" spans="1:10" x14ac:dyDescent="0.3">
      <c r="B140" s="180" t="s">
        <v>393</v>
      </c>
      <c r="C140" s="256" t="str">
        <f>IFERROR((C40-C30)/(C39-C31), " ")</f>
        <v xml:space="preserve"> </v>
      </c>
      <c r="D140" s="130"/>
      <c r="E140" s="130"/>
      <c r="F140" s="130"/>
      <c r="G140" s="130"/>
      <c r="H140" s="58"/>
      <c r="J140" s="22"/>
    </row>
    <row r="141" spans="1:10" x14ac:dyDescent="0.3">
      <c r="B141" s="180" t="s">
        <v>394</v>
      </c>
      <c r="C141" s="256" t="str">
        <f>IFERROR(C30-(C31*C140), " ")</f>
        <v xml:space="preserve"> </v>
      </c>
      <c r="D141" s="130"/>
      <c r="E141" s="130"/>
      <c r="F141" s="130"/>
      <c r="G141" s="130"/>
      <c r="H141" s="58"/>
      <c r="J141" s="22"/>
    </row>
    <row r="142" spans="1:10" x14ac:dyDescent="0.3">
      <c r="B142" s="180" t="s">
        <v>391</v>
      </c>
      <c r="C142" s="256" t="str">
        <f>IFERROR((C42-C30)/(C39-C31), " ")</f>
        <v xml:space="preserve"> </v>
      </c>
      <c r="D142" s="130"/>
      <c r="E142" s="130"/>
      <c r="F142" s="130"/>
      <c r="G142" s="130"/>
      <c r="H142" s="58"/>
      <c r="J142" s="22"/>
    </row>
    <row r="143" spans="1:10" x14ac:dyDescent="0.3">
      <c r="B143" s="180" t="s">
        <v>392</v>
      </c>
      <c r="C143" s="256" t="str">
        <f>IFERROR(C30-(C31*C142), " ")</f>
        <v xml:space="preserve"> </v>
      </c>
      <c r="D143" s="130"/>
      <c r="E143" s="130"/>
      <c r="F143" s="130"/>
      <c r="G143" s="130"/>
      <c r="H143" s="58"/>
      <c r="J143" s="22"/>
    </row>
    <row r="144" spans="1:10" x14ac:dyDescent="0.3">
      <c r="A144" s="130"/>
      <c r="B144" s="223"/>
      <c r="C144" s="326"/>
      <c r="D144" s="130"/>
      <c r="E144" s="130"/>
      <c r="F144" s="130"/>
      <c r="G144" s="130"/>
      <c r="H144" s="58"/>
      <c r="J144" s="22"/>
    </row>
    <row r="145" spans="2:10" ht="17.25" x14ac:dyDescent="0.35">
      <c r="B145" s="155"/>
      <c r="C145" s="732" t="s">
        <v>158</v>
      </c>
      <c r="D145" s="732"/>
      <c r="E145" s="732"/>
      <c r="F145" s="732"/>
      <c r="G145" s="732"/>
      <c r="H145" s="733"/>
      <c r="J145" s="22"/>
    </row>
    <row r="146" spans="2:10" ht="17.25" x14ac:dyDescent="0.35">
      <c r="B146" s="375" t="s">
        <v>301</v>
      </c>
      <c r="C146" s="310">
        <v>1</v>
      </c>
      <c r="D146" s="310">
        <v>2</v>
      </c>
      <c r="E146" s="310">
        <v>3</v>
      </c>
      <c r="F146" s="310">
        <v>4</v>
      </c>
      <c r="G146" s="310">
        <v>5</v>
      </c>
      <c r="H146" s="381">
        <v>6</v>
      </c>
      <c r="J146" s="22"/>
    </row>
    <row r="147" spans="2:10" x14ac:dyDescent="0.3">
      <c r="B147" s="180" t="s">
        <v>361</v>
      </c>
      <c r="C147" s="253" t="str">
        <f>IFERROR((C128-C141)/C140*C142+C143, " ")</f>
        <v xml:space="preserve"> </v>
      </c>
      <c r="D147" s="253" t="str">
        <f t="shared" ref="D147:H147" si="29">IFERROR((D128-D141)/D140*D142+D143, " ")</f>
        <v xml:space="preserve"> </v>
      </c>
      <c r="E147" s="253" t="str">
        <f t="shared" si="29"/>
        <v xml:space="preserve"> </v>
      </c>
      <c r="F147" s="253" t="str">
        <f t="shared" si="29"/>
        <v xml:space="preserve"> </v>
      </c>
      <c r="G147" s="253" t="str">
        <f t="shared" si="29"/>
        <v xml:space="preserve"> </v>
      </c>
      <c r="H147" s="253" t="str">
        <f t="shared" si="29"/>
        <v xml:space="preserve"> </v>
      </c>
      <c r="J147" s="22"/>
    </row>
    <row r="148" spans="2:10" x14ac:dyDescent="0.3">
      <c r="B148" s="180" t="s">
        <v>363</v>
      </c>
      <c r="C148" s="253" t="str">
        <f>IFERROR($C$31*((C147+$C$25)/($C$30+$C$25)), " ")</f>
        <v xml:space="preserve"> </v>
      </c>
      <c r="D148" s="253" t="str">
        <f t="shared" ref="D148:H148" si="30">IFERROR($C$31*((D147+$C$25)/($C$30+$C$25)), " ")</f>
        <v xml:space="preserve"> </v>
      </c>
      <c r="E148" s="253" t="str">
        <f t="shared" si="30"/>
        <v xml:space="preserve"> </v>
      </c>
      <c r="F148" s="253" t="str">
        <f t="shared" si="30"/>
        <v xml:space="preserve"> </v>
      </c>
      <c r="G148" s="253" t="str">
        <f t="shared" si="30"/>
        <v xml:space="preserve"> </v>
      </c>
      <c r="H148" s="253" t="str">
        <f t="shared" si="30"/>
        <v xml:space="preserve"> </v>
      </c>
      <c r="J148" s="22"/>
    </row>
    <row r="149" spans="2:10" x14ac:dyDescent="0.3">
      <c r="B149" s="180" t="s">
        <v>364</v>
      </c>
      <c r="C149" s="253" t="str">
        <f>IFERROR((1.5*(C131)^2*C148)/1000, " ")</f>
        <v xml:space="preserve"> </v>
      </c>
      <c r="D149" s="253" t="str">
        <f t="shared" ref="D149:H149" si="31">IFERROR((1.5*(D131)^2*D148)/1000, " ")</f>
        <v xml:space="preserve"> </v>
      </c>
      <c r="E149" s="253" t="str">
        <f t="shared" si="31"/>
        <v xml:space="preserve"> </v>
      </c>
      <c r="F149" s="253" t="str">
        <f t="shared" si="31"/>
        <v xml:space="preserve"> </v>
      </c>
      <c r="G149" s="253" t="str">
        <f t="shared" si="31"/>
        <v xml:space="preserve"> </v>
      </c>
      <c r="H149" s="253" t="str">
        <f t="shared" si="31"/>
        <v xml:space="preserve"> </v>
      </c>
      <c r="J149" s="22"/>
    </row>
    <row r="150" spans="2:10" x14ac:dyDescent="0.3">
      <c r="B150" s="180" t="s">
        <v>365</v>
      </c>
      <c r="C150" s="253" t="str">
        <f>IFERROR(C127-C149, " ")</f>
        <v xml:space="preserve"> </v>
      </c>
      <c r="D150" s="253" t="str">
        <f t="shared" ref="D150:H150" si="32">IFERROR(D127-D149, " ")</f>
        <v xml:space="preserve"> </v>
      </c>
      <c r="E150" s="253" t="str">
        <f t="shared" si="32"/>
        <v xml:space="preserve"> </v>
      </c>
      <c r="F150" s="253" t="str">
        <f t="shared" si="32"/>
        <v xml:space="preserve"> </v>
      </c>
      <c r="G150" s="253" t="str">
        <f t="shared" si="32"/>
        <v xml:space="preserve"> </v>
      </c>
      <c r="H150" s="253" t="str">
        <f t="shared" si="32"/>
        <v xml:space="preserve"> </v>
      </c>
      <c r="J150" s="22"/>
    </row>
    <row r="151" spans="2:10" ht="18" x14ac:dyDescent="0.3">
      <c r="B151" s="202" t="s">
        <v>466</v>
      </c>
      <c r="C151" s="378">
        <f t="shared" ref="C151:H151" si="33">C130^2</f>
        <v>0</v>
      </c>
      <c r="D151" s="378">
        <f t="shared" si="33"/>
        <v>0</v>
      </c>
      <c r="E151" s="378">
        <f t="shared" si="33"/>
        <v>0</v>
      </c>
      <c r="F151" s="378">
        <f t="shared" si="33"/>
        <v>0</v>
      </c>
      <c r="G151" s="378">
        <f t="shared" si="33"/>
        <v>0</v>
      </c>
      <c r="H151" s="378">
        <f t="shared" si="33"/>
        <v>0</v>
      </c>
      <c r="J151" s="22"/>
    </row>
    <row r="152" spans="2:10" x14ac:dyDescent="0.3">
      <c r="B152" s="180" t="s">
        <v>385</v>
      </c>
      <c r="C152" s="253" t="str">
        <f>IFERROR(C150-$C$155, " ")</f>
        <v xml:space="preserve"> </v>
      </c>
      <c r="D152" s="253" t="str">
        <f t="shared" ref="D152:H152" si="34">IFERROR(D150-$C$155, " ")</f>
        <v xml:space="preserve"> </v>
      </c>
      <c r="E152" s="253" t="str">
        <f t="shared" si="34"/>
        <v xml:space="preserve"> </v>
      </c>
      <c r="F152" s="253" t="str">
        <f t="shared" si="34"/>
        <v xml:space="preserve"> </v>
      </c>
      <c r="G152" s="253" t="str">
        <f t="shared" si="34"/>
        <v xml:space="preserve"> </v>
      </c>
      <c r="H152" s="253" t="str">
        <f t="shared" si="34"/>
        <v xml:space="preserve"> </v>
      </c>
      <c r="J152" s="22"/>
    </row>
    <row r="153" spans="2:10" x14ac:dyDescent="0.3">
      <c r="B153" s="205"/>
      <c r="C153" s="379"/>
      <c r="D153" s="379"/>
      <c r="E153" s="379"/>
      <c r="F153" s="379"/>
      <c r="G153" s="379"/>
      <c r="H153" s="377"/>
      <c r="J153" s="22"/>
    </row>
    <row r="154" spans="2:10" s="188" customFormat="1" ht="18.75" x14ac:dyDescent="0.35">
      <c r="B154" s="163" t="s">
        <v>467</v>
      </c>
      <c r="C154" s="379"/>
      <c r="D154" s="379"/>
      <c r="E154" s="379"/>
      <c r="F154" s="379"/>
      <c r="G154" s="379"/>
      <c r="H154" s="377"/>
      <c r="J154" s="22"/>
    </row>
    <row r="155" spans="2:10" x14ac:dyDescent="0.3">
      <c r="B155" s="180" t="s">
        <v>366</v>
      </c>
      <c r="C155" s="256" t="str">
        <f>IFERROR(INTERCEPT(G150:H150,G151:H151), " ")</f>
        <v xml:space="preserve"> </v>
      </c>
      <c r="D155" s="154"/>
      <c r="E155" s="154"/>
      <c r="F155" s="154"/>
      <c r="G155" s="154"/>
      <c r="H155" s="57"/>
      <c r="J155" s="22"/>
    </row>
    <row r="156" spans="2:10" x14ac:dyDescent="0.3">
      <c r="B156" s="180" t="s">
        <v>94</v>
      </c>
      <c r="C156" s="256" t="str">
        <f>IFERROR(CORREL(G150:H150,G151:H151), " ")</f>
        <v xml:space="preserve"> </v>
      </c>
      <c r="D156" s="154"/>
      <c r="E156" s="154"/>
      <c r="F156" s="154"/>
      <c r="G156" s="154"/>
      <c r="H156" s="57"/>
      <c r="J156" s="22"/>
    </row>
    <row r="157" spans="2:10" ht="17.25" thickBot="1" x14ac:dyDescent="0.35">
      <c r="B157" s="282" t="s">
        <v>95</v>
      </c>
      <c r="C157" s="262" t="str">
        <f>IF(C156&gt;=0.9, "Yes", "No")</f>
        <v>Yes</v>
      </c>
      <c r="D157" s="360"/>
      <c r="E157" s="360"/>
      <c r="F157" s="360"/>
      <c r="G157" s="360"/>
      <c r="H157" s="370"/>
      <c r="J157" s="22"/>
    </row>
    <row r="158" spans="2:10" ht="17.25" thickBot="1" x14ac:dyDescent="0.35">
      <c r="J158" s="22"/>
    </row>
    <row r="159" spans="2:10" ht="18" thickBot="1" x14ac:dyDescent="0.4">
      <c r="B159" s="725" t="s">
        <v>102</v>
      </c>
      <c r="C159" s="727"/>
      <c r="D159" s="727"/>
      <c r="E159" s="727"/>
      <c r="F159" s="727"/>
      <c r="G159" s="727"/>
      <c r="H159" s="728"/>
      <c r="J159" s="22"/>
    </row>
    <row r="160" spans="2:10" customFormat="1" ht="15" x14ac:dyDescent="0.25">
      <c r="B160" s="155"/>
      <c r="C160" s="154"/>
      <c r="D160" s="154"/>
      <c r="E160" s="154"/>
      <c r="F160" s="154"/>
      <c r="G160" s="154"/>
      <c r="H160" s="57"/>
      <c r="J160" s="56"/>
    </row>
    <row r="161" spans="2:12" customFormat="1" ht="23.45" customHeight="1" x14ac:dyDescent="0.3">
      <c r="B161" s="327" t="s">
        <v>93</v>
      </c>
      <c r="C161" s="467"/>
      <c r="D161" s="154"/>
      <c r="E161" s="154"/>
      <c r="F161" s="154"/>
      <c r="G161" s="154"/>
      <c r="H161" s="57"/>
      <c r="J161" s="56"/>
    </row>
    <row r="162" spans="2:12" customFormat="1" ht="15.95" customHeight="1" x14ac:dyDescent="0.25">
      <c r="B162" s="155"/>
      <c r="C162" s="154"/>
      <c r="D162" s="154"/>
      <c r="E162" s="154"/>
      <c r="F162" s="154"/>
      <c r="G162" s="154"/>
      <c r="H162" s="57"/>
      <c r="J162" s="56"/>
    </row>
    <row r="163" spans="2:12" ht="18" customHeight="1" x14ac:dyDescent="0.35">
      <c r="B163" s="193" t="s">
        <v>119</v>
      </c>
      <c r="C163" s="732" t="s">
        <v>124</v>
      </c>
      <c r="D163" s="732"/>
      <c r="E163" s="732"/>
      <c r="F163" s="321"/>
      <c r="G163" s="210"/>
      <c r="H163" s="234"/>
      <c r="J163" s="22"/>
      <c r="L163" s="130"/>
    </row>
    <row r="164" spans="2:12" ht="35.450000000000003" customHeight="1" x14ac:dyDescent="0.3">
      <c r="B164" s="85" t="s">
        <v>92</v>
      </c>
      <c r="C164" s="746" t="s">
        <v>395</v>
      </c>
      <c r="D164" s="746"/>
      <c r="E164" s="746"/>
      <c r="F164" s="200"/>
      <c r="G164" s="130"/>
      <c r="H164" s="58"/>
      <c r="J164" s="22"/>
      <c r="L164" s="130"/>
    </row>
    <row r="165" spans="2:12" ht="18" customHeight="1" x14ac:dyDescent="0.3">
      <c r="B165" s="85" t="s">
        <v>123</v>
      </c>
      <c r="C165" s="747" t="s">
        <v>396</v>
      </c>
      <c r="D165" s="747"/>
      <c r="E165" s="747"/>
      <c r="F165" s="186"/>
      <c r="G165" s="130"/>
      <c r="H165" s="58"/>
      <c r="J165" s="22"/>
      <c r="L165" s="130"/>
    </row>
    <row r="166" spans="2:12" ht="18" customHeight="1" x14ac:dyDescent="0.3">
      <c r="B166" s="163"/>
      <c r="C166" s="130"/>
      <c r="D166" s="130"/>
      <c r="E166" s="130"/>
      <c r="F166" s="130"/>
      <c r="G166" s="130"/>
      <c r="H166" s="58"/>
      <c r="J166" s="22"/>
    </row>
    <row r="167" spans="2:12" ht="18" customHeight="1" x14ac:dyDescent="0.35">
      <c r="B167" s="248"/>
      <c r="C167" s="748" t="s">
        <v>119</v>
      </c>
      <c r="D167" s="749"/>
      <c r="E167" s="130"/>
      <c r="F167" s="130"/>
      <c r="G167" s="130"/>
      <c r="H167" s="58"/>
      <c r="J167" s="22"/>
    </row>
    <row r="168" spans="2:12" ht="18" customHeight="1" x14ac:dyDescent="0.35">
      <c r="B168" s="195" t="s">
        <v>117</v>
      </c>
      <c r="C168" s="322" t="s">
        <v>92</v>
      </c>
      <c r="D168" s="322" t="s">
        <v>123</v>
      </c>
      <c r="E168" s="130"/>
      <c r="F168" s="130"/>
      <c r="G168" s="130"/>
      <c r="H168" s="58"/>
      <c r="J168" s="22"/>
    </row>
    <row r="169" spans="2:12" ht="18" customHeight="1" x14ac:dyDescent="0.3">
      <c r="B169" s="180" t="s">
        <v>382</v>
      </c>
      <c r="C169" s="467"/>
      <c r="D169" s="467"/>
      <c r="E169" s="130"/>
      <c r="F169" s="130"/>
      <c r="G169" s="130"/>
      <c r="H169" s="58"/>
      <c r="J169" s="22"/>
    </row>
    <row r="170" spans="2:12" ht="18" customHeight="1" x14ac:dyDescent="0.3">
      <c r="B170" s="180" t="s">
        <v>309</v>
      </c>
      <c r="C170" s="467"/>
      <c r="D170" s="467"/>
      <c r="E170" s="130"/>
      <c r="F170" s="130"/>
      <c r="G170" s="130"/>
      <c r="H170" s="58"/>
      <c r="J170" s="22"/>
    </row>
    <row r="171" spans="2:12" ht="18" customHeight="1" x14ac:dyDescent="0.3">
      <c r="B171" s="180" t="s">
        <v>310</v>
      </c>
      <c r="C171" s="467"/>
      <c r="D171" s="467"/>
      <c r="E171" s="130"/>
      <c r="F171" s="130"/>
      <c r="G171" s="130"/>
      <c r="H171" s="58"/>
      <c r="J171" s="450"/>
    </row>
    <row r="172" spans="2:12" ht="18" customHeight="1" x14ac:dyDescent="0.3">
      <c r="B172" s="180" t="s">
        <v>311</v>
      </c>
      <c r="C172" s="467"/>
      <c r="D172" s="472"/>
      <c r="E172" s="130"/>
      <c r="F172" s="130"/>
      <c r="G172" s="130"/>
      <c r="H172" s="58"/>
      <c r="J172" s="22"/>
    </row>
    <row r="173" spans="2:12" ht="18" customHeight="1" x14ac:dyDescent="0.3">
      <c r="B173" s="180" t="s">
        <v>383</v>
      </c>
      <c r="C173" s="467"/>
      <c r="D173" s="467"/>
      <c r="E173" s="130"/>
      <c r="F173" s="130"/>
      <c r="G173" s="130"/>
      <c r="H173" s="58"/>
      <c r="J173" s="22"/>
    </row>
    <row r="174" spans="2:12" ht="18" customHeight="1" x14ac:dyDescent="0.3">
      <c r="B174" s="180" t="s">
        <v>359</v>
      </c>
      <c r="C174" s="467"/>
      <c r="D174" s="467"/>
      <c r="E174" s="130"/>
      <c r="F174" s="130"/>
      <c r="G174" s="130"/>
      <c r="H174" s="58"/>
      <c r="J174" s="22"/>
    </row>
    <row r="175" spans="2:12" ht="20.100000000000001" customHeight="1" x14ac:dyDescent="0.3">
      <c r="B175" s="180" t="s">
        <v>305</v>
      </c>
      <c r="C175" s="473"/>
      <c r="D175" s="467"/>
      <c r="E175" s="130"/>
      <c r="F175" s="130"/>
      <c r="G175" s="130"/>
      <c r="H175" s="58"/>
      <c r="J175" s="22"/>
    </row>
    <row r="176" spans="2:12" ht="20.45" customHeight="1" x14ac:dyDescent="0.3">
      <c r="B176" s="180" t="s">
        <v>306</v>
      </c>
      <c r="C176" s="474"/>
      <c r="D176" s="467"/>
      <c r="E176" s="130"/>
      <c r="F176" s="130"/>
      <c r="G176" s="130"/>
      <c r="H176" s="58"/>
      <c r="J176" s="22"/>
    </row>
    <row r="177" spans="2:13" ht="17.100000000000001" customHeight="1" x14ac:dyDescent="0.3">
      <c r="B177" s="180" t="s">
        <v>307</v>
      </c>
      <c r="C177" s="467"/>
      <c r="D177" s="467"/>
      <c r="E177" s="130"/>
      <c r="F177" s="130"/>
      <c r="G177" s="130"/>
      <c r="H177" s="58"/>
      <c r="J177" s="22"/>
    </row>
    <row r="178" spans="2:13" ht="17.100000000000001" customHeight="1" x14ac:dyDescent="0.3">
      <c r="B178" s="180" t="s">
        <v>194</v>
      </c>
      <c r="C178" s="467"/>
      <c r="D178" s="467"/>
      <c r="E178" s="130"/>
      <c r="F178" s="130"/>
      <c r="G178" s="130"/>
      <c r="H178" s="58"/>
      <c r="J178" s="22"/>
    </row>
    <row r="179" spans="2:13" ht="17.100000000000001" customHeight="1" x14ac:dyDescent="0.3">
      <c r="B179" s="180" t="s">
        <v>115</v>
      </c>
      <c r="C179" s="467"/>
      <c r="D179" s="467"/>
      <c r="E179" s="130"/>
      <c r="F179" s="130"/>
      <c r="G179" s="130"/>
      <c r="H179" s="58"/>
      <c r="J179" s="22"/>
    </row>
    <row r="180" spans="2:13" ht="18" customHeight="1" x14ac:dyDescent="0.3">
      <c r="B180" s="180" t="s">
        <v>398</v>
      </c>
      <c r="C180" s="467"/>
      <c r="D180" s="268"/>
      <c r="E180" s="130"/>
      <c r="F180" s="130"/>
      <c r="G180" s="130"/>
      <c r="H180" s="58"/>
      <c r="J180" s="22"/>
    </row>
    <row r="181" spans="2:13" ht="18" customHeight="1" x14ac:dyDescent="0.3">
      <c r="B181" s="203" t="s">
        <v>397</v>
      </c>
      <c r="C181" s="475"/>
      <c r="D181" s="268"/>
      <c r="E181" s="130"/>
      <c r="F181" s="130"/>
      <c r="G181" s="130"/>
      <c r="H181" s="58"/>
      <c r="J181" s="22"/>
    </row>
    <row r="182" spans="2:13" x14ac:dyDescent="0.3">
      <c r="B182" s="180" t="s">
        <v>302</v>
      </c>
      <c r="C182" s="260">
        <f>(C175+C176+C177)/3</f>
        <v>0</v>
      </c>
      <c r="D182" s="260">
        <f>(D175+D176+D177)/3</f>
        <v>0</v>
      </c>
      <c r="E182" s="130"/>
      <c r="F182" s="130"/>
      <c r="G182" s="130"/>
      <c r="H182" s="58"/>
      <c r="J182" s="22"/>
    </row>
    <row r="183" spans="2:13" x14ac:dyDescent="0.3">
      <c r="B183" s="180" t="s">
        <v>390</v>
      </c>
      <c r="C183" s="260">
        <f>(C170+C171+C172)/3</f>
        <v>0</v>
      </c>
      <c r="D183" s="260">
        <f>(D170+D171+D172)/3</f>
        <v>0</v>
      </c>
      <c r="E183" s="130"/>
      <c r="F183" s="130"/>
      <c r="G183" s="130"/>
      <c r="H183" s="58"/>
      <c r="J183" s="22"/>
    </row>
    <row r="184" spans="2:13" x14ac:dyDescent="0.3">
      <c r="B184" s="180" t="s">
        <v>386</v>
      </c>
      <c r="C184" s="256" t="str">
        <f>IFERROR(ABS(100*(MAX(ABS(C171-C182), ABS(C172-C182), ABS(C173-C182))/C182)), " ")</f>
        <v xml:space="preserve"> </v>
      </c>
      <c r="D184" s="256" t="str">
        <f>IFERROR(ABS(100*(MAX(ABS(D171-D182), ABS(D172-D182), ABS(D173-D182))/D182)), " ")</f>
        <v xml:space="preserve"> </v>
      </c>
      <c r="E184" s="130"/>
      <c r="F184" s="130"/>
      <c r="G184" s="130"/>
      <c r="H184" s="58"/>
      <c r="J184" s="22"/>
    </row>
    <row r="185" spans="2:13" x14ac:dyDescent="0.3">
      <c r="B185" s="180" t="s">
        <v>387</v>
      </c>
      <c r="C185" s="260">
        <f>ABS(100*((C179-60)/60))</f>
        <v>100</v>
      </c>
      <c r="D185" s="260">
        <f>ABS(100*((D179-60)/60))</f>
        <v>100</v>
      </c>
      <c r="E185" s="130"/>
      <c r="F185" s="130"/>
      <c r="G185" s="130"/>
      <c r="H185" s="58"/>
      <c r="J185" s="22"/>
    </row>
    <row r="186" spans="2:13" x14ac:dyDescent="0.3">
      <c r="B186" s="205"/>
      <c r="C186" s="329"/>
      <c r="D186" s="329"/>
      <c r="E186" s="130"/>
      <c r="F186" s="130"/>
      <c r="G186" s="130"/>
      <c r="H186" s="58"/>
      <c r="J186" s="22"/>
    </row>
    <row r="187" spans="2:13" ht="33" customHeight="1" x14ac:dyDescent="0.3">
      <c r="B187" s="387" t="s">
        <v>409</v>
      </c>
      <c r="C187" s="752" t="str">
        <f>IF((COUNTIF(C178:D178, "&gt;5")+COUNTIF(C184:D184, "&gt;0.5")+COUNTIF(C185:D185, "&gt;0.5"))&gt;=1, "Supply requirements unmet - ensure that THD does not exceed 5%, and both voltage unbalance and frequency variation are within 0.5%", "Data is permissible - may proceed with testing")</f>
        <v>Supply requirements unmet - ensure that THD does not exceed 5%, and both voltage unbalance and frequency variation are within 0.5%</v>
      </c>
      <c r="D187" s="753"/>
      <c r="E187" s="753"/>
      <c r="F187" s="753"/>
      <c r="H187" s="58"/>
      <c r="J187" s="22"/>
    </row>
    <row r="188" spans="2:13" x14ac:dyDescent="0.3">
      <c r="B188" s="163"/>
      <c r="H188" s="58"/>
      <c r="J188" s="22"/>
    </row>
    <row r="189" spans="2:13" ht="18" customHeight="1" thickBot="1" x14ac:dyDescent="0.4">
      <c r="B189" s="729" t="s">
        <v>105</v>
      </c>
      <c r="C189" s="730"/>
      <c r="D189" s="730"/>
      <c r="E189" s="730"/>
      <c r="F189" s="730"/>
      <c r="G189" s="226"/>
      <c r="H189" s="227"/>
      <c r="J189" s="22"/>
    </row>
    <row r="190" spans="2:13" ht="18" customHeight="1" x14ac:dyDescent="0.35">
      <c r="B190" s="239" t="s">
        <v>69</v>
      </c>
      <c r="C190" s="325" t="s">
        <v>70</v>
      </c>
      <c r="D190" s="321"/>
      <c r="E190" s="321"/>
      <c r="F190" s="321"/>
      <c r="G190" s="210"/>
      <c r="H190" s="234"/>
      <c r="J190" s="22"/>
      <c r="L190" s="130"/>
      <c r="M190" s="130"/>
    </row>
    <row r="191" spans="2:13" x14ac:dyDescent="0.3">
      <c r="B191" s="180" t="s">
        <v>140</v>
      </c>
      <c r="C191" s="260" t="str">
        <f>IFERROR(120*(C179/C23), " ")</f>
        <v xml:space="preserve"> </v>
      </c>
      <c r="D191" s="130"/>
      <c r="E191" s="130"/>
      <c r="F191" s="130"/>
      <c r="G191" s="130"/>
      <c r="H191" s="58"/>
      <c r="J191" s="22"/>
    </row>
    <row r="192" spans="2:13" x14ac:dyDescent="0.3">
      <c r="B192" s="180" t="s">
        <v>399</v>
      </c>
      <c r="C192" s="260" t="str">
        <f>IFERROR((C191-C180)/C191, " ")</f>
        <v xml:space="preserve"> </v>
      </c>
      <c r="D192" s="130"/>
      <c r="E192" s="130"/>
      <c r="F192" s="130"/>
      <c r="G192" s="130"/>
      <c r="H192" s="58"/>
      <c r="J192" s="22"/>
    </row>
    <row r="193" spans="1:10" x14ac:dyDescent="0.3">
      <c r="B193" s="205" t="s">
        <v>404</v>
      </c>
      <c r="C193" s="260" t="str">
        <f>IFERROR((C173-C141)/C140*C142+C143, " ")</f>
        <v xml:space="preserve"> </v>
      </c>
      <c r="D193" s="130"/>
      <c r="E193" s="130"/>
      <c r="F193" s="130"/>
      <c r="G193" s="130"/>
      <c r="H193" s="58"/>
      <c r="J193" s="22"/>
    </row>
    <row r="194" spans="1:10" x14ac:dyDescent="0.3">
      <c r="B194" s="180" t="s">
        <v>405</v>
      </c>
      <c r="C194" s="260" t="str">
        <f>IFERROR(C31*((C193+C25)/(C30+C25)), " ")</f>
        <v xml:space="preserve"> </v>
      </c>
      <c r="D194" s="130"/>
      <c r="E194" s="130"/>
      <c r="F194" s="130"/>
      <c r="G194" s="130"/>
      <c r="H194" s="58"/>
      <c r="J194" s="22"/>
    </row>
    <row r="195" spans="1:10" x14ac:dyDescent="0.3">
      <c r="B195" s="180" t="s">
        <v>400</v>
      </c>
      <c r="C195" s="260" t="str">
        <f>IFERROR((1.5*C183^2*C194)/1000, " ")</f>
        <v xml:space="preserve"> </v>
      </c>
      <c r="D195" s="130"/>
      <c r="E195" s="130"/>
      <c r="F195" s="130"/>
      <c r="G195" s="130"/>
      <c r="H195" s="58"/>
      <c r="J195" s="22"/>
    </row>
    <row r="196" spans="1:10" x14ac:dyDescent="0.3">
      <c r="B196" s="205" t="s">
        <v>402</v>
      </c>
      <c r="C196" s="260" t="str">
        <f>IFERROR((D173-C141)/C140*C142+C143, " ")</f>
        <v xml:space="preserve"> </v>
      </c>
      <c r="D196" s="130"/>
      <c r="E196" s="130"/>
      <c r="F196" s="130"/>
      <c r="G196" s="130"/>
      <c r="H196" s="58"/>
      <c r="J196" s="22"/>
    </row>
    <row r="197" spans="1:10" x14ac:dyDescent="0.3">
      <c r="B197" s="180" t="s">
        <v>403</v>
      </c>
      <c r="C197" s="260" t="str">
        <f>IFERROR(C31*((C196+C25)/(C30+C25)), " ")</f>
        <v xml:space="preserve"> </v>
      </c>
      <c r="D197" s="130"/>
      <c r="E197" s="130"/>
      <c r="F197" s="130"/>
      <c r="G197" s="130"/>
      <c r="H197" s="58"/>
      <c r="J197" s="22"/>
    </row>
    <row r="198" spans="1:10" x14ac:dyDescent="0.3">
      <c r="B198" s="180" t="s">
        <v>401</v>
      </c>
      <c r="C198" s="260" t="str">
        <f>IFERROR((1.5*D183^2*C197)/1000, " ")</f>
        <v xml:space="preserve"> </v>
      </c>
      <c r="D198" s="130"/>
      <c r="E198" s="130"/>
      <c r="F198" s="130"/>
      <c r="G198" s="130"/>
      <c r="H198" s="58"/>
      <c r="J198" s="22"/>
    </row>
    <row r="199" spans="1:10" x14ac:dyDescent="0.3">
      <c r="B199" s="180" t="s">
        <v>406</v>
      </c>
      <c r="C199" s="260" t="str">
        <f>IFERROR(_xlfn.FORECAST.LINEAR(C22,C152:F152,C130:F130), " ")</f>
        <v xml:space="preserve"> </v>
      </c>
      <c r="D199" s="130"/>
      <c r="E199" s="130"/>
      <c r="F199" s="130"/>
      <c r="G199" s="130"/>
      <c r="H199" s="58"/>
      <c r="J199" s="22"/>
    </row>
    <row r="200" spans="1:10" ht="17.25" thickBot="1" x14ac:dyDescent="0.35">
      <c r="B200" s="282" t="s">
        <v>262</v>
      </c>
      <c r="C200" s="128">
        <f>IF(C161="Yes", (9549/C180)*((C169-C195-C199)*(1-C192)-(D169-C198-C199))-C181, 0)</f>
        <v>0</v>
      </c>
      <c r="D200" s="226"/>
      <c r="E200" s="226"/>
      <c r="F200" s="226"/>
      <c r="G200" s="226"/>
      <c r="H200" s="227"/>
      <c r="J200" s="22"/>
    </row>
    <row r="201" spans="1:10" x14ac:dyDescent="0.3">
      <c r="J201" s="22"/>
    </row>
    <row r="202" spans="1:10" x14ac:dyDescent="0.3">
      <c r="J202" s="22"/>
    </row>
    <row r="203" spans="1:10" x14ac:dyDescent="0.3">
      <c r="A203" s="22"/>
      <c r="B203" s="22"/>
      <c r="C203" s="22"/>
      <c r="D203" s="22"/>
      <c r="E203" s="22"/>
      <c r="F203" s="22"/>
      <c r="G203" s="22"/>
      <c r="H203" s="22"/>
      <c r="I203" s="22"/>
      <c r="J203" s="22"/>
    </row>
  </sheetData>
  <sheetProtection algorithmName="SHA-512" hashValue="+V4UhLkLKBz/tfmqFfVRp35yUlTXXVVhqhd1Smd3x1ElJxeJJTkSjQoP3xPE7Ua1EZLlCinETL6ahVgZUs1dOQ==" saltValue="aZMKOeUa/zrNTo6axQGDQQ==" spinCount="100000" sheet="1" selectLockedCells="1"/>
  <mergeCells count="26">
    <mergeCell ref="B189:F189"/>
    <mergeCell ref="B137:H137"/>
    <mergeCell ref="B11:H11"/>
    <mergeCell ref="B12:H12"/>
    <mergeCell ref="C86:H86"/>
    <mergeCell ref="C163:E163"/>
    <mergeCell ref="C164:E164"/>
    <mergeCell ref="C165:E165"/>
    <mergeCell ref="C167:D167"/>
    <mergeCell ref="C135:F135"/>
    <mergeCell ref="C83:F83"/>
    <mergeCell ref="C187:F187"/>
    <mergeCell ref="B2:C2"/>
    <mergeCell ref="B16:H16"/>
    <mergeCell ref="B17:H17"/>
    <mergeCell ref="B19:H19"/>
    <mergeCell ref="B159:H159"/>
    <mergeCell ref="B27:H27"/>
    <mergeCell ref="B33:H33"/>
    <mergeCell ref="B46:H46"/>
    <mergeCell ref="B109:H109"/>
    <mergeCell ref="B85:H85"/>
    <mergeCell ref="C55:H55"/>
    <mergeCell ref="B34:F35"/>
    <mergeCell ref="C118:H118"/>
    <mergeCell ref="C145:H145"/>
  </mergeCells>
  <conditionalFormatting sqref="B163:H200">
    <cfRule type="expression" dxfId="6" priority="1">
      <formula>$C$161="No"</formula>
    </cfRule>
  </conditionalFormatting>
  <hyperlinks>
    <hyperlink ref="G2" location="Instructions!B37" display="Back to Instructions tab" xr:uid="{F3A9B3C7-1475-4F27-A313-230243BDCDD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D63027-7342-43C6-83C2-6181C166BDA1}">
          <x14:formula1>
            <xm:f>'Drop-downs'!$B$22:$B$23</xm:f>
          </x14:formula1>
          <xm:sqref>C161 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094A8-9045-4ABF-AEBD-782129F1654A}">
  <sheetPr>
    <tabColor rgb="FF0070C0"/>
  </sheetPr>
  <dimension ref="A1:M99"/>
  <sheetViews>
    <sheetView showGridLines="0" zoomScale="80" zoomScaleNormal="80" workbookViewId="0">
      <selection activeCell="C14" sqref="C14"/>
    </sheetView>
  </sheetViews>
  <sheetFormatPr defaultColWidth="9.140625" defaultRowHeight="18" customHeight="1" x14ac:dyDescent="0.3"/>
  <cols>
    <col min="1" max="1" width="9.140625" style="135"/>
    <col min="2" max="2" width="36.28515625" style="135" customWidth="1"/>
    <col min="3" max="3" width="42.85546875" style="135" customWidth="1"/>
    <col min="4" max="4" width="38.7109375" style="135" customWidth="1"/>
    <col min="5" max="5" width="36.85546875" style="135" customWidth="1"/>
    <col min="6" max="6" width="51" style="135" customWidth="1"/>
    <col min="7" max="7" width="19.5703125" style="135" customWidth="1"/>
    <col min="8" max="8" width="20" style="135" customWidth="1"/>
    <col min="9" max="9" width="5.140625" style="165" customWidth="1"/>
    <col min="10" max="10" width="15" style="135" customWidth="1"/>
    <col min="11" max="16384" width="9.140625" style="135"/>
  </cols>
  <sheetData>
    <row r="1" spans="2:10" ht="18" customHeight="1" thickBot="1" x14ac:dyDescent="0.35">
      <c r="I1" s="136"/>
    </row>
    <row r="2" spans="2:10" ht="18" customHeight="1" thickBot="1" x14ac:dyDescent="0.35">
      <c r="B2" s="660" t="str">
        <f>'Version Control'!$B$2</f>
        <v>Title Block</v>
      </c>
      <c r="C2" s="661"/>
      <c r="E2" s="152" t="s">
        <v>37</v>
      </c>
      <c r="I2" s="136"/>
    </row>
    <row r="3" spans="2:10" ht="18" customHeight="1" x14ac:dyDescent="0.3">
      <c r="B3" s="137" t="str">
        <f>'Version Control'!$B$3</f>
        <v>Test Report Template Name:</v>
      </c>
      <c r="C3" s="138" t="str">
        <f>'Version Control'!C3</f>
        <v>Small Electric Motors</v>
      </c>
      <c r="I3" s="136"/>
    </row>
    <row r="4" spans="2:10" ht="18" customHeight="1" x14ac:dyDescent="0.3">
      <c r="B4" s="139" t="str">
        <f>'Version Control'!$B$4</f>
        <v>Version Number:</v>
      </c>
      <c r="C4" s="140" t="str">
        <f>'Version Control'!C4</f>
        <v>v1.0</v>
      </c>
      <c r="I4" s="136"/>
    </row>
    <row r="5" spans="2:10" ht="18" customHeight="1" x14ac:dyDescent="0.3">
      <c r="B5" s="139" t="str">
        <f>'Version Control'!$B$5</f>
        <v xml:space="preserve">Latest Template Revision: </v>
      </c>
      <c r="C5" s="141">
        <f>'Version Control'!C5</f>
        <v>45575</v>
      </c>
      <c r="I5" s="136"/>
    </row>
    <row r="6" spans="2:10" ht="18" customHeight="1" x14ac:dyDescent="0.3">
      <c r="B6" s="139" t="str">
        <f>'Version Control'!$B$6</f>
        <v>Tab Name:</v>
      </c>
      <c r="C6" s="142" t="str">
        <f ca="1">MID(CELL("filename",A1), FIND("]", CELL("filename", A1))+ 1, 255)</f>
        <v>IEC 60034-2-1 Method 2-1-1A</v>
      </c>
      <c r="I6" s="136"/>
    </row>
    <row r="7" spans="2:10" ht="36" customHeight="1" x14ac:dyDescent="0.3">
      <c r="B7" s="99" t="str">
        <f>'Version Control'!$B$7</f>
        <v>File Name:</v>
      </c>
      <c r="C7" s="143" t="str">
        <f ca="1">'Version Control'!C7</f>
        <v>Small Electric Motors - v1.0.xlsx</v>
      </c>
      <c r="I7" s="136"/>
    </row>
    <row r="8" spans="2:10" ht="16.5" x14ac:dyDescent="0.3">
      <c r="B8" s="144" t="s">
        <v>42</v>
      </c>
      <c r="C8" s="145" t="str">
        <f>'General Info &amp; Test Results'!C17</f>
        <v>[MM/DD/YYYY]</v>
      </c>
      <c r="I8" s="136"/>
    </row>
    <row r="9" spans="2:10" ht="18" customHeight="1" thickBot="1" x14ac:dyDescent="0.35">
      <c r="B9" s="146" t="str">
        <f>'Version Control'!$B$9</f>
        <v>Date Test Finished:</v>
      </c>
      <c r="C9" s="147" t="str">
        <f>'Version Control'!C9</f>
        <v>[MM/DD/YYYY]</v>
      </c>
      <c r="I9" s="136"/>
    </row>
    <row r="10" spans="2:10" ht="18" customHeight="1" thickBot="1" x14ac:dyDescent="0.35">
      <c r="B10" s="148"/>
      <c r="C10" s="149"/>
      <c r="I10" s="136"/>
    </row>
    <row r="11" spans="2:10" s="21" customFormat="1" thickBot="1" x14ac:dyDescent="0.4">
      <c r="B11" s="713" t="s">
        <v>445</v>
      </c>
      <c r="C11" s="714"/>
      <c r="D11" s="714"/>
      <c r="E11" s="714"/>
      <c r="F11" s="715"/>
      <c r="G11" s="419"/>
      <c r="H11" s="419"/>
      <c r="I11" s="22"/>
    </row>
    <row r="12" spans="2:10" s="21" customFormat="1" ht="135.6" customHeight="1" thickBot="1" x14ac:dyDescent="0.35">
      <c r="B12" s="757" t="s">
        <v>450</v>
      </c>
      <c r="C12" s="758"/>
      <c r="D12" s="758"/>
      <c r="E12" s="758"/>
      <c r="F12" s="759"/>
      <c r="G12" s="372"/>
      <c r="H12" s="372"/>
      <c r="I12" s="22"/>
    </row>
    <row r="13" spans="2:10" s="21" customFormat="1" ht="18.95" customHeight="1" x14ac:dyDescent="0.3">
      <c r="B13" s="415"/>
      <c r="C13" s="416"/>
      <c r="D13" s="416"/>
      <c r="E13" s="416"/>
      <c r="F13" s="416"/>
      <c r="G13" s="416"/>
      <c r="H13" s="416"/>
      <c r="I13" s="22"/>
    </row>
    <row r="14" spans="2:10" s="21" customFormat="1" ht="48" customHeight="1" x14ac:dyDescent="0.3">
      <c r="B14" s="417" t="s">
        <v>446</v>
      </c>
      <c r="C14" s="466"/>
      <c r="D14" s="416"/>
      <c r="E14" s="416"/>
      <c r="F14" s="416"/>
      <c r="G14" s="416"/>
      <c r="H14" s="416"/>
      <c r="I14" s="22"/>
    </row>
    <row r="15" spans="2:10" s="21" customFormat="1" ht="21.6" customHeight="1" thickBot="1" x14ac:dyDescent="0.7">
      <c r="B15" s="412"/>
      <c r="C15" s="413"/>
      <c r="D15" s="187"/>
      <c r="E15" s="187"/>
      <c r="F15" s="187"/>
      <c r="G15" s="187"/>
      <c r="H15" s="187"/>
      <c r="I15" s="451"/>
      <c r="J15" s="187"/>
    </row>
    <row r="16" spans="2:10" ht="18" customHeight="1" thickBot="1" x14ac:dyDescent="0.4">
      <c r="B16" s="713" t="s">
        <v>96</v>
      </c>
      <c r="C16" s="714"/>
      <c r="D16" s="714"/>
      <c r="E16" s="714"/>
      <c r="F16" s="715"/>
      <c r="I16" s="136"/>
    </row>
    <row r="17" spans="2:13" ht="38.450000000000003" customHeight="1" thickBot="1" x14ac:dyDescent="0.35">
      <c r="B17" s="754" t="s">
        <v>464</v>
      </c>
      <c r="C17" s="755"/>
      <c r="D17" s="755"/>
      <c r="E17" s="755"/>
      <c r="F17" s="756"/>
      <c r="I17" s="136"/>
    </row>
    <row r="18" spans="2:13" ht="20.45" customHeight="1" thickBot="1" x14ac:dyDescent="0.35">
      <c r="B18" s="265"/>
      <c r="C18" s="265"/>
      <c r="D18" s="265"/>
      <c r="E18" s="265"/>
      <c r="F18" s="265"/>
      <c r="I18" s="136"/>
    </row>
    <row r="19" spans="2:13" s="21" customFormat="1" ht="18" customHeight="1" thickBot="1" x14ac:dyDescent="0.4">
      <c r="B19" s="725" t="s">
        <v>98</v>
      </c>
      <c r="C19" s="727"/>
      <c r="D19" s="727"/>
      <c r="E19" s="727"/>
      <c r="F19" s="728"/>
      <c r="G19" s="166"/>
      <c r="H19" s="166"/>
      <c r="I19" s="450"/>
      <c r="J19" s="162"/>
    </row>
    <row r="20" spans="2:13" ht="20.100000000000001" customHeight="1" x14ac:dyDescent="0.3">
      <c r="B20" s="239" t="s">
        <v>69</v>
      </c>
      <c r="C20" s="209" t="s">
        <v>70</v>
      </c>
      <c r="D20" s="265"/>
      <c r="E20" s="265"/>
      <c r="F20" s="273"/>
      <c r="I20" s="136"/>
    </row>
    <row r="21" spans="2:13" ht="20.45" customHeight="1" thickBot="1" x14ac:dyDescent="0.35">
      <c r="B21" s="315" t="s">
        <v>240</v>
      </c>
      <c r="C21" s="441">
        <f>'General Info &amp; Test Results'!C30*745.7</f>
        <v>0</v>
      </c>
      <c r="D21" s="274"/>
      <c r="E21" s="274"/>
      <c r="F21" s="275"/>
      <c r="I21" s="136"/>
    </row>
    <row r="22" spans="2:13" ht="18" customHeight="1" thickBot="1" x14ac:dyDescent="0.35">
      <c r="B22" s="148"/>
      <c r="C22" s="149"/>
      <c r="I22" s="136"/>
    </row>
    <row r="23" spans="2:13" ht="18" customHeight="1" thickBot="1" x14ac:dyDescent="0.4">
      <c r="B23" s="725" t="s">
        <v>430</v>
      </c>
      <c r="C23" s="727"/>
      <c r="D23" s="727"/>
      <c r="E23" s="727"/>
      <c r="F23" s="728"/>
      <c r="I23" s="136"/>
    </row>
    <row r="24" spans="2:13" ht="18" customHeight="1" x14ac:dyDescent="0.3">
      <c r="B24" s="318" t="s">
        <v>69</v>
      </c>
      <c r="C24" s="215" t="s">
        <v>70</v>
      </c>
      <c r="D24" s="168"/>
      <c r="E24" s="168"/>
      <c r="F24" s="175"/>
      <c r="G24" s="165"/>
      <c r="I24" s="136"/>
    </row>
    <row r="25" spans="2:13" ht="21.95" customHeight="1" x14ac:dyDescent="0.3">
      <c r="B25" s="330" t="s">
        <v>285</v>
      </c>
      <c r="C25" s="251"/>
      <c r="D25" s="168"/>
      <c r="E25" s="168"/>
      <c r="F25" s="175"/>
      <c r="G25" s="165"/>
      <c r="I25" s="136"/>
    </row>
    <row r="26" spans="2:13" ht="17.100000000000001" customHeight="1" x14ac:dyDescent="0.3">
      <c r="B26" s="314" t="s">
        <v>286</v>
      </c>
      <c r="C26" s="316"/>
      <c r="D26" s="317"/>
      <c r="E26" s="168"/>
      <c r="F26" s="175"/>
      <c r="G26" s="165"/>
      <c r="I26" s="136"/>
    </row>
    <row r="27" spans="2:13" ht="19.5" customHeight="1" x14ac:dyDescent="0.3">
      <c r="B27" s="314" t="s">
        <v>173</v>
      </c>
      <c r="C27" s="199"/>
      <c r="D27" s="168"/>
      <c r="E27" s="168"/>
      <c r="F27" s="175"/>
      <c r="G27" s="165"/>
      <c r="I27" s="136"/>
    </row>
    <row r="28" spans="2:13" ht="18" customHeight="1" x14ac:dyDescent="0.3">
      <c r="B28" s="314" t="s">
        <v>287</v>
      </c>
      <c r="C28" s="251"/>
      <c r="D28" s="168"/>
      <c r="E28" s="168"/>
      <c r="F28" s="175"/>
      <c r="G28" s="165"/>
      <c r="I28" s="136"/>
    </row>
    <row r="29" spans="2:13" ht="18" customHeight="1" x14ac:dyDescent="0.35">
      <c r="B29" s="314" t="s">
        <v>226</v>
      </c>
      <c r="C29" s="251"/>
      <c r="D29" s="402" t="s">
        <v>429</v>
      </c>
      <c r="E29" s="168"/>
      <c r="F29" s="175"/>
      <c r="G29" s="165"/>
      <c r="I29" s="136"/>
    </row>
    <row r="30" spans="2:13" ht="18.600000000000001" customHeight="1" x14ac:dyDescent="0.3">
      <c r="B30" s="237" t="s">
        <v>289</v>
      </c>
      <c r="C30" s="251"/>
      <c r="D30" s="168"/>
      <c r="E30" s="168"/>
      <c r="F30" s="175"/>
      <c r="G30" s="165"/>
      <c r="I30" s="136"/>
    </row>
    <row r="31" spans="2:13" ht="23.1" customHeight="1" thickBot="1" x14ac:dyDescent="0.35">
      <c r="B31" s="315" t="s">
        <v>136</v>
      </c>
      <c r="C31" s="270" t="str">
        <f>IFERROR((2*PI()*C29*C28)/C27, " ")</f>
        <v xml:space="preserve"> </v>
      </c>
      <c r="D31" s="218"/>
      <c r="E31" s="218"/>
      <c r="F31" s="219"/>
      <c r="G31" s="168"/>
      <c r="H31" s="168"/>
      <c r="I31" s="454"/>
      <c r="J31" s="168"/>
      <c r="K31" s="168"/>
      <c r="L31" s="168"/>
      <c r="M31" s="168"/>
    </row>
    <row r="32" spans="2:13" ht="18" customHeight="1" x14ac:dyDescent="0.3">
      <c r="F32" s="168"/>
      <c r="G32" s="168"/>
      <c r="H32" s="168"/>
      <c r="I32" s="454"/>
      <c r="J32" s="168"/>
      <c r="K32" s="168"/>
      <c r="L32" s="168"/>
      <c r="M32" s="168"/>
    </row>
    <row r="33" spans="1:9" ht="30" customHeight="1" x14ac:dyDescent="0.3">
      <c r="I33" s="136"/>
    </row>
    <row r="34" spans="1:9" ht="22.5" customHeight="1" x14ac:dyDescent="0.3">
      <c r="A34" s="136"/>
      <c r="B34" s="136"/>
      <c r="C34" s="136"/>
      <c r="D34" s="136"/>
      <c r="E34" s="136"/>
      <c r="F34" s="136"/>
      <c r="G34" s="136"/>
      <c r="H34" s="136"/>
      <c r="I34" s="136"/>
    </row>
    <row r="35" spans="1:9" ht="66.95" customHeight="1" x14ac:dyDescent="0.3"/>
    <row r="36" spans="1:9" ht="66.95" customHeight="1" x14ac:dyDescent="0.3"/>
    <row r="37" spans="1:9" ht="66.95" customHeight="1" x14ac:dyDescent="0.3"/>
    <row r="38" spans="1:9" ht="66.95" customHeight="1" x14ac:dyDescent="0.3"/>
    <row r="39" spans="1:9" ht="41.45" customHeight="1" x14ac:dyDescent="0.3"/>
    <row r="45" spans="1:9" ht="57.6" customHeight="1" x14ac:dyDescent="0.3"/>
    <row r="46" spans="1:9" ht="84.6" customHeight="1" x14ac:dyDescent="0.3"/>
    <row r="47" spans="1:9" ht="75.95" customHeight="1" x14ac:dyDescent="0.3"/>
    <row r="48" spans="1:9" ht="75.95" customHeight="1" x14ac:dyDescent="0.3"/>
    <row r="49" spans="2:3" ht="75.95" customHeight="1" x14ac:dyDescent="0.3"/>
    <row r="50" spans="2:3" ht="63.6" customHeight="1" x14ac:dyDescent="0.3"/>
    <row r="51" spans="2:3" ht="63.6" customHeight="1" x14ac:dyDescent="0.3"/>
    <row r="52" spans="2:3" ht="53.45" customHeight="1" x14ac:dyDescent="0.3"/>
    <row r="57" spans="2:3" ht="57.95" customHeight="1" x14ac:dyDescent="0.3"/>
    <row r="62" spans="2:3" ht="18" customHeight="1" thickBot="1" x14ac:dyDescent="0.35"/>
    <row r="63" spans="2:3" ht="18" customHeight="1" x14ac:dyDescent="0.35">
      <c r="B63" s="191"/>
      <c r="C63" s="191"/>
    </row>
    <row r="64" spans="2:3" ht="18" customHeight="1" x14ac:dyDescent="0.3">
      <c r="C64" s="192"/>
    </row>
    <row r="65" spans="2:4" ht="18" customHeight="1" x14ac:dyDescent="0.3">
      <c r="B65" s="189">
        <v>0.4</v>
      </c>
      <c r="C65" s="189">
        <v>0.3</v>
      </c>
    </row>
    <row r="66" spans="2:4" ht="18" customHeight="1" x14ac:dyDescent="0.3">
      <c r="B66" s="197"/>
      <c r="C66" s="197"/>
    </row>
    <row r="67" spans="2:4" ht="18" customHeight="1" x14ac:dyDescent="0.3">
      <c r="B67" s="197"/>
      <c r="C67" s="197"/>
    </row>
    <row r="68" spans="2:4" ht="18" customHeight="1" x14ac:dyDescent="0.3">
      <c r="B68" s="197"/>
      <c r="C68" s="197"/>
    </row>
    <row r="69" spans="2:4" ht="18" customHeight="1" thickBot="1" x14ac:dyDescent="0.35">
      <c r="B69" s="198"/>
      <c r="C69" s="198"/>
    </row>
    <row r="70" spans="2:4" ht="18" customHeight="1" x14ac:dyDescent="0.35">
      <c r="B70" s="198"/>
      <c r="C70" s="198"/>
      <c r="D70" s="191"/>
    </row>
    <row r="71" spans="2:4" ht="18" customHeight="1" x14ac:dyDescent="0.3">
      <c r="B71" s="189" t="s">
        <v>107</v>
      </c>
      <c r="C71" s="189" t="s">
        <v>107</v>
      </c>
    </row>
    <row r="73" spans="2:4" ht="18" customHeight="1" thickBot="1" x14ac:dyDescent="0.35"/>
    <row r="74" spans="2:4" ht="18" customHeight="1" x14ac:dyDescent="0.35">
      <c r="B74" s="191"/>
      <c r="C74" s="191"/>
    </row>
    <row r="75" spans="2:4" ht="18" customHeight="1" x14ac:dyDescent="0.3">
      <c r="C75" s="192"/>
    </row>
    <row r="76" spans="2:4" ht="18" customHeight="1" x14ac:dyDescent="0.3">
      <c r="B76" s="189">
        <v>0.4</v>
      </c>
      <c r="C76" s="189">
        <v>0.3</v>
      </c>
    </row>
    <row r="77" spans="2:4" ht="18" customHeight="1" x14ac:dyDescent="0.3">
      <c r="B77" s="198" t="e">
        <f>1.5*(B67)^2*B71</f>
        <v>#VALUE!</v>
      </c>
      <c r="C77" s="198" t="e">
        <f>1.5*(C67)^2*C71</f>
        <v>#VALUE!</v>
      </c>
    </row>
    <row r="78" spans="2:4" ht="18" customHeight="1" x14ac:dyDescent="0.3">
      <c r="B78" s="198" t="e">
        <f>B68-B77</f>
        <v>#VALUE!</v>
      </c>
      <c r="C78" s="198" t="e">
        <f>C68-C77</f>
        <v>#VALUE!</v>
      </c>
    </row>
    <row r="80" spans="2:4" ht="18" customHeight="1" thickBot="1" x14ac:dyDescent="0.35"/>
    <row r="81" spans="4:4" ht="18" customHeight="1" x14ac:dyDescent="0.35">
      <c r="D81" s="191"/>
    </row>
    <row r="99" ht="33.950000000000003" customHeight="1" x14ac:dyDescent="0.3"/>
  </sheetData>
  <sheetProtection algorithmName="SHA-512" hashValue="iCDjKvGPWKXshjOR8YwqlczrdDFOBm8Q1IWd8NpFcfqeL5oNqY8hq7AQ553MyWd+SFXtJbauTS9JEYrd+PYs2g==" saltValue="3+j0GSQcdAgsbg+1gtyRpg==" spinCount="100000" sheet="1" selectLockedCells="1"/>
  <mergeCells count="7">
    <mergeCell ref="B2:C2"/>
    <mergeCell ref="B16:F16"/>
    <mergeCell ref="B17:F17"/>
    <mergeCell ref="B23:F23"/>
    <mergeCell ref="B19:F19"/>
    <mergeCell ref="B12:F12"/>
    <mergeCell ref="B11:F11"/>
  </mergeCells>
  <hyperlinks>
    <hyperlink ref="E2" location="Instructions!B37" display="Back to Instructions tab" xr:uid="{0E3E36A1-72D8-4B27-B8C3-06D6232D3B7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59F8EC-3420-4BB2-B26C-A2E0EF465BBC}">
          <x14:formula1>
            <xm:f>'Drop-downs'!$B$22:$B$23</xm:f>
          </x14:formula1>
          <xm:sqref>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63F0-E4CE-4349-BC74-F70833ED5B8E}">
  <sheetPr>
    <tabColor rgb="FF0070C0"/>
  </sheetPr>
  <dimension ref="A1:M142"/>
  <sheetViews>
    <sheetView showGridLines="0" zoomScale="80" zoomScaleNormal="80" workbookViewId="0">
      <selection activeCell="C14" sqref="C14"/>
    </sheetView>
  </sheetViews>
  <sheetFormatPr defaultColWidth="9.140625" defaultRowHeight="18" customHeight="1" x14ac:dyDescent="0.3"/>
  <cols>
    <col min="1" max="1" width="9.140625" style="135"/>
    <col min="2" max="2" width="45.140625" style="135" customWidth="1"/>
    <col min="3" max="3" width="53.42578125" style="135" customWidth="1"/>
    <col min="4" max="4" width="36.140625" style="135" customWidth="1"/>
    <col min="5" max="5" width="33.5703125" style="135" customWidth="1"/>
    <col min="6" max="6" width="31" style="135" customWidth="1"/>
    <col min="7" max="7" width="22.42578125" style="135" customWidth="1"/>
    <col min="8" max="8" width="20" style="135" customWidth="1"/>
    <col min="9" max="9" width="12.42578125" style="135" customWidth="1"/>
    <col min="10" max="10" width="15" style="135" customWidth="1"/>
    <col min="11" max="12" width="9.140625" style="135"/>
    <col min="13" max="13" width="4.140625" style="135" customWidth="1"/>
    <col min="14" max="16384" width="9.140625" style="135"/>
  </cols>
  <sheetData>
    <row r="1" spans="2:13" ht="18" customHeight="1" thickBot="1" x14ac:dyDescent="0.35">
      <c r="I1" s="165"/>
      <c r="M1" s="136"/>
    </row>
    <row r="2" spans="2:13" ht="18" customHeight="1" thickBot="1" x14ac:dyDescent="0.35">
      <c r="B2" s="660" t="str">
        <f>'Version Control'!$B$2</f>
        <v>Title Block</v>
      </c>
      <c r="C2" s="660"/>
      <c r="G2" s="152" t="s">
        <v>37</v>
      </c>
      <c r="I2" s="165"/>
      <c r="M2" s="136"/>
    </row>
    <row r="3" spans="2:13" ht="18" customHeight="1" x14ac:dyDescent="0.3">
      <c r="B3" s="137" t="str">
        <f>'Version Control'!$B$3</f>
        <v>Test Report Template Name:</v>
      </c>
      <c r="C3" s="138" t="str">
        <f>'Version Control'!C3</f>
        <v>Small Electric Motors</v>
      </c>
      <c r="I3" s="165"/>
      <c r="M3" s="136"/>
    </row>
    <row r="4" spans="2:13" ht="18" customHeight="1" x14ac:dyDescent="0.3">
      <c r="B4" s="139" t="str">
        <f>'Version Control'!$B$4</f>
        <v>Version Number:</v>
      </c>
      <c r="C4" s="140" t="str">
        <f>'Version Control'!C4</f>
        <v>v1.0</v>
      </c>
      <c r="I4" s="165"/>
      <c r="M4" s="136"/>
    </row>
    <row r="5" spans="2:13" ht="18" customHeight="1" x14ac:dyDescent="0.3">
      <c r="B5" s="139" t="str">
        <f>'Version Control'!$B$5</f>
        <v xml:space="preserve">Latest Template Revision: </v>
      </c>
      <c r="C5" s="141">
        <f>'Version Control'!C5</f>
        <v>45575</v>
      </c>
      <c r="I5" s="165"/>
      <c r="M5" s="136"/>
    </row>
    <row r="6" spans="2:13" ht="18" customHeight="1" x14ac:dyDescent="0.3">
      <c r="B6" s="139" t="str">
        <f>'Version Control'!$B$6</f>
        <v>Tab Name:</v>
      </c>
      <c r="C6" s="142" t="str">
        <f ca="1">MID(CELL("filename",A1), FIND("]", CELL("filename", A1))+ 1, 255)</f>
        <v>IEC 60034-2-1 Method 2-1-1B</v>
      </c>
      <c r="I6" s="165"/>
      <c r="M6" s="136"/>
    </row>
    <row r="7" spans="2:13" ht="36" customHeight="1" x14ac:dyDescent="0.3">
      <c r="B7" s="99" t="str">
        <f>'Version Control'!$B$7</f>
        <v>File Name:</v>
      </c>
      <c r="C7" s="143" t="str">
        <f ca="1">'Version Control'!C7</f>
        <v>Small Electric Motors - v1.0.xlsx</v>
      </c>
      <c r="I7" s="165"/>
      <c r="M7" s="136"/>
    </row>
    <row r="8" spans="2:13" ht="16.5" x14ac:dyDescent="0.3">
      <c r="B8" s="144" t="s">
        <v>42</v>
      </c>
      <c r="C8" s="145" t="str">
        <f>'General Info &amp; Test Results'!C17</f>
        <v>[MM/DD/YYYY]</v>
      </c>
      <c r="I8" s="165"/>
      <c r="M8" s="136"/>
    </row>
    <row r="9" spans="2:13" ht="18" customHeight="1" thickBot="1" x14ac:dyDescent="0.35">
      <c r="B9" s="146" t="str">
        <f>'Version Control'!$B$9</f>
        <v>Date Test Finished:</v>
      </c>
      <c r="C9" s="147" t="str">
        <f>'Version Control'!C9</f>
        <v>[MM/DD/YYYY]</v>
      </c>
      <c r="I9" s="165"/>
      <c r="M9" s="136"/>
    </row>
    <row r="10" spans="2:13" ht="18" customHeight="1" thickBot="1" x14ac:dyDescent="0.35">
      <c r="B10" s="148"/>
      <c r="C10" s="149"/>
      <c r="I10" s="165"/>
      <c r="M10" s="136"/>
    </row>
    <row r="11" spans="2:13" s="21" customFormat="1" thickBot="1" x14ac:dyDescent="0.4">
      <c r="B11" s="713" t="s">
        <v>445</v>
      </c>
      <c r="C11" s="714"/>
      <c r="D11" s="714"/>
      <c r="E11" s="714"/>
      <c r="F11" s="714"/>
      <c r="G11" s="714"/>
      <c r="H11" s="714"/>
      <c r="I11" s="714"/>
      <c r="J11" s="715"/>
      <c r="M11" s="22"/>
    </row>
    <row r="12" spans="2:13" s="21" customFormat="1" ht="135.6" customHeight="1" thickBot="1" x14ac:dyDescent="0.35">
      <c r="B12" s="757" t="s">
        <v>450</v>
      </c>
      <c r="C12" s="758"/>
      <c r="D12" s="758"/>
      <c r="E12" s="758"/>
      <c r="F12" s="758"/>
      <c r="G12" s="758"/>
      <c r="H12" s="758"/>
      <c r="I12" s="758"/>
      <c r="J12" s="759"/>
      <c r="M12" s="22"/>
    </row>
    <row r="13" spans="2:13" s="21" customFormat="1" ht="18.95" customHeight="1" x14ac:dyDescent="0.3">
      <c r="B13" s="415"/>
      <c r="C13" s="416"/>
      <c r="D13" s="416"/>
      <c r="E13" s="416"/>
      <c r="F13" s="416"/>
      <c r="G13" s="416"/>
      <c r="H13" s="416"/>
      <c r="M13" s="22"/>
    </row>
    <row r="14" spans="2:13" s="21" customFormat="1" ht="45.95" customHeight="1" x14ac:dyDescent="0.3">
      <c r="B14" s="417" t="s">
        <v>446</v>
      </c>
      <c r="C14" s="466"/>
      <c r="D14" s="416"/>
      <c r="E14" s="416"/>
      <c r="F14" s="416"/>
      <c r="G14" s="416"/>
      <c r="H14" s="416"/>
      <c r="M14" s="22"/>
    </row>
    <row r="15" spans="2:13" s="21" customFormat="1" ht="21.6" customHeight="1" thickBot="1" x14ac:dyDescent="0.7">
      <c r="B15" s="412"/>
      <c r="C15" s="413"/>
      <c r="D15" s="187"/>
      <c r="E15" s="187"/>
      <c r="F15" s="187"/>
      <c r="G15" s="187"/>
      <c r="H15" s="187"/>
      <c r="I15" s="187"/>
      <c r="J15" s="187"/>
      <c r="M15" s="22"/>
    </row>
    <row r="16" spans="2:13" ht="18" customHeight="1" thickBot="1" x14ac:dyDescent="0.4">
      <c r="B16" s="713" t="s">
        <v>96</v>
      </c>
      <c r="C16" s="713"/>
      <c r="D16" s="713"/>
      <c r="E16" s="713"/>
      <c r="F16" s="713"/>
      <c r="G16" s="713"/>
      <c r="H16" s="713"/>
      <c r="I16" s="713"/>
      <c r="J16" s="723"/>
      <c r="M16" s="136"/>
    </row>
    <row r="17" spans="2:13" ht="38.450000000000003" customHeight="1" thickBot="1" x14ac:dyDescent="0.35">
      <c r="B17" s="716" t="s">
        <v>465</v>
      </c>
      <c r="C17" s="716"/>
      <c r="D17" s="716"/>
      <c r="E17" s="716"/>
      <c r="F17" s="716"/>
      <c r="G17" s="716"/>
      <c r="H17" s="716"/>
      <c r="I17" s="716"/>
      <c r="J17" s="724"/>
      <c r="M17" s="136"/>
    </row>
    <row r="18" spans="2:13" ht="18" customHeight="1" thickBot="1" x14ac:dyDescent="0.35">
      <c r="B18" s="148"/>
      <c r="C18" s="149"/>
      <c r="I18" s="165"/>
      <c r="M18" s="136"/>
    </row>
    <row r="19" spans="2:13" ht="18" customHeight="1" thickBot="1" x14ac:dyDescent="0.4">
      <c r="B19" s="725" t="s">
        <v>98</v>
      </c>
      <c r="C19" s="725"/>
      <c r="D19" s="725"/>
      <c r="E19" s="725"/>
      <c r="F19" s="725"/>
      <c r="G19" s="725"/>
      <c r="H19" s="725"/>
      <c r="I19" s="725"/>
      <c r="J19" s="726"/>
      <c r="M19" s="136"/>
    </row>
    <row r="20" spans="2:13" ht="18" customHeight="1" x14ac:dyDescent="0.3">
      <c r="B20" s="438" t="s">
        <v>69</v>
      </c>
      <c r="C20" s="215" t="s">
        <v>70</v>
      </c>
      <c r="D20" s="168"/>
      <c r="E20" s="168"/>
      <c r="F20" s="168"/>
      <c r="G20" s="168"/>
      <c r="H20" s="168"/>
      <c r="I20" s="167"/>
      <c r="J20" s="175"/>
      <c r="M20" s="136"/>
    </row>
    <row r="21" spans="2:13" ht="18" customHeight="1" x14ac:dyDescent="0.3">
      <c r="B21" s="190" t="s">
        <v>437</v>
      </c>
      <c r="C21" s="442">
        <f>'General Info &amp; Test Results'!C30</f>
        <v>0</v>
      </c>
      <c r="D21" s="168"/>
      <c r="E21" s="168"/>
      <c r="F21" s="168"/>
      <c r="G21" s="168"/>
      <c r="H21" s="168"/>
      <c r="I21" s="168"/>
      <c r="J21" s="175"/>
      <c r="M21" s="136"/>
    </row>
    <row r="22" spans="2:13" ht="18" customHeight="1" thickBot="1" x14ac:dyDescent="0.35">
      <c r="B22" s="269" t="s">
        <v>355</v>
      </c>
      <c r="C22" s="286">
        <f>'General Info &amp; Test Results'!C34</f>
        <v>0</v>
      </c>
      <c r="D22" s="217"/>
      <c r="E22" s="218"/>
      <c r="F22" s="218"/>
      <c r="G22" s="218"/>
      <c r="H22" s="218"/>
      <c r="I22" s="218"/>
      <c r="J22" s="219"/>
      <c r="M22" s="136"/>
    </row>
    <row r="23" spans="2:13" ht="18" customHeight="1" thickBot="1" x14ac:dyDescent="0.35">
      <c r="M23" s="136"/>
    </row>
    <row r="24" spans="2:13" ht="18" customHeight="1" thickBot="1" x14ac:dyDescent="0.4">
      <c r="B24" s="725" t="s">
        <v>353</v>
      </c>
      <c r="C24" s="725"/>
      <c r="D24" s="725"/>
      <c r="E24" s="725"/>
      <c r="F24" s="725"/>
      <c r="G24" s="725"/>
      <c r="H24" s="725"/>
      <c r="I24" s="725"/>
      <c r="J24" s="726"/>
      <c r="M24" s="136"/>
    </row>
    <row r="25" spans="2:13" ht="18" customHeight="1" x14ac:dyDescent="0.3">
      <c r="B25" s="318" t="s">
        <v>69</v>
      </c>
      <c r="C25" s="215" t="s">
        <v>70</v>
      </c>
      <c r="D25" s="168"/>
      <c r="E25" s="168"/>
      <c r="F25" s="168"/>
      <c r="G25" s="168"/>
      <c r="H25" s="168"/>
      <c r="I25" s="167"/>
      <c r="J25" s="175"/>
      <c r="M25" s="136"/>
    </row>
    <row r="26" spans="2:13" ht="20.100000000000001" customHeight="1" x14ac:dyDescent="0.3">
      <c r="B26" s="356" t="s">
        <v>116</v>
      </c>
      <c r="C26" s="251"/>
      <c r="D26" s="168"/>
      <c r="E26" s="168"/>
      <c r="F26" s="168"/>
      <c r="G26" s="168"/>
      <c r="H26" s="168"/>
      <c r="I26" s="168"/>
      <c r="J26" s="175"/>
      <c r="M26" s="136"/>
    </row>
    <row r="27" spans="2:13" ht="20.45" customHeight="1" thickBot="1" x14ac:dyDescent="0.35">
      <c r="B27" s="353" t="s">
        <v>290</v>
      </c>
      <c r="C27" s="287"/>
      <c r="D27" s="218"/>
      <c r="E27" s="218"/>
      <c r="F27" s="218"/>
      <c r="G27" s="218"/>
      <c r="H27" s="218"/>
      <c r="I27" s="218"/>
      <c r="J27" s="219"/>
      <c r="M27" s="136"/>
    </row>
    <row r="28" spans="2:13" ht="18" customHeight="1" thickBot="1" x14ac:dyDescent="0.35">
      <c r="M28" s="136"/>
    </row>
    <row r="29" spans="2:13" ht="18" customHeight="1" thickBot="1" x14ac:dyDescent="0.4">
      <c r="B29" s="725" t="s">
        <v>352</v>
      </c>
      <c r="C29" s="725"/>
      <c r="D29" s="725"/>
      <c r="E29" s="725"/>
      <c r="F29" s="725"/>
      <c r="G29" s="725"/>
      <c r="H29" s="725"/>
      <c r="I29" s="725"/>
      <c r="J29" s="726"/>
      <c r="M29" s="136"/>
    </row>
    <row r="30" spans="2:13" ht="18" customHeight="1" x14ac:dyDescent="0.3">
      <c r="B30" s="318" t="s">
        <v>69</v>
      </c>
      <c r="C30" s="215" t="s">
        <v>70</v>
      </c>
      <c r="D30" s="168"/>
      <c r="E30" s="168"/>
      <c r="F30" s="168"/>
      <c r="G30" s="168"/>
      <c r="H30" s="168"/>
      <c r="I30" s="168"/>
      <c r="J30" s="175"/>
      <c r="M30" s="136"/>
    </row>
    <row r="31" spans="2:13" ht="21.6" customHeight="1" x14ac:dyDescent="0.3">
      <c r="B31" s="176" t="s">
        <v>173</v>
      </c>
      <c r="C31" s="251"/>
      <c r="D31" s="168"/>
      <c r="E31" s="168"/>
      <c r="F31" s="168"/>
      <c r="G31" s="168"/>
      <c r="H31" s="168"/>
      <c r="I31" s="168"/>
      <c r="J31" s="175"/>
      <c r="M31" s="136"/>
    </row>
    <row r="32" spans="2:13" ht="18.95" customHeight="1" x14ac:dyDescent="0.3">
      <c r="B32" s="176" t="s">
        <v>226</v>
      </c>
      <c r="C32" s="251"/>
      <c r="D32" s="168"/>
      <c r="E32" s="168"/>
      <c r="F32" s="168"/>
      <c r="G32" s="168"/>
      <c r="H32" s="168"/>
      <c r="I32" s="168"/>
      <c r="J32" s="175"/>
      <c r="M32" s="136"/>
    </row>
    <row r="33" spans="2:13" ht="21.6" customHeight="1" x14ac:dyDescent="0.3">
      <c r="B33" s="176" t="s">
        <v>255</v>
      </c>
      <c r="C33" s="251"/>
      <c r="D33" s="168"/>
      <c r="E33" s="168"/>
      <c r="F33" s="168"/>
      <c r="G33" s="168"/>
      <c r="H33" s="168"/>
      <c r="I33" s="168"/>
      <c r="J33" s="175"/>
      <c r="M33" s="136"/>
    </row>
    <row r="34" spans="2:13" ht="21.6" customHeight="1" x14ac:dyDescent="0.3">
      <c r="B34" s="176" t="s">
        <v>172</v>
      </c>
      <c r="C34" s="251"/>
      <c r="D34" s="168"/>
      <c r="E34" s="168"/>
      <c r="F34" s="168"/>
      <c r="G34" s="168"/>
      <c r="H34" s="168"/>
      <c r="I34" s="168"/>
      <c r="J34" s="175"/>
      <c r="M34" s="136"/>
    </row>
    <row r="35" spans="2:13" ht="18" customHeight="1" x14ac:dyDescent="0.3">
      <c r="B35" s="176" t="s">
        <v>287</v>
      </c>
      <c r="C35" s="251"/>
      <c r="D35" s="168"/>
      <c r="E35" s="168"/>
      <c r="F35" s="168"/>
      <c r="G35" s="168"/>
      <c r="H35" s="168"/>
      <c r="I35" s="168"/>
      <c r="J35" s="175"/>
      <c r="M35" s="136"/>
    </row>
    <row r="36" spans="2:13" ht="23.45" customHeight="1" x14ac:dyDescent="0.3">
      <c r="B36" s="176" t="s">
        <v>115</v>
      </c>
      <c r="C36" s="251"/>
      <c r="D36" s="168"/>
      <c r="E36" s="168"/>
      <c r="F36" s="168"/>
      <c r="G36" s="168"/>
      <c r="H36" s="168"/>
      <c r="I36" s="168"/>
      <c r="J36" s="175"/>
      <c r="M36" s="136"/>
    </row>
    <row r="37" spans="2:13" ht="23.45" customHeight="1" x14ac:dyDescent="0.3">
      <c r="B37" s="237" t="s">
        <v>318</v>
      </c>
      <c r="C37" s="251"/>
      <c r="D37" s="168"/>
      <c r="E37" s="168"/>
      <c r="F37" s="168"/>
      <c r="G37" s="168"/>
      <c r="H37" s="168"/>
      <c r="I37" s="168"/>
      <c r="J37" s="175"/>
      <c r="M37" s="136"/>
    </row>
    <row r="38" spans="2:13" ht="24.6" customHeight="1" x14ac:dyDescent="0.3">
      <c r="B38" s="237" t="s">
        <v>293</v>
      </c>
      <c r="C38" s="251"/>
      <c r="D38" s="168"/>
      <c r="E38" s="168"/>
      <c r="F38" s="168"/>
      <c r="G38" s="168"/>
      <c r="H38" s="168"/>
      <c r="I38" s="168"/>
      <c r="J38" s="175"/>
      <c r="M38" s="136"/>
    </row>
    <row r="39" spans="2:13" ht="22.5" customHeight="1" x14ac:dyDescent="0.3">
      <c r="B39" s="357" t="s">
        <v>292</v>
      </c>
      <c r="C39" s="251"/>
      <c r="D39" s="168"/>
      <c r="E39" s="168"/>
      <c r="F39" s="168"/>
      <c r="G39" s="168"/>
      <c r="H39" s="168"/>
      <c r="I39" s="168"/>
      <c r="J39" s="175"/>
      <c r="M39" s="136"/>
    </row>
    <row r="40" spans="2:13" ht="25.5" customHeight="1" x14ac:dyDescent="0.3">
      <c r="B40" s="304" t="s">
        <v>343</v>
      </c>
      <c r="C40" s="252">
        <f>1.5*(C33)^2*C39</f>
        <v>0</v>
      </c>
      <c r="D40" s="355"/>
      <c r="E40" s="168"/>
      <c r="F40" s="168"/>
      <c r="G40" s="168"/>
      <c r="H40" s="168"/>
      <c r="I40" s="168"/>
      <c r="J40" s="175"/>
      <c r="M40" s="136"/>
    </row>
    <row r="41" spans="2:13" ht="35.1" customHeight="1" x14ac:dyDescent="0.3">
      <c r="B41" s="354" t="s">
        <v>350</v>
      </c>
      <c r="C41" s="625">
        <f>(235+C38+25-C37)/(235+C38)</f>
        <v>1.1063829787234043</v>
      </c>
      <c r="D41" s="154"/>
      <c r="E41" s="168"/>
      <c r="F41" s="168"/>
      <c r="G41" s="168"/>
      <c r="H41" s="168"/>
      <c r="I41" s="168"/>
      <c r="J41" s="175"/>
      <c r="M41" s="136"/>
    </row>
    <row r="42" spans="2:13" ht="30.95" customHeight="1" x14ac:dyDescent="0.3">
      <c r="B42" s="304" t="s">
        <v>354</v>
      </c>
      <c r="C42" s="252">
        <f>C40*C41</f>
        <v>0</v>
      </c>
      <c r="D42" s="154"/>
      <c r="E42" s="168"/>
      <c r="F42" s="168"/>
      <c r="G42" s="168"/>
      <c r="H42" s="168"/>
      <c r="I42" s="168"/>
      <c r="J42" s="175"/>
      <c r="M42" s="136"/>
    </row>
    <row r="43" spans="2:13" ht="30" customHeight="1" x14ac:dyDescent="0.3">
      <c r="B43" s="304" t="s">
        <v>320</v>
      </c>
      <c r="C43" s="252" t="str">
        <f>IFERROR(1-(C22*C35)/C36, " ")</f>
        <v xml:space="preserve"> </v>
      </c>
      <c r="D43" s="154"/>
      <c r="E43" s="168"/>
      <c r="F43" s="168"/>
      <c r="G43" s="168"/>
      <c r="H43" s="168"/>
      <c r="I43" s="168"/>
      <c r="J43" s="175"/>
      <c r="M43" s="136"/>
    </row>
    <row r="44" spans="2:13" ht="34.5" customHeight="1" x14ac:dyDescent="0.3">
      <c r="B44" s="304" t="s">
        <v>321</v>
      </c>
      <c r="C44" s="252" t="str">
        <f>IFERROR(C43*C41, " ")</f>
        <v xml:space="preserve"> </v>
      </c>
      <c r="D44" s="154"/>
      <c r="E44" s="168"/>
      <c r="F44" s="168"/>
      <c r="G44" s="168"/>
      <c r="H44" s="168"/>
      <c r="I44" s="168"/>
      <c r="J44" s="175"/>
      <c r="M44" s="136"/>
    </row>
    <row r="45" spans="2:13" ht="31.5" customHeight="1" x14ac:dyDescent="0.3">
      <c r="B45" s="304" t="s">
        <v>356</v>
      </c>
      <c r="C45" s="252" t="str">
        <f>IFERROR((C31-C40-C110)*C43, " ")</f>
        <v xml:space="preserve"> </v>
      </c>
      <c r="D45" s="154"/>
      <c r="E45" s="168"/>
      <c r="F45" s="168"/>
      <c r="G45" s="168"/>
      <c r="H45" s="168"/>
      <c r="I45" s="168"/>
      <c r="J45" s="175"/>
      <c r="M45" s="136"/>
    </row>
    <row r="46" spans="2:13" ht="25.5" customHeight="1" x14ac:dyDescent="0.3">
      <c r="B46" s="304" t="s">
        <v>319</v>
      </c>
      <c r="C46" s="252" t="str">
        <f>IFERROR((C31-C42-C110)*C44, " ")</f>
        <v xml:space="preserve"> </v>
      </c>
      <c r="D46" s="154"/>
      <c r="E46" s="168"/>
      <c r="F46" s="168"/>
      <c r="G46" s="168"/>
      <c r="H46" s="168"/>
      <c r="I46" s="168"/>
      <c r="J46" s="175"/>
      <c r="M46" s="136"/>
    </row>
    <row r="47" spans="2:13" ht="29.1" customHeight="1" thickBot="1" x14ac:dyDescent="0.35">
      <c r="B47" s="358" t="s">
        <v>351</v>
      </c>
      <c r="C47" s="359" t="str">
        <f>IFERROR(C31-(C40-C42+C45-C46), " ")</f>
        <v xml:space="preserve"> </v>
      </c>
      <c r="D47" s="360"/>
      <c r="E47" s="218"/>
      <c r="F47" s="218"/>
      <c r="G47" s="218"/>
      <c r="H47" s="218"/>
      <c r="I47" s="218"/>
      <c r="J47" s="219"/>
      <c r="M47" s="136"/>
    </row>
    <row r="48" spans="2:13" ht="18" customHeight="1" thickBot="1" x14ac:dyDescent="0.35">
      <c r="M48" s="136"/>
    </row>
    <row r="49" spans="2:13" ht="18" customHeight="1" thickBot="1" x14ac:dyDescent="0.4">
      <c r="B49" s="725" t="s">
        <v>284</v>
      </c>
      <c r="C49" s="725"/>
      <c r="D49" s="725"/>
      <c r="E49" s="725"/>
      <c r="F49" s="725"/>
      <c r="G49" s="725"/>
      <c r="H49" s="725"/>
      <c r="I49" s="725"/>
      <c r="J49" s="726"/>
      <c r="M49" s="136"/>
    </row>
    <row r="50" spans="2:13" ht="18" customHeight="1" x14ac:dyDescent="0.3">
      <c r="B50" s="179"/>
      <c r="C50" s="168"/>
      <c r="D50" s="168"/>
      <c r="E50" s="168"/>
      <c r="F50" s="168"/>
      <c r="G50" s="168"/>
      <c r="H50" s="168"/>
      <c r="I50" s="168"/>
      <c r="J50" s="175"/>
      <c r="M50" s="136"/>
    </row>
    <row r="51" spans="2:13" ht="18" customHeight="1" x14ac:dyDescent="0.35">
      <c r="B51" s="193" t="s">
        <v>99</v>
      </c>
      <c r="C51" s="264" t="s">
        <v>198</v>
      </c>
      <c r="D51" s="194" t="s">
        <v>200</v>
      </c>
      <c r="E51" s="168"/>
      <c r="F51" s="168"/>
      <c r="G51" s="168"/>
      <c r="H51" s="168"/>
      <c r="I51" s="168"/>
      <c r="J51" s="175"/>
      <c r="M51" s="136"/>
    </row>
    <row r="52" spans="2:13" ht="18" customHeight="1" x14ac:dyDescent="0.35">
      <c r="B52" s="240">
        <v>1</v>
      </c>
      <c r="C52" s="469"/>
      <c r="D52" s="331">
        <v>1.25</v>
      </c>
      <c r="E52" s="168"/>
      <c r="F52" s="168"/>
      <c r="G52" s="168"/>
      <c r="H52" s="168"/>
      <c r="I52" s="168"/>
      <c r="J52" s="175"/>
      <c r="M52" s="136"/>
    </row>
    <row r="53" spans="2:13" ht="18" customHeight="1" x14ac:dyDescent="0.35">
      <c r="B53" s="240">
        <v>2</v>
      </c>
      <c r="C53" s="469"/>
      <c r="D53" s="331">
        <v>1.1499999999999999</v>
      </c>
      <c r="E53" s="168"/>
      <c r="F53" s="168"/>
      <c r="G53" s="168"/>
      <c r="H53" s="168"/>
      <c r="I53" s="168"/>
      <c r="J53" s="175"/>
      <c r="M53" s="136"/>
    </row>
    <row r="54" spans="2:13" ht="18" customHeight="1" x14ac:dyDescent="0.35">
      <c r="B54" s="240">
        <v>3</v>
      </c>
      <c r="C54" s="469"/>
      <c r="D54" s="331">
        <v>1</v>
      </c>
      <c r="E54" s="168"/>
      <c r="F54" s="168"/>
      <c r="G54" s="168"/>
      <c r="H54" s="168"/>
      <c r="I54" s="168"/>
      <c r="J54" s="175"/>
      <c r="M54" s="136"/>
    </row>
    <row r="55" spans="2:13" ht="18" customHeight="1" x14ac:dyDescent="0.35">
      <c r="B55" s="240">
        <v>4</v>
      </c>
      <c r="C55" s="469"/>
      <c r="D55" s="331">
        <v>0.75</v>
      </c>
      <c r="E55" s="168"/>
      <c r="F55" s="168"/>
      <c r="G55" s="168"/>
      <c r="H55" s="168"/>
      <c r="I55" s="168"/>
      <c r="J55" s="175"/>
      <c r="M55" s="136"/>
    </row>
    <row r="56" spans="2:13" ht="18" customHeight="1" x14ac:dyDescent="0.35">
      <c r="B56" s="240">
        <v>5</v>
      </c>
      <c r="C56" s="469"/>
      <c r="D56" s="331">
        <v>0.5</v>
      </c>
      <c r="E56" s="168"/>
      <c r="F56" s="168"/>
      <c r="G56" s="168"/>
      <c r="H56" s="168"/>
      <c r="I56" s="168"/>
      <c r="J56" s="175"/>
      <c r="M56" s="136"/>
    </row>
    <row r="57" spans="2:13" ht="18" customHeight="1" x14ac:dyDescent="0.35">
      <c r="B57" s="240">
        <v>6</v>
      </c>
      <c r="C57" s="469"/>
      <c r="D57" s="331">
        <v>0.25</v>
      </c>
      <c r="E57" s="168"/>
      <c r="F57" s="168"/>
      <c r="G57" s="168"/>
      <c r="H57" s="168"/>
      <c r="I57" s="168"/>
      <c r="J57" s="175"/>
      <c r="M57" s="136"/>
    </row>
    <row r="58" spans="2:13" ht="18" customHeight="1" x14ac:dyDescent="0.3">
      <c r="B58" s="179"/>
      <c r="C58" s="168"/>
      <c r="D58" s="168"/>
      <c r="E58" s="168"/>
      <c r="F58" s="168"/>
      <c r="G58" s="168"/>
      <c r="H58" s="168"/>
      <c r="I58" s="168"/>
      <c r="J58" s="175"/>
      <c r="M58" s="136"/>
    </row>
    <row r="59" spans="2:13" ht="18" customHeight="1" x14ac:dyDescent="0.35">
      <c r="B59" s="179"/>
      <c r="C59" s="760" t="s">
        <v>99</v>
      </c>
      <c r="D59" s="760"/>
      <c r="E59" s="760"/>
      <c r="F59" s="760"/>
      <c r="G59" s="760"/>
      <c r="H59" s="760"/>
      <c r="I59" s="168"/>
      <c r="J59" s="175"/>
      <c r="M59" s="136"/>
    </row>
    <row r="60" spans="2:13" ht="16.5" customHeight="1" x14ac:dyDescent="0.35">
      <c r="B60" s="229" t="s">
        <v>69</v>
      </c>
      <c r="C60" s="266">
        <v>1</v>
      </c>
      <c r="D60" s="266">
        <v>2</v>
      </c>
      <c r="E60" s="267">
        <v>3</v>
      </c>
      <c r="F60" s="266">
        <v>4</v>
      </c>
      <c r="G60" s="266">
        <v>5</v>
      </c>
      <c r="H60" s="266">
        <v>6</v>
      </c>
      <c r="I60" s="168"/>
      <c r="J60" s="175"/>
      <c r="M60" s="136"/>
    </row>
    <row r="61" spans="2:13" ht="18" customHeight="1" x14ac:dyDescent="0.3">
      <c r="B61" s="333" t="s">
        <v>285</v>
      </c>
      <c r="C61" s="653"/>
      <c r="D61" s="569"/>
      <c r="E61" s="570"/>
      <c r="F61" s="569"/>
      <c r="G61" s="569"/>
      <c r="H61" s="569"/>
      <c r="I61" s="168"/>
      <c r="J61" s="175"/>
      <c r="M61" s="136"/>
    </row>
    <row r="62" spans="2:13" ht="18" customHeight="1" x14ac:dyDescent="0.3">
      <c r="B62" s="301" t="s">
        <v>286</v>
      </c>
      <c r="C62" s="654"/>
      <c r="D62" s="475"/>
      <c r="E62" s="481"/>
      <c r="F62" s="569"/>
      <c r="G62" s="569"/>
      <c r="H62" s="569"/>
      <c r="I62" s="168"/>
      <c r="J62" s="175"/>
      <c r="M62" s="136"/>
    </row>
    <row r="63" spans="2:13" ht="18" customHeight="1" x14ac:dyDescent="0.3">
      <c r="B63" s="314" t="s">
        <v>173</v>
      </c>
      <c r="C63" s="654"/>
      <c r="D63" s="475"/>
      <c r="E63" s="481"/>
      <c r="F63" s="569"/>
      <c r="G63" s="569"/>
      <c r="H63" s="569"/>
      <c r="I63" s="168"/>
      <c r="J63" s="175"/>
      <c r="M63" s="136"/>
    </row>
    <row r="64" spans="2:13" ht="18" customHeight="1" x14ac:dyDescent="0.3">
      <c r="B64" s="314" t="s">
        <v>322</v>
      </c>
      <c r="C64" s="654"/>
      <c r="D64" s="475"/>
      <c r="E64" s="481"/>
      <c r="F64" s="569"/>
      <c r="G64" s="569"/>
      <c r="H64" s="569"/>
      <c r="I64" s="168"/>
      <c r="J64" s="175"/>
      <c r="M64" s="136"/>
    </row>
    <row r="65" spans="2:13" ht="18" customHeight="1" x14ac:dyDescent="0.3">
      <c r="B65" s="314" t="s">
        <v>291</v>
      </c>
      <c r="C65" s="654"/>
      <c r="D65" s="475"/>
      <c r="E65" s="481"/>
      <c r="F65" s="569"/>
      <c r="G65" s="569"/>
      <c r="H65" s="569"/>
      <c r="I65" s="168"/>
      <c r="J65" s="175"/>
      <c r="M65" s="136"/>
    </row>
    <row r="66" spans="2:13" ht="18" customHeight="1" x14ac:dyDescent="0.3">
      <c r="B66" s="176" t="s">
        <v>288</v>
      </c>
      <c r="C66" s="654"/>
      <c r="D66" s="475"/>
      <c r="E66" s="481"/>
      <c r="F66" s="569"/>
      <c r="G66" s="569"/>
      <c r="H66" s="569"/>
      <c r="I66" s="168"/>
      <c r="J66" s="175"/>
      <c r="M66" s="136"/>
    </row>
    <row r="67" spans="2:13" ht="18" customHeight="1" x14ac:dyDescent="0.3">
      <c r="B67" s="176" t="s">
        <v>323</v>
      </c>
      <c r="C67" s="654"/>
      <c r="D67" s="475"/>
      <c r="E67" s="481"/>
      <c r="F67" s="569"/>
      <c r="G67" s="569"/>
      <c r="H67" s="569"/>
      <c r="I67" s="168"/>
      <c r="J67" s="175"/>
      <c r="M67" s="136"/>
    </row>
    <row r="68" spans="2:13" s="332" customFormat="1" ht="18" customHeight="1" x14ac:dyDescent="0.3">
      <c r="B68" s="334" t="s">
        <v>343</v>
      </c>
      <c r="C68" s="290">
        <f>1.5*(C62)^2*C39</f>
        <v>0</v>
      </c>
      <c r="D68" s="290">
        <f>1.5*(D62)^2*C39</f>
        <v>0</v>
      </c>
      <c r="E68" s="290">
        <f>1.5*(E62)^2*C39</f>
        <v>0</v>
      </c>
      <c r="F68" s="290">
        <f>1.5*(F62)^2*C39</f>
        <v>0</v>
      </c>
      <c r="G68" s="290">
        <f>1.5*(G62)^2*C39</f>
        <v>0</v>
      </c>
      <c r="H68" s="290">
        <f>1.5*(H62)^2*C39</f>
        <v>0</v>
      </c>
      <c r="I68" s="361"/>
      <c r="J68" s="362"/>
      <c r="M68" s="455"/>
    </row>
    <row r="69" spans="2:13" ht="18" customHeight="1" x14ac:dyDescent="0.3">
      <c r="B69" s="176" t="s">
        <v>320</v>
      </c>
      <c r="C69" s="288" t="str">
        <f>IFERROR(1-(C22*C64)/C65, " ")</f>
        <v xml:space="preserve"> </v>
      </c>
      <c r="D69" s="288" t="str">
        <f t="shared" ref="D69:H69" si="0">IFERROR(1-(D22*D64)/D65, " ")</f>
        <v xml:space="preserve"> </v>
      </c>
      <c r="E69" s="288" t="str">
        <f t="shared" si="0"/>
        <v xml:space="preserve"> </v>
      </c>
      <c r="F69" s="288" t="str">
        <f t="shared" si="0"/>
        <v xml:space="preserve"> </v>
      </c>
      <c r="G69" s="288" t="str">
        <f t="shared" si="0"/>
        <v xml:space="preserve"> </v>
      </c>
      <c r="H69" s="288" t="str">
        <f t="shared" si="0"/>
        <v xml:space="preserve"> </v>
      </c>
      <c r="I69" s="168"/>
      <c r="J69" s="175"/>
      <c r="M69" s="136"/>
    </row>
    <row r="70" spans="2:13" ht="18" customHeight="1" x14ac:dyDescent="0.3">
      <c r="B70" s="314" t="s">
        <v>344</v>
      </c>
      <c r="C70" s="289" t="str">
        <f>IFERROR((C63-C68-C71)*C69, " ")</f>
        <v xml:space="preserve"> </v>
      </c>
      <c r="D70" s="289" t="str">
        <f t="shared" ref="D70:H70" si="1">IFERROR((D63-D68-D71)*D69, " ")</f>
        <v xml:space="preserve"> </v>
      </c>
      <c r="E70" s="289" t="str">
        <f t="shared" si="1"/>
        <v xml:space="preserve"> </v>
      </c>
      <c r="F70" s="289" t="str">
        <f t="shared" si="1"/>
        <v xml:space="preserve"> </v>
      </c>
      <c r="G70" s="289" t="str">
        <f t="shared" si="1"/>
        <v xml:space="preserve"> </v>
      </c>
      <c r="H70" s="289" t="str">
        <f t="shared" si="1"/>
        <v xml:space="preserve"> </v>
      </c>
      <c r="I70" s="168"/>
      <c r="J70" s="175"/>
      <c r="M70" s="136"/>
    </row>
    <row r="71" spans="2:13" ht="18" customHeight="1" x14ac:dyDescent="0.3">
      <c r="B71" s="314" t="s">
        <v>345</v>
      </c>
      <c r="C71" s="289" t="str">
        <f>IFERROR(FORECAST(C61,$C$99:$F$99,$C$94:$F$94), " ")</f>
        <v xml:space="preserve"> </v>
      </c>
      <c r="D71" s="289" t="str">
        <f t="shared" ref="D71:H71" si="2">IFERROR(FORECAST(D61,$C$99:$F$99,$C$94:$F$94), " ")</f>
        <v xml:space="preserve"> </v>
      </c>
      <c r="E71" s="289" t="str">
        <f t="shared" si="2"/>
        <v xml:space="preserve"> </v>
      </c>
      <c r="F71" s="289" t="str">
        <f t="shared" si="2"/>
        <v xml:space="preserve"> </v>
      </c>
      <c r="G71" s="289" t="str">
        <f t="shared" si="2"/>
        <v xml:space="preserve"> </v>
      </c>
      <c r="H71" s="289" t="str">
        <f t="shared" si="2"/>
        <v xml:space="preserve"> </v>
      </c>
      <c r="I71" s="168"/>
      <c r="J71" s="175"/>
      <c r="M71" s="136"/>
    </row>
    <row r="72" spans="2:13" s="21" customFormat="1" ht="16.5" x14ac:dyDescent="0.3">
      <c r="B72" s="180" t="s">
        <v>387</v>
      </c>
      <c r="C72" s="260">
        <f>(ABS(C65-60)/60)*100</f>
        <v>100</v>
      </c>
      <c r="D72" s="260">
        <f t="shared" ref="D72:H72" si="3">(ABS(D65-60)/60)*100</f>
        <v>100</v>
      </c>
      <c r="E72" s="260">
        <f t="shared" si="3"/>
        <v>100</v>
      </c>
      <c r="F72" s="260">
        <f t="shared" si="3"/>
        <v>100</v>
      </c>
      <c r="G72" s="260">
        <f t="shared" si="3"/>
        <v>100</v>
      </c>
      <c r="H72" s="260">
        <f t="shared" si="3"/>
        <v>100</v>
      </c>
      <c r="I72" s="130"/>
      <c r="J72" s="58"/>
      <c r="M72" s="22"/>
    </row>
    <row r="73" spans="2:13" s="188" customFormat="1" ht="16.5" x14ac:dyDescent="0.3">
      <c r="B73" s="403"/>
      <c r="C73" s="326"/>
      <c r="D73" s="329"/>
      <c r="E73" s="329"/>
      <c r="F73" s="329"/>
      <c r="G73" s="329"/>
      <c r="H73" s="329"/>
      <c r="I73" s="162"/>
      <c r="J73" s="233"/>
      <c r="M73" s="22"/>
    </row>
    <row r="74" spans="2:13" s="21" customFormat="1" ht="42.6" customHeight="1" thickBot="1" x14ac:dyDescent="0.35">
      <c r="B74" s="401" t="s">
        <v>409</v>
      </c>
      <c r="C74" s="769" t="str">
        <f>IF(COUNTIF(C72:H72,"&gt;0.1")&gt;=1, "Frequency shall be maintained within 0.1% of rated frequency", "Data is permissible - may proceed with testing")</f>
        <v>Frequency shall be maintained within 0.1% of rated frequency</v>
      </c>
      <c r="D74" s="770"/>
      <c r="E74" s="770"/>
      <c r="F74" s="226"/>
      <c r="G74" s="226"/>
      <c r="H74" s="226"/>
      <c r="I74" s="226"/>
      <c r="J74" s="227"/>
      <c r="M74" s="22"/>
    </row>
    <row r="75" spans="2:13" ht="18" customHeight="1" thickBot="1" x14ac:dyDescent="0.35">
      <c r="M75" s="136"/>
    </row>
    <row r="76" spans="2:13" ht="18" customHeight="1" thickBot="1" x14ac:dyDescent="0.4">
      <c r="B76" s="725" t="s">
        <v>317</v>
      </c>
      <c r="C76" s="725"/>
      <c r="D76" s="725"/>
      <c r="E76" s="725"/>
      <c r="F76" s="725"/>
      <c r="G76" s="725"/>
      <c r="H76" s="725"/>
      <c r="I76" s="725"/>
      <c r="J76" s="726"/>
      <c r="K76" s="166"/>
      <c r="M76" s="136"/>
    </row>
    <row r="77" spans="2:13" s="21" customFormat="1" ht="18" customHeight="1" x14ac:dyDescent="0.3">
      <c r="B77" s="163"/>
      <c r="C77" s="130"/>
      <c r="D77" s="130"/>
      <c r="E77" s="130"/>
      <c r="F77" s="130"/>
      <c r="G77" s="130"/>
      <c r="H77" s="130"/>
      <c r="I77" s="130"/>
      <c r="J77" s="58"/>
      <c r="M77" s="22"/>
    </row>
    <row r="78" spans="2:13" s="21" customFormat="1" ht="18" customHeight="1" x14ac:dyDescent="0.3">
      <c r="B78" s="239" t="s">
        <v>69</v>
      </c>
      <c r="C78" s="325" t="s">
        <v>70</v>
      </c>
      <c r="D78" s="130"/>
      <c r="E78" s="130"/>
      <c r="F78" s="130"/>
      <c r="G78" s="130"/>
      <c r="H78" s="130"/>
      <c r="I78" s="130"/>
      <c r="J78" s="58"/>
      <c r="M78" s="22"/>
    </row>
    <row r="79" spans="2:13" s="21" customFormat="1" ht="18" customHeight="1" x14ac:dyDescent="0.3">
      <c r="B79" s="180" t="s">
        <v>324</v>
      </c>
      <c r="C79" s="467"/>
      <c r="D79" s="130"/>
      <c r="E79" s="130"/>
      <c r="F79" s="130"/>
      <c r="G79" s="130"/>
      <c r="H79" s="130"/>
      <c r="I79" s="130"/>
      <c r="J79" s="58"/>
      <c r="M79" s="22"/>
    </row>
    <row r="80" spans="2:13" s="21" customFormat="1" ht="18" customHeight="1" x14ac:dyDescent="0.3">
      <c r="B80" s="163"/>
      <c r="C80" s="130"/>
      <c r="D80" s="130"/>
      <c r="E80" s="130"/>
      <c r="F80" s="130"/>
      <c r="G80" s="130"/>
      <c r="H80" s="130"/>
      <c r="I80" s="130"/>
      <c r="J80" s="58"/>
      <c r="M80" s="22"/>
    </row>
    <row r="81" spans="2:13" s="21" customFormat="1" ht="18" customHeight="1" x14ac:dyDescent="0.35">
      <c r="B81" s="193" t="s">
        <v>158</v>
      </c>
      <c r="C81" s="264" t="s">
        <v>332</v>
      </c>
      <c r="D81" s="194" t="s">
        <v>333</v>
      </c>
      <c r="E81" s="130"/>
      <c r="F81" s="130"/>
      <c r="G81" s="130"/>
      <c r="H81" s="130"/>
      <c r="I81" s="130"/>
      <c r="J81" s="58"/>
      <c r="M81" s="22"/>
    </row>
    <row r="82" spans="2:13" ht="18" customHeight="1" x14ac:dyDescent="0.35">
      <c r="B82" s="240">
        <v>1</v>
      </c>
      <c r="C82" s="469"/>
      <c r="D82" s="331">
        <v>1.1000000000000001</v>
      </c>
      <c r="E82" s="168"/>
      <c r="F82" s="168"/>
      <c r="G82" s="168"/>
      <c r="H82" s="168"/>
      <c r="I82" s="168"/>
      <c r="J82" s="175"/>
      <c r="M82" s="136"/>
    </row>
    <row r="83" spans="2:13" ht="18" customHeight="1" x14ac:dyDescent="0.35">
      <c r="B83" s="240">
        <v>2</v>
      </c>
      <c r="C83" s="469"/>
      <c r="D83" s="331">
        <v>1</v>
      </c>
      <c r="E83" s="168"/>
      <c r="F83" s="168"/>
      <c r="G83" s="168"/>
      <c r="H83" s="168"/>
      <c r="I83" s="168"/>
      <c r="J83" s="175"/>
      <c r="M83" s="136"/>
    </row>
    <row r="84" spans="2:13" ht="18" customHeight="1" x14ac:dyDescent="0.35">
      <c r="B84" s="240">
        <v>3</v>
      </c>
      <c r="C84" s="469"/>
      <c r="D84" s="331">
        <v>0.95</v>
      </c>
      <c r="E84" s="168"/>
      <c r="F84" s="168"/>
      <c r="G84" s="168"/>
      <c r="H84" s="168"/>
      <c r="I84" s="168"/>
      <c r="J84" s="175"/>
      <c r="M84" s="136"/>
    </row>
    <row r="85" spans="2:13" ht="18" customHeight="1" x14ac:dyDescent="0.35">
      <c r="B85" s="240">
        <v>4</v>
      </c>
      <c r="C85" s="469"/>
      <c r="D85" s="331">
        <v>0.9</v>
      </c>
      <c r="E85" s="168"/>
      <c r="F85" s="168"/>
      <c r="G85" s="168"/>
      <c r="H85" s="168"/>
      <c r="I85" s="168"/>
      <c r="J85" s="175"/>
      <c r="M85" s="136"/>
    </row>
    <row r="86" spans="2:13" ht="18" customHeight="1" x14ac:dyDescent="0.35">
      <c r="B86" s="240">
        <v>5</v>
      </c>
      <c r="C86" s="469"/>
      <c r="D86" s="331">
        <v>0.6</v>
      </c>
      <c r="E86" s="168"/>
      <c r="F86" s="337" t="s">
        <v>334</v>
      </c>
      <c r="G86" s="154"/>
      <c r="H86" s="168"/>
      <c r="I86" s="168"/>
      <c r="J86" s="175"/>
      <c r="M86" s="136"/>
    </row>
    <row r="87" spans="2:13" ht="18" customHeight="1" x14ac:dyDescent="0.35">
      <c r="B87" s="240">
        <v>6</v>
      </c>
      <c r="C87" s="469"/>
      <c r="D87" s="331">
        <v>0.5</v>
      </c>
      <c r="E87" s="168"/>
      <c r="F87" s="336" t="s">
        <v>173</v>
      </c>
      <c r="G87" s="172" t="s">
        <v>323</v>
      </c>
      <c r="H87" s="168"/>
      <c r="I87" s="168"/>
      <c r="J87" s="175"/>
      <c r="M87" s="136"/>
    </row>
    <row r="88" spans="2:13" ht="18" customHeight="1" x14ac:dyDescent="0.35">
      <c r="B88" s="240">
        <v>7</v>
      </c>
      <c r="C88" s="469"/>
      <c r="D88" s="331">
        <v>0.4</v>
      </c>
      <c r="E88" s="168"/>
      <c r="F88" s="300">
        <f>C93</f>
        <v>0</v>
      </c>
      <c r="G88" s="299">
        <f>C79</f>
        <v>0</v>
      </c>
      <c r="H88" s="168"/>
      <c r="I88" s="168"/>
      <c r="J88" s="175"/>
      <c r="M88" s="136"/>
    </row>
    <row r="89" spans="2:13" ht="18" customHeight="1" x14ac:dyDescent="0.35">
      <c r="B89" s="240">
        <v>8</v>
      </c>
      <c r="C89" s="469"/>
      <c r="D89" s="331">
        <v>0.3</v>
      </c>
      <c r="E89" s="168"/>
      <c r="F89" s="300">
        <f>J93</f>
        <v>0</v>
      </c>
      <c r="G89" s="299">
        <f>C102</f>
        <v>0</v>
      </c>
      <c r="H89" s="168"/>
      <c r="I89" s="168"/>
      <c r="J89" s="175"/>
      <c r="M89" s="136"/>
    </row>
    <row r="90" spans="2:13" s="21" customFormat="1" ht="18" customHeight="1" x14ac:dyDescent="0.3">
      <c r="B90" s="155"/>
      <c r="C90" s="154"/>
      <c r="D90" s="154"/>
      <c r="E90" s="130"/>
      <c r="F90" s="130"/>
      <c r="G90" s="130"/>
      <c r="H90" s="130"/>
      <c r="I90" s="130"/>
      <c r="J90" s="58"/>
      <c r="M90" s="22"/>
    </row>
    <row r="91" spans="2:13" s="21" customFormat="1" ht="18" customHeight="1" x14ac:dyDescent="0.35">
      <c r="B91" s="155"/>
      <c r="C91" s="748" t="s">
        <v>158</v>
      </c>
      <c r="D91" s="765"/>
      <c r="E91" s="765"/>
      <c r="F91" s="765"/>
      <c r="G91" s="765"/>
      <c r="H91" s="765"/>
      <c r="I91" s="765"/>
      <c r="J91" s="766"/>
      <c r="M91" s="22"/>
    </row>
    <row r="92" spans="2:13" s="21" customFormat="1" ht="18" customHeight="1" x14ac:dyDescent="0.35">
      <c r="B92" s="195" t="s">
        <v>69</v>
      </c>
      <c r="C92" s="84">
        <v>1</v>
      </c>
      <c r="D92" s="84">
        <v>2</v>
      </c>
      <c r="E92" s="181">
        <v>3</v>
      </c>
      <c r="F92" s="181">
        <v>4</v>
      </c>
      <c r="G92" s="181">
        <v>5</v>
      </c>
      <c r="H92" s="181">
        <v>6</v>
      </c>
      <c r="I92" s="181">
        <v>7</v>
      </c>
      <c r="J92" s="153">
        <v>8</v>
      </c>
      <c r="M92" s="22"/>
    </row>
    <row r="93" spans="2:13" ht="18" customHeight="1" x14ac:dyDescent="0.3">
      <c r="B93" s="333" t="s">
        <v>330</v>
      </c>
      <c r="C93" s="653"/>
      <c r="D93" s="653"/>
      <c r="E93" s="655"/>
      <c r="F93" s="653"/>
      <c r="G93" s="653"/>
      <c r="H93" s="653"/>
      <c r="I93" s="653"/>
      <c r="J93" s="656"/>
      <c r="M93" s="136"/>
    </row>
    <row r="94" spans="2:13" ht="18" customHeight="1" x14ac:dyDescent="0.3">
      <c r="B94" s="333" t="s">
        <v>335</v>
      </c>
      <c r="C94" s="653"/>
      <c r="D94" s="653"/>
      <c r="E94" s="655"/>
      <c r="F94" s="653"/>
      <c r="G94" s="653"/>
      <c r="H94" s="653"/>
      <c r="I94" s="653"/>
      <c r="J94" s="656"/>
      <c r="M94" s="136"/>
    </row>
    <row r="95" spans="2:13" s="332" customFormat="1" ht="18" customHeight="1" x14ac:dyDescent="0.3">
      <c r="B95" s="338" t="s">
        <v>336</v>
      </c>
      <c r="C95" s="290">
        <f t="shared" ref="C95:J95" si="4">(C94)^2</f>
        <v>0</v>
      </c>
      <c r="D95" s="290">
        <f t="shared" si="4"/>
        <v>0</v>
      </c>
      <c r="E95" s="290">
        <f t="shared" si="4"/>
        <v>0</v>
      </c>
      <c r="F95" s="290">
        <f t="shared" si="4"/>
        <v>0</v>
      </c>
      <c r="G95" s="290">
        <f t="shared" si="4"/>
        <v>0</v>
      </c>
      <c r="H95" s="290">
        <f t="shared" si="4"/>
        <v>0</v>
      </c>
      <c r="I95" s="290">
        <f t="shared" si="4"/>
        <v>0</v>
      </c>
      <c r="J95" s="344">
        <f t="shared" si="4"/>
        <v>0</v>
      </c>
      <c r="M95" s="455"/>
    </row>
    <row r="96" spans="2:13" ht="18" customHeight="1" x14ac:dyDescent="0.3">
      <c r="B96" s="335" t="s">
        <v>331</v>
      </c>
      <c r="C96" s="288" t="str">
        <f>IFERROR(_xlfn.FORECAST.LINEAR(C93,$G$88:$G$89,$F$88:$F$89), " ")</f>
        <v xml:space="preserve"> </v>
      </c>
      <c r="D96" s="288" t="str">
        <f t="shared" ref="D96:J96" si="5">IFERROR(_xlfn.FORECAST.LINEAR(D93,$G$88:$G$89,$F$88:$F$89), " ")</f>
        <v xml:space="preserve"> </v>
      </c>
      <c r="E96" s="288" t="str">
        <f t="shared" si="5"/>
        <v xml:space="preserve"> </v>
      </c>
      <c r="F96" s="288" t="str">
        <f t="shared" si="5"/>
        <v xml:space="preserve"> </v>
      </c>
      <c r="G96" s="288" t="str">
        <f t="shared" si="5"/>
        <v xml:space="preserve"> </v>
      </c>
      <c r="H96" s="288" t="str">
        <f t="shared" si="5"/>
        <v xml:space="preserve"> </v>
      </c>
      <c r="I96" s="288" t="str">
        <f t="shared" si="5"/>
        <v xml:space="preserve"> </v>
      </c>
      <c r="J96" s="288" t="str">
        <f t="shared" si="5"/>
        <v xml:space="preserve"> </v>
      </c>
      <c r="M96" s="136"/>
    </row>
    <row r="97" spans="1:13" ht="18" customHeight="1" x14ac:dyDescent="0.3">
      <c r="B97" s="177" t="s">
        <v>326</v>
      </c>
      <c r="C97" s="288" t="str">
        <f>IFERROR(1.5*(C92)^2*C96, " ")</f>
        <v xml:space="preserve"> </v>
      </c>
      <c r="D97" s="288" t="str">
        <f t="shared" ref="D97:J97" si="6">IFERROR(1.5*(D92)^2*D96, " ")</f>
        <v xml:space="preserve"> </v>
      </c>
      <c r="E97" s="288" t="str">
        <f t="shared" si="6"/>
        <v xml:space="preserve"> </v>
      </c>
      <c r="F97" s="288" t="str">
        <f t="shared" si="6"/>
        <v xml:space="preserve"> </v>
      </c>
      <c r="G97" s="288" t="str">
        <f t="shared" si="6"/>
        <v xml:space="preserve"> </v>
      </c>
      <c r="H97" s="288" t="str">
        <f t="shared" si="6"/>
        <v xml:space="preserve"> </v>
      </c>
      <c r="I97" s="288" t="str">
        <f t="shared" si="6"/>
        <v xml:space="preserve"> </v>
      </c>
      <c r="J97" s="288" t="str">
        <f t="shared" si="6"/>
        <v xml:space="preserve"> </v>
      </c>
      <c r="M97" s="136"/>
    </row>
    <row r="98" spans="1:13" ht="18" customHeight="1" x14ac:dyDescent="0.3">
      <c r="B98" s="177" t="s">
        <v>327</v>
      </c>
      <c r="C98" s="339" t="str">
        <f>IFERROR(C93-C97, " ")</f>
        <v xml:space="preserve"> </v>
      </c>
      <c r="D98" s="339" t="str">
        <f t="shared" ref="D98:J98" si="7">IFERROR(D93-D97, " ")</f>
        <v xml:space="preserve"> </v>
      </c>
      <c r="E98" s="339" t="str">
        <f t="shared" si="7"/>
        <v xml:space="preserve"> </v>
      </c>
      <c r="F98" s="339" t="str">
        <f t="shared" si="7"/>
        <v xml:space="preserve"> </v>
      </c>
      <c r="G98" s="339" t="str">
        <f t="shared" si="7"/>
        <v xml:space="preserve"> </v>
      </c>
      <c r="H98" s="339" t="str">
        <f t="shared" si="7"/>
        <v xml:space="preserve"> </v>
      </c>
      <c r="I98" s="339" t="str">
        <f t="shared" si="7"/>
        <v xml:space="preserve"> </v>
      </c>
      <c r="J98" s="339" t="str">
        <f t="shared" si="7"/>
        <v xml:space="preserve"> </v>
      </c>
      <c r="M98" s="136"/>
    </row>
    <row r="99" spans="1:13" ht="19.5" customHeight="1" x14ac:dyDescent="0.3">
      <c r="B99" s="341" t="s">
        <v>339</v>
      </c>
      <c r="C99" s="288" t="str">
        <f>IFERROR(C98-$C$103, " ")</f>
        <v xml:space="preserve"> </v>
      </c>
      <c r="D99" s="288" t="str">
        <f t="shared" ref="D99:F99" si="8">IFERROR(D98-$C$103, " ")</f>
        <v xml:space="preserve"> </v>
      </c>
      <c r="E99" s="288" t="str">
        <f t="shared" si="8"/>
        <v xml:space="preserve"> </v>
      </c>
      <c r="F99" s="288" t="str">
        <f t="shared" si="8"/>
        <v xml:space="preserve"> </v>
      </c>
      <c r="G99" s="347"/>
      <c r="H99" s="347"/>
      <c r="I99" s="347"/>
      <c r="J99" s="348"/>
      <c r="M99" s="136"/>
    </row>
    <row r="100" spans="1:13" ht="18" customHeight="1" x14ac:dyDescent="0.3">
      <c r="A100" s="21"/>
      <c r="B100" s="155"/>
      <c r="C100" s="154"/>
      <c r="D100" s="154"/>
      <c r="E100" s="130"/>
      <c r="F100" s="130"/>
      <c r="G100" s="130"/>
      <c r="H100" s="130"/>
      <c r="I100" s="130"/>
      <c r="J100" s="58"/>
      <c r="K100" s="21"/>
      <c r="M100" s="136"/>
    </row>
    <row r="101" spans="1:13" ht="18" customHeight="1" x14ac:dyDescent="0.3">
      <c r="A101" s="21"/>
      <c r="B101" s="239" t="s">
        <v>69</v>
      </c>
      <c r="C101" s="325" t="s">
        <v>70</v>
      </c>
      <c r="D101" s="154"/>
      <c r="E101" s="130"/>
      <c r="F101" s="130"/>
      <c r="G101" s="130"/>
      <c r="H101" s="130"/>
      <c r="I101" s="130"/>
      <c r="J101" s="58"/>
      <c r="K101" s="21"/>
      <c r="M101" s="136"/>
    </row>
    <row r="102" spans="1:13" ht="18" customHeight="1" x14ac:dyDescent="0.3">
      <c r="A102" s="21"/>
      <c r="B102" s="335" t="s">
        <v>325</v>
      </c>
      <c r="C102" s="657"/>
      <c r="D102" s="154"/>
      <c r="E102" s="130"/>
      <c r="F102" s="130"/>
      <c r="G102" s="130"/>
      <c r="H102" s="130"/>
      <c r="I102" s="130"/>
      <c r="J102" s="58"/>
      <c r="K102" s="21"/>
      <c r="M102" s="136"/>
    </row>
    <row r="103" spans="1:13" ht="18" customHeight="1" thickBot="1" x14ac:dyDescent="0.35">
      <c r="B103" s="230" t="s">
        <v>328</v>
      </c>
      <c r="C103" s="345" t="str">
        <f xml:space="preserve"> IFERROR(INTERCEPT(G95:J95,G98:J98), " ")</f>
        <v xml:space="preserve"> </v>
      </c>
      <c r="D103" s="346"/>
      <c r="E103" s="346"/>
      <c r="F103" s="346"/>
      <c r="G103" s="218"/>
      <c r="H103" s="218"/>
      <c r="I103" s="218"/>
      <c r="J103" s="219"/>
      <c r="M103" s="136"/>
    </row>
    <row r="104" spans="1:13" ht="18" customHeight="1" thickBot="1" x14ac:dyDescent="0.35">
      <c r="A104" s="21"/>
      <c r="B104" s="411"/>
      <c r="C104" s="154"/>
      <c r="D104" s="154"/>
      <c r="E104" s="130"/>
      <c r="F104" s="130"/>
      <c r="G104" s="130"/>
      <c r="H104" s="130"/>
      <c r="I104" s="130"/>
      <c r="J104" s="130"/>
      <c r="K104" s="130"/>
      <c r="M104" s="136"/>
    </row>
    <row r="105" spans="1:13" ht="18" customHeight="1" thickBot="1" x14ac:dyDescent="0.4">
      <c r="B105" s="725" t="s">
        <v>337</v>
      </c>
      <c r="C105" s="727"/>
      <c r="D105" s="727"/>
      <c r="E105" s="727"/>
      <c r="F105" s="727"/>
      <c r="G105" s="727"/>
      <c r="H105" s="727"/>
      <c r="I105" s="727"/>
      <c r="J105" s="728"/>
      <c r="M105" s="136"/>
    </row>
    <row r="106" spans="1:13" s="165" customFormat="1" ht="18" customHeight="1" x14ac:dyDescent="0.35">
      <c r="B106" s="318" t="s">
        <v>69</v>
      </c>
      <c r="C106" s="215" t="s">
        <v>70</v>
      </c>
      <c r="D106" s="166"/>
      <c r="E106" s="166"/>
      <c r="F106" s="166"/>
      <c r="G106" s="166"/>
      <c r="H106" s="167"/>
      <c r="I106" s="167"/>
      <c r="J106" s="220"/>
      <c r="M106" s="136"/>
    </row>
    <row r="107" spans="1:13" ht="18" customHeight="1" x14ac:dyDescent="0.35">
      <c r="B107" s="349" t="s">
        <v>108</v>
      </c>
      <c r="C107" s="342" t="str">
        <f>IFERROR((C31)/((SQRT(3)*C34*C33)), " ")</f>
        <v xml:space="preserve"> </v>
      </c>
      <c r="D107" s="340"/>
      <c r="E107" s="340"/>
      <c r="F107" s="340"/>
      <c r="G107" s="168"/>
      <c r="H107" s="168"/>
      <c r="I107" s="168"/>
      <c r="J107" s="175"/>
      <c r="M107" s="136"/>
    </row>
    <row r="108" spans="1:13" ht="18" customHeight="1" x14ac:dyDescent="0.35">
      <c r="B108" s="349" t="s">
        <v>109</v>
      </c>
      <c r="C108" s="342" t="str">
        <f>IFERROR(SQRT(1-(C107)^2), " ")</f>
        <v xml:space="preserve"> </v>
      </c>
      <c r="D108" s="340"/>
      <c r="E108" s="340"/>
      <c r="F108" s="340"/>
      <c r="G108" s="168"/>
      <c r="H108" s="168"/>
      <c r="I108" s="168"/>
      <c r="J108" s="175"/>
      <c r="M108" s="136"/>
    </row>
    <row r="109" spans="1:13" ht="18" customHeight="1" x14ac:dyDescent="0.3">
      <c r="B109" s="232" t="s">
        <v>329</v>
      </c>
      <c r="C109" s="343" t="str">
        <f>IFERROR(SQRT((C34-(SQRT(3/2)*C33*C39*C107))^2+(SQRT(3/2)*C33*C39*C108)^2), " ")</f>
        <v xml:space="preserve"> </v>
      </c>
      <c r="D109" s="340"/>
      <c r="E109" s="340"/>
      <c r="F109" s="340"/>
      <c r="G109" s="168"/>
      <c r="H109" s="168"/>
      <c r="I109" s="168"/>
      <c r="J109" s="175"/>
      <c r="M109" s="136"/>
    </row>
    <row r="110" spans="1:13" ht="18" customHeight="1" thickBot="1" x14ac:dyDescent="0.35">
      <c r="B110" s="230" t="s">
        <v>338</v>
      </c>
      <c r="C110" s="259" t="str">
        <f>IFERROR(FORECAST(C109,C99:F99,C94:F94), " ")</f>
        <v xml:space="preserve"> </v>
      </c>
      <c r="D110" s="218"/>
      <c r="E110" s="218"/>
      <c r="F110" s="218"/>
      <c r="G110" s="218"/>
      <c r="H110" s="218"/>
      <c r="I110" s="218"/>
      <c r="J110" s="219"/>
      <c r="M110" s="136"/>
    </row>
    <row r="111" spans="1:13" ht="18" customHeight="1" thickBot="1" x14ac:dyDescent="0.35">
      <c r="M111" s="136"/>
    </row>
    <row r="112" spans="1:13" ht="18" customHeight="1" thickBot="1" x14ac:dyDescent="0.4">
      <c r="B112" s="725" t="s">
        <v>340</v>
      </c>
      <c r="C112" s="727"/>
      <c r="D112" s="727"/>
      <c r="E112" s="727"/>
      <c r="F112" s="727"/>
      <c r="G112" s="727"/>
      <c r="H112" s="727"/>
      <c r="I112" s="727"/>
      <c r="J112" s="728"/>
      <c r="M112" s="136"/>
    </row>
    <row r="113" spans="2:13" ht="18" customHeight="1" x14ac:dyDescent="0.35">
      <c r="B113" s="363"/>
      <c r="C113" s="350"/>
      <c r="D113" s="350"/>
      <c r="E113" s="364"/>
      <c r="F113" s="350"/>
      <c r="G113" s="350"/>
      <c r="H113" s="350"/>
      <c r="I113" s="351"/>
      <c r="J113" s="175"/>
      <c r="M113" s="136"/>
    </row>
    <row r="114" spans="2:13" s="21" customFormat="1" ht="18" customHeight="1" x14ac:dyDescent="0.35">
      <c r="B114" s="155"/>
      <c r="C114" s="748" t="s">
        <v>99</v>
      </c>
      <c r="D114" s="765"/>
      <c r="E114" s="765"/>
      <c r="F114" s="765"/>
      <c r="G114" s="765"/>
      <c r="H114" s="765"/>
      <c r="I114" s="767"/>
      <c r="J114" s="768"/>
      <c r="K114" s="130"/>
      <c r="M114" s="22"/>
    </row>
    <row r="115" spans="2:13" s="21" customFormat="1" ht="18" customHeight="1" x14ac:dyDescent="0.35">
      <c r="B115" s="195" t="s">
        <v>69</v>
      </c>
      <c r="C115" s="84">
        <v>1</v>
      </c>
      <c r="D115" s="84">
        <v>2</v>
      </c>
      <c r="E115" s="181">
        <v>3</v>
      </c>
      <c r="F115" s="181">
        <v>4</v>
      </c>
      <c r="G115" s="181">
        <v>5</v>
      </c>
      <c r="H115" s="181">
        <v>6</v>
      </c>
      <c r="I115" s="130"/>
      <c r="J115" s="58"/>
      <c r="M115" s="22"/>
    </row>
    <row r="116" spans="2:13" s="332" customFormat="1" ht="18" customHeight="1" x14ac:dyDescent="0.3">
      <c r="B116" s="338" t="s">
        <v>171</v>
      </c>
      <c r="C116" s="352">
        <f t="shared" ref="C116:H116" si="9">2*PI()*C66*C64</f>
        <v>0</v>
      </c>
      <c r="D116" s="352">
        <f t="shared" si="9"/>
        <v>0</v>
      </c>
      <c r="E116" s="352">
        <f t="shared" si="9"/>
        <v>0</v>
      </c>
      <c r="F116" s="352">
        <f t="shared" si="9"/>
        <v>0</v>
      </c>
      <c r="G116" s="352">
        <f t="shared" si="9"/>
        <v>0</v>
      </c>
      <c r="H116" s="352">
        <f t="shared" si="9"/>
        <v>0</v>
      </c>
      <c r="I116" s="361"/>
      <c r="J116" s="362"/>
      <c r="M116" s="455"/>
    </row>
    <row r="117" spans="2:13" ht="18" customHeight="1" x14ac:dyDescent="0.3">
      <c r="B117" s="177" t="s">
        <v>341</v>
      </c>
      <c r="C117" s="288" t="str">
        <f>IFERROR($C$103*(1-C69)^2.5, " ")</f>
        <v xml:space="preserve"> </v>
      </c>
      <c r="D117" s="288" t="str">
        <f t="shared" ref="D117:H117" si="10">IFERROR($C$103*(1-D69)^2.5, " ")</f>
        <v xml:space="preserve"> </v>
      </c>
      <c r="E117" s="288" t="str">
        <f t="shared" si="10"/>
        <v xml:space="preserve"> </v>
      </c>
      <c r="F117" s="288" t="str">
        <f t="shared" si="10"/>
        <v xml:space="preserve"> </v>
      </c>
      <c r="G117" s="288" t="str">
        <f t="shared" si="10"/>
        <v xml:space="preserve"> </v>
      </c>
      <c r="H117" s="288" t="str">
        <f t="shared" si="10"/>
        <v xml:space="preserve"> </v>
      </c>
      <c r="I117" s="168"/>
      <c r="J117" s="175"/>
      <c r="M117" s="136"/>
    </row>
    <row r="118" spans="2:13" ht="18" customHeight="1" x14ac:dyDescent="0.3">
      <c r="B118" s="177" t="s">
        <v>342</v>
      </c>
      <c r="C118" s="288" t="str">
        <f>IFERROR(C63-C116-C68-C70-C71-C117, " ")</f>
        <v xml:space="preserve"> </v>
      </c>
      <c r="D118" s="288" t="str">
        <f t="shared" ref="D118:H118" si="11">IFERROR(D63-D116-D68-D70-D71-D117, " ")</f>
        <v xml:space="preserve"> </v>
      </c>
      <c r="E118" s="288" t="str">
        <f t="shared" si="11"/>
        <v xml:space="preserve"> </v>
      </c>
      <c r="F118" s="288" t="str">
        <f t="shared" si="11"/>
        <v xml:space="preserve"> </v>
      </c>
      <c r="G118" s="288" t="str">
        <f t="shared" si="11"/>
        <v xml:space="preserve"> </v>
      </c>
      <c r="H118" s="288" t="str">
        <f t="shared" si="11"/>
        <v xml:space="preserve"> </v>
      </c>
      <c r="I118" s="168"/>
      <c r="J118" s="175"/>
      <c r="M118" s="136"/>
    </row>
    <row r="119" spans="2:13" ht="18" customHeight="1" x14ac:dyDescent="0.3">
      <c r="B119" s="179"/>
      <c r="C119" s="168"/>
      <c r="D119" s="168"/>
      <c r="E119" s="168"/>
      <c r="F119" s="168"/>
      <c r="G119" s="168"/>
      <c r="H119" s="168"/>
      <c r="I119" s="168"/>
      <c r="J119" s="175"/>
      <c r="M119" s="136"/>
    </row>
    <row r="120" spans="2:13" ht="18" customHeight="1" thickBot="1" x14ac:dyDescent="0.4">
      <c r="B120" s="365" t="s">
        <v>111</v>
      </c>
      <c r="C120" s="218"/>
      <c r="D120" s="218"/>
      <c r="E120" s="218"/>
      <c r="F120" s="218"/>
      <c r="G120" s="218"/>
      <c r="H120" s="218"/>
      <c r="I120" s="218"/>
      <c r="J120" s="219"/>
      <c r="M120" s="136"/>
    </row>
    <row r="121" spans="2:13" s="21" customFormat="1" ht="18" customHeight="1" x14ac:dyDescent="0.35">
      <c r="B121" s="155"/>
      <c r="C121" s="761" t="s">
        <v>99</v>
      </c>
      <c r="D121" s="762"/>
      <c r="E121" s="762"/>
      <c r="F121" s="762"/>
      <c r="G121" s="762"/>
      <c r="H121" s="762"/>
      <c r="I121" s="763"/>
      <c r="J121" s="764"/>
      <c r="K121" s="130"/>
      <c r="M121" s="22"/>
    </row>
    <row r="122" spans="2:13" s="21" customFormat="1" ht="18" customHeight="1" x14ac:dyDescent="0.35">
      <c r="B122" s="195" t="s">
        <v>69</v>
      </c>
      <c r="C122" s="84">
        <v>1</v>
      </c>
      <c r="D122" s="84">
        <v>2</v>
      </c>
      <c r="E122" s="181">
        <v>3</v>
      </c>
      <c r="F122" s="181">
        <v>4</v>
      </c>
      <c r="G122" s="181">
        <v>5</v>
      </c>
      <c r="H122" s="181">
        <v>6</v>
      </c>
      <c r="I122" s="130"/>
      <c r="J122" s="58"/>
      <c r="M122" s="22"/>
    </row>
    <row r="123" spans="2:13" s="332" customFormat="1" ht="18" customHeight="1" x14ac:dyDescent="0.3">
      <c r="B123" s="338" t="s">
        <v>346</v>
      </c>
      <c r="C123" s="290">
        <f t="shared" ref="C123:H123" si="12">C66^2</f>
        <v>0</v>
      </c>
      <c r="D123" s="290">
        <f t="shared" si="12"/>
        <v>0</v>
      </c>
      <c r="E123" s="290">
        <f t="shared" si="12"/>
        <v>0</v>
      </c>
      <c r="F123" s="352">
        <f t="shared" si="12"/>
        <v>0</v>
      </c>
      <c r="G123" s="352">
        <f t="shared" si="12"/>
        <v>0</v>
      </c>
      <c r="H123" s="352">
        <f t="shared" si="12"/>
        <v>0</v>
      </c>
      <c r="I123" s="361"/>
      <c r="J123" s="362"/>
      <c r="M123" s="455"/>
    </row>
    <row r="124" spans="2:13" ht="18" customHeight="1" x14ac:dyDescent="0.3">
      <c r="B124" s="232" t="s">
        <v>347</v>
      </c>
      <c r="C124" s="288" t="str">
        <f>IFERROR($C$127*C123, " ")</f>
        <v xml:space="preserve"> </v>
      </c>
      <c r="D124" s="288" t="str">
        <f t="shared" ref="D124:H124" si="13">IFERROR($C$127*D123, " ")</f>
        <v xml:space="preserve"> </v>
      </c>
      <c r="E124" s="288" t="str">
        <f t="shared" si="13"/>
        <v xml:space="preserve"> </v>
      </c>
      <c r="F124" s="288" t="str">
        <f t="shared" si="13"/>
        <v xml:space="preserve"> </v>
      </c>
      <c r="G124" s="288" t="str">
        <f t="shared" si="13"/>
        <v xml:space="preserve"> </v>
      </c>
      <c r="H124" s="288" t="str">
        <f t="shared" si="13"/>
        <v xml:space="preserve"> </v>
      </c>
      <c r="I124" s="168"/>
      <c r="J124" s="175"/>
      <c r="M124" s="136"/>
    </row>
    <row r="125" spans="2:13" ht="18" customHeight="1" x14ac:dyDescent="0.3">
      <c r="B125" s="179"/>
      <c r="C125" s="168"/>
      <c r="D125" s="168"/>
      <c r="E125" s="168"/>
      <c r="F125" s="168"/>
      <c r="G125" s="168"/>
      <c r="H125" s="168"/>
      <c r="I125" s="168"/>
      <c r="J125" s="175"/>
      <c r="M125" s="136"/>
    </row>
    <row r="126" spans="2:13" s="165" customFormat="1" ht="18" customHeight="1" x14ac:dyDescent="0.35">
      <c r="B126" s="239" t="s">
        <v>69</v>
      </c>
      <c r="C126" s="325" t="s">
        <v>70</v>
      </c>
      <c r="D126" s="166"/>
      <c r="E126" s="166"/>
      <c r="F126" s="166"/>
      <c r="G126" s="166"/>
      <c r="H126" s="167"/>
      <c r="I126" s="167"/>
      <c r="J126" s="220"/>
      <c r="M126" s="136"/>
    </row>
    <row r="127" spans="2:13" ht="18" customHeight="1" x14ac:dyDescent="0.3">
      <c r="B127" s="232" t="s">
        <v>106</v>
      </c>
      <c r="C127" s="288" t="str">
        <f>IFERROR(SLOPE(C118:H118,C123:H123), " ")</f>
        <v xml:space="preserve"> </v>
      </c>
      <c r="D127" s="340"/>
      <c r="E127" s="340"/>
      <c r="F127" s="340"/>
      <c r="G127" s="168"/>
      <c r="H127" s="168"/>
      <c r="I127" s="168"/>
      <c r="J127" s="175"/>
      <c r="M127" s="136"/>
    </row>
    <row r="128" spans="2:13" ht="18" customHeight="1" x14ac:dyDescent="0.3">
      <c r="B128" s="232" t="s">
        <v>110</v>
      </c>
      <c r="C128" s="255" t="str">
        <f>IFERROR(INTERCEPT(C118:H118,C123:H123), " ")</f>
        <v xml:space="preserve"> </v>
      </c>
      <c r="D128" s="340"/>
      <c r="E128" s="340"/>
      <c r="F128" s="340"/>
      <c r="G128" s="168"/>
      <c r="H128" s="168"/>
      <c r="I128" s="168"/>
      <c r="J128" s="175"/>
      <c r="M128" s="136"/>
    </row>
    <row r="129" spans="1:13" ht="18" customHeight="1" x14ac:dyDescent="0.3">
      <c r="B129" s="232" t="s">
        <v>434</v>
      </c>
      <c r="C129" s="255" t="str">
        <f>IFERROR(IF(C128&lt;(0.5*E124), "Yes", "No"), " ")</f>
        <v xml:space="preserve"> </v>
      </c>
      <c r="D129" s="340"/>
      <c r="E129" s="340"/>
      <c r="F129" s="340"/>
      <c r="G129" s="168"/>
      <c r="H129" s="168"/>
      <c r="I129" s="168"/>
      <c r="J129" s="175"/>
      <c r="M129" s="136"/>
    </row>
    <row r="130" spans="1:13" ht="18" customHeight="1" x14ac:dyDescent="0.3">
      <c r="B130" s="232" t="s">
        <v>433</v>
      </c>
      <c r="C130" s="255" t="str">
        <f>IFERROR(CORREL(C123:H123,C118:H118), " ")</f>
        <v xml:space="preserve"> </v>
      </c>
      <c r="D130" s="168"/>
      <c r="E130" s="168"/>
      <c r="F130" s="168"/>
      <c r="G130" s="168"/>
      <c r="H130" s="168"/>
      <c r="I130" s="168"/>
      <c r="J130" s="175"/>
      <c r="M130" s="136"/>
    </row>
    <row r="131" spans="1:13" ht="18" customHeight="1" x14ac:dyDescent="0.3">
      <c r="B131" s="232" t="s">
        <v>118</v>
      </c>
      <c r="C131" s="255" t="str">
        <f>IF(C130&gt;=0.95, "Yes", "No")</f>
        <v>Yes</v>
      </c>
      <c r="D131" s="168"/>
      <c r="E131" s="168"/>
      <c r="F131" s="168"/>
      <c r="G131" s="168"/>
      <c r="H131" s="168"/>
      <c r="I131" s="168"/>
      <c r="J131" s="175"/>
      <c r="M131" s="136"/>
    </row>
    <row r="132" spans="1:13" ht="18" customHeight="1" thickBot="1" x14ac:dyDescent="0.35">
      <c r="B132" s="230" t="s">
        <v>348</v>
      </c>
      <c r="C132" s="468"/>
      <c r="D132" s="218"/>
      <c r="E132" s="218"/>
      <c r="F132" s="218"/>
      <c r="G132" s="218"/>
      <c r="H132" s="218"/>
      <c r="I132" s="218"/>
      <c r="J132" s="219"/>
      <c r="M132" s="136"/>
    </row>
    <row r="133" spans="1:13" ht="18" customHeight="1" thickBot="1" x14ac:dyDescent="0.35">
      <c r="M133" s="136"/>
    </row>
    <row r="134" spans="1:13" ht="18" customHeight="1" thickBot="1" x14ac:dyDescent="0.4">
      <c r="B134" s="713" t="s">
        <v>316</v>
      </c>
      <c r="C134" s="714"/>
      <c r="D134" s="714"/>
      <c r="E134" s="714"/>
      <c r="F134" s="714"/>
      <c r="G134" s="714"/>
      <c r="H134" s="714"/>
      <c r="I134" s="714"/>
      <c r="J134" s="715"/>
      <c r="M134" s="136"/>
    </row>
    <row r="135" spans="1:13" s="21" customFormat="1" ht="18" customHeight="1" x14ac:dyDescent="0.35">
      <c r="B135" s="155"/>
      <c r="C135" s="761" t="s">
        <v>99</v>
      </c>
      <c r="D135" s="762"/>
      <c r="E135" s="762"/>
      <c r="F135" s="762"/>
      <c r="G135" s="762"/>
      <c r="H135" s="762"/>
      <c r="I135" s="763"/>
      <c r="J135" s="764"/>
      <c r="K135" s="130"/>
      <c r="M135" s="22"/>
    </row>
    <row r="136" spans="1:13" s="21" customFormat="1" ht="18" customHeight="1" x14ac:dyDescent="0.35">
      <c r="B136" s="195" t="s">
        <v>69</v>
      </c>
      <c r="C136" s="84">
        <v>1</v>
      </c>
      <c r="D136" s="84">
        <v>2</v>
      </c>
      <c r="E136" s="181">
        <v>3</v>
      </c>
      <c r="F136" s="181">
        <v>4</v>
      </c>
      <c r="G136" s="181">
        <v>5</v>
      </c>
      <c r="H136" s="181">
        <v>6</v>
      </c>
      <c r="I136" s="130"/>
      <c r="J136" s="58"/>
      <c r="M136" s="22"/>
    </row>
    <row r="137" spans="1:13" ht="18" customHeight="1" x14ac:dyDescent="0.3">
      <c r="B137" s="335" t="s">
        <v>349</v>
      </c>
      <c r="C137" s="291" t="str">
        <f>IFERROR(C71+C117+$C$42+$C$46+C124, " ")</f>
        <v xml:space="preserve"> </v>
      </c>
      <c r="D137" s="291" t="str">
        <f t="shared" ref="D137:H137" si="14">IFERROR(D71+D117+$C$42+$C$46+D124, " ")</f>
        <v xml:space="preserve"> </v>
      </c>
      <c r="E137" s="291" t="str">
        <f t="shared" si="14"/>
        <v xml:space="preserve"> </v>
      </c>
      <c r="F137" s="291" t="str">
        <f t="shared" si="14"/>
        <v xml:space="preserve"> </v>
      </c>
      <c r="G137" s="291" t="str">
        <f t="shared" si="14"/>
        <v xml:space="preserve"> </v>
      </c>
      <c r="H137" s="291" t="str">
        <f t="shared" si="14"/>
        <v xml:space="preserve"> </v>
      </c>
      <c r="I137" s="168"/>
      <c r="J137" s="175"/>
      <c r="M137" s="136"/>
    </row>
    <row r="138" spans="1:13" ht="18" customHeight="1" thickBot="1" x14ac:dyDescent="0.35">
      <c r="B138" s="230" t="s">
        <v>136</v>
      </c>
      <c r="C138" s="345" t="str">
        <f>IFERROR(($C$47-C137)/$C$47, " ")</f>
        <v xml:space="preserve"> </v>
      </c>
      <c r="D138" s="345" t="str">
        <f t="shared" ref="D138:H138" si="15">IFERROR(($C$47-D137)/$C$47, " ")</f>
        <v xml:space="preserve"> </v>
      </c>
      <c r="E138" s="345" t="str">
        <f t="shared" si="15"/>
        <v xml:space="preserve"> </v>
      </c>
      <c r="F138" s="345" t="str">
        <f t="shared" si="15"/>
        <v xml:space="preserve"> </v>
      </c>
      <c r="G138" s="345" t="str">
        <f t="shared" si="15"/>
        <v xml:space="preserve"> </v>
      </c>
      <c r="H138" s="345" t="str">
        <f t="shared" si="15"/>
        <v xml:space="preserve"> </v>
      </c>
      <c r="I138" s="218"/>
      <c r="J138" s="219"/>
      <c r="M138" s="136"/>
    </row>
    <row r="139" spans="1:13" ht="18" customHeight="1" x14ac:dyDescent="0.3">
      <c r="M139" s="136"/>
    </row>
    <row r="140" spans="1:13" ht="18" customHeight="1" x14ac:dyDescent="0.3">
      <c r="M140" s="136"/>
    </row>
    <row r="141" spans="1:13" ht="18" customHeight="1" x14ac:dyDescent="0.3">
      <c r="M141" s="136"/>
    </row>
    <row r="142" spans="1:13" ht="18" customHeight="1" x14ac:dyDescent="0.3">
      <c r="A142" s="136"/>
      <c r="B142" s="136"/>
      <c r="C142" s="136"/>
      <c r="D142" s="136"/>
      <c r="E142" s="136"/>
      <c r="F142" s="136"/>
      <c r="G142" s="136"/>
      <c r="H142" s="136"/>
      <c r="I142" s="136"/>
      <c r="J142" s="136"/>
      <c r="K142" s="136"/>
      <c r="L142" s="136"/>
      <c r="M142" s="136"/>
    </row>
  </sheetData>
  <sheetProtection algorithmName="SHA-512" hashValue="AE0Nel6mHSnQjTfMlESbsKm+C3mkma595J7D8sXzuImKxLICb9L0DFzDBU72q42UO/BTuhYGSk6Ywl3FhbakrA==" saltValue="4Slup4XX5J1gCQDg4fgrrg==" spinCount="100000" sheet="1" selectLockedCells="1"/>
  <mergeCells count="19">
    <mergeCell ref="C135:J135"/>
    <mergeCell ref="B24:J24"/>
    <mergeCell ref="B105:J105"/>
    <mergeCell ref="B112:J112"/>
    <mergeCell ref="B19:J19"/>
    <mergeCell ref="C91:J91"/>
    <mergeCell ref="C114:J114"/>
    <mergeCell ref="C121:J121"/>
    <mergeCell ref="C74:E74"/>
    <mergeCell ref="B134:J134"/>
    <mergeCell ref="B2:C2"/>
    <mergeCell ref="B76:J76"/>
    <mergeCell ref="B49:J49"/>
    <mergeCell ref="B29:J29"/>
    <mergeCell ref="B16:J16"/>
    <mergeCell ref="B17:J17"/>
    <mergeCell ref="C59:H59"/>
    <mergeCell ref="B12:J12"/>
    <mergeCell ref="B11:J11"/>
  </mergeCells>
  <hyperlinks>
    <hyperlink ref="G2" location="Instructions!B37" display="Back to Instructions tab" xr:uid="{E38C8B94-A52A-4F30-B133-4E6CE6E3F5C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F52912-5D9B-4ADB-85DA-6ED811464689}">
          <x14:formula1>
            <xm:f>'Drop-downs'!$B$22:$B$23</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E04E9-D3E9-456C-A5C2-CC88A280E2F2}">
  <sheetPr>
    <tabColor rgb="FF0070C0"/>
  </sheetPr>
  <dimension ref="A1:O155"/>
  <sheetViews>
    <sheetView showGridLines="0" zoomScale="80" zoomScaleNormal="80" workbookViewId="0">
      <selection activeCell="C14" sqref="C14"/>
    </sheetView>
  </sheetViews>
  <sheetFormatPr defaultColWidth="9.140625" defaultRowHeight="18" customHeight="1" x14ac:dyDescent="0.3"/>
  <cols>
    <col min="1" max="1" width="9.140625" style="21"/>
    <col min="2" max="2" width="46.85546875" style="21" customWidth="1"/>
    <col min="3" max="3" width="34.85546875" style="21" customWidth="1"/>
    <col min="4" max="4" width="29.42578125" style="21" customWidth="1"/>
    <col min="5" max="5" width="25.140625" style="21" bestFit="1" customWidth="1"/>
    <col min="6" max="6" width="22.85546875" style="21" customWidth="1"/>
    <col min="7" max="7" width="19.85546875" style="21" customWidth="1"/>
    <col min="8" max="8" width="20.28515625" style="21" customWidth="1"/>
    <col min="9" max="9" width="12.7109375" style="21" customWidth="1"/>
    <col min="10" max="10" width="3.42578125" style="21" customWidth="1"/>
    <col min="11" max="16384" width="9.140625" style="21"/>
  </cols>
  <sheetData>
    <row r="1" spans="2:10" ht="18" customHeight="1" thickBot="1" x14ac:dyDescent="0.35">
      <c r="J1" s="22"/>
    </row>
    <row r="2" spans="2:10" ht="18" customHeight="1" thickBot="1" x14ac:dyDescent="0.35">
      <c r="B2" s="775" t="str">
        <f>'Version Control'!$B$2</f>
        <v>Title Block</v>
      </c>
      <c r="C2" s="776"/>
      <c r="G2" s="152" t="s">
        <v>37</v>
      </c>
      <c r="J2" s="22"/>
    </row>
    <row r="3" spans="2:10" ht="18" customHeight="1" x14ac:dyDescent="0.3">
      <c r="B3" s="23" t="str">
        <f>'Version Control'!$B$3</f>
        <v>Test Report Template Name:</v>
      </c>
      <c r="C3" s="24" t="str">
        <f>'Version Control'!C3</f>
        <v>Small Electric Motors</v>
      </c>
      <c r="J3" s="22"/>
    </row>
    <row r="4" spans="2:10" ht="18" customHeight="1" x14ac:dyDescent="0.3">
      <c r="B4" s="25" t="str">
        <f>'Version Control'!$B$4</f>
        <v>Version Number:</v>
      </c>
      <c r="C4" s="26" t="str">
        <f>'Version Control'!C4</f>
        <v>v1.0</v>
      </c>
      <c r="J4" s="22"/>
    </row>
    <row r="5" spans="2:10" ht="18" customHeight="1" x14ac:dyDescent="0.3">
      <c r="B5" s="25" t="str">
        <f>'Version Control'!$B$5</f>
        <v xml:space="preserve">Latest Template Revision: </v>
      </c>
      <c r="C5" s="27">
        <f>'Version Control'!C5</f>
        <v>45575</v>
      </c>
      <c r="J5" s="22"/>
    </row>
    <row r="6" spans="2:10" ht="18" customHeight="1" x14ac:dyDescent="0.3">
      <c r="B6" s="25" t="str">
        <f>'Version Control'!$B$6</f>
        <v>Tab Name:</v>
      </c>
      <c r="C6" s="28" t="str">
        <f ca="1">MID(CELL("filename",A1), FIND("]", CELL("filename", A1))+ 1, 255)</f>
        <v>IEEE 112-2017 Method A</v>
      </c>
      <c r="J6" s="22"/>
    </row>
    <row r="7" spans="2:10" ht="36" customHeight="1" x14ac:dyDescent="0.3">
      <c r="B7" s="18" t="str">
        <f>'Version Control'!$B$7</f>
        <v>File Name:</v>
      </c>
      <c r="C7" s="47" t="str">
        <f ca="1">'Version Control'!C7</f>
        <v>Small Electric Motors - v1.0.xlsx</v>
      </c>
      <c r="J7" s="22"/>
    </row>
    <row r="8" spans="2:10" ht="16.5" x14ac:dyDescent="0.3">
      <c r="B8" s="55" t="s">
        <v>42</v>
      </c>
      <c r="C8" s="49" t="str">
        <f>'General Info &amp; Test Results'!C17</f>
        <v>[MM/DD/YYYY]</v>
      </c>
      <c r="J8" s="22"/>
    </row>
    <row r="9" spans="2:10" ht="18" customHeight="1" thickBot="1" x14ac:dyDescent="0.35">
      <c r="B9" s="50" t="str">
        <f>'Version Control'!$B$9</f>
        <v>Date Test Finished:</v>
      </c>
      <c r="C9" s="51" t="str">
        <f>'Version Control'!C9</f>
        <v>[MM/DD/YYYY]</v>
      </c>
      <c r="J9" s="22"/>
    </row>
    <row r="10" spans="2:10" ht="18" customHeight="1" thickBot="1" x14ac:dyDescent="0.35">
      <c r="B10" s="29"/>
      <c r="C10" s="30"/>
      <c r="J10" s="22"/>
    </row>
    <row r="11" spans="2:10" thickBot="1" x14ac:dyDescent="0.4">
      <c r="B11" s="713" t="s">
        <v>445</v>
      </c>
      <c r="C11" s="713"/>
      <c r="D11" s="713"/>
      <c r="E11" s="713"/>
      <c r="F11" s="713"/>
      <c r="G11" s="713"/>
      <c r="H11" s="723"/>
      <c r="J11" s="22"/>
    </row>
    <row r="12" spans="2:10" ht="197.45" customHeight="1" thickBot="1" x14ac:dyDescent="0.35">
      <c r="B12" s="757" t="s">
        <v>451</v>
      </c>
      <c r="C12" s="773"/>
      <c r="D12" s="773"/>
      <c r="E12" s="773"/>
      <c r="F12" s="773"/>
      <c r="G12" s="773"/>
      <c r="H12" s="774"/>
      <c r="J12" s="22"/>
    </row>
    <row r="13" spans="2:10" ht="18.95" customHeight="1" x14ac:dyDescent="0.3">
      <c r="B13" s="415"/>
      <c r="C13" s="416"/>
      <c r="D13" s="416"/>
      <c r="E13" s="416"/>
      <c r="F13" s="416"/>
      <c r="G13" s="416"/>
      <c r="H13" s="416"/>
      <c r="J13" s="22"/>
    </row>
    <row r="14" spans="2:10" ht="31.5" customHeight="1" x14ac:dyDescent="0.3">
      <c r="B14" s="417" t="s">
        <v>446</v>
      </c>
      <c r="C14" s="466"/>
      <c r="D14" s="416"/>
      <c r="E14" s="416"/>
      <c r="F14" s="416"/>
      <c r="G14" s="416"/>
      <c r="H14" s="416"/>
      <c r="J14" s="22"/>
    </row>
    <row r="15" spans="2:10" ht="21.6" customHeight="1" thickBot="1" x14ac:dyDescent="0.7">
      <c r="B15" s="412"/>
      <c r="C15" s="413"/>
      <c r="D15" s="187"/>
      <c r="E15" s="187"/>
      <c r="F15" s="187"/>
      <c r="G15" s="187"/>
      <c r="H15" s="187"/>
      <c r="I15" s="187"/>
      <c r="J15" s="451"/>
    </row>
    <row r="16" spans="2:10" ht="18" customHeight="1" thickBot="1" x14ac:dyDescent="0.4">
      <c r="B16" s="777" t="s">
        <v>96</v>
      </c>
      <c r="C16" s="778"/>
      <c r="D16" s="778"/>
      <c r="E16" s="778"/>
      <c r="F16" s="778"/>
      <c r="G16" s="778"/>
      <c r="H16" s="779"/>
      <c r="J16" s="22"/>
    </row>
    <row r="17" spans="2:10" ht="38.450000000000003" customHeight="1" thickBot="1" x14ac:dyDescent="0.35">
      <c r="B17" s="780" t="s">
        <v>485</v>
      </c>
      <c r="C17" s="781"/>
      <c r="D17" s="781"/>
      <c r="E17" s="781"/>
      <c r="F17" s="781"/>
      <c r="G17" s="781"/>
      <c r="H17" s="782"/>
      <c r="J17" s="22"/>
    </row>
    <row r="18" spans="2:10" ht="18" customHeight="1" thickBot="1" x14ac:dyDescent="0.35">
      <c r="B18" s="29"/>
      <c r="C18" s="30"/>
      <c r="J18" s="22"/>
    </row>
    <row r="19" spans="2:10" ht="18" customHeight="1" thickBot="1" x14ac:dyDescent="0.4">
      <c r="B19" s="725" t="s">
        <v>98</v>
      </c>
      <c r="C19" s="727"/>
      <c r="D19" s="727"/>
      <c r="E19" s="727"/>
      <c r="F19" s="727"/>
      <c r="G19" s="727"/>
      <c r="H19" s="728"/>
      <c r="J19" s="22"/>
    </row>
    <row r="20" spans="2:10" ht="18" customHeight="1" x14ac:dyDescent="0.3">
      <c r="B20" s="213" t="s">
        <v>69</v>
      </c>
      <c r="C20" s="183" t="s">
        <v>70</v>
      </c>
      <c r="D20" s="130"/>
      <c r="E20" s="130"/>
      <c r="F20" s="130"/>
      <c r="G20" s="130"/>
      <c r="H20" s="58"/>
      <c r="J20" s="22"/>
    </row>
    <row r="21" spans="2:10" ht="18" customHeight="1" x14ac:dyDescent="0.3">
      <c r="B21" s="85" t="s">
        <v>241</v>
      </c>
      <c r="C21" s="253">
        <f>'General Info &amp; Test Results'!C31</f>
        <v>0</v>
      </c>
      <c r="D21" s="130"/>
      <c r="E21" s="130"/>
      <c r="F21" s="130"/>
      <c r="G21" s="130"/>
      <c r="H21" s="58"/>
      <c r="J21" s="22"/>
    </row>
    <row r="22" spans="2:10" ht="18" customHeight="1" x14ac:dyDescent="0.3">
      <c r="B22" s="85" t="s">
        <v>168</v>
      </c>
      <c r="C22" s="253">
        <f>'General Info &amp; Test Results'!C35</f>
        <v>0</v>
      </c>
      <c r="D22" s="130"/>
      <c r="E22" s="130"/>
      <c r="F22" s="130"/>
      <c r="G22" s="130"/>
      <c r="H22" s="58"/>
      <c r="J22" s="22"/>
    </row>
    <row r="23" spans="2:10" ht="18" customHeight="1" x14ac:dyDescent="0.3">
      <c r="B23" s="85" t="s">
        <v>240</v>
      </c>
      <c r="C23" s="443">
        <f>'General Info &amp; Test Results'!C30*745.7</f>
        <v>0</v>
      </c>
      <c r="D23" s="200"/>
      <c r="E23" s="130"/>
      <c r="F23" s="130"/>
      <c r="G23" s="130"/>
      <c r="H23" s="58"/>
      <c r="J23" s="22"/>
    </row>
    <row r="24" spans="2:10" ht="18" customHeight="1" x14ac:dyDescent="0.3">
      <c r="B24" s="85" t="s">
        <v>155</v>
      </c>
      <c r="C24" s="253">
        <f>'General Info &amp; Test Results'!C37</f>
        <v>0</v>
      </c>
      <c r="D24" s="130"/>
      <c r="E24" s="130"/>
      <c r="F24" s="130"/>
      <c r="G24" s="130"/>
      <c r="H24" s="58"/>
      <c r="J24" s="22"/>
    </row>
    <row r="25" spans="2:10" ht="18" customHeight="1" thickBot="1" x14ac:dyDescent="0.35">
      <c r="B25" s="86" t="s">
        <v>444</v>
      </c>
      <c r="C25" s="254" t="str">
        <f>IF(C24="Aluminum",225,IF(C24="Copper",234.5,"Winding material needed"))</f>
        <v>Winding material needed</v>
      </c>
      <c r="D25" s="226"/>
      <c r="E25" s="226"/>
      <c r="F25" s="226"/>
      <c r="G25" s="226"/>
      <c r="H25" s="227"/>
      <c r="J25" s="22"/>
    </row>
    <row r="26" spans="2:10" ht="18" customHeight="1" thickBot="1" x14ac:dyDescent="0.35">
      <c r="J26" s="22"/>
    </row>
    <row r="27" spans="2:10" ht="18" customHeight="1" thickBot="1" x14ac:dyDescent="0.4">
      <c r="B27" s="725" t="s">
        <v>154</v>
      </c>
      <c r="C27" s="727"/>
      <c r="D27" s="727"/>
      <c r="E27" s="727"/>
      <c r="F27" s="727"/>
      <c r="G27" s="727"/>
      <c r="H27" s="728"/>
      <c r="J27" s="22"/>
    </row>
    <row r="28" spans="2:10" ht="18" customHeight="1" x14ac:dyDescent="0.3">
      <c r="B28" s="292" t="s">
        <v>69</v>
      </c>
      <c r="C28" s="183" t="s">
        <v>70</v>
      </c>
      <c r="D28" s="200"/>
      <c r="E28" s="130"/>
      <c r="F28" s="130"/>
      <c r="G28" s="130"/>
      <c r="H28" s="58"/>
      <c r="J28" s="22"/>
    </row>
    <row r="29" spans="2:10" ht="18" customHeight="1" x14ac:dyDescent="0.3">
      <c r="B29" s="237" t="s">
        <v>116</v>
      </c>
      <c r="C29" s="476"/>
      <c r="D29" s="186"/>
      <c r="E29" s="130"/>
      <c r="F29" s="130"/>
      <c r="G29" s="130"/>
      <c r="H29" s="58"/>
      <c r="J29" s="22"/>
    </row>
    <row r="30" spans="2:10" ht="18" customHeight="1" thickBot="1" x14ac:dyDescent="0.35">
      <c r="B30" s="302" t="s">
        <v>235</v>
      </c>
      <c r="C30" s="477"/>
      <c r="D30" s="221"/>
      <c r="E30" s="226"/>
      <c r="F30" s="226"/>
      <c r="G30" s="226"/>
      <c r="H30" s="227"/>
      <c r="J30" s="22"/>
    </row>
    <row r="31" spans="2:10" ht="18" customHeight="1" thickBot="1" x14ac:dyDescent="0.35">
      <c r="B31" s="184"/>
      <c r="C31" s="486"/>
      <c r="D31" s="247"/>
      <c r="E31" s="207"/>
      <c r="F31" s="186"/>
      <c r="J31" s="22"/>
    </row>
    <row r="32" spans="2:10" ht="18" customHeight="1" thickBot="1" x14ac:dyDescent="0.4">
      <c r="B32" s="725" t="s">
        <v>153</v>
      </c>
      <c r="C32" s="727"/>
      <c r="D32" s="727"/>
      <c r="E32" s="727"/>
      <c r="F32" s="727"/>
      <c r="G32" s="727"/>
      <c r="H32" s="728"/>
      <c r="J32" s="22"/>
    </row>
    <row r="33" spans="2:15" ht="18" customHeight="1" x14ac:dyDescent="0.35">
      <c r="B33" s="214"/>
      <c r="C33" s="170"/>
      <c r="D33" s="170"/>
      <c r="E33" s="170"/>
      <c r="F33" s="170"/>
      <c r="G33" s="130"/>
      <c r="H33" s="58"/>
      <c r="J33" s="22"/>
    </row>
    <row r="34" spans="2:15" ht="18" customHeight="1" x14ac:dyDescent="0.35">
      <c r="B34" s="249" t="s">
        <v>156</v>
      </c>
      <c r="C34" s="478"/>
      <c r="D34" s="170"/>
      <c r="E34" s="170"/>
      <c r="F34" s="170"/>
      <c r="G34" s="130"/>
      <c r="H34" s="58"/>
      <c r="J34" s="22"/>
    </row>
    <row r="35" spans="2:15" ht="18" customHeight="1" x14ac:dyDescent="0.35">
      <c r="B35" s="214"/>
      <c r="C35" s="459"/>
      <c r="D35" s="170"/>
      <c r="E35" s="170"/>
      <c r="F35" s="170"/>
      <c r="G35" s="130"/>
      <c r="H35" s="58"/>
      <c r="J35" s="22"/>
    </row>
    <row r="36" spans="2:15" ht="18" customHeight="1" x14ac:dyDescent="0.3">
      <c r="B36" s="239" t="s">
        <v>69</v>
      </c>
      <c r="C36" s="209" t="s">
        <v>70</v>
      </c>
      <c r="D36" s="200"/>
      <c r="E36" s="130"/>
      <c r="F36" s="130"/>
      <c r="G36" s="130"/>
      <c r="H36" s="58"/>
      <c r="J36" s="22"/>
    </row>
    <row r="37" spans="2:15" ht="18" customHeight="1" x14ac:dyDescent="0.3">
      <c r="B37" s="176" t="s">
        <v>236</v>
      </c>
      <c r="C37" s="476"/>
      <c r="D37" s="186"/>
      <c r="E37" s="130"/>
      <c r="F37" s="130"/>
      <c r="G37" s="130"/>
      <c r="H37" s="58"/>
      <c r="J37" s="22"/>
    </row>
    <row r="38" spans="2:15" ht="18" customHeight="1" x14ac:dyDescent="0.3">
      <c r="B38" s="176" t="s">
        <v>116</v>
      </c>
      <c r="C38" s="476"/>
      <c r="D38" s="186"/>
      <c r="E38" s="130"/>
      <c r="F38" s="130"/>
      <c r="G38" s="130"/>
      <c r="H38" s="58"/>
      <c r="J38" s="22"/>
    </row>
    <row r="39" spans="2:15" ht="18" customHeight="1" x14ac:dyDescent="0.3">
      <c r="B39" s="176" t="s">
        <v>237</v>
      </c>
      <c r="C39" s="253" t="str">
        <f>IFERROR(((C37/C30)*(C25+C29))-C25, " ")</f>
        <v xml:space="preserve"> </v>
      </c>
      <c r="D39" s="395"/>
      <c r="H39" s="58"/>
      <c r="J39" s="22"/>
    </row>
    <row r="40" spans="2:15" ht="18" customHeight="1" x14ac:dyDescent="0.3">
      <c r="B40" s="176" t="s">
        <v>224</v>
      </c>
      <c r="C40" s="253" t="str">
        <f>IFERROR(C39-C38, " ")</f>
        <v xml:space="preserve"> </v>
      </c>
      <c r="D40" s="186"/>
      <c r="E40" s="130"/>
      <c r="F40" s="130"/>
      <c r="G40" s="130"/>
      <c r="H40" s="58"/>
      <c r="J40" s="22"/>
    </row>
    <row r="41" spans="2:15" ht="18" customHeight="1" x14ac:dyDescent="0.35">
      <c r="B41" s="180" t="s">
        <v>238</v>
      </c>
      <c r="C41" s="260">
        <f>IFERROR((C40-C38)+25,0)</f>
        <v>0</v>
      </c>
      <c r="D41" s="186"/>
      <c r="E41" s="206"/>
      <c r="F41" s="206"/>
      <c r="G41" s="130"/>
      <c r="H41" s="58"/>
      <c r="I41" s="130"/>
      <c r="J41" s="450"/>
      <c r="K41" s="130"/>
      <c r="L41" s="130"/>
      <c r="M41" s="130"/>
    </row>
    <row r="42" spans="2:15" ht="18" customHeight="1" thickBot="1" x14ac:dyDescent="0.4">
      <c r="B42" s="282" t="s">
        <v>239</v>
      </c>
      <c r="C42" s="479"/>
      <c r="D42" s="241"/>
      <c r="E42" s="241"/>
      <c r="F42" s="241"/>
      <c r="G42" s="226"/>
      <c r="H42" s="227"/>
      <c r="I42" s="130"/>
      <c r="J42" s="450"/>
      <c r="K42" s="130"/>
      <c r="L42" s="130"/>
      <c r="M42" s="130"/>
    </row>
    <row r="43" spans="2:15" ht="18" customHeight="1" thickBot="1" x14ac:dyDescent="0.4">
      <c r="B43" s="206"/>
      <c r="C43" s="208"/>
      <c r="D43" s="206"/>
      <c r="E43" s="207"/>
      <c r="F43" s="206"/>
      <c r="G43" s="206"/>
      <c r="H43" s="206"/>
      <c r="I43" s="130"/>
      <c r="J43" s="450"/>
      <c r="K43" s="130"/>
      <c r="L43" s="130"/>
      <c r="M43" s="130"/>
      <c r="N43" s="130"/>
      <c r="O43" s="130"/>
    </row>
    <row r="44" spans="2:15" ht="18" customHeight="1" thickBot="1" x14ac:dyDescent="0.4">
      <c r="B44" s="725" t="s">
        <v>275</v>
      </c>
      <c r="C44" s="727"/>
      <c r="D44" s="727"/>
      <c r="E44" s="727"/>
      <c r="F44" s="727"/>
      <c r="G44" s="727"/>
      <c r="H44" s="728"/>
      <c r="I44" s="130"/>
      <c r="J44" s="450"/>
      <c r="K44" s="130"/>
      <c r="L44" s="130"/>
    </row>
    <row r="45" spans="2:15" ht="18" customHeight="1" x14ac:dyDescent="0.35">
      <c r="B45" s="385"/>
      <c r="C45" s="386"/>
      <c r="D45" s="386"/>
      <c r="E45" s="386"/>
      <c r="F45" s="386"/>
      <c r="G45" s="210"/>
      <c r="H45" s="234"/>
      <c r="I45" s="130"/>
      <c r="J45" s="450"/>
      <c r="K45" s="130"/>
      <c r="L45" s="130"/>
    </row>
    <row r="46" spans="2:15" ht="18" customHeight="1" x14ac:dyDescent="0.35">
      <c r="B46" s="193" t="s">
        <v>99</v>
      </c>
      <c r="C46" s="194" t="s">
        <v>198</v>
      </c>
      <c r="D46" s="194" t="s">
        <v>279</v>
      </c>
      <c r="E46" s="386"/>
      <c r="F46" s="386"/>
      <c r="G46" s="210"/>
      <c r="H46" s="234"/>
      <c r="I46" s="130"/>
      <c r="J46" s="450"/>
      <c r="K46" s="130"/>
      <c r="L46" s="130"/>
    </row>
    <row r="47" spans="2:15" ht="18" customHeight="1" x14ac:dyDescent="0.3">
      <c r="B47" s="85">
        <v>1</v>
      </c>
      <c r="C47" s="480"/>
      <c r="D47" s="84" t="s">
        <v>273</v>
      </c>
      <c r="E47" s="235"/>
      <c r="F47" s="200"/>
      <c r="G47" s="130"/>
      <c r="H47" s="58"/>
      <c r="I47" s="130"/>
      <c r="J47" s="450"/>
      <c r="K47" s="130"/>
      <c r="L47" s="130"/>
    </row>
    <row r="48" spans="2:15" ht="18" customHeight="1" x14ac:dyDescent="0.3">
      <c r="B48" s="85">
        <v>2</v>
      </c>
      <c r="C48" s="467"/>
      <c r="D48" s="84" t="s">
        <v>273</v>
      </c>
      <c r="E48" s="207"/>
      <c r="F48" s="186"/>
      <c r="G48" s="130"/>
      <c r="H48" s="58"/>
      <c r="I48" s="130"/>
      <c r="J48" s="450"/>
      <c r="K48" s="130"/>
      <c r="L48" s="130"/>
    </row>
    <row r="49" spans="2:13" ht="18" customHeight="1" x14ac:dyDescent="0.3">
      <c r="B49" s="240">
        <v>3</v>
      </c>
      <c r="C49" s="251"/>
      <c r="D49" s="84" t="s">
        <v>274</v>
      </c>
      <c r="E49" s="207"/>
      <c r="F49" s="186"/>
      <c r="G49" s="130"/>
      <c r="H49" s="58"/>
      <c r="I49" s="130"/>
      <c r="J49" s="450"/>
      <c r="K49" s="130"/>
      <c r="L49" s="130"/>
    </row>
    <row r="50" spans="2:13" ht="18" customHeight="1" x14ac:dyDescent="0.3">
      <c r="B50" s="85">
        <v>4</v>
      </c>
      <c r="C50" s="251"/>
      <c r="D50" s="84" t="s">
        <v>274</v>
      </c>
      <c r="E50" s="185"/>
      <c r="F50" s="186"/>
      <c r="G50" s="130"/>
      <c r="H50" s="58"/>
      <c r="I50" s="130"/>
      <c r="J50" s="450"/>
      <c r="K50" s="130"/>
      <c r="L50" s="130"/>
    </row>
    <row r="51" spans="2:13" ht="18" customHeight="1" x14ac:dyDescent="0.3">
      <c r="B51" s="85">
        <v>5</v>
      </c>
      <c r="C51" s="251"/>
      <c r="D51" s="84" t="s">
        <v>274</v>
      </c>
      <c r="E51" s="207"/>
      <c r="F51" s="186"/>
      <c r="G51" s="130"/>
      <c r="H51" s="58"/>
      <c r="I51" s="130"/>
      <c r="J51" s="450"/>
      <c r="K51" s="130"/>
      <c r="L51" s="130"/>
      <c r="M51" s="130"/>
    </row>
    <row r="52" spans="2:13" ht="18" customHeight="1" x14ac:dyDescent="0.3">
      <c r="B52" s="85">
        <v>6</v>
      </c>
      <c r="C52" s="251"/>
      <c r="D52" s="84" t="s">
        <v>274</v>
      </c>
      <c r="E52" s="207"/>
      <c r="F52" s="186"/>
      <c r="G52" s="130"/>
      <c r="H52" s="58"/>
      <c r="I52" s="130"/>
      <c r="J52" s="450"/>
      <c r="K52" s="130"/>
      <c r="L52" s="130"/>
      <c r="M52" s="130"/>
    </row>
    <row r="53" spans="2:13" ht="18" customHeight="1" x14ac:dyDescent="0.3">
      <c r="B53" s="178"/>
      <c r="C53" s="487"/>
      <c r="D53" s="212"/>
      <c r="E53" s="185"/>
      <c r="F53" s="186"/>
      <c r="G53" s="236"/>
      <c r="H53" s="58"/>
      <c r="J53" s="22"/>
      <c r="L53" s="130"/>
      <c r="M53" s="130"/>
    </row>
    <row r="54" spans="2:13" ht="18" customHeight="1" x14ac:dyDescent="0.35">
      <c r="B54" s="248"/>
      <c r="C54" s="732" t="s">
        <v>99</v>
      </c>
      <c r="D54" s="732"/>
      <c r="E54" s="732"/>
      <c r="F54" s="732"/>
      <c r="G54" s="732"/>
      <c r="H54" s="733"/>
      <c r="J54" s="22"/>
      <c r="L54" s="130"/>
      <c r="M54" s="130"/>
    </row>
    <row r="55" spans="2:13" ht="18" customHeight="1" x14ac:dyDescent="0.35">
      <c r="B55" s="195" t="s">
        <v>69</v>
      </c>
      <c r="C55" s="322">
        <v>1</v>
      </c>
      <c r="D55" s="322">
        <v>2</v>
      </c>
      <c r="E55" s="196">
        <v>3</v>
      </c>
      <c r="F55" s="322">
        <v>4</v>
      </c>
      <c r="G55" s="322">
        <v>5</v>
      </c>
      <c r="H55" s="323">
        <v>6</v>
      </c>
      <c r="J55" s="22"/>
      <c r="L55" s="130"/>
      <c r="M55" s="130"/>
    </row>
    <row r="56" spans="2:13" ht="18" customHeight="1" x14ac:dyDescent="0.35">
      <c r="B56" s="177" t="s">
        <v>138</v>
      </c>
      <c r="C56" s="475"/>
      <c r="D56" s="475"/>
      <c r="E56" s="481"/>
      <c r="F56" s="475"/>
      <c r="G56" s="475"/>
      <c r="H56" s="482"/>
      <c r="J56" s="22"/>
      <c r="L56" s="130"/>
      <c r="M56" s="130"/>
    </row>
    <row r="57" spans="2:13" ht="18" customHeight="1" x14ac:dyDescent="0.3">
      <c r="B57" s="177" t="s">
        <v>116</v>
      </c>
      <c r="C57" s="475"/>
      <c r="D57" s="475"/>
      <c r="E57" s="481"/>
      <c r="F57" s="475"/>
      <c r="G57" s="475"/>
      <c r="H57" s="482"/>
      <c r="J57" s="22"/>
      <c r="L57" s="130"/>
      <c r="M57" s="130"/>
    </row>
    <row r="58" spans="2:13" ht="18" customHeight="1" x14ac:dyDescent="0.3">
      <c r="B58" s="177" t="s">
        <v>285</v>
      </c>
      <c r="C58" s="475"/>
      <c r="D58" s="475"/>
      <c r="E58" s="481"/>
      <c r="F58" s="475"/>
      <c r="G58" s="475"/>
      <c r="H58" s="482"/>
      <c r="J58" s="22"/>
      <c r="L58" s="130"/>
      <c r="M58" s="130"/>
    </row>
    <row r="59" spans="2:13" ht="18" customHeight="1" x14ac:dyDescent="0.3">
      <c r="B59" s="177" t="s">
        <v>115</v>
      </c>
      <c r="C59" s="483"/>
      <c r="D59" s="475"/>
      <c r="E59" s="481"/>
      <c r="F59" s="475"/>
      <c r="G59" s="475"/>
      <c r="H59" s="482"/>
      <c r="J59" s="22"/>
      <c r="L59" s="130"/>
      <c r="M59" s="130"/>
    </row>
    <row r="60" spans="2:13" ht="18" customHeight="1" x14ac:dyDescent="0.3">
      <c r="B60" s="177" t="s">
        <v>226</v>
      </c>
      <c r="C60" s="467"/>
      <c r="D60" s="467"/>
      <c r="E60" s="467"/>
      <c r="F60" s="467"/>
      <c r="G60" s="467"/>
      <c r="H60" s="470"/>
      <c r="J60" s="22"/>
      <c r="L60" s="130"/>
      <c r="M60" s="130"/>
    </row>
    <row r="61" spans="2:13" ht="18" customHeight="1" x14ac:dyDescent="0.3">
      <c r="B61" s="177" t="s">
        <v>286</v>
      </c>
      <c r="C61" s="467"/>
      <c r="D61" s="467"/>
      <c r="E61" s="467"/>
      <c r="F61" s="467"/>
      <c r="G61" s="467"/>
      <c r="H61" s="470"/>
      <c r="J61" s="22"/>
      <c r="L61" s="130"/>
      <c r="M61" s="130"/>
    </row>
    <row r="62" spans="2:13" ht="18" customHeight="1" x14ac:dyDescent="0.3">
      <c r="B62" s="177" t="s">
        <v>113</v>
      </c>
      <c r="C62" s="467"/>
      <c r="D62" s="467"/>
      <c r="E62" s="467"/>
      <c r="F62" s="467"/>
      <c r="G62" s="467"/>
      <c r="H62" s="470"/>
      <c r="J62" s="22"/>
      <c r="L62" s="130"/>
      <c r="M62" s="130"/>
    </row>
    <row r="63" spans="2:13" ht="18" customHeight="1" x14ac:dyDescent="0.3">
      <c r="B63" s="180" t="s">
        <v>129</v>
      </c>
      <c r="C63" s="475"/>
      <c r="D63" s="475"/>
      <c r="E63" s="481"/>
      <c r="F63" s="475"/>
      <c r="G63" s="475"/>
      <c r="H63" s="482"/>
      <c r="J63" s="22"/>
      <c r="L63" s="130"/>
      <c r="M63" s="130"/>
    </row>
    <row r="64" spans="2:13" ht="18" customHeight="1" x14ac:dyDescent="0.3">
      <c r="B64" s="180" t="s">
        <v>194</v>
      </c>
      <c r="C64" s="475"/>
      <c r="D64" s="475"/>
      <c r="E64" s="481"/>
      <c r="F64" s="475"/>
      <c r="G64" s="475"/>
      <c r="H64" s="482"/>
      <c r="J64" s="22"/>
      <c r="L64" s="130"/>
      <c r="M64" s="130"/>
    </row>
    <row r="65" spans="2:13" ht="18" customHeight="1" x14ac:dyDescent="0.3">
      <c r="B65" s="180" t="s">
        <v>386</v>
      </c>
      <c r="C65" s="475"/>
      <c r="D65" s="475"/>
      <c r="E65" s="481"/>
      <c r="F65" s="475"/>
      <c r="G65" s="475"/>
      <c r="H65" s="482"/>
      <c r="J65" s="22"/>
      <c r="L65" s="130"/>
      <c r="M65" s="130"/>
    </row>
    <row r="66" spans="2:13" ht="18" customHeight="1" x14ac:dyDescent="0.3">
      <c r="B66" s="180" t="s">
        <v>440</v>
      </c>
      <c r="C66" s="260" t="str">
        <f>IFERROR(ABS(100*((AVERAGE(C59:H59)-C59)/AVERAGE(C59:H59))), " ")</f>
        <v xml:space="preserve"> </v>
      </c>
      <c r="D66" s="260" t="str">
        <f t="shared" ref="D66:H66" si="0">IFERROR(ABS(100*((AVERAGE(D59:I59)-D59)/AVERAGE(D59:I59))), " ")</f>
        <v xml:space="preserve"> </v>
      </c>
      <c r="E66" s="260" t="str">
        <f t="shared" si="0"/>
        <v xml:space="preserve"> </v>
      </c>
      <c r="F66" s="260" t="str">
        <f t="shared" si="0"/>
        <v xml:space="preserve"> </v>
      </c>
      <c r="G66" s="260" t="str">
        <f t="shared" si="0"/>
        <v xml:space="preserve"> </v>
      </c>
      <c r="H66" s="260" t="str">
        <f t="shared" si="0"/>
        <v xml:space="preserve"> </v>
      </c>
      <c r="J66" s="22"/>
      <c r="L66" s="130"/>
      <c r="M66" s="130"/>
    </row>
    <row r="67" spans="2:13" ht="18" customHeight="1" x14ac:dyDescent="0.3">
      <c r="B67" s="180" t="s">
        <v>130</v>
      </c>
      <c r="C67" s="260">
        <f t="shared" ref="C67:H67" si="1">$C$22-C63</f>
        <v>0</v>
      </c>
      <c r="D67" s="260">
        <f t="shared" si="1"/>
        <v>0</v>
      </c>
      <c r="E67" s="260">
        <f t="shared" si="1"/>
        <v>0</v>
      </c>
      <c r="F67" s="260">
        <f t="shared" si="1"/>
        <v>0</v>
      </c>
      <c r="G67" s="260">
        <f t="shared" si="1"/>
        <v>0</v>
      </c>
      <c r="H67" s="261">
        <f t="shared" si="1"/>
        <v>0</v>
      </c>
      <c r="J67" s="22"/>
      <c r="L67" s="130"/>
      <c r="M67" s="130"/>
    </row>
    <row r="68" spans="2:13" ht="18" customHeight="1" x14ac:dyDescent="0.3">
      <c r="B68" s="180" t="s">
        <v>131</v>
      </c>
      <c r="C68" s="260" t="str">
        <f>IFERROR(C67/$C$22, " ")</f>
        <v xml:space="preserve"> </v>
      </c>
      <c r="D68" s="260" t="str">
        <f t="shared" ref="D68:H68" si="2">IFERROR(D67/$C$22, " ")</f>
        <v xml:space="preserve"> </v>
      </c>
      <c r="E68" s="260" t="str">
        <f t="shared" si="2"/>
        <v xml:space="preserve"> </v>
      </c>
      <c r="F68" s="260" t="str">
        <f t="shared" si="2"/>
        <v xml:space="preserve"> </v>
      </c>
      <c r="G68" s="260" t="str">
        <f t="shared" si="2"/>
        <v xml:space="preserve"> </v>
      </c>
      <c r="H68" s="260" t="str">
        <f t="shared" si="2"/>
        <v xml:space="preserve"> </v>
      </c>
      <c r="J68" s="22"/>
      <c r="L68" s="130"/>
      <c r="M68" s="130"/>
    </row>
    <row r="69" spans="2:13" ht="18" customHeight="1" x14ac:dyDescent="0.3">
      <c r="B69" s="180" t="s">
        <v>132</v>
      </c>
      <c r="C69" s="260" t="str">
        <f>IFERROR((C67*($C$41+$C$42+$C$25))/(C56+$C$25), " ")</f>
        <v xml:space="preserve"> </v>
      </c>
      <c r="D69" s="260" t="str">
        <f t="shared" ref="D69:H69" si="3">IFERROR((D67*($C$41+$C$42+$C$25))/(D56+$C$25), " ")</f>
        <v xml:space="preserve"> </v>
      </c>
      <c r="E69" s="260" t="str">
        <f t="shared" si="3"/>
        <v xml:space="preserve"> </v>
      </c>
      <c r="F69" s="260" t="str">
        <f t="shared" si="3"/>
        <v xml:space="preserve"> </v>
      </c>
      <c r="G69" s="260" t="str">
        <f t="shared" si="3"/>
        <v xml:space="preserve"> </v>
      </c>
      <c r="H69" s="260" t="str">
        <f t="shared" si="3"/>
        <v xml:space="preserve"> </v>
      </c>
      <c r="J69" s="22"/>
      <c r="L69" s="130"/>
      <c r="M69" s="130"/>
    </row>
    <row r="70" spans="2:13" ht="18" customHeight="1" x14ac:dyDescent="0.3">
      <c r="B70" s="180" t="s">
        <v>133</v>
      </c>
      <c r="C70" s="260" t="str">
        <f>IFERROR($C$22*(1-C69), " ")</f>
        <v xml:space="preserve"> </v>
      </c>
      <c r="D70" s="260" t="str">
        <f t="shared" ref="D70:H70" si="4">IFERROR($C$22*(1-D69), " ")</f>
        <v xml:space="preserve"> </v>
      </c>
      <c r="E70" s="260" t="str">
        <f t="shared" si="4"/>
        <v xml:space="preserve"> </v>
      </c>
      <c r="F70" s="260" t="str">
        <f t="shared" si="4"/>
        <v xml:space="preserve"> </v>
      </c>
      <c r="G70" s="260" t="str">
        <f t="shared" si="4"/>
        <v xml:space="preserve"> </v>
      </c>
      <c r="H70" s="260" t="str">
        <f t="shared" si="4"/>
        <v xml:space="preserve"> </v>
      </c>
      <c r="J70" s="22"/>
      <c r="L70" s="130"/>
      <c r="M70" s="130"/>
    </row>
    <row r="71" spans="2:13" ht="18" customHeight="1" x14ac:dyDescent="0.3">
      <c r="B71" s="180" t="s">
        <v>229</v>
      </c>
      <c r="C71" s="260">
        <f t="shared" ref="C71:H71" si="5">C60+$C$152</f>
        <v>0</v>
      </c>
      <c r="D71" s="260">
        <f t="shared" si="5"/>
        <v>0</v>
      </c>
      <c r="E71" s="260">
        <f t="shared" si="5"/>
        <v>0</v>
      </c>
      <c r="F71" s="260">
        <f t="shared" si="5"/>
        <v>0</v>
      </c>
      <c r="G71" s="260">
        <f t="shared" si="5"/>
        <v>0</v>
      </c>
      <c r="H71" s="261">
        <f t="shared" si="5"/>
        <v>0</v>
      </c>
      <c r="J71" s="22"/>
      <c r="L71" s="130"/>
      <c r="M71" s="130"/>
    </row>
    <row r="72" spans="2:13" ht="18" customHeight="1" x14ac:dyDescent="0.3">
      <c r="B72" s="180" t="s">
        <v>134</v>
      </c>
      <c r="C72" s="256" t="str">
        <f>IFERROR(C71*(C70/9.549), " ")</f>
        <v xml:space="preserve"> </v>
      </c>
      <c r="D72" s="256" t="str">
        <f t="shared" ref="D72:H72" si="6">IFERROR(D71*(D70/9.549), " ")</f>
        <v xml:space="preserve"> </v>
      </c>
      <c r="E72" s="256" t="str">
        <f t="shared" si="6"/>
        <v xml:space="preserve"> </v>
      </c>
      <c r="F72" s="256" t="str">
        <f t="shared" si="6"/>
        <v xml:space="preserve"> </v>
      </c>
      <c r="G72" s="256" t="str">
        <f t="shared" si="6"/>
        <v xml:space="preserve"> </v>
      </c>
      <c r="H72" s="256" t="str">
        <f t="shared" si="6"/>
        <v xml:space="preserve"> </v>
      </c>
      <c r="J72" s="22"/>
      <c r="L72" s="130"/>
      <c r="M72" s="130"/>
    </row>
    <row r="73" spans="2:13" ht="18" customHeight="1" x14ac:dyDescent="0.35">
      <c r="B73" s="177" t="s">
        <v>264</v>
      </c>
      <c r="C73" s="256" t="str">
        <f>IFERROR(1.5*(C61)^2*$C$30*(($C$25+C56)/($C$25+$C$29)), " ")</f>
        <v xml:space="preserve"> </v>
      </c>
      <c r="D73" s="256" t="str">
        <f t="shared" ref="D73:H73" si="7">IFERROR(1.5*(D61)^2*$C$30*(($C$25+D56)/($C$25+$C$29)), " ")</f>
        <v xml:space="preserve"> </v>
      </c>
      <c r="E73" s="256" t="str">
        <f t="shared" si="7"/>
        <v xml:space="preserve"> </v>
      </c>
      <c r="F73" s="256" t="str">
        <f t="shared" si="7"/>
        <v xml:space="preserve"> </v>
      </c>
      <c r="G73" s="256" t="str">
        <f t="shared" si="7"/>
        <v xml:space="preserve"> </v>
      </c>
      <c r="H73" s="256" t="str">
        <f t="shared" si="7"/>
        <v xml:space="preserve"> </v>
      </c>
      <c r="J73" s="22"/>
      <c r="L73" s="130"/>
      <c r="M73" s="130"/>
    </row>
    <row r="74" spans="2:13" ht="18" customHeight="1" x14ac:dyDescent="0.35">
      <c r="B74" s="177" t="s">
        <v>265</v>
      </c>
      <c r="C74" s="256" t="str">
        <f>IFERROR($C$30*(($C$25+($C$41+$C$42))/($C$25+$C$29)), " ")</f>
        <v xml:space="preserve"> </v>
      </c>
      <c r="D74" s="256" t="str">
        <f t="shared" ref="D74:H74" si="8">IFERROR($C$30*(($C$25+($C$41+$C$42))/($C$25+$C$29)), " ")</f>
        <v xml:space="preserve"> </v>
      </c>
      <c r="E74" s="256" t="str">
        <f t="shared" si="8"/>
        <v xml:space="preserve"> </v>
      </c>
      <c r="F74" s="256" t="str">
        <f t="shared" si="8"/>
        <v xml:space="preserve"> </v>
      </c>
      <c r="G74" s="256" t="str">
        <f t="shared" si="8"/>
        <v xml:space="preserve"> </v>
      </c>
      <c r="H74" s="256" t="str">
        <f t="shared" si="8"/>
        <v xml:space="preserve"> </v>
      </c>
      <c r="J74" s="22"/>
      <c r="L74" s="130"/>
      <c r="M74" s="130"/>
    </row>
    <row r="75" spans="2:13" ht="18" customHeight="1" x14ac:dyDescent="0.35">
      <c r="B75" s="177" t="s">
        <v>266</v>
      </c>
      <c r="C75" s="256" t="str">
        <f>IFERROR(1.5*C61^2*C74, " ")</f>
        <v xml:space="preserve"> </v>
      </c>
      <c r="D75" s="256" t="str">
        <f t="shared" ref="D75:H75" si="9">IFERROR(1.5*D61^2*D74, " ")</f>
        <v xml:space="preserve"> </v>
      </c>
      <c r="E75" s="256" t="str">
        <f t="shared" si="9"/>
        <v xml:space="preserve"> </v>
      </c>
      <c r="F75" s="256" t="str">
        <f t="shared" si="9"/>
        <v xml:space="preserve"> </v>
      </c>
      <c r="G75" s="256" t="str">
        <f t="shared" si="9"/>
        <v xml:space="preserve"> </v>
      </c>
      <c r="H75" s="256" t="str">
        <f t="shared" si="9"/>
        <v xml:space="preserve"> </v>
      </c>
      <c r="J75" s="22"/>
      <c r="L75" s="130"/>
      <c r="M75" s="130"/>
    </row>
    <row r="76" spans="2:13" ht="18" customHeight="1" x14ac:dyDescent="0.3">
      <c r="B76" s="177" t="s">
        <v>251</v>
      </c>
      <c r="C76" s="256" t="str">
        <f>IFERROR(C75-C73, " ")</f>
        <v xml:space="preserve"> </v>
      </c>
      <c r="D76" s="256" t="str">
        <f t="shared" ref="D76:H76" si="10">IFERROR(D75-D73, " ")</f>
        <v xml:space="preserve"> </v>
      </c>
      <c r="E76" s="256" t="str">
        <f t="shared" si="10"/>
        <v xml:space="preserve"> </v>
      </c>
      <c r="F76" s="256" t="str">
        <f t="shared" si="10"/>
        <v xml:space="preserve"> </v>
      </c>
      <c r="G76" s="256" t="str">
        <f t="shared" si="10"/>
        <v xml:space="preserve"> </v>
      </c>
      <c r="H76" s="256" t="str">
        <f t="shared" si="10"/>
        <v xml:space="preserve"> </v>
      </c>
      <c r="J76" s="22"/>
      <c r="L76" s="130"/>
      <c r="M76" s="130"/>
    </row>
    <row r="77" spans="2:13" ht="18" customHeight="1" x14ac:dyDescent="0.3">
      <c r="B77" s="177" t="s">
        <v>135</v>
      </c>
      <c r="C77" s="256" t="str">
        <f>IFERROR(C62+C76, " ")</f>
        <v xml:space="preserve"> </v>
      </c>
      <c r="D77" s="256" t="str">
        <f t="shared" ref="D77:H77" si="11">IFERROR(D62+D76, " ")</f>
        <v xml:space="preserve"> </v>
      </c>
      <c r="E77" s="256" t="str">
        <f t="shared" si="11"/>
        <v xml:space="preserve"> </v>
      </c>
      <c r="F77" s="256" t="str">
        <f t="shared" si="11"/>
        <v xml:space="preserve"> </v>
      </c>
      <c r="G77" s="256" t="str">
        <f t="shared" si="11"/>
        <v xml:space="preserve"> </v>
      </c>
      <c r="H77" s="256" t="str">
        <f t="shared" si="11"/>
        <v xml:space="preserve"> </v>
      </c>
      <c r="J77" s="22"/>
      <c r="L77" s="130"/>
      <c r="M77" s="130"/>
    </row>
    <row r="78" spans="2:13" ht="18" customHeight="1" x14ac:dyDescent="0.3">
      <c r="B78" s="177" t="s">
        <v>136</v>
      </c>
      <c r="C78" s="256" t="str">
        <f>IFERROR(100*(C72/C77), " ")</f>
        <v xml:space="preserve"> </v>
      </c>
      <c r="D78" s="256" t="str">
        <f t="shared" ref="D78:H78" si="12">IFERROR(100*(D72/D77), " ")</f>
        <v xml:space="preserve"> </v>
      </c>
      <c r="E78" s="256" t="str">
        <f t="shared" si="12"/>
        <v xml:space="preserve"> </v>
      </c>
      <c r="F78" s="256" t="str">
        <f t="shared" si="12"/>
        <v xml:space="preserve"> </v>
      </c>
      <c r="G78" s="256" t="str">
        <f t="shared" si="12"/>
        <v xml:space="preserve"> </v>
      </c>
      <c r="H78" s="256" t="str">
        <f t="shared" si="12"/>
        <v xml:space="preserve"> </v>
      </c>
      <c r="J78" s="22"/>
      <c r="L78" s="130"/>
      <c r="M78" s="130"/>
    </row>
    <row r="79" spans="2:13" ht="18" customHeight="1" x14ac:dyDescent="0.3">
      <c r="B79" s="406" t="s">
        <v>137</v>
      </c>
      <c r="C79" s="407" t="str">
        <f>IFERROR(100*C77/(1.732*C58*C61), " ")</f>
        <v xml:space="preserve"> </v>
      </c>
      <c r="D79" s="407" t="str">
        <f t="shared" ref="D79:H79" si="13">IFERROR(100*D77/(1.732*D58*D61), " ")</f>
        <v xml:space="preserve"> </v>
      </c>
      <c r="E79" s="407" t="str">
        <f t="shared" si="13"/>
        <v xml:space="preserve"> </v>
      </c>
      <c r="F79" s="407" t="str">
        <f t="shared" si="13"/>
        <v xml:space="preserve"> </v>
      </c>
      <c r="G79" s="407" t="str">
        <f t="shared" si="13"/>
        <v xml:space="preserve"> </v>
      </c>
      <c r="H79" s="407" t="str">
        <f t="shared" si="13"/>
        <v xml:space="preserve"> </v>
      </c>
      <c r="J79" s="22"/>
    </row>
    <row r="80" spans="2:13" s="188" customFormat="1" ht="18" customHeight="1" x14ac:dyDescent="0.3">
      <c r="B80" s="409"/>
      <c r="C80" s="326"/>
      <c r="D80" s="326"/>
      <c r="E80" s="326"/>
      <c r="F80" s="326"/>
      <c r="G80" s="326"/>
      <c r="H80" s="410"/>
      <c r="J80" s="22"/>
    </row>
    <row r="81" spans="2:13" ht="42.6" customHeight="1" thickBot="1" x14ac:dyDescent="0.35">
      <c r="B81" s="401" t="s">
        <v>409</v>
      </c>
      <c r="C81" s="772" t="str">
        <f>IF((COUNTIF(C65:H65, "&gt;0.5")+COUNTIF(C64:H64, "&gt;0.05")+COUNTIF(C66:H66, "&gt;0.33"))&gt;=1, "Supply requirements unmet - ensure that THD does not exceed .05%, voltage unbalance is below 0.5%, and the variation from average frequency remains within 0.33%", "Data is permissible - may proceed with testing")</f>
        <v>Data is permissible - may proceed with testing</v>
      </c>
      <c r="D81" s="770"/>
      <c r="E81" s="770"/>
      <c r="F81" s="226"/>
      <c r="G81" s="226"/>
      <c r="H81" s="227"/>
      <c r="J81" s="22"/>
    </row>
    <row r="82" spans="2:13" ht="16.5" x14ac:dyDescent="0.3">
      <c r="B82" s="224"/>
      <c r="D82" s="130"/>
      <c r="E82" s="130"/>
      <c r="F82" s="130"/>
      <c r="G82" s="130"/>
      <c r="H82" s="130"/>
      <c r="I82" s="130"/>
      <c r="J82" s="22"/>
    </row>
    <row r="83" spans="2:13" s="188" customFormat="1" ht="18" customHeight="1" thickBot="1" x14ac:dyDescent="0.35">
      <c r="B83" s="404"/>
      <c r="C83" s="405"/>
      <c r="D83" s="329"/>
      <c r="E83" s="329"/>
      <c r="F83" s="329"/>
      <c r="G83" s="329"/>
      <c r="H83" s="329"/>
      <c r="J83" s="22"/>
    </row>
    <row r="84" spans="2:13" ht="18" customHeight="1" thickBot="1" x14ac:dyDescent="0.4">
      <c r="B84" s="725" t="s">
        <v>102</v>
      </c>
      <c r="C84" s="727"/>
      <c r="D84" s="727"/>
      <c r="E84" s="727"/>
      <c r="F84" s="727"/>
      <c r="G84" s="727"/>
      <c r="H84" s="728"/>
      <c r="J84" s="22"/>
    </row>
    <row r="85" spans="2:13" ht="18" customHeight="1" x14ac:dyDescent="0.35">
      <c r="B85" s="385"/>
      <c r="C85" s="386"/>
      <c r="D85" s="386"/>
      <c r="E85" s="386"/>
      <c r="F85" s="386"/>
      <c r="G85" s="130"/>
      <c r="H85" s="58"/>
      <c r="J85" s="22"/>
    </row>
    <row r="86" spans="2:13" ht="38.450000000000003" customHeight="1" x14ac:dyDescent="0.35">
      <c r="B86" s="285" t="s">
        <v>122</v>
      </c>
      <c r="C86" s="484"/>
      <c r="D86" s="386"/>
      <c r="E86" s="386"/>
      <c r="F86" s="386"/>
      <c r="G86" s="130"/>
      <c r="H86" s="58"/>
      <c r="J86" s="22"/>
    </row>
    <row r="87" spans="2:13" ht="18" customHeight="1" x14ac:dyDescent="0.35">
      <c r="B87" s="385"/>
      <c r="C87" s="458"/>
      <c r="D87" s="386"/>
      <c r="E87" s="386"/>
      <c r="F87" s="386"/>
      <c r="G87" s="130"/>
      <c r="H87" s="58"/>
      <c r="J87" s="22"/>
    </row>
    <row r="88" spans="2:13" ht="18" customHeight="1" x14ac:dyDescent="0.35">
      <c r="B88" s="385"/>
      <c r="C88" s="386"/>
      <c r="D88" s="386"/>
      <c r="E88" s="386"/>
      <c r="F88" s="386"/>
      <c r="G88" s="130"/>
      <c r="H88" s="58"/>
      <c r="J88" s="22"/>
    </row>
    <row r="89" spans="2:13" ht="18" customHeight="1" thickBot="1" x14ac:dyDescent="0.4">
      <c r="B89" s="729" t="s">
        <v>166</v>
      </c>
      <c r="C89" s="730"/>
      <c r="D89" s="730"/>
      <c r="E89" s="730"/>
      <c r="F89" s="730"/>
      <c r="G89" s="226"/>
      <c r="H89" s="227"/>
      <c r="J89" s="22"/>
    </row>
    <row r="90" spans="2:13" ht="18" customHeight="1" x14ac:dyDescent="0.35">
      <c r="B90" s="385"/>
      <c r="C90" s="386"/>
      <c r="D90" s="386"/>
      <c r="E90" s="386"/>
      <c r="F90" s="386"/>
      <c r="G90" s="210"/>
      <c r="H90" s="234"/>
      <c r="J90" s="22"/>
      <c r="L90" s="130"/>
      <c r="M90" s="130"/>
    </row>
    <row r="91" spans="2:13" ht="18" customHeight="1" x14ac:dyDescent="0.3">
      <c r="B91" s="242" t="s">
        <v>159</v>
      </c>
      <c r="C91" s="204"/>
      <c r="D91" s="204"/>
      <c r="E91" s="204"/>
      <c r="F91" s="204"/>
      <c r="G91" s="130"/>
      <c r="H91" s="58"/>
      <c r="J91" s="22"/>
    </row>
    <row r="92" spans="2:13" ht="18" customHeight="1" x14ac:dyDescent="0.3">
      <c r="B92" s="239" t="s">
        <v>69</v>
      </c>
      <c r="C92" s="209" t="s">
        <v>70</v>
      </c>
      <c r="D92" s="200"/>
      <c r="E92" s="130"/>
      <c r="F92" s="130"/>
      <c r="G92" s="130"/>
      <c r="H92" s="58"/>
      <c r="J92" s="22"/>
    </row>
    <row r="93" spans="2:13" ht="18" customHeight="1" x14ac:dyDescent="0.3">
      <c r="B93" s="176" t="s">
        <v>242</v>
      </c>
      <c r="C93" s="476"/>
      <c r="D93" s="186"/>
      <c r="E93" s="130"/>
      <c r="F93" s="130"/>
      <c r="G93" s="130"/>
      <c r="H93" s="58"/>
      <c r="J93" s="22"/>
    </row>
    <row r="94" spans="2:13" ht="18" customHeight="1" x14ac:dyDescent="0.3">
      <c r="B94" s="180" t="s">
        <v>286</v>
      </c>
      <c r="C94" s="467"/>
      <c r="D94" s="130"/>
      <c r="E94" s="130"/>
      <c r="F94" s="130"/>
      <c r="G94" s="130"/>
      <c r="H94" s="58"/>
      <c r="J94" s="22"/>
    </row>
    <row r="95" spans="2:13" ht="18" customHeight="1" x14ac:dyDescent="0.3">
      <c r="B95" s="180" t="s">
        <v>173</v>
      </c>
      <c r="C95" s="467"/>
      <c r="D95" s="130"/>
      <c r="E95" s="130"/>
      <c r="F95" s="130"/>
      <c r="G95" s="130"/>
      <c r="H95" s="58"/>
      <c r="J95" s="22"/>
    </row>
    <row r="96" spans="2:13" ht="18" customHeight="1" x14ac:dyDescent="0.3">
      <c r="B96" s="163"/>
      <c r="C96" s="130"/>
      <c r="D96" s="130"/>
      <c r="E96" s="130"/>
      <c r="F96" s="130"/>
      <c r="G96" s="130"/>
      <c r="H96" s="58"/>
      <c r="J96" s="22"/>
    </row>
    <row r="97" spans="2:13" ht="18" customHeight="1" x14ac:dyDescent="0.3">
      <c r="B97" s="163" t="s">
        <v>281</v>
      </c>
      <c r="C97" s="130"/>
      <c r="D97" s="130"/>
      <c r="E97" s="130"/>
      <c r="F97" s="130"/>
      <c r="G97" s="130"/>
      <c r="H97" s="58"/>
      <c r="J97" s="22"/>
    </row>
    <row r="98" spans="2:13" ht="18" customHeight="1" x14ac:dyDescent="0.35">
      <c r="B98" s="193" t="s">
        <v>158</v>
      </c>
      <c r="C98" s="194" t="s">
        <v>243</v>
      </c>
      <c r="D98" s="194" t="s">
        <v>280</v>
      </c>
      <c r="E98" s="386"/>
      <c r="F98" s="386"/>
      <c r="G98" s="210"/>
      <c r="H98" s="234"/>
      <c r="J98" s="22"/>
      <c r="L98" s="130"/>
      <c r="M98" s="130"/>
    </row>
    <row r="99" spans="2:13" ht="18" customHeight="1" x14ac:dyDescent="0.3">
      <c r="B99" s="176">
        <v>1</v>
      </c>
      <c r="C99" s="480"/>
      <c r="D99" s="84" t="s">
        <v>276</v>
      </c>
      <c r="E99" s="235"/>
      <c r="F99" s="200"/>
      <c r="G99" s="130"/>
      <c r="H99" s="58"/>
      <c r="J99" s="22"/>
      <c r="L99" s="130"/>
    </row>
    <row r="100" spans="2:13" ht="18" customHeight="1" x14ac:dyDescent="0.3">
      <c r="B100" s="176">
        <v>2</v>
      </c>
      <c r="C100" s="467"/>
      <c r="D100" s="84">
        <v>100</v>
      </c>
      <c r="E100" s="207"/>
      <c r="F100" s="186"/>
      <c r="G100" s="130"/>
      <c r="H100" s="58"/>
      <c r="J100" s="22"/>
      <c r="L100" s="130"/>
    </row>
    <row r="101" spans="2:13" ht="18" customHeight="1" x14ac:dyDescent="0.3">
      <c r="B101" s="180">
        <v>3</v>
      </c>
      <c r="C101" s="251"/>
      <c r="D101" s="84" t="s">
        <v>277</v>
      </c>
      <c r="E101" s="207"/>
      <c r="F101" s="186"/>
      <c r="G101" s="130"/>
      <c r="H101" s="58"/>
      <c r="J101" s="22"/>
      <c r="L101" s="130"/>
    </row>
    <row r="102" spans="2:13" ht="18" customHeight="1" x14ac:dyDescent="0.3">
      <c r="B102" s="176">
        <v>4</v>
      </c>
      <c r="C102" s="251"/>
      <c r="D102" s="84" t="s">
        <v>278</v>
      </c>
      <c r="E102" s="185"/>
      <c r="F102" s="186"/>
      <c r="G102" s="130"/>
      <c r="H102" s="58"/>
      <c r="J102" s="22"/>
      <c r="L102" s="130"/>
    </row>
    <row r="103" spans="2:13" ht="18" customHeight="1" x14ac:dyDescent="0.3">
      <c r="B103" s="176">
        <v>5</v>
      </c>
      <c r="C103" s="251"/>
      <c r="D103" s="84" t="s">
        <v>278</v>
      </c>
      <c r="E103" s="207"/>
      <c r="F103" s="186"/>
      <c r="G103" s="130"/>
      <c r="H103" s="58"/>
      <c r="J103" s="22"/>
      <c r="L103" s="130"/>
    </row>
    <row r="104" spans="2:13" ht="18" customHeight="1" x14ac:dyDescent="0.3">
      <c r="B104" s="176">
        <v>6</v>
      </c>
      <c r="C104" s="251"/>
      <c r="D104" s="84" t="s">
        <v>278</v>
      </c>
      <c r="E104" s="207"/>
      <c r="F104" s="186"/>
      <c r="G104" s="130"/>
      <c r="H104" s="58"/>
      <c r="J104" s="22"/>
      <c r="L104" s="130"/>
    </row>
    <row r="105" spans="2:13" ht="18" customHeight="1" x14ac:dyDescent="0.3">
      <c r="B105" s="178"/>
      <c r="C105" s="487"/>
      <c r="D105" s="212"/>
      <c r="E105" s="185"/>
      <c r="F105" s="186"/>
      <c r="G105" s="236"/>
      <c r="H105" s="58"/>
      <c r="J105" s="22"/>
      <c r="L105" s="130"/>
    </row>
    <row r="106" spans="2:13" ht="18" customHeight="1" x14ac:dyDescent="0.35">
      <c r="B106" s="248"/>
      <c r="C106" s="732" t="s">
        <v>158</v>
      </c>
      <c r="D106" s="732"/>
      <c r="E106" s="732"/>
      <c r="F106" s="732"/>
      <c r="G106" s="732"/>
      <c r="H106" s="733"/>
      <c r="J106" s="22"/>
      <c r="L106" s="130"/>
    </row>
    <row r="107" spans="2:13" ht="18" customHeight="1" x14ac:dyDescent="0.35">
      <c r="B107" s="195" t="s">
        <v>117</v>
      </c>
      <c r="C107" s="322">
        <v>1</v>
      </c>
      <c r="D107" s="322">
        <v>2</v>
      </c>
      <c r="E107" s="196">
        <v>3</v>
      </c>
      <c r="F107" s="322">
        <v>4</v>
      </c>
      <c r="G107" s="322">
        <v>5</v>
      </c>
      <c r="H107" s="323">
        <v>6</v>
      </c>
      <c r="J107" s="22"/>
      <c r="L107" s="130"/>
    </row>
    <row r="108" spans="2:13" ht="18" customHeight="1" x14ac:dyDescent="0.3">
      <c r="B108" s="180" t="s">
        <v>242</v>
      </c>
      <c r="C108" s="475"/>
      <c r="D108" s="475"/>
      <c r="E108" s="481"/>
      <c r="F108" s="475"/>
      <c r="G108" s="475"/>
      <c r="H108" s="482"/>
      <c r="J108" s="22"/>
      <c r="L108" s="130"/>
    </row>
    <row r="109" spans="2:13" ht="18" customHeight="1" x14ac:dyDescent="0.3">
      <c r="B109" s="180" t="s">
        <v>285</v>
      </c>
      <c r="C109" s="475"/>
      <c r="D109" s="475"/>
      <c r="E109" s="481"/>
      <c r="F109" s="475"/>
      <c r="G109" s="475"/>
      <c r="H109" s="482"/>
      <c r="J109" s="22"/>
      <c r="L109" s="130"/>
    </row>
    <row r="110" spans="2:13" ht="18" customHeight="1" x14ac:dyDescent="0.3">
      <c r="B110" s="202" t="s">
        <v>286</v>
      </c>
      <c r="C110" s="475"/>
      <c r="D110" s="475"/>
      <c r="E110" s="481"/>
      <c r="F110" s="475"/>
      <c r="G110" s="475"/>
      <c r="H110" s="482"/>
      <c r="J110" s="22"/>
      <c r="L110" s="130"/>
    </row>
    <row r="111" spans="2:13" ht="18" customHeight="1" x14ac:dyDescent="0.3">
      <c r="B111" s="180" t="s">
        <v>256</v>
      </c>
      <c r="C111" s="483"/>
      <c r="D111" s="475"/>
      <c r="E111" s="481"/>
      <c r="F111" s="475"/>
      <c r="G111" s="475"/>
      <c r="H111" s="482"/>
      <c r="J111" s="22"/>
      <c r="L111" s="130"/>
    </row>
    <row r="112" spans="2:13" ht="18" customHeight="1" x14ac:dyDescent="0.3">
      <c r="B112" s="180" t="s">
        <v>439</v>
      </c>
      <c r="C112" s="467"/>
      <c r="D112" s="467"/>
      <c r="E112" s="467"/>
      <c r="F112" s="467"/>
      <c r="G112" s="467"/>
      <c r="H112" s="470"/>
      <c r="J112" s="22"/>
      <c r="L112" s="130"/>
    </row>
    <row r="113" spans="2:13" ht="18" customHeight="1" x14ac:dyDescent="0.3">
      <c r="B113" s="180" t="s">
        <v>194</v>
      </c>
      <c r="C113" s="475"/>
      <c r="D113" s="475"/>
      <c r="E113" s="481"/>
      <c r="F113" s="475"/>
      <c r="G113" s="475"/>
      <c r="H113" s="482"/>
      <c r="J113" s="22"/>
      <c r="L113" s="130"/>
      <c r="M113" s="130"/>
    </row>
    <row r="114" spans="2:13" ht="18" customHeight="1" x14ac:dyDescent="0.3">
      <c r="B114" s="180" t="s">
        <v>386</v>
      </c>
      <c r="C114" s="475"/>
      <c r="D114" s="475"/>
      <c r="E114" s="481"/>
      <c r="F114" s="475"/>
      <c r="G114" s="475"/>
      <c r="H114" s="482"/>
      <c r="J114" s="22"/>
      <c r="L114" s="130"/>
      <c r="M114" s="130"/>
    </row>
    <row r="115" spans="2:13" ht="18" customHeight="1" x14ac:dyDescent="0.3">
      <c r="B115" s="180" t="s">
        <v>252</v>
      </c>
      <c r="C115" s="256" t="str">
        <f>IFERROR(($C$30*(C108+$C$25))/($C$29+$C$25), " ")</f>
        <v xml:space="preserve"> </v>
      </c>
      <c r="D115" s="256" t="str">
        <f t="shared" ref="D115:H115" si="14">IFERROR(($C$30*(D108+$C$25))/($C$29+$C$25), " ")</f>
        <v xml:space="preserve"> </v>
      </c>
      <c r="E115" s="256" t="str">
        <f t="shared" si="14"/>
        <v xml:space="preserve"> </v>
      </c>
      <c r="F115" s="256" t="str">
        <f t="shared" si="14"/>
        <v xml:space="preserve"> </v>
      </c>
      <c r="G115" s="256" t="str">
        <f t="shared" si="14"/>
        <v xml:space="preserve"> </v>
      </c>
      <c r="H115" s="256" t="str">
        <f t="shared" si="14"/>
        <v xml:space="preserve"> </v>
      </c>
      <c r="J115" s="22"/>
      <c r="L115" s="130"/>
    </row>
    <row r="116" spans="2:13" s="130" customFormat="1" ht="18" customHeight="1" x14ac:dyDescent="0.3">
      <c r="B116" s="180" t="s">
        <v>257</v>
      </c>
      <c r="C116" s="256" t="str">
        <f>IFERROR(1.5*(C110)^2*C115, " ")</f>
        <v xml:space="preserve"> </v>
      </c>
      <c r="D116" s="256" t="str">
        <f t="shared" ref="D116:H116" si="15">IFERROR(1.5*(D110)^2*D115, " ")</f>
        <v xml:space="preserve"> </v>
      </c>
      <c r="E116" s="256" t="str">
        <f t="shared" si="15"/>
        <v xml:space="preserve"> </v>
      </c>
      <c r="F116" s="256" t="str">
        <f t="shared" si="15"/>
        <v xml:space="preserve"> </v>
      </c>
      <c r="G116" s="256" t="str">
        <f t="shared" si="15"/>
        <v xml:space="preserve"> </v>
      </c>
      <c r="H116" s="256" t="str">
        <f t="shared" si="15"/>
        <v xml:space="preserve"> </v>
      </c>
      <c r="J116" s="450"/>
    </row>
    <row r="117" spans="2:13" ht="38.450000000000003" customHeight="1" x14ac:dyDescent="0.3">
      <c r="B117" s="243" t="s">
        <v>258</v>
      </c>
      <c r="C117" s="260" t="str">
        <f>IFERROR(C111-C116, " ")</f>
        <v xml:space="preserve"> </v>
      </c>
      <c r="D117" s="260" t="str">
        <f t="shared" ref="D117:H117" si="16">IFERROR(D111-D116, " ")</f>
        <v xml:space="preserve"> </v>
      </c>
      <c r="E117" s="260" t="str">
        <f t="shared" si="16"/>
        <v xml:space="preserve"> </v>
      </c>
      <c r="F117" s="260" t="str">
        <f t="shared" si="16"/>
        <v xml:space="preserve"> </v>
      </c>
      <c r="G117" s="260" t="str">
        <f t="shared" si="16"/>
        <v xml:space="preserve"> </v>
      </c>
      <c r="H117" s="260" t="str">
        <f t="shared" si="16"/>
        <v xml:space="preserve"> </v>
      </c>
      <c r="J117" s="22"/>
    </row>
    <row r="118" spans="2:13" ht="38.450000000000003" customHeight="1" x14ac:dyDescent="0.3">
      <c r="B118" s="243" t="s">
        <v>143</v>
      </c>
      <c r="C118" s="260" t="str">
        <f>IFERROR(C117-$C$127, " ")</f>
        <v xml:space="preserve"> </v>
      </c>
      <c r="D118" s="260" t="str">
        <f t="shared" ref="D118:H118" si="17">IFERROR(D117-$C$127, " ")</f>
        <v xml:space="preserve"> </v>
      </c>
      <c r="E118" s="260" t="str">
        <f t="shared" si="17"/>
        <v xml:space="preserve"> </v>
      </c>
      <c r="F118" s="260" t="str">
        <f t="shared" si="17"/>
        <v xml:space="preserve"> </v>
      </c>
      <c r="G118" s="260" t="str">
        <f t="shared" si="17"/>
        <v xml:space="preserve"> </v>
      </c>
      <c r="H118" s="260" t="str">
        <f t="shared" si="17"/>
        <v xml:space="preserve"> </v>
      </c>
      <c r="J118" s="22"/>
    </row>
    <row r="119" spans="2:13" ht="18" customHeight="1" x14ac:dyDescent="0.3">
      <c r="B119" s="180" t="s">
        <v>440</v>
      </c>
      <c r="C119" s="260" t="str">
        <f>IFERROR(ABS(100*(($C$121-C112)/$C$121)), " ")</f>
        <v xml:space="preserve"> </v>
      </c>
      <c r="D119" s="260" t="str">
        <f t="shared" ref="D119:H119" si="18">IFERROR(ABS(100*(($C$121-D112)/$C$121)), " ")</f>
        <v xml:space="preserve"> </v>
      </c>
      <c r="E119" s="260" t="str">
        <f t="shared" si="18"/>
        <v xml:space="preserve"> </v>
      </c>
      <c r="F119" s="260" t="str">
        <f t="shared" si="18"/>
        <v xml:space="preserve"> </v>
      </c>
      <c r="G119" s="260" t="str">
        <f t="shared" si="18"/>
        <v xml:space="preserve"> </v>
      </c>
      <c r="H119" s="260" t="str">
        <f t="shared" si="18"/>
        <v xml:space="preserve"> </v>
      </c>
      <c r="J119" s="22"/>
      <c r="L119" s="130"/>
      <c r="M119" s="130"/>
    </row>
    <row r="120" spans="2:13" s="188" customFormat="1" ht="18" customHeight="1" x14ac:dyDescent="0.3">
      <c r="B120" s="409"/>
      <c r="C120" s="326"/>
      <c r="D120" s="326"/>
      <c r="E120" s="326"/>
      <c r="F120" s="326"/>
      <c r="G120" s="326"/>
      <c r="H120" s="410"/>
      <c r="J120" s="22"/>
    </row>
    <row r="121" spans="2:13" s="188" customFormat="1" ht="18" customHeight="1" x14ac:dyDescent="0.3">
      <c r="B121" s="335" t="s">
        <v>441</v>
      </c>
      <c r="C121" s="256" t="str">
        <f>IFERROR(AVERAGE(C112:H112), " ")</f>
        <v xml:space="preserve"> </v>
      </c>
      <c r="D121" s="329"/>
      <c r="E121" s="329"/>
      <c r="F121" s="329"/>
      <c r="G121" s="329"/>
      <c r="H121" s="398"/>
      <c r="J121" s="22"/>
    </row>
    <row r="122" spans="2:13" s="188" customFormat="1" ht="18" customHeight="1" x14ac:dyDescent="0.3">
      <c r="B122" s="335" t="s">
        <v>442</v>
      </c>
      <c r="C122" s="256" t="str">
        <f>IFERROR(100*(ABS(C121-60)/60), " ")</f>
        <v xml:space="preserve"> </v>
      </c>
      <c r="D122" s="329"/>
      <c r="E122" s="329"/>
      <c r="F122" s="329"/>
      <c r="G122" s="329"/>
      <c r="H122" s="398"/>
      <c r="J122" s="22"/>
    </row>
    <row r="123" spans="2:13" ht="42.6" customHeight="1" x14ac:dyDescent="0.3">
      <c r="B123" s="408" t="s">
        <v>443</v>
      </c>
      <c r="C123" s="750" t="str">
        <f>IF((COUNTIF(C114:H114, "&gt;0.5")+COUNTIF(C113:H113, "&gt;0.05")+COUNTIF(C119:H119, "&gt;0.33")+COUNTIF(C122, "&gt;0.1"))&gt;=1, "Supply requirements unmet - ensure that THD does not exceed .05%, voltage unbalance is below 0.5%, variation from average frequency remains within 0.33%, and average test frequency is within 0.1% of rated value", "Data is permissible - may proceed with testing")</f>
        <v>Data is permissible - may proceed with testing</v>
      </c>
      <c r="D123" s="751"/>
      <c r="E123" s="751"/>
      <c r="F123" s="130"/>
      <c r="G123" s="130"/>
      <c r="H123" s="58"/>
      <c r="J123" s="22"/>
    </row>
    <row r="124" spans="2:13" ht="16.5" x14ac:dyDescent="0.3">
      <c r="B124" s="163"/>
      <c r="C124" s="130"/>
      <c r="D124" s="130"/>
      <c r="E124" s="130"/>
      <c r="F124" s="130"/>
      <c r="G124" s="130"/>
      <c r="H124" s="58"/>
      <c r="J124" s="22"/>
    </row>
    <row r="125" spans="2:13" ht="18" customHeight="1" thickBot="1" x14ac:dyDescent="0.4">
      <c r="B125" s="244" t="s">
        <v>160</v>
      </c>
      <c r="C125" s="226"/>
      <c r="D125" s="226"/>
      <c r="E125" s="226"/>
      <c r="F125" s="226"/>
      <c r="G125" s="226"/>
      <c r="H125" s="227"/>
      <c r="I125" s="130"/>
      <c r="J125" s="22"/>
    </row>
    <row r="126" spans="2:13" ht="18" customHeight="1" x14ac:dyDescent="0.35">
      <c r="B126" s="228" t="s">
        <v>69</v>
      </c>
      <c r="C126" s="296" t="s">
        <v>70</v>
      </c>
      <c r="D126" s="224"/>
      <c r="E126" s="224"/>
      <c r="F126" s="224"/>
      <c r="G126" s="224"/>
      <c r="H126" s="58"/>
      <c r="J126" s="22"/>
    </row>
    <row r="127" spans="2:13" ht="18" customHeight="1" x14ac:dyDescent="0.3">
      <c r="B127" s="180" t="s">
        <v>245</v>
      </c>
      <c r="C127" s="256" t="str">
        <f>IFERROR(INTERCEPT(C116:H116,C109:H109), " ")</f>
        <v xml:space="preserve"> </v>
      </c>
      <c r="D127" s="130"/>
      <c r="E127" s="130"/>
      <c r="F127" s="130"/>
      <c r="G127" s="130"/>
      <c r="H127" s="58"/>
      <c r="J127" s="22"/>
    </row>
    <row r="128" spans="2:13" ht="18" customHeight="1" x14ac:dyDescent="0.35">
      <c r="B128" s="180" t="s">
        <v>244</v>
      </c>
      <c r="C128" s="256" t="str">
        <f>IFERROR(FORECAST(C21,C118:H118,C109:H109), " ")</f>
        <v xml:space="preserve"> </v>
      </c>
      <c r="D128" s="130"/>
      <c r="E128" s="130"/>
      <c r="F128" s="130"/>
      <c r="G128" s="130"/>
      <c r="H128" s="58"/>
      <c r="J128" s="22"/>
    </row>
    <row r="129" spans="2:12" ht="18" customHeight="1" x14ac:dyDescent="0.35">
      <c r="B129" s="298"/>
      <c r="C129" s="297"/>
      <c r="D129" s="297"/>
      <c r="E129" s="297"/>
      <c r="F129" s="297"/>
      <c r="G129" s="130"/>
      <c r="H129" s="58"/>
      <c r="J129" s="22"/>
    </row>
    <row r="130" spans="2:12" ht="18" customHeight="1" thickBot="1" x14ac:dyDescent="0.4">
      <c r="B130" s="293" t="s">
        <v>167</v>
      </c>
      <c r="C130" s="294"/>
      <c r="D130" s="294"/>
      <c r="E130" s="294"/>
      <c r="F130" s="294"/>
      <c r="G130" s="226"/>
      <c r="H130" s="227"/>
      <c r="J130" s="22"/>
      <c r="L130" s="130"/>
    </row>
    <row r="131" spans="2:12" ht="18" customHeight="1" x14ac:dyDescent="0.35">
      <c r="B131" s="228" t="s">
        <v>119</v>
      </c>
      <c r="C131" s="771" t="s">
        <v>124</v>
      </c>
      <c r="D131" s="771"/>
      <c r="E131" s="771"/>
      <c r="F131" s="201"/>
      <c r="G131" s="245"/>
      <c r="H131" s="246"/>
      <c r="J131" s="22"/>
      <c r="L131" s="130"/>
    </row>
    <row r="132" spans="2:12" ht="35.450000000000003" customHeight="1" x14ac:dyDescent="0.3">
      <c r="B132" s="85" t="s">
        <v>92</v>
      </c>
      <c r="C132" s="746" t="s">
        <v>120</v>
      </c>
      <c r="D132" s="746"/>
      <c r="E132" s="746"/>
      <c r="F132" s="200"/>
      <c r="G132" s="130"/>
      <c r="H132" s="58"/>
      <c r="J132" s="22"/>
      <c r="L132" s="130"/>
    </row>
    <row r="133" spans="2:12" ht="18" customHeight="1" x14ac:dyDescent="0.3">
      <c r="B133" s="85" t="s">
        <v>123</v>
      </c>
      <c r="C133" s="747" t="s">
        <v>121</v>
      </c>
      <c r="D133" s="747"/>
      <c r="E133" s="747"/>
      <c r="F133" s="186"/>
      <c r="G133" s="130"/>
      <c r="H133" s="58"/>
      <c r="J133" s="22"/>
      <c r="L133" s="130"/>
    </row>
    <row r="134" spans="2:12" ht="18" customHeight="1" x14ac:dyDescent="0.3">
      <c r="B134" s="163"/>
      <c r="C134" s="130"/>
      <c r="D134" s="130"/>
      <c r="E134" s="130"/>
      <c r="F134" s="130"/>
      <c r="G134" s="130"/>
      <c r="H134" s="58"/>
      <c r="J134" s="22"/>
      <c r="L134" s="130"/>
    </row>
    <row r="135" spans="2:12" ht="18" customHeight="1" x14ac:dyDescent="0.35">
      <c r="B135" s="248"/>
      <c r="C135" s="748" t="s">
        <v>119</v>
      </c>
      <c r="D135" s="749"/>
      <c r="E135" s="130"/>
      <c r="F135" s="130"/>
      <c r="G135" s="130"/>
      <c r="H135" s="58"/>
      <c r="J135" s="22"/>
    </row>
    <row r="136" spans="2:12" ht="18" customHeight="1" x14ac:dyDescent="0.35">
      <c r="B136" s="195" t="s">
        <v>117</v>
      </c>
      <c r="C136" s="295" t="s">
        <v>92</v>
      </c>
      <c r="D136" s="295" t="s">
        <v>123</v>
      </c>
      <c r="E136" s="130"/>
      <c r="F136" s="130"/>
      <c r="G136" s="130"/>
      <c r="H136" s="58"/>
      <c r="J136" s="22"/>
    </row>
    <row r="137" spans="2:12" ht="18" customHeight="1" x14ac:dyDescent="0.3">
      <c r="B137" s="180" t="s">
        <v>125</v>
      </c>
      <c r="C137" s="475"/>
      <c r="D137" s="475"/>
      <c r="E137" s="130"/>
      <c r="F137" s="130"/>
      <c r="G137" s="130"/>
      <c r="H137" s="58"/>
      <c r="J137" s="22"/>
    </row>
    <row r="138" spans="2:12" ht="18" customHeight="1" x14ac:dyDescent="0.3">
      <c r="B138" s="180" t="s">
        <v>114</v>
      </c>
      <c r="C138" s="467"/>
      <c r="D138" s="467"/>
      <c r="E138" s="130"/>
      <c r="F138" s="130"/>
      <c r="G138" s="130"/>
      <c r="H138" s="58"/>
      <c r="J138" s="22"/>
    </row>
    <row r="139" spans="2:12" ht="18" customHeight="1" x14ac:dyDescent="0.3">
      <c r="B139" s="180" t="s">
        <v>112</v>
      </c>
      <c r="C139" s="467"/>
      <c r="D139" s="467"/>
      <c r="E139" s="130"/>
      <c r="F139" s="130"/>
      <c r="G139" s="130"/>
      <c r="H139" s="58"/>
      <c r="J139" s="22"/>
    </row>
    <row r="140" spans="2:12" ht="18" customHeight="1" x14ac:dyDescent="0.3">
      <c r="B140" s="180" t="s">
        <v>234</v>
      </c>
      <c r="C140" s="467"/>
      <c r="D140" s="467"/>
      <c r="E140" s="130"/>
      <c r="F140" s="130"/>
      <c r="G140" s="130"/>
      <c r="H140" s="58"/>
      <c r="J140" s="450"/>
    </row>
    <row r="141" spans="2:12" ht="18" customHeight="1" x14ac:dyDescent="0.3">
      <c r="B141" s="180" t="s">
        <v>126</v>
      </c>
      <c r="C141" s="467"/>
      <c r="D141" s="268"/>
      <c r="E141" s="130"/>
      <c r="F141" s="130"/>
      <c r="G141" s="130"/>
      <c r="H141" s="58"/>
      <c r="J141" s="22"/>
    </row>
    <row r="142" spans="2:12" ht="18" customHeight="1" x14ac:dyDescent="0.3">
      <c r="B142" s="180" t="s">
        <v>101</v>
      </c>
      <c r="C142" s="467"/>
      <c r="D142" s="485"/>
      <c r="E142" s="130"/>
      <c r="F142" s="130"/>
      <c r="G142" s="130"/>
      <c r="H142" s="58"/>
      <c r="J142" s="22"/>
    </row>
    <row r="143" spans="2:12" ht="18" customHeight="1" x14ac:dyDescent="0.3">
      <c r="B143" s="180" t="s">
        <v>226</v>
      </c>
      <c r="C143" s="467"/>
      <c r="D143" s="467"/>
      <c r="E143" s="130"/>
      <c r="F143" s="130"/>
      <c r="G143" s="130"/>
      <c r="H143" s="58"/>
      <c r="J143" s="22"/>
    </row>
    <row r="144" spans="2:12" ht="18" customHeight="1" x14ac:dyDescent="0.3">
      <c r="B144" s="205"/>
      <c r="C144" s="130"/>
      <c r="D144" s="130"/>
      <c r="E144" s="130"/>
      <c r="F144" s="130"/>
      <c r="G144" s="130"/>
      <c r="H144" s="58"/>
      <c r="J144" s="22"/>
    </row>
    <row r="145" spans="1:10" ht="18" customHeight="1" thickBot="1" x14ac:dyDescent="0.4">
      <c r="B145" s="156" t="s">
        <v>105</v>
      </c>
      <c r="C145" s="130"/>
      <c r="D145" s="130"/>
      <c r="E145" s="130"/>
      <c r="F145" s="130"/>
      <c r="G145" s="130"/>
      <c r="H145" s="58"/>
      <c r="J145" s="22"/>
    </row>
    <row r="146" spans="1:10" ht="18" customHeight="1" x14ac:dyDescent="0.3">
      <c r="B146" s="169" t="s">
        <v>69</v>
      </c>
      <c r="C146" s="91" t="s">
        <v>70</v>
      </c>
      <c r="D146" s="238"/>
      <c r="E146" s="224"/>
      <c r="F146" s="224"/>
      <c r="G146" s="224"/>
      <c r="H146" s="225"/>
      <c r="J146" s="22"/>
    </row>
    <row r="147" spans="1:10" ht="18" customHeight="1" x14ac:dyDescent="0.3">
      <c r="B147" s="303" t="s">
        <v>246</v>
      </c>
      <c r="C147" s="257">
        <f>1.5*(C139)^2*C140</f>
        <v>0</v>
      </c>
      <c r="D147" s="184"/>
      <c r="E147" s="130"/>
      <c r="F147" s="130"/>
      <c r="G147" s="130"/>
      <c r="H147" s="58"/>
      <c r="J147" s="22"/>
    </row>
    <row r="148" spans="1:10" ht="18" customHeight="1" x14ac:dyDescent="0.3">
      <c r="B148" s="303" t="s">
        <v>247</v>
      </c>
      <c r="C148" s="257">
        <f>1.5*(D139)^2*D140</f>
        <v>0</v>
      </c>
      <c r="D148" s="184"/>
      <c r="E148" s="130"/>
      <c r="F148" s="130"/>
      <c r="G148" s="130"/>
      <c r="H148" s="58"/>
      <c r="J148" s="22"/>
    </row>
    <row r="149" spans="1:10" ht="18" customHeight="1" x14ac:dyDescent="0.3">
      <c r="B149" s="303" t="s">
        <v>143</v>
      </c>
      <c r="C149" s="257" t="str">
        <f>C128</f>
        <v xml:space="preserve"> </v>
      </c>
      <c r="D149" s="211"/>
      <c r="E149" s="130"/>
      <c r="F149" s="130"/>
      <c r="G149" s="130"/>
      <c r="H149" s="58"/>
      <c r="J149" s="22"/>
    </row>
    <row r="150" spans="1:10" ht="18" customHeight="1" x14ac:dyDescent="0.3">
      <c r="B150" s="237" t="s">
        <v>248</v>
      </c>
      <c r="C150" s="164" t="str">
        <f>IFERROR((C137-C147-C149)*(1-C141), " ")</f>
        <v xml:space="preserve"> </v>
      </c>
      <c r="D150" s="186"/>
      <c r="E150" s="130"/>
      <c r="F150" s="130"/>
      <c r="G150" s="130"/>
      <c r="H150" s="58"/>
      <c r="J150" s="22"/>
    </row>
    <row r="151" spans="1:10" ht="18" customHeight="1" x14ac:dyDescent="0.3">
      <c r="B151" s="176" t="s">
        <v>249</v>
      </c>
      <c r="C151" s="164" t="str">
        <f>IFERROR(D137-C148-C149, " ")</f>
        <v xml:space="preserve"> </v>
      </c>
      <c r="D151" s="184"/>
      <c r="E151" s="130"/>
      <c r="F151" s="130"/>
      <c r="G151" s="130"/>
      <c r="H151" s="58"/>
      <c r="J151" s="22"/>
    </row>
    <row r="152" spans="1:10" ht="18" customHeight="1" thickBot="1" x14ac:dyDescent="0.35">
      <c r="B152" s="302" t="s">
        <v>250</v>
      </c>
      <c r="C152" s="258">
        <f>IF(C86="Yes", 9.549*((C150-C151)/C142)-C143, 0)</f>
        <v>0</v>
      </c>
      <c r="D152" s="247"/>
      <c r="E152" s="226"/>
      <c r="F152" s="226"/>
      <c r="G152" s="226"/>
      <c r="H152" s="227"/>
      <c r="J152" s="22"/>
    </row>
    <row r="153" spans="1:10" ht="18" customHeight="1" x14ac:dyDescent="0.3">
      <c r="G153" s="130"/>
      <c r="H153" s="130"/>
      <c r="J153" s="22"/>
    </row>
    <row r="154" spans="1:10" ht="18" customHeight="1" x14ac:dyDescent="0.3">
      <c r="J154" s="22"/>
    </row>
    <row r="155" spans="1:10" ht="18" customHeight="1" x14ac:dyDescent="0.3">
      <c r="A155" s="22"/>
      <c r="B155" s="22"/>
      <c r="C155" s="22"/>
      <c r="D155" s="22"/>
      <c r="E155" s="22"/>
      <c r="F155" s="22"/>
      <c r="G155" s="22"/>
      <c r="H155" s="22"/>
      <c r="I155" s="22"/>
      <c r="J155" s="22"/>
    </row>
  </sheetData>
  <sheetProtection algorithmName="SHA-512" hashValue="omXZBDhAmednSpG1TdiHegyx2u5LZrnlRtw5BplkUzVLInGjx+lj+ofPLKL4fcsBiTlfYfX7K/hbUM+I5CFyrQ==" saltValue="sC/4C77DSn7vEb/VYwzmsA==" spinCount="100000" sheet="1" selectLockedCells="1"/>
  <mergeCells count="19">
    <mergeCell ref="B11:H11"/>
    <mergeCell ref="B12:H12"/>
    <mergeCell ref="B2:C2"/>
    <mergeCell ref="C132:E132"/>
    <mergeCell ref="B16:H16"/>
    <mergeCell ref="B17:H17"/>
    <mergeCell ref="B19:H19"/>
    <mergeCell ref="B32:H32"/>
    <mergeCell ref="B44:H44"/>
    <mergeCell ref="B27:H27"/>
    <mergeCell ref="C133:E133"/>
    <mergeCell ref="C135:D135"/>
    <mergeCell ref="C54:H54"/>
    <mergeCell ref="C131:E131"/>
    <mergeCell ref="B89:F89"/>
    <mergeCell ref="C106:H106"/>
    <mergeCell ref="B84:H84"/>
    <mergeCell ref="C81:E81"/>
    <mergeCell ref="C123:E123"/>
  </mergeCells>
  <conditionalFormatting sqref="B89:H152">
    <cfRule type="expression" dxfId="5" priority="1">
      <formula>$C$86="No"</formula>
    </cfRule>
  </conditionalFormatting>
  <hyperlinks>
    <hyperlink ref="G2" location="Instructions!B37" display="Back to Instructions tab" xr:uid="{B365BA3E-8434-4A2B-A31A-596F92E404C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4022B83-9096-4417-BF78-75B736902333}">
          <x14:formula1>
            <xm:f>'Drop-downs'!$B$22:$B$23</xm:f>
          </x14:formula1>
          <xm:sqref>C86 C34 C14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4741-44D5-4FB3-8622-20E5B83728CB}">
  <sheetPr>
    <tabColor rgb="FF0070C0"/>
  </sheetPr>
  <dimension ref="A1:O182"/>
  <sheetViews>
    <sheetView showGridLines="0" zoomScale="80" zoomScaleNormal="80" workbookViewId="0">
      <selection activeCell="C14" sqref="C14"/>
    </sheetView>
  </sheetViews>
  <sheetFormatPr defaultColWidth="9.140625" defaultRowHeight="18" customHeight="1" x14ac:dyDescent="0.3"/>
  <cols>
    <col min="1" max="1" width="9.140625" style="135"/>
    <col min="2" max="2" width="46.85546875" style="135" customWidth="1"/>
    <col min="3" max="3" width="34.5703125" style="135" customWidth="1"/>
    <col min="4" max="4" width="28.5703125" style="135" customWidth="1"/>
    <col min="5" max="5" width="25.140625" style="135" bestFit="1" customWidth="1"/>
    <col min="6" max="6" width="22.85546875" style="135" customWidth="1"/>
    <col min="7" max="7" width="22.28515625" style="135" customWidth="1"/>
    <col min="8" max="8" width="23.140625" style="135" customWidth="1"/>
    <col min="9" max="9" width="5.5703125" style="135" customWidth="1"/>
    <col min="10" max="10" width="8.42578125" style="135" customWidth="1"/>
    <col min="11" max="11" width="3.85546875" style="135" customWidth="1"/>
    <col min="12" max="16384" width="9.140625" style="135"/>
  </cols>
  <sheetData>
    <row r="1" spans="2:11" ht="18" customHeight="1" thickBot="1" x14ac:dyDescent="0.35">
      <c r="K1" s="136"/>
    </row>
    <row r="2" spans="2:11" ht="18" customHeight="1" thickBot="1" x14ac:dyDescent="0.35">
      <c r="B2" s="665" t="str">
        <f>'Version Control'!$B$2</f>
        <v>Title Block</v>
      </c>
      <c r="C2" s="666"/>
      <c r="G2" s="1" t="s">
        <v>37</v>
      </c>
      <c r="K2" s="136"/>
    </row>
    <row r="3" spans="2:11" ht="18" customHeight="1" x14ac:dyDescent="0.3">
      <c r="B3" s="137" t="str">
        <f>'Version Control'!$B$3</f>
        <v>Test Report Template Name:</v>
      </c>
      <c r="C3" s="138" t="str">
        <f>'Version Control'!C3</f>
        <v>Small Electric Motors</v>
      </c>
      <c r="K3" s="136"/>
    </row>
    <row r="4" spans="2:11" ht="18" customHeight="1" x14ac:dyDescent="0.3">
      <c r="B4" s="139" t="str">
        <f>'Version Control'!$B$4</f>
        <v>Version Number:</v>
      </c>
      <c r="C4" s="140" t="str">
        <f>'Version Control'!C4</f>
        <v>v1.0</v>
      </c>
      <c r="K4" s="136"/>
    </row>
    <row r="5" spans="2:11" ht="18" customHeight="1" x14ac:dyDescent="0.3">
      <c r="B5" s="139" t="str">
        <f>'Version Control'!$B$5</f>
        <v xml:space="preserve">Latest Template Revision: </v>
      </c>
      <c r="C5" s="141">
        <f>'Version Control'!C5</f>
        <v>45575</v>
      </c>
      <c r="K5" s="136"/>
    </row>
    <row r="6" spans="2:11" ht="18" customHeight="1" x14ac:dyDescent="0.3">
      <c r="B6" s="139" t="str">
        <f>'Version Control'!$B$6</f>
        <v>Tab Name:</v>
      </c>
      <c r="C6" s="142" t="str">
        <f ca="1">MID(CELL("filename",A1), FIND("]", CELL("filename", A1))+ 1, 255)</f>
        <v>IEEE 112-2017 Method B</v>
      </c>
      <c r="K6" s="136"/>
    </row>
    <row r="7" spans="2:11" ht="36" customHeight="1" x14ac:dyDescent="0.3">
      <c r="B7" s="99" t="str">
        <f>'Version Control'!$B$7</f>
        <v>File Name:</v>
      </c>
      <c r="C7" s="143" t="str">
        <f ca="1">'Version Control'!C7</f>
        <v>Small Electric Motors - v1.0.xlsx</v>
      </c>
      <c r="K7" s="136"/>
    </row>
    <row r="8" spans="2:11" ht="16.5" x14ac:dyDescent="0.3">
      <c r="B8" s="144" t="s">
        <v>42</v>
      </c>
      <c r="C8" s="145" t="str">
        <f>'General Info &amp; Test Results'!C17</f>
        <v>[MM/DD/YYYY]</v>
      </c>
      <c r="K8" s="136"/>
    </row>
    <row r="9" spans="2:11" ht="18" customHeight="1" thickBot="1" x14ac:dyDescent="0.35">
      <c r="B9" s="146" t="str">
        <f>'Version Control'!$B$9</f>
        <v>Date Test Finished:</v>
      </c>
      <c r="C9" s="147" t="str">
        <f>'Version Control'!C9</f>
        <v>[MM/DD/YYYY]</v>
      </c>
      <c r="K9" s="136"/>
    </row>
    <row r="10" spans="2:11" ht="18" customHeight="1" thickBot="1" x14ac:dyDescent="0.35">
      <c r="B10" s="148"/>
      <c r="C10" s="149"/>
      <c r="K10" s="136"/>
    </row>
    <row r="11" spans="2:11" thickBot="1" x14ac:dyDescent="0.4">
      <c r="B11" s="713" t="s">
        <v>445</v>
      </c>
      <c r="C11" s="713"/>
      <c r="D11" s="713"/>
      <c r="E11" s="713"/>
      <c r="F11" s="713"/>
      <c r="G11" s="713"/>
      <c r="H11" s="723"/>
      <c r="K11" s="136"/>
    </row>
    <row r="12" spans="2:11" ht="194.45" customHeight="1" thickBot="1" x14ac:dyDescent="0.35">
      <c r="B12" s="786" t="s">
        <v>452</v>
      </c>
      <c r="C12" s="787"/>
      <c r="D12" s="787"/>
      <c r="E12" s="787"/>
      <c r="F12" s="787"/>
      <c r="G12" s="787"/>
      <c r="H12" s="788"/>
      <c r="K12" s="136"/>
    </row>
    <row r="13" spans="2:11" ht="18.95" customHeight="1" x14ac:dyDescent="0.3">
      <c r="B13" s="488"/>
      <c r="C13" s="489"/>
      <c r="D13" s="489"/>
      <c r="E13" s="489"/>
      <c r="F13" s="489"/>
      <c r="G13" s="489"/>
      <c r="H13" s="489"/>
      <c r="K13" s="136"/>
    </row>
    <row r="14" spans="2:11" ht="31.5" customHeight="1" x14ac:dyDescent="0.3">
      <c r="B14" s="490" t="s">
        <v>446</v>
      </c>
      <c r="C14" s="466"/>
      <c r="D14" s="489"/>
      <c r="E14" s="489"/>
      <c r="F14" s="489"/>
      <c r="G14" s="489"/>
      <c r="H14" s="489"/>
      <c r="K14" s="136"/>
    </row>
    <row r="15" spans="2:11" ht="21.6" customHeight="1" thickBot="1" x14ac:dyDescent="0.7">
      <c r="B15" s="412"/>
      <c r="C15" s="413"/>
      <c r="D15" s="491"/>
      <c r="E15" s="491"/>
      <c r="F15" s="491"/>
      <c r="G15" s="491"/>
      <c r="H15" s="491"/>
      <c r="I15" s="491"/>
      <c r="J15" s="491"/>
      <c r="K15" s="136"/>
    </row>
    <row r="16" spans="2:11" ht="18" customHeight="1" thickBot="1" x14ac:dyDescent="0.4">
      <c r="B16" s="739" t="s">
        <v>96</v>
      </c>
      <c r="C16" s="784"/>
      <c r="D16" s="784"/>
      <c r="E16" s="784"/>
      <c r="F16" s="784"/>
      <c r="G16" s="784"/>
      <c r="H16" s="785"/>
      <c r="K16" s="136"/>
    </row>
    <row r="17" spans="2:11" ht="39" customHeight="1" thickBot="1" x14ac:dyDescent="0.35">
      <c r="B17" s="754" t="s">
        <v>486</v>
      </c>
      <c r="C17" s="755"/>
      <c r="D17" s="755"/>
      <c r="E17" s="755"/>
      <c r="F17" s="755"/>
      <c r="G17" s="755"/>
      <c r="H17" s="756"/>
      <c r="K17" s="136"/>
    </row>
    <row r="18" spans="2:11" ht="18" customHeight="1" thickBot="1" x14ac:dyDescent="0.35">
      <c r="B18" s="148"/>
      <c r="C18" s="149"/>
      <c r="K18" s="136"/>
    </row>
    <row r="19" spans="2:11" ht="18" customHeight="1" thickBot="1" x14ac:dyDescent="0.4">
      <c r="B19" s="713" t="s">
        <v>98</v>
      </c>
      <c r="C19" s="714"/>
      <c r="D19" s="714"/>
      <c r="E19" s="714"/>
      <c r="F19" s="714"/>
      <c r="G19" s="714"/>
      <c r="H19" s="715"/>
      <c r="K19" s="136"/>
    </row>
    <row r="20" spans="2:11" ht="18" customHeight="1" x14ac:dyDescent="0.3">
      <c r="B20" s="492" t="s">
        <v>69</v>
      </c>
      <c r="C20" s="493" t="s">
        <v>70</v>
      </c>
      <c r="D20" s="168"/>
      <c r="E20" s="168"/>
      <c r="F20" s="168"/>
      <c r="G20" s="168"/>
      <c r="H20" s="175"/>
      <c r="K20" s="136"/>
    </row>
    <row r="21" spans="2:11" ht="18" customHeight="1" x14ac:dyDescent="0.3">
      <c r="B21" s="494" t="s">
        <v>240</v>
      </c>
      <c r="C21" s="495">
        <f>'General Info &amp; Test Results'!C30*745.7</f>
        <v>0</v>
      </c>
      <c r="D21" s="168"/>
      <c r="E21" s="168"/>
      <c r="F21" s="168"/>
      <c r="G21" s="168"/>
      <c r="H21" s="175"/>
      <c r="K21" s="136"/>
    </row>
    <row r="22" spans="2:11" ht="18" customHeight="1" x14ac:dyDescent="0.3">
      <c r="B22" s="494" t="s">
        <v>139</v>
      </c>
      <c r="C22" s="496">
        <f>'General Info &amp; Test Results'!C34</f>
        <v>0</v>
      </c>
      <c r="D22" s="168"/>
      <c r="E22" s="168"/>
      <c r="F22" s="168"/>
      <c r="G22" s="168"/>
      <c r="H22" s="175"/>
      <c r="K22" s="136"/>
    </row>
    <row r="23" spans="2:11" ht="18" customHeight="1" x14ac:dyDescent="0.3">
      <c r="B23" s="494" t="s">
        <v>155</v>
      </c>
      <c r="C23" s="496">
        <f>'General Info &amp; Test Results'!C36</f>
        <v>0</v>
      </c>
      <c r="D23" s="168"/>
      <c r="E23" s="168"/>
      <c r="F23" s="168"/>
      <c r="G23" s="168"/>
      <c r="H23" s="175"/>
      <c r="K23" s="136"/>
    </row>
    <row r="24" spans="2:11" ht="18" customHeight="1" thickBot="1" x14ac:dyDescent="0.35">
      <c r="B24" s="497" t="s">
        <v>444</v>
      </c>
      <c r="C24" s="498" t="str">
        <f>IF(C23="Aluminum",225,IF(C23="Copper",234.5,"Winding material needed"))</f>
        <v>Winding material needed</v>
      </c>
      <c r="D24" s="218"/>
      <c r="E24" s="218"/>
      <c r="F24" s="218"/>
      <c r="G24" s="218"/>
      <c r="H24" s="219"/>
      <c r="K24" s="136"/>
    </row>
    <row r="25" spans="2:11" ht="18" customHeight="1" thickBot="1" x14ac:dyDescent="0.35">
      <c r="K25" s="136"/>
    </row>
    <row r="26" spans="2:11" ht="18" customHeight="1" thickBot="1" x14ac:dyDescent="0.4">
      <c r="B26" s="713" t="s">
        <v>154</v>
      </c>
      <c r="C26" s="714"/>
      <c r="D26" s="714"/>
      <c r="E26" s="714"/>
      <c r="F26" s="714"/>
      <c r="G26" s="714"/>
      <c r="H26" s="715"/>
      <c r="K26" s="136"/>
    </row>
    <row r="27" spans="2:11" ht="18" customHeight="1" x14ac:dyDescent="0.3">
      <c r="B27" s="492" t="s">
        <v>69</v>
      </c>
      <c r="C27" s="493" t="s">
        <v>70</v>
      </c>
      <c r="D27" s="499"/>
      <c r="E27" s="168"/>
      <c r="F27" s="271"/>
      <c r="G27" s="168"/>
      <c r="H27" s="175"/>
      <c r="K27" s="136"/>
    </row>
    <row r="28" spans="2:11" ht="18" customHeight="1" x14ac:dyDescent="0.3">
      <c r="B28" s="500" t="s">
        <v>116</v>
      </c>
      <c r="C28" s="476"/>
      <c r="D28" s="501"/>
      <c r="E28" s="168"/>
      <c r="F28" s="168"/>
      <c r="G28" s="168"/>
      <c r="H28" s="175"/>
      <c r="K28" s="136"/>
    </row>
    <row r="29" spans="2:11" ht="18" customHeight="1" thickBot="1" x14ac:dyDescent="0.35">
      <c r="B29" s="497" t="s">
        <v>253</v>
      </c>
      <c r="C29" s="477"/>
      <c r="D29" s="502"/>
      <c r="E29" s="218"/>
      <c r="F29" s="218"/>
      <c r="G29" s="218"/>
      <c r="H29" s="219"/>
      <c r="K29" s="136"/>
    </row>
    <row r="30" spans="2:11" ht="18" customHeight="1" thickBot="1" x14ac:dyDescent="0.35">
      <c r="B30" s="503"/>
      <c r="C30" s="486"/>
      <c r="D30" s="504"/>
      <c r="E30" s="505"/>
      <c r="F30" s="501"/>
      <c r="K30" s="136"/>
    </row>
    <row r="31" spans="2:11" ht="18" customHeight="1" thickBot="1" x14ac:dyDescent="0.4">
      <c r="B31" s="713" t="s">
        <v>153</v>
      </c>
      <c r="C31" s="714"/>
      <c r="D31" s="714"/>
      <c r="E31" s="714"/>
      <c r="F31" s="714"/>
      <c r="G31" s="714"/>
      <c r="H31" s="715"/>
      <c r="K31" s="136"/>
    </row>
    <row r="32" spans="2:11" ht="18" customHeight="1" x14ac:dyDescent="0.35">
      <c r="B32" s="506"/>
      <c r="C32" s="507"/>
      <c r="D32" s="507"/>
      <c r="E32" s="507"/>
      <c r="F32" s="507"/>
      <c r="G32" s="168"/>
      <c r="H32" s="175"/>
      <c r="K32" s="136"/>
    </row>
    <row r="33" spans="2:15" ht="18" customHeight="1" x14ac:dyDescent="0.35">
      <c r="B33" s="508" t="s">
        <v>156</v>
      </c>
      <c r="C33" s="469"/>
      <c r="D33" s="507"/>
      <c r="E33" s="507"/>
      <c r="F33" s="507"/>
      <c r="G33" s="168"/>
      <c r="H33" s="175"/>
      <c r="K33" s="136"/>
    </row>
    <row r="34" spans="2:15" ht="18" customHeight="1" x14ac:dyDescent="0.35">
      <c r="B34" s="506"/>
      <c r="C34" s="507"/>
      <c r="D34" s="507"/>
      <c r="E34" s="507"/>
      <c r="F34" s="507"/>
      <c r="G34" s="168"/>
      <c r="H34" s="175"/>
      <c r="K34" s="136"/>
    </row>
    <row r="35" spans="2:15" ht="18" customHeight="1" x14ac:dyDescent="0.3">
      <c r="B35" s="509" t="s">
        <v>69</v>
      </c>
      <c r="C35" s="510" t="s">
        <v>70</v>
      </c>
      <c r="D35" s="499"/>
      <c r="E35" s="168"/>
      <c r="F35" s="168"/>
      <c r="G35" s="168"/>
      <c r="H35" s="175"/>
      <c r="K35" s="136"/>
    </row>
    <row r="36" spans="2:15" ht="18" customHeight="1" x14ac:dyDescent="0.3">
      <c r="B36" s="301" t="s">
        <v>254</v>
      </c>
      <c r="C36" s="476"/>
      <c r="D36" s="501"/>
      <c r="E36" s="168"/>
      <c r="F36" s="168"/>
      <c r="G36" s="168"/>
      <c r="H36" s="175"/>
      <c r="K36" s="136"/>
    </row>
    <row r="37" spans="2:15" ht="18" customHeight="1" x14ac:dyDescent="0.3">
      <c r="B37" s="301" t="s">
        <v>116</v>
      </c>
      <c r="C37" s="476"/>
      <c r="D37" s="501"/>
      <c r="E37" s="168"/>
      <c r="F37" s="168"/>
      <c r="G37" s="168"/>
      <c r="H37" s="175"/>
      <c r="K37" s="136"/>
    </row>
    <row r="38" spans="2:15" ht="18" customHeight="1" x14ac:dyDescent="0.3">
      <c r="B38" s="301" t="s">
        <v>237</v>
      </c>
      <c r="C38" s="496" t="str">
        <f>IFERROR(((C36/C29)*(C24+C28))-C24, " ")</f>
        <v xml:space="preserve"> </v>
      </c>
      <c r="D38" s="501"/>
      <c r="E38" s="168"/>
      <c r="F38" s="168"/>
      <c r="G38" s="168"/>
      <c r="H38" s="175"/>
      <c r="K38" s="136"/>
    </row>
    <row r="39" spans="2:15" ht="18" customHeight="1" x14ac:dyDescent="0.3">
      <c r="B39" s="301" t="s">
        <v>224</v>
      </c>
      <c r="C39" s="496" t="str">
        <f>IFERROR(C38-C37, " ")</f>
        <v xml:space="preserve"> </v>
      </c>
      <c r="D39" s="501"/>
      <c r="E39" s="168"/>
      <c r="F39" s="168"/>
      <c r="G39" s="168"/>
      <c r="H39" s="175"/>
      <c r="K39" s="136"/>
    </row>
    <row r="40" spans="2:15" ht="18" customHeight="1" x14ac:dyDescent="0.35">
      <c r="B40" s="177" t="s">
        <v>238</v>
      </c>
      <c r="C40" s="511">
        <f>IFERROR((C39-C38)+25, 0)</f>
        <v>0</v>
      </c>
      <c r="D40" s="501"/>
      <c r="E40" s="512"/>
      <c r="F40" s="512"/>
      <c r="G40" s="168"/>
      <c r="H40" s="175"/>
      <c r="I40" s="168"/>
      <c r="J40" s="168"/>
      <c r="K40" s="454"/>
      <c r="L40" s="168"/>
      <c r="M40" s="168"/>
    </row>
    <row r="41" spans="2:15" ht="18" customHeight="1" thickBot="1" x14ac:dyDescent="0.4">
      <c r="B41" s="230" t="s">
        <v>239</v>
      </c>
      <c r="C41" s="479"/>
      <c r="D41" s="513"/>
      <c r="E41" s="513"/>
      <c r="F41" s="513"/>
      <c r="G41" s="218"/>
      <c r="H41" s="219"/>
      <c r="I41" s="168"/>
      <c r="J41" s="168"/>
      <c r="K41" s="454"/>
      <c r="L41" s="168"/>
      <c r="M41" s="168"/>
    </row>
    <row r="42" spans="2:15" ht="18" customHeight="1" thickBot="1" x14ac:dyDescent="0.4">
      <c r="B42" s="512"/>
      <c r="C42" s="514"/>
      <c r="D42" s="512"/>
      <c r="E42" s="505"/>
      <c r="F42" s="512"/>
      <c r="G42" s="512"/>
      <c r="H42" s="512"/>
      <c r="I42" s="168"/>
      <c r="J42" s="168"/>
      <c r="K42" s="454"/>
      <c r="L42" s="168"/>
      <c r="M42" s="168"/>
      <c r="N42" s="168"/>
      <c r="O42" s="168"/>
    </row>
    <row r="43" spans="2:15" ht="18" customHeight="1" thickBot="1" x14ac:dyDescent="0.4">
      <c r="B43" s="713" t="s">
        <v>166</v>
      </c>
      <c r="C43" s="714"/>
      <c r="D43" s="714"/>
      <c r="E43" s="714"/>
      <c r="F43" s="714"/>
      <c r="G43" s="714"/>
      <c r="H43" s="715"/>
      <c r="K43" s="136"/>
    </row>
    <row r="44" spans="2:15" ht="18" customHeight="1" x14ac:dyDescent="0.35">
      <c r="B44" s="515"/>
      <c r="C44" s="516"/>
      <c r="D44" s="516"/>
      <c r="E44" s="516"/>
      <c r="F44" s="516"/>
      <c r="G44" s="517"/>
      <c r="H44" s="518"/>
      <c r="K44" s="136"/>
      <c r="L44" s="168"/>
      <c r="M44" s="168"/>
    </row>
    <row r="45" spans="2:15" ht="18" customHeight="1" x14ac:dyDescent="0.3">
      <c r="B45" s="519" t="s">
        <v>159</v>
      </c>
      <c r="C45" s="520"/>
      <c r="D45" s="520"/>
      <c r="E45" s="520"/>
      <c r="F45" s="520"/>
      <c r="G45" s="168"/>
      <c r="H45" s="175"/>
      <c r="K45" s="136"/>
    </row>
    <row r="46" spans="2:15" ht="18" customHeight="1" x14ac:dyDescent="0.3">
      <c r="B46" s="509" t="s">
        <v>69</v>
      </c>
      <c r="C46" s="510" t="s">
        <v>70</v>
      </c>
      <c r="D46" s="499"/>
      <c r="E46" s="168"/>
      <c r="F46" s="168"/>
      <c r="G46" s="168"/>
      <c r="H46" s="175"/>
      <c r="K46" s="136"/>
    </row>
    <row r="47" spans="2:15" ht="18" customHeight="1" x14ac:dyDescent="0.3">
      <c r="B47" s="301" t="s">
        <v>242</v>
      </c>
      <c r="C47" s="476"/>
      <c r="D47" s="501"/>
      <c r="E47" s="168"/>
      <c r="F47" s="168"/>
      <c r="G47" s="168"/>
      <c r="H47" s="175"/>
      <c r="K47" s="136"/>
    </row>
    <row r="48" spans="2:15" ht="18" customHeight="1" x14ac:dyDescent="0.3">
      <c r="B48" s="177" t="s">
        <v>286</v>
      </c>
      <c r="C48" s="467"/>
      <c r="D48" s="168"/>
      <c r="E48" s="168"/>
      <c r="F48" s="168"/>
      <c r="G48" s="168"/>
      <c r="H48" s="175"/>
      <c r="K48" s="136"/>
    </row>
    <row r="49" spans="2:12" ht="18" customHeight="1" x14ac:dyDescent="0.3">
      <c r="B49" s="177" t="s">
        <v>173</v>
      </c>
      <c r="C49" s="467"/>
      <c r="D49" s="168"/>
      <c r="E49" s="168"/>
      <c r="F49" s="168"/>
      <c r="G49" s="168"/>
      <c r="H49" s="175"/>
      <c r="K49" s="136"/>
    </row>
    <row r="50" spans="2:12" ht="18" customHeight="1" x14ac:dyDescent="0.3">
      <c r="B50" s="179"/>
      <c r="C50" s="168"/>
      <c r="D50" s="168"/>
      <c r="E50" s="168"/>
      <c r="F50" s="168"/>
      <c r="G50" s="168"/>
      <c r="H50" s="175"/>
      <c r="K50" s="136"/>
    </row>
    <row r="51" spans="2:12" ht="18" customHeight="1" x14ac:dyDescent="0.3">
      <c r="B51" s="179" t="s">
        <v>282</v>
      </c>
      <c r="C51" s="168"/>
      <c r="D51" s="168"/>
      <c r="E51" s="168"/>
      <c r="F51" s="168"/>
      <c r="G51" s="168"/>
      <c r="H51" s="175"/>
      <c r="K51" s="136"/>
    </row>
    <row r="52" spans="2:12" ht="18" customHeight="1" x14ac:dyDescent="0.35">
      <c r="B52" s="521" t="s">
        <v>158</v>
      </c>
      <c r="C52" s="522" t="s">
        <v>157</v>
      </c>
      <c r="D52" s="522" t="s">
        <v>280</v>
      </c>
      <c r="E52" s="516"/>
      <c r="F52" s="516"/>
      <c r="G52" s="517"/>
      <c r="H52" s="518"/>
      <c r="K52" s="136"/>
      <c r="L52" s="168"/>
    </row>
    <row r="53" spans="2:12" ht="18" customHeight="1" x14ac:dyDescent="0.3">
      <c r="B53" s="301">
        <v>1</v>
      </c>
      <c r="C53" s="480"/>
      <c r="D53" s="523" t="s">
        <v>276</v>
      </c>
      <c r="E53" s="524"/>
      <c r="F53" s="499"/>
      <c r="G53" s="168"/>
      <c r="H53" s="175"/>
      <c r="K53" s="136"/>
      <c r="L53" s="168"/>
    </row>
    <row r="54" spans="2:12" ht="18" customHeight="1" x14ac:dyDescent="0.3">
      <c r="B54" s="301">
        <v>2</v>
      </c>
      <c r="C54" s="467"/>
      <c r="D54" s="523">
        <v>100</v>
      </c>
      <c r="E54" s="505"/>
      <c r="F54" s="501"/>
      <c r="G54" s="168"/>
      <c r="H54" s="175"/>
      <c r="K54" s="136"/>
      <c r="L54" s="168"/>
    </row>
    <row r="55" spans="2:12" ht="18" customHeight="1" x14ac:dyDescent="0.3">
      <c r="B55" s="177">
        <v>3</v>
      </c>
      <c r="C55" s="251"/>
      <c r="D55" s="523" t="s">
        <v>277</v>
      </c>
      <c r="E55" s="505"/>
      <c r="F55" s="501"/>
      <c r="G55" s="168"/>
      <c r="H55" s="175"/>
      <c r="K55" s="136"/>
      <c r="L55" s="168"/>
    </row>
    <row r="56" spans="2:12" ht="18" customHeight="1" x14ac:dyDescent="0.3">
      <c r="B56" s="301">
        <v>4</v>
      </c>
      <c r="C56" s="251"/>
      <c r="D56" s="523" t="s">
        <v>278</v>
      </c>
      <c r="E56" s="525"/>
      <c r="F56" s="501"/>
      <c r="G56" s="168"/>
      <c r="H56" s="175"/>
      <c r="K56" s="136"/>
      <c r="L56" s="168"/>
    </row>
    <row r="57" spans="2:12" ht="18" customHeight="1" x14ac:dyDescent="0.3">
      <c r="B57" s="301">
        <v>5</v>
      </c>
      <c r="C57" s="251"/>
      <c r="D57" s="523" t="s">
        <v>278</v>
      </c>
      <c r="E57" s="505"/>
      <c r="F57" s="501"/>
      <c r="G57" s="168"/>
      <c r="H57" s="175"/>
      <c r="K57" s="136"/>
      <c r="L57" s="168"/>
    </row>
    <row r="58" spans="2:12" ht="18" customHeight="1" x14ac:dyDescent="0.3">
      <c r="B58" s="301">
        <v>6</v>
      </c>
      <c r="C58" s="251"/>
      <c r="D58" s="523" t="s">
        <v>278</v>
      </c>
      <c r="E58" s="505"/>
      <c r="F58" s="501"/>
      <c r="G58" s="168"/>
      <c r="H58" s="175"/>
      <c r="K58" s="136"/>
      <c r="L58" s="168"/>
    </row>
    <row r="59" spans="2:12" ht="18" customHeight="1" x14ac:dyDescent="0.3">
      <c r="B59" s="526"/>
      <c r="C59" s="487"/>
      <c r="D59" s="527"/>
      <c r="E59" s="525"/>
      <c r="F59" s="501"/>
      <c r="G59" s="171"/>
      <c r="H59" s="175"/>
      <c r="K59" s="136"/>
      <c r="L59" s="168"/>
    </row>
    <row r="60" spans="2:12" ht="18" customHeight="1" x14ac:dyDescent="0.35">
      <c r="B60" s="284"/>
      <c r="C60" s="760" t="s">
        <v>158</v>
      </c>
      <c r="D60" s="760"/>
      <c r="E60" s="760"/>
      <c r="F60" s="760"/>
      <c r="G60" s="760"/>
      <c r="H60" s="783"/>
      <c r="K60" s="136"/>
      <c r="L60" s="168"/>
    </row>
    <row r="61" spans="2:12" ht="18" customHeight="1" x14ac:dyDescent="0.35">
      <c r="B61" s="229" t="s">
        <v>117</v>
      </c>
      <c r="C61" s="173">
        <v>1</v>
      </c>
      <c r="D61" s="173">
        <v>2</v>
      </c>
      <c r="E61" s="174">
        <v>3</v>
      </c>
      <c r="F61" s="173">
        <v>4</v>
      </c>
      <c r="G61" s="173">
        <v>5</v>
      </c>
      <c r="H61" s="397">
        <v>6</v>
      </c>
      <c r="K61" s="136"/>
      <c r="L61" s="168"/>
    </row>
    <row r="62" spans="2:12" ht="18" customHeight="1" x14ac:dyDescent="0.3">
      <c r="B62" s="177" t="s">
        <v>242</v>
      </c>
      <c r="C62" s="475"/>
      <c r="D62" s="475"/>
      <c r="E62" s="481"/>
      <c r="F62" s="475"/>
      <c r="G62" s="475"/>
      <c r="H62" s="482"/>
      <c r="K62" s="136"/>
      <c r="L62" s="168"/>
    </row>
    <row r="63" spans="2:12" ht="18" customHeight="1" x14ac:dyDescent="0.3">
      <c r="B63" s="177" t="s">
        <v>285</v>
      </c>
      <c r="C63" s="475"/>
      <c r="D63" s="475"/>
      <c r="E63" s="481"/>
      <c r="F63" s="475"/>
      <c r="G63" s="475"/>
      <c r="H63" s="482"/>
      <c r="K63" s="136"/>
      <c r="L63" s="168"/>
    </row>
    <row r="64" spans="2:12" ht="18" customHeight="1" x14ac:dyDescent="0.3">
      <c r="B64" s="406" t="s">
        <v>286</v>
      </c>
      <c r="C64" s="475"/>
      <c r="D64" s="475"/>
      <c r="E64" s="481"/>
      <c r="F64" s="475"/>
      <c r="G64" s="475"/>
      <c r="H64" s="482"/>
      <c r="K64" s="136"/>
      <c r="L64" s="168"/>
    </row>
    <row r="65" spans="2:13" ht="18" customHeight="1" x14ac:dyDescent="0.3">
      <c r="B65" s="177" t="s">
        <v>256</v>
      </c>
      <c r="C65" s="483"/>
      <c r="D65" s="475"/>
      <c r="E65" s="481"/>
      <c r="F65" s="475"/>
      <c r="G65" s="475"/>
      <c r="H65" s="482"/>
      <c r="K65" s="136"/>
      <c r="L65" s="168"/>
    </row>
    <row r="66" spans="2:13" ht="18" customHeight="1" x14ac:dyDescent="0.3">
      <c r="B66" s="177" t="s">
        <v>115</v>
      </c>
      <c r="C66" s="467"/>
      <c r="D66" s="467"/>
      <c r="E66" s="467"/>
      <c r="F66" s="467"/>
      <c r="G66" s="467"/>
      <c r="H66" s="470"/>
      <c r="K66" s="136"/>
      <c r="L66" s="168"/>
    </row>
    <row r="67" spans="2:13" ht="18" customHeight="1" x14ac:dyDescent="0.3">
      <c r="B67" s="177" t="s">
        <v>194</v>
      </c>
      <c r="C67" s="475"/>
      <c r="D67" s="475"/>
      <c r="E67" s="481"/>
      <c r="F67" s="475"/>
      <c r="G67" s="475"/>
      <c r="H67" s="482"/>
      <c r="K67" s="136"/>
      <c r="L67" s="168"/>
      <c r="M67" s="168"/>
    </row>
    <row r="68" spans="2:13" ht="18" customHeight="1" x14ac:dyDescent="0.3">
      <c r="B68" s="177" t="s">
        <v>386</v>
      </c>
      <c r="C68" s="475"/>
      <c r="D68" s="475"/>
      <c r="E68" s="481"/>
      <c r="F68" s="475"/>
      <c r="G68" s="475"/>
      <c r="H68" s="482"/>
      <c r="K68" s="136"/>
      <c r="L68" s="168"/>
      <c r="M68" s="168"/>
    </row>
    <row r="69" spans="2:13" ht="18" customHeight="1" x14ac:dyDescent="0.3">
      <c r="B69" s="177" t="s">
        <v>252</v>
      </c>
      <c r="C69" s="255" t="str">
        <f>IFERROR(($C$29*(C62+$C$24))/($C$28+$C$24), " ")</f>
        <v xml:space="preserve"> </v>
      </c>
      <c r="D69" s="255" t="str">
        <f t="shared" ref="D69:H69" si="0">IFERROR(($C$29*(D62+$C$24))/($C$28+$C$24), " ")</f>
        <v xml:space="preserve"> </v>
      </c>
      <c r="E69" s="255" t="str">
        <f t="shared" si="0"/>
        <v xml:space="preserve"> </v>
      </c>
      <c r="F69" s="255" t="str">
        <f t="shared" si="0"/>
        <v xml:space="preserve"> </v>
      </c>
      <c r="G69" s="255" t="str">
        <f t="shared" si="0"/>
        <v xml:space="preserve"> </v>
      </c>
      <c r="H69" s="255" t="str">
        <f t="shared" si="0"/>
        <v xml:space="preserve"> </v>
      </c>
      <c r="K69" s="136"/>
      <c r="L69" s="168"/>
    </row>
    <row r="70" spans="2:13" s="168" customFormat="1" ht="18" customHeight="1" x14ac:dyDescent="0.3">
      <c r="B70" s="177" t="s">
        <v>257</v>
      </c>
      <c r="C70" s="255" t="str">
        <f>IFERROR(1.5*(C64)^2*C69, " ")</f>
        <v xml:space="preserve"> </v>
      </c>
      <c r="D70" s="255" t="str">
        <f t="shared" ref="D70:H70" si="1">IFERROR(1.5*(D64)^2*D69, " ")</f>
        <v xml:space="preserve"> </v>
      </c>
      <c r="E70" s="255" t="str">
        <f t="shared" si="1"/>
        <v xml:space="preserve"> </v>
      </c>
      <c r="F70" s="255" t="str">
        <f t="shared" si="1"/>
        <v xml:space="preserve"> </v>
      </c>
      <c r="G70" s="255" t="str">
        <f t="shared" si="1"/>
        <v xml:space="preserve"> </v>
      </c>
      <c r="H70" s="255" t="str">
        <f t="shared" si="1"/>
        <v xml:space="preserve"> </v>
      </c>
      <c r="K70" s="454"/>
    </row>
    <row r="71" spans="2:13" ht="38.450000000000003" customHeight="1" x14ac:dyDescent="0.3">
      <c r="B71" s="341" t="s">
        <v>258</v>
      </c>
      <c r="C71" s="511" t="str">
        <f>IFERROR(C65-C70, " ")</f>
        <v xml:space="preserve"> </v>
      </c>
      <c r="D71" s="511" t="str">
        <f t="shared" ref="D71:H71" si="2">IFERROR(D65-D70, " ")</f>
        <v xml:space="preserve"> </v>
      </c>
      <c r="E71" s="511" t="str">
        <f t="shared" si="2"/>
        <v xml:space="preserve"> </v>
      </c>
      <c r="F71" s="511" t="str">
        <f t="shared" si="2"/>
        <v xml:space="preserve"> </v>
      </c>
      <c r="G71" s="511" t="str">
        <f t="shared" si="2"/>
        <v xml:space="preserve"> </v>
      </c>
      <c r="H71" s="511" t="str">
        <f t="shared" si="2"/>
        <v xml:space="preserve"> </v>
      </c>
      <c r="K71" s="136"/>
    </row>
    <row r="72" spans="2:13" ht="38.450000000000003" customHeight="1" x14ac:dyDescent="0.3">
      <c r="B72" s="341" t="s">
        <v>143</v>
      </c>
      <c r="C72" s="511" t="str">
        <f>IFERROR(C71-$C$82, " ")</f>
        <v xml:space="preserve"> </v>
      </c>
      <c r="D72" s="511" t="str">
        <f t="shared" ref="D72:H72" si="3">IFERROR(D71-$C$82, " ")</f>
        <v xml:space="preserve"> </v>
      </c>
      <c r="E72" s="511" t="str">
        <f t="shared" si="3"/>
        <v xml:space="preserve"> </v>
      </c>
      <c r="F72" s="511" t="str">
        <f t="shared" si="3"/>
        <v xml:space="preserve"> </v>
      </c>
      <c r="G72" s="511" t="str">
        <f t="shared" si="3"/>
        <v xml:space="preserve"> </v>
      </c>
      <c r="H72" s="511" t="str">
        <f t="shared" si="3"/>
        <v xml:space="preserve"> </v>
      </c>
      <c r="K72" s="136"/>
    </row>
    <row r="73" spans="2:13" ht="18" customHeight="1" x14ac:dyDescent="0.3">
      <c r="B73" s="177" t="s">
        <v>440</v>
      </c>
      <c r="C73" s="511" t="str">
        <f>IFERROR(ABS(100*(($C$75-C66)/$C$75)), " ")</f>
        <v xml:space="preserve"> </v>
      </c>
      <c r="D73" s="511" t="str">
        <f t="shared" ref="D73:H73" si="4">IFERROR(ABS(100*(($C$75-D66)/$C$75)), " ")</f>
        <v xml:space="preserve"> </v>
      </c>
      <c r="E73" s="511" t="str">
        <f t="shared" si="4"/>
        <v xml:space="preserve"> </v>
      </c>
      <c r="F73" s="511" t="str">
        <f t="shared" si="4"/>
        <v xml:space="preserve"> </v>
      </c>
      <c r="G73" s="511" t="str">
        <f t="shared" si="4"/>
        <v xml:space="preserve"> </v>
      </c>
      <c r="H73" s="511" t="str">
        <f t="shared" si="4"/>
        <v xml:space="preserve"> </v>
      </c>
      <c r="K73" s="136"/>
      <c r="L73" s="168"/>
      <c r="M73" s="168"/>
    </row>
    <row r="74" spans="2:13" s="165" customFormat="1" ht="18" customHeight="1" x14ac:dyDescent="0.3">
      <c r="B74" s="409"/>
      <c r="C74" s="528"/>
      <c r="D74" s="528"/>
      <c r="E74" s="528"/>
      <c r="F74" s="528"/>
      <c r="G74" s="528"/>
      <c r="H74" s="529"/>
      <c r="K74" s="136"/>
    </row>
    <row r="75" spans="2:13" s="165" customFormat="1" ht="18" customHeight="1" x14ac:dyDescent="0.3">
      <c r="B75" s="335" t="s">
        <v>441</v>
      </c>
      <c r="C75" s="255" t="str">
        <f>IFERROR(AVERAGE(C66:H66), " ")</f>
        <v xml:space="preserve"> </v>
      </c>
      <c r="D75" s="530"/>
      <c r="E75" s="530"/>
      <c r="F75" s="530"/>
      <c r="G75" s="530"/>
      <c r="H75" s="531"/>
      <c r="K75" s="136"/>
    </row>
    <row r="76" spans="2:13" s="165" customFormat="1" ht="18" customHeight="1" x14ac:dyDescent="0.3">
      <c r="B76" s="335" t="s">
        <v>442</v>
      </c>
      <c r="C76" s="255" t="str">
        <f>IFERROR(100*(ABS(C75-60)/60), " ")</f>
        <v xml:space="preserve"> </v>
      </c>
      <c r="D76" s="530"/>
      <c r="E76" s="530"/>
      <c r="F76" s="530"/>
      <c r="G76" s="530"/>
      <c r="H76" s="531"/>
      <c r="K76" s="136"/>
    </row>
    <row r="77" spans="2:13" ht="42.6" customHeight="1" x14ac:dyDescent="0.3">
      <c r="B77" s="532" t="s">
        <v>443</v>
      </c>
      <c r="C77" s="789" t="str">
        <f>IF((COUNTIF(C68:H68, "&gt;0.5")+COUNTIF(C67:H67, "&gt;0.05")+COUNTIF(C73:H73, "&gt;0.33")+COUNTIF(C76, "&gt;0.1"))&gt;=1, "Supply requirements unmet - ensure that THD does not exceed .05%, voltage unbalance is below 0.5%, variation from average frequency remains within 0.33%, and average test frequency is within 0.1% of rated value", "Data is permissible - may proceed with testing")</f>
        <v>Data is permissible - may proceed with testing</v>
      </c>
      <c r="D77" s="790"/>
      <c r="E77" s="790"/>
      <c r="F77" s="790"/>
      <c r="G77" s="168"/>
      <c r="H77" s="175"/>
      <c r="K77" s="136"/>
    </row>
    <row r="78" spans="2:13" ht="16.5" x14ac:dyDescent="0.3">
      <c r="B78" s="179"/>
      <c r="C78" s="168"/>
      <c r="D78" s="168"/>
      <c r="E78" s="168"/>
      <c r="F78" s="168"/>
      <c r="G78" s="168"/>
      <c r="H78" s="175"/>
      <c r="K78" s="136"/>
    </row>
    <row r="79" spans="2:13" ht="18" customHeight="1" x14ac:dyDescent="0.3">
      <c r="B79" s="179"/>
      <c r="C79" s="168"/>
      <c r="D79" s="168"/>
      <c r="E79" s="168"/>
      <c r="F79" s="168"/>
      <c r="G79" s="168"/>
      <c r="H79" s="175"/>
      <c r="K79" s="136"/>
    </row>
    <row r="80" spans="2:13" ht="18" customHeight="1" thickBot="1" x14ac:dyDescent="0.4">
      <c r="B80" s="533" t="s">
        <v>160</v>
      </c>
      <c r="C80" s="218"/>
      <c r="D80" s="218"/>
      <c r="E80" s="218"/>
      <c r="F80" s="218"/>
      <c r="G80" s="218"/>
      <c r="H80" s="219"/>
      <c r="I80" s="168"/>
      <c r="K80" s="136"/>
    </row>
    <row r="81" spans="2:13" ht="18" customHeight="1" x14ac:dyDescent="0.35">
      <c r="B81" s="534" t="s">
        <v>69</v>
      </c>
      <c r="C81" s="535" t="s">
        <v>70</v>
      </c>
      <c r="D81" s="271"/>
      <c r="E81" s="271"/>
      <c r="F81" s="271"/>
      <c r="G81" s="271"/>
      <c r="H81" s="536"/>
      <c r="K81" s="136"/>
    </row>
    <row r="82" spans="2:13" ht="18" customHeight="1" x14ac:dyDescent="0.3">
      <c r="B82" s="177" t="s">
        <v>245</v>
      </c>
      <c r="C82" s="255" t="str">
        <f>IFERROR(INTERCEPT(C70:H70,C63:H63), " ")</f>
        <v xml:space="preserve"> </v>
      </c>
      <c r="D82" s="168"/>
      <c r="E82" s="168"/>
      <c r="F82" s="168"/>
      <c r="G82" s="168"/>
      <c r="H82" s="175"/>
      <c r="K82" s="136"/>
    </row>
    <row r="83" spans="2:13" ht="18" customHeight="1" thickBot="1" x14ac:dyDescent="0.4">
      <c r="B83" s="230" t="s">
        <v>244</v>
      </c>
      <c r="C83" s="259" t="str">
        <f>IFERROR(FORECAST(60,C72:H72,C63:H63), " ")</f>
        <v xml:space="preserve"> </v>
      </c>
      <c r="D83" s="218"/>
      <c r="E83" s="218"/>
      <c r="F83" s="218"/>
      <c r="G83" s="218"/>
      <c r="H83" s="219"/>
      <c r="K83" s="136"/>
    </row>
    <row r="84" spans="2:13" ht="18" customHeight="1" thickBot="1" x14ac:dyDescent="0.35">
      <c r="B84" s="168"/>
      <c r="G84" s="168"/>
      <c r="H84" s="168"/>
      <c r="I84" s="168"/>
      <c r="K84" s="136"/>
    </row>
    <row r="85" spans="2:13" ht="18" customHeight="1" thickBot="1" x14ac:dyDescent="0.4">
      <c r="B85" s="713" t="s">
        <v>283</v>
      </c>
      <c r="C85" s="714"/>
      <c r="D85" s="714"/>
      <c r="E85" s="714"/>
      <c r="F85" s="714"/>
      <c r="G85" s="714"/>
      <c r="H85" s="715"/>
      <c r="I85" s="168"/>
      <c r="J85" s="168"/>
      <c r="K85" s="454"/>
      <c r="L85" s="168"/>
    </row>
    <row r="86" spans="2:13" ht="18" customHeight="1" x14ac:dyDescent="0.35">
      <c r="B86" s="515"/>
      <c r="C86" s="516"/>
      <c r="D86" s="516"/>
      <c r="E86" s="516"/>
      <c r="F86" s="516"/>
      <c r="G86" s="517"/>
      <c r="H86" s="518"/>
      <c r="I86" s="168"/>
      <c r="J86" s="168"/>
      <c r="K86" s="454"/>
      <c r="L86" s="168"/>
    </row>
    <row r="87" spans="2:13" ht="18" customHeight="1" x14ac:dyDescent="0.35">
      <c r="B87" s="521" t="s">
        <v>99</v>
      </c>
      <c r="C87" s="522" t="s">
        <v>100</v>
      </c>
      <c r="D87" s="522" t="s">
        <v>279</v>
      </c>
      <c r="E87" s="516"/>
      <c r="F87" s="516"/>
      <c r="G87" s="517"/>
      <c r="H87" s="518"/>
      <c r="I87" s="168"/>
      <c r="J87" s="168"/>
      <c r="K87" s="454"/>
      <c r="L87" s="168"/>
    </row>
    <row r="88" spans="2:13" ht="18" customHeight="1" x14ac:dyDescent="0.3">
      <c r="B88" s="301">
        <v>1</v>
      </c>
      <c r="C88" s="480"/>
      <c r="D88" s="523" t="s">
        <v>273</v>
      </c>
      <c r="E88" s="524"/>
      <c r="F88" s="499"/>
      <c r="G88" s="168"/>
      <c r="H88" s="175"/>
      <c r="I88" s="168"/>
      <c r="J88" s="168"/>
      <c r="K88" s="454"/>
      <c r="L88" s="168"/>
    </row>
    <row r="89" spans="2:13" ht="18" customHeight="1" x14ac:dyDescent="0.3">
      <c r="B89" s="301">
        <v>2</v>
      </c>
      <c r="C89" s="467"/>
      <c r="D89" s="523" t="s">
        <v>273</v>
      </c>
      <c r="E89" s="505"/>
      <c r="F89" s="501"/>
      <c r="G89" s="168"/>
      <c r="H89" s="175"/>
      <c r="I89" s="168"/>
      <c r="J89" s="168"/>
      <c r="K89" s="454"/>
      <c r="L89" s="168"/>
    </row>
    <row r="90" spans="2:13" ht="18" customHeight="1" x14ac:dyDescent="0.3">
      <c r="B90" s="177">
        <v>3</v>
      </c>
      <c r="C90" s="251"/>
      <c r="D90" s="523" t="s">
        <v>274</v>
      </c>
      <c r="E90" s="505"/>
      <c r="F90" s="501"/>
      <c r="G90" s="168"/>
      <c r="H90" s="175"/>
      <c r="I90" s="168"/>
      <c r="J90" s="168"/>
      <c r="K90" s="454"/>
      <c r="L90" s="168"/>
    </row>
    <row r="91" spans="2:13" ht="18" customHeight="1" x14ac:dyDescent="0.3">
      <c r="B91" s="301">
        <v>4</v>
      </c>
      <c r="C91" s="251"/>
      <c r="D91" s="523" t="s">
        <v>274</v>
      </c>
      <c r="E91" s="525"/>
      <c r="F91" s="501"/>
      <c r="G91" s="168"/>
      <c r="H91" s="175"/>
      <c r="I91" s="168"/>
      <c r="J91" s="168"/>
      <c r="K91" s="454"/>
      <c r="L91" s="168"/>
    </row>
    <row r="92" spans="2:13" ht="18" customHeight="1" x14ac:dyDescent="0.3">
      <c r="B92" s="301">
        <v>5</v>
      </c>
      <c r="C92" s="251"/>
      <c r="D92" s="523" t="s">
        <v>274</v>
      </c>
      <c r="E92" s="505"/>
      <c r="F92" s="501"/>
      <c r="G92" s="168"/>
      <c r="H92" s="175"/>
      <c r="I92" s="168"/>
      <c r="J92" s="168"/>
      <c r="K92" s="454"/>
      <c r="L92" s="168"/>
      <c r="M92" s="168"/>
    </row>
    <row r="93" spans="2:13" ht="18" customHeight="1" x14ac:dyDescent="0.3">
      <c r="B93" s="301">
        <v>6</v>
      </c>
      <c r="C93" s="251"/>
      <c r="D93" s="523" t="s">
        <v>274</v>
      </c>
      <c r="E93" s="505"/>
      <c r="F93" s="501"/>
      <c r="G93" s="168"/>
      <c r="H93" s="175"/>
      <c r="I93" s="168"/>
      <c r="J93" s="168"/>
      <c r="K93" s="454"/>
      <c r="L93" s="168"/>
      <c r="M93" s="168"/>
    </row>
    <row r="94" spans="2:13" ht="18" customHeight="1" x14ac:dyDescent="0.3">
      <c r="B94" s="526"/>
      <c r="C94" s="487"/>
      <c r="D94" s="527"/>
      <c r="E94" s="525"/>
      <c r="F94" s="501"/>
      <c r="G94" s="171"/>
      <c r="H94" s="175"/>
      <c r="K94" s="136"/>
      <c r="L94" s="168"/>
      <c r="M94" s="168"/>
    </row>
    <row r="95" spans="2:13" ht="18" customHeight="1" x14ac:dyDescent="0.35">
      <c r="B95" s="284"/>
      <c r="C95" s="760" t="s">
        <v>99</v>
      </c>
      <c r="D95" s="760"/>
      <c r="E95" s="760"/>
      <c r="F95" s="760"/>
      <c r="G95" s="760"/>
      <c r="H95" s="783"/>
      <c r="K95" s="136"/>
      <c r="L95" s="168"/>
      <c r="M95" s="168"/>
    </row>
    <row r="96" spans="2:13" ht="18" customHeight="1" x14ac:dyDescent="0.35">
      <c r="B96" s="229" t="s">
        <v>117</v>
      </c>
      <c r="C96" s="173">
        <v>1</v>
      </c>
      <c r="D96" s="173">
        <v>2</v>
      </c>
      <c r="E96" s="174">
        <v>3</v>
      </c>
      <c r="F96" s="173">
        <v>4</v>
      </c>
      <c r="G96" s="173">
        <v>5</v>
      </c>
      <c r="H96" s="397">
        <v>6</v>
      </c>
      <c r="K96" s="136"/>
      <c r="L96" s="168"/>
      <c r="M96" s="168"/>
    </row>
    <row r="97" spans="2:13" ht="18" customHeight="1" x14ac:dyDescent="0.35">
      <c r="B97" s="177" t="s">
        <v>138</v>
      </c>
      <c r="C97" s="475"/>
      <c r="D97" s="475"/>
      <c r="E97" s="481"/>
      <c r="F97" s="475"/>
      <c r="G97" s="475"/>
      <c r="H97" s="482"/>
      <c r="K97" s="136"/>
      <c r="L97" s="168"/>
      <c r="M97" s="168"/>
    </row>
    <row r="98" spans="2:13" ht="18" customHeight="1" x14ac:dyDescent="0.3">
      <c r="B98" s="177" t="s">
        <v>116</v>
      </c>
      <c r="C98" s="475"/>
      <c r="D98" s="475"/>
      <c r="E98" s="481"/>
      <c r="F98" s="475"/>
      <c r="G98" s="475"/>
      <c r="H98" s="482"/>
      <c r="K98" s="136"/>
      <c r="L98" s="168"/>
      <c r="M98" s="168"/>
    </row>
    <row r="99" spans="2:13" ht="18" customHeight="1" x14ac:dyDescent="0.3">
      <c r="B99" s="406" t="s">
        <v>115</v>
      </c>
      <c r="C99" s="475"/>
      <c r="D99" s="475"/>
      <c r="E99" s="481"/>
      <c r="F99" s="475"/>
      <c r="G99" s="475"/>
      <c r="H99" s="482"/>
      <c r="K99" s="136"/>
      <c r="L99" s="168"/>
      <c r="M99" s="168"/>
    </row>
    <row r="100" spans="2:13" ht="18" customHeight="1" x14ac:dyDescent="0.3">
      <c r="B100" s="177" t="s">
        <v>285</v>
      </c>
      <c r="C100" s="475"/>
      <c r="D100" s="475"/>
      <c r="E100" s="481"/>
      <c r="F100" s="475"/>
      <c r="G100" s="475"/>
      <c r="H100" s="482"/>
      <c r="K100" s="136"/>
      <c r="L100" s="168"/>
      <c r="M100" s="168"/>
    </row>
    <row r="101" spans="2:13" ht="18" customHeight="1" x14ac:dyDescent="0.3">
      <c r="B101" s="333" t="s">
        <v>226</v>
      </c>
      <c r="C101" s="467"/>
      <c r="D101" s="467"/>
      <c r="E101" s="467"/>
      <c r="F101" s="467"/>
      <c r="G101" s="467"/>
      <c r="H101" s="470"/>
      <c r="K101" s="136"/>
      <c r="L101" s="168"/>
      <c r="M101" s="168"/>
    </row>
    <row r="102" spans="2:13" ht="18" customHeight="1" x14ac:dyDescent="0.3">
      <c r="B102" s="177" t="s">
        <v>286</v>
      </c>
      <c r="C102" s="467"/>
      <c r="D102" s="467"/>
      <c r="E102" s="467"/>
      <c r="F102" s="467"/>
      <c r="G102" s="467"/>
      <c r="H102" s="470"/>
      <c r="K102" s="136"/>
      <c r="L102" s="168"/>
      <c r="M102" s="168"/>
    </row>
    <row r="103" spans="2:13" ht="18" customHeight="1" x14ac:dyDescent="0.3">
      <c r="B103" s="406" t="s">
        <v>113</v>
      </c>
      <c r="C103" s="467"/>
      <c r="D103" s="467"/>
      <c r="E103" s="467"/>
      <c r="F103" s="467"/>
      <c r="G103" s="467"/>
      <c r="H103" s="470"/>
      <c r="K103" s="136"/>
      <c r="L103" s="168"/>
      <c r="M103" s="168"/>
    </row>
    <row r="104" spans="2:13" ht="18" customHeight="1" x14ac:dyDescent="0.3">
      <c r="B104" s="177" t="s">
        <v>101</v>
      </c>
      <c r="C104" s="475"/>
      <c r="D104" s="475"/>
      <c r="E104" s="481"/>
      <c r="F104" s="475"/>
      <c r="G104" s="475"/>
      <c r="H104" s="482"/>
      <c r="K104" s="136"/>
      <c r="L104" s="168"/>
      <c r="M104" s="168"/>
    </row>
    <row r="105" spans="2:13" ht="18" customHeight="1" x14ac:dyDescent="0.3">
      <c r="B105" s="177" t="s">
        <v>267</v>
      </c>
      <c r="C105" s="467"/>
      <c r="D105" s="467"/>
      <c r="E105" s="568"/>
      <c r="F105" s="467"/>
      <c r="G105" s="467"/>
      <c r="H105" s="470"/>
      <c r="K105" s="136"/>
      <c r="L105" s="168"/>
      <c r="M105" s="168"/>
    </row>
    <row r="106" spans="2:13" ht="18" customHeight="1" x14ac:dyDescent="0.3">
      <c r="B106" s="333" t="s">
        <v>194</v>
      </c>
      <c r="C106" s="569"/>
      <c r="D106" s="569"/>
      <c r="E106" s="570"/>
      <c r="F106" s="569"/>
      <c r="G106" s="569"/>
      <c r="H106" s="571"/>
      <c r="K106" s="136"/>
      <c r="L106" s="168"/>
      <c r="M106" s="168"/>
    </row>
    <row r="107" spans="2:13" ht="18" customHeight="1" x14ac:dyDescent="0.3">
      <c r="B107" s="177" t="s">
        <v>386</v>
      </c>
      <c r="C107" s="475"/>
      <c r="D107" s="475"/>
      <c r="E107" s="481"/>
      <c r="F107" s="475"/>
      <c r="G107" s="475"/>
      <c r="H107" s="482"/>
      <c r="K107" s="136"/>
      <c r="L107" s="168"/>
      <c r="M107" s="168"/>
    </row>
    <row r="108" spans="2:13" ht="18" customHeight="1" x14ac:dyDescent="0.3">
      <c r="B108" s="177" t="s">
        <v>440</v>
      </c>
      <c r="C108" s="511" t="str">
        <f>IFERROR(ABS(100*((AVERAGE(C99:H99)-C99)/AVERAGE(C99:H99))), " ")</f>
        <v xml:space="preserve"> </v>
      </c>
      <c r="D108" s="511" t="str">
        <f t="shared" ref="D108:H108" si="5">IFERROR(ABS(100*((AVERAGE(D99:I99)-D99)/AVERAGE(D99:I99))), " ")</f>
        <v xml:space="preserve"> </v>
      </c>
      <c r="E108" s="511" t="str">
        <f t="shared" si="5"/>
        <v xml:space="preserve"> </v>
      </c>
      <c r="F108" s="511" t="str">
        <f t="shared" si="5"/>
        <v xml:space="preserve"> </v>
      </c>
      <c r="G108" s="511" t="str">
        <f t="shared" si="5"/>
        <v xml:space="preserve"> </v>
      </c>
      <c r="H108" s="511" t="str">
        <f t="shared" si="5"/>
        <v xml:space="preserve"> </v>
      </c>
      <c r="K108" s="136"/>
      <c r="L108" s="168"/>
      <c r="M108" s="168"/>
    </row>
    <row r="109" spans="2:13" ht="18" customHeight="1" x14ac:dyDescent="0.3">
      <c r="B109" s="537"/>
      <c r="C109" s="538"/>
      <c r="D109" s="539"/>
      <c r="E109" s="539"/>
      <c r="F109" s="539"/>
      <c r="G109" s="539"/>
      <c r="H109" s="540"/>
      <c r="K109" s="136"/>
      <c r="L109" s="168"/>
      <c r="M109" s="168"/>
    </row>
    <row r="110" spans="2:13" ht="42.6" customHeight="1" thickBot="1" x14ac:dyDescent="0.35">
      <c r="B110" s="541" t="s">
        <v>443</v>
      </c>
      <c r="C110" s="803" t="str">
        <f>IF((COUNTIF(C107:H107, "&gt;0.5")+COUNTIF(C106:H106, "&gt;0.05")+COUNTIF(C108:H108, "&gt;0.33"))&gt;=1, "Supply requirements unmet - ensure that THD does not exceed .05%, voltage unbalance is below 0.5%, and variation from average frequency remains within 0.33%", "Data is permissible - may proceed with testing")</f>
        <v>Data is permissible - may proceed with testing</v>
      </c>
      <c r="D110" s="804"/>
      <c r="E110" s="804"/>
      <c r="F110" s="804"/>
      <c r="G110" s="218"/>
      <c r="H110" s="219"/>
      <c r="K110" s="136"/>
    </row>
    <row r="111" spans="2:13" ht="18" customHeight="1" thickBot="1" x14ac:dyDescent="0.35">
      <c r="B111" s="218"/>
      <c r="K111" s="136"/>
      <c r="L111" s="168"/>
      <c r="M111" s="168"/>
    </row>
    <row r="112" spans="2:13" ht="18" customHeight="1" thickBot="1" x14ac:dyDescent="0.4">
      <c r="B112" s="713" t="s">
        <v>102</v>
      </c>
      <c r="C112" s="714"/>
      <c r="D112" s="714"/>
      <c r="E112" s="714"/>
      <c r="F112" s="714"/>
      <c r="G112" s="714"/>
      <c r="H112" s="715"/>
      <c r="K112" s="136"/>
    </row>
    <row r="113" spans="2:12" ht="18" customHeight="1" x14ac:dyDescent="0.35">
      <c r="B113" s="542"/>
      <c r="C113" s="543"/>
      <c r="D113" s="543"/>
      <c r="E113" s="543"/>
      <c r="F113" s="543"/>
      <c r="G113" s="271"/>
      <c r="H113" s="536"/>
      <c r="K113" s="136"/>
    </row>
    <row r="114" spans="2:12" ht="38.450000000000003" customHeight="1" x14ac:dyDescent="0.35">
      <c r="B114" s="544" t="s">
        <v>122</v>
      </c>
      <c r="C114" s="484"/>
      <c r="D114" s="516"/>
      <c r="E114" s="516"/>
      <c r="F114" s="516"/>
      <c r="G114" s="168"/>
      <c r="H114" s="175"/>
      <c r="K114" s="136"/>
    </row>
    <row r="115" spans="2:12" ht="18" customHeight="1" x14ac:dyDescent="0.35">
      <c r="B115" s="515"/>
      <c r="C115" s="516"/>
      <c r="D115" s="516"/>
      <c r="E115" s="516"/>
      <c r="F115" s="516"/>
      <c r="G115" s="168"/>
      <c r="H115" s="175"/>
      <c r="K115" s="136"/>
    </row>
    <row r="116" spans="2:12" ht="18" customHeight="1" x14ac:dyDescent="0.35">
      <c r="B116" s="521" t="s">
        <v>119</v>
      </c>
      <c r="C116" s="760" t="s">
        <v>124</v>
      </c>
      <c r="D116" s="760"/>
      <c r="E116" s="760"/>
      <c r="F116" s="516"/>
      <c r="G116" s="517"/>
      <c r="H116" s="518"/>
      <c r="K116" s="136"/>
      <c r="L116" s="168"/>
    </row>
    <row r="117" spans="2:12" ht="35.450000000000003" customHeight="1" x14ac:dyDescent="0.3">
      <c r="B117" s="494" t="s">
        <v>92</v>
      </c>
      <c r="C117" s="793" t="s">
        <v>120</v>
      </c>
      <c r="D117" s="793"/>
      <c r="E117" s="793"/>
      <c r="F117" s="499"/>
      <c r="G117" s="168"/>
      <c r="H117" s="175"/>
      <c r="K117" s="136"/>
      <c r="L117" s="168"/>
    </row>
    <row r="118" spans="2:12" ht="18" customHeight="1" x14ac:dyDescent="0.3">
      <c r="B118" s="494" t="s">
        <v>123</v>
      </c>
      <c r="C118" s="794" t="s">
        <v>121</v>
      </c>
      <c r="D118" s="794"/>
      <c r="E118" s="794"/>
      <c r="F118" s="501"/>
      <c r="G118" s="168"/>
      <c r="H118" s="175"/>
      <c r="K118" s="136"/>
      <c r="L118" s="168"/>
    </row>
    <row r="119" spans="2:12" ht="18" customHeight="1" x14ac:dyDescent="0.3">
      <c r="B119" s="179"/>
      <c r="C119" s="168"/>
      <c r="D119" s="168"/>
      <c r="E119" s="168"/>
      <c r="F119" s="168"/>
      <c r="G119" s="168"/>
      <c r="H119" s="175"/>
      <c r="K119" s="136"/>
      <c r="L119" s="168"/>
    </row>
    <row r="120" spans="2:12" ht="18" customHeight="1" x14ac:dyDescent="0.35">
      <c r="B120" s="284"/>
      <c r="C120" s="795" t="s">
        <v>119</v>
      </c>
      <c r="D120" s="796"/>
      <c r="E120" s="168"/>
      <c r="F120" s="168"/>
      <c r="G120" s="168"/>
      <c r="H120" s="175"/>
      <c r="K120" s="136"/>
    </row>
    <row r="121" spans="2:12" ht="18" customHeight="1" x14ac:dyDescent="0.35">
      <c r="B121" s="229" t="s">
        <v>117</v>
      </c>
      <c r="C121" s="173" t="s">
        <v>92</v>
      </c>
      <c r="D121" s="173" t="s">
        <v>123</v>
      </c>
      <c r="E121" s="168"/>
      <c r="F121" s="168"/>
      <c r="G121" s="168"/>
      <c r="H121" s="175"/>
      <c r="K121" s="136"/>
    </row>
    <row r="122" spans="2:12" ht="18" customHeight="1" x14ac:dyDescent="0.3">
      <c r="B122" s="177" t="s">
        <v>125</v>
      </c>
      <c r="C122" s="475"/>
      <c r="D122" s="475"/>
      <c r="E122" s="168"/>
      <c r="F122" s="168"/>
      <c r="G122" s="168"/>
      <c r="H122" s="175"/>
      <c r="K122" s="136"/>
    </row>
    <row r="123" spans="2:12" ht="18" customHeight="1" x14ac:dyDescent="0.3">
      <c r="B123" s="177" t="s">
        <v>114</v>
      </c>
      <c r="C123" s="467"/>
      <c r="D123" s="467"/>
      <c r="E123" s="168"/>
      <c r="F123" s="168"/>
      <c r="G123" s="168"/>
      <c r="H123" s="175"/>
      <c r="K123" s="136"/>
    </row>
    <row r="124" spans="2:12" ht="18" customHeight="1" x14ac:dyDescent="0.3">
      <c r="B124" s="177" t="s">
        <v>112</v>
      </c>
      <c r="C124" s="467"/>
      <c r="D124" s="467"/>
      <c r="E124" s="168"/>
      <c r="F124" s="168"/>
      <c r="G124" s="168"/>
      <c r="H124" s="175"/>
      <c r="K124" s="136"/>
    </row>
    <row r="125" spans="2:12" ht="18" customHeight="1" x14ac:dyDescent="0.3">
      <c r="B125" s="177" t="s">
        <v>234</v>
      </c>
      <c r="C125" s="467"/>
      <c r="D125" s="467"/>
      <c r="E125" s="168"/>
      <c r="F125" s="168"/>
      <c r="G125" s="168"/>
      <c r="H125" s="175"/>
      <c r="J125" s="168"/>
      <c r="K125" s="136"/>
    </row>
    <row r="126" spans="2:12" ht="18" customHeight="1" x14ac:dyDescent="0.3">
      <c r="B126" s="177" t="s">
        <v>126</v>
      </c>
      <c r="C126" s="467"/>
      <c r="D126" s="268"/>
      <c r="E126" s="168"/>
      <c r="F126" s="168"/>
      <c r="G126" s="168"/>
      <c r="H126" s="175"/>
      <c r="K126" s="136"/>
    </row>
    <row r="127" spans="2:12" ht="18" customHeight="1" x14ac:dyDescent="0.3">
      <c r="B127" s="177" t="s">
        <v>101</v>
      </c>
      <c r="C127" s="467"/>
      <c r="D127" s="268"/>
      <c r="E127" s="168"/>
      <c r="F127" s="168"/>
      <c r="G127" s="168"/>
      <c r="H127" s="175"/>
      <c r="K127" s="136"/>
    </row>
    <row r="128" spans="2:12" ht="18" customHeight="1" x14ac:dyDescent="0.3">
      <c r="B128" s="177" t="s">
        <v>226</v>
      </c>
      <c r="C128" s="467"/>
      <c r="D128" s="467"/>
      <c r="E128" s="168"/>
      <c r="F128" s="168"/>
      <c r="G128" s="168"/>
      <c r="H128" s="175"/>
      <c r="K128" s="136"/>
    </row>
    <row r="129" spans="2:13" ht="18" customHeight="1" x14ac:dyDescent="0.3">
      <c r="B129" s="545"/>
      <c r="C129" s="168"/>
      <c r="D129" s="168"/>
      <c r="E129" s="168"/>
      <c r="F129" s="168"/>
      <c r="G129" s="168"/>
      <c r="H129" s="175"/>
      <c r="K129" s="136"/>
    </row>
    <row r="130" spans="2:13" ht="18" customHeight="1" thickBot="1" x14ac:dyDescent="0.4">
      <c r="B130" s="533" t="s">
        <v>105</v>
      </c>
      <c r="C130" s="218"/>
      <c r="D130" s="218"/>
      <c r="E130" s="218"/>
      <c r="F130" s="218"/>
      <c r="G130" s="218"/>
      <c r="H130" s="219"/>
      <c r="K130" s="136"/>
    </row>
    <row r="131" spans="2:13" ht="18" customHeight="1" x14ac:dyDescent="0.3">
      <c r="B131" s="546" t="s">
        <v>69</v>
      </c>
      <c r="C131" s="547" t="s">
        <v>70</v>
      </c>
      <c r="D131" s="548"/>
      <c r="E131" s="271"/>
      <c r="F131" s="271"/>
      <c r="G131" s="271"/>
      <c r="H131" s="536"/>
      <c r="K131" s="136"/>
    </row>
    <row r="132" spans="2:13" ht="18" customHeight="1" x14ac:dyDescent="0.3">
      <c r="B132" s="549" t="s">
        <v>246</v>
      </c>
      <c r="C132" s="550">
        <f>1.5*(C124)^2*C125</f>
        <v>0</v>
      </c>
      <c r="D132" s="503"/>
      <c r="E132" s="168"/>
      <c r="F132" s="168"/>
      <c r="G132" s="168"/>
      <c r="H132" s="175"/>
      <c r="K132" s="136"/>
    </row>
    <row r="133" spans="2:13" ht="18" customHeight="1" x14ac:dyDescent="0.3">
      <c r="B133" s="549" t="s">
        <v>247</v>
      </c>
      <c r="C133" s="550">
        <f>1.5*(D124)^2*D125</f>
        <v>0</v>
      </c>
      <c r="D133" s="503"/>
      <c r="E133" s="168"/>
      <c r="F133" s="168"/>
      <c r="G133" s="168"/>
      <c r="H133" s="175"/>
      <c r="K133" s="136"/>
    </row>
    <row r="134" spans="2:13" ht="18" customHeight="1" x14ac:dyDescent="0.3">
      <c r="B134" s="549" t="s">
        <v>259</v>
      </c>
      <c r="C134" s="550" t="str">
        <f>C83</f>
        <v xml:space="preserve"> </v>
      </c>
      <c r="D134" s="503"/>
      <c r="E134" s="168"/>
      <c r="F134" s="168"/>
      <c r="G134" s="168"/>
      <c r="H134" s="175"/>
      <c r="K134" s="136"/>
    </row>
    <row r="135" spans="2:13" ht="18" customHeight="1" x14ac:dyDescent="0.3">
      <c r="B135" s="551" t="s">
        <v>248</v>
      </c>
      <c r="C135" s="496" t="str">
        <f>IFERROR((C122-C132-C134)*(1-C126), " ")</f>
        <v xml:space="preserve"> </v>
      </c>
      <c r="D135" s="501"/>
      <c r="E135" s="168"/>
      <c r="F135" s="168"/>
      <c r="G135" s="168"/>
      <c r="H135" s="175"/>
      <c r="K135" s="136"/>
    </row>
    <row r="136" spans="2:13" ht="18" customHeight="1" x14ac:dyDescent="0.3">
      <c r="B136" s="301" t="s">
        <v>249</v>
      </c>
      <c r="C136" s="496" t="str">
        <f>IFERROR(D122-C133-C134, " ")</f>
        <v xml:space="preserve"> </v>
      </c>
      <c r="D136" s="503"/>
      <c r="E136" s="168"/>
      <c r="F136" s="168"/>
      <c r="G136" s="168"/>
      <c r="H136" s="175"/>
      <c r="K136" s="136"/>
    </row>
    <row r="137" spans="2:13" ht="18" customHeight="1" thickBot="1" x14ac:dyDescent="0.35">
      <c r="B137" s="315" t="s">
        <v>250</v>
      </c>
      <c r="C137" s="498">
        <f>IF(C114="Yes", 9.549*((C135-C136)/C127)-C128, 0)</f>
        <v>0</v>
      </c>
      <c r="D137" s="504"/>
      <c r="E137" s="218"/>
      <c r="F137" s="218"/>
      <c r="G137" s="218"/>
      <c r="H137" s="219"/>
      <c r="K137" s="136"/>
    </row>
    <row r="138" spans="2:13" ht="18" customHeight="1" thickBot="1" x14ac:dyDescent="0.35">
      <c r="G138" s="168"/>
      <c r="H138" s="168"/>
      <c r="K138" s="136"/>
    </row>
    <row r="139" spans="2:13" ht="18" customHeight="1" thickBot="1" x14ac:dyDescent="0.4">
      <c r="B139" s="799" t="s">
        <v>161</v>
      </c>
      <c r="C139" s="800"/>
      <c r="D139" s="800"/>
      <c r="E139" s="800"/>
      <c r="F139" s="800"/>
      <c r="G139" s="800"/>
      <c r="H139" s="801"/>
      <c r="K139" s="136"/>
      <c r="L139" s="168"/>
      <c r="M139" s="168"/>
    </row>
    <row r="140" spans="2:13" ht="18" customHeight="1" x14ac:dyDescent="0.35">
      <c r="B140" s="552"/>
      <c r="C140" s="553"/>
      <c r="D140" s="553"/>
      <c r="E140" s="553"/>
      <c r="F140" s="553"/>
      <c r="G140" s="553"/>
      <c r="H140" s="554"/>
      <c r="K140" s="136"/>
      <c r="L140" s="168"/>
      <c r="M140" s="168"/>
    </row>
    <row r="141" spans="2:13" ht="18" customHeight="1" x14ac:dyDescent="0.35">
      <c r="B141" s="284"/>
      <c r="C141" s="797" t="s">
        <v>99</v>
      </c>
      <c r="D141" s="797"/>
      <c r="E141" s="797"/>
      <c r="F141" s="797"/>
      <c r="G141" s="797"/>
      <c r="H141" s="798"/>
      <c r="I141" s="168"/>
      <c r="K141" s="136"/>
      <c r="L141" s="168"/>
      <c r="M141" s="168"/>
    </row>
    <row r="142" spans="2:13" ht="18" customHeight="1" x14ac:dyDescent="0.35">
      <c r="B142" s="229" t="s">
        <v>69</v>
      </c>
      <c r="C142" s="173">
        <v>1</v>
      </c>
      <c r="D142" s="173">
        <v>2</v>
      </c>
      <c r="E142" s="174">
        <v>3</v>
      </c>
      <c r="F142" s="173">
        <v>4</v>
      </c>
      <c r="G142" s="173">
        <v>5</v>
      </c>
      <c r="H142" s="397">
        <v>6</v>
      </c>
      <c r="K142" s="136"/>
      <c r="L142" s="168"/>
      <c r="M142" s="168"/>
    </row>
    <row r="143" spans="2:13" ht="18" customHeight="1" x14ac:dyDescent="0.3">
      <c r="B143" s="177" t="s">
        <v>140</v>
      </c>
      <c r="C143" s="511" t="str">
        <f>IFERROR(120/(C99/$C$22), " ")</f>
        <v xml:space="preserve"> </v>
      </c>
      <c r="D143" s="511" t="str">
        <f t="shared" ref="D143:H143" si="6">IFERROR(120/(D99/$C$22), " ")</f>
        <v xml:space="preserve"> </v>
      </c>
      <c r="E143" s="511" t="str">
        <f t="shared" si="6"/>
        <v xml:space="preserve"> </v>
      </c>
      <c r="F143" s="511" t="str">
        <f t="shared" si="6"/>
        <v xml:space="preserve"> </v>
      </c>
      <c r="G143" s="511" t="str">
        <f t="shared" si="6"/>
        <v xml:space="preserve"> </v>
      </c>
      <c r="H143" s="511" t="str">
        <f t="shared" si="6"/>
        <v xml:space="preserve"> </v>
      </c>
      <c r="K143" s="136"/>
      <c r="L143" s="168"/>
      <c r="M143" s="168"/>
    </row>
    <row r="144" spans="2:13" ht="18" customHeight="1" x14ac:dyDescent="0.3">
      <c r="B144" s="177" t="s">
        <v>141</v>
      </c>
      <c r="C144" s="511" t="str">
        <f>IFERROR(C143-C104, " ")</f>
        <v xml:space="preserve"> </v>
      </c>
      <c r="D144" s="511" t="str">
        <f t="shared" ref="D144:H144" si="7">IFERROR(D143-D104, " ")</f>
        <v xml:space="preserve"> </v>
      </c>
      <c r="E144" s="511" t="str">
        <f t="shared" si="7"/>
        <v xml:space="preserve"> </v>
      </c>
      <c r="F144" s="511" t="str">
        <f t="shared" si="7"/>
        <v xml:space="preserve"> </v>
      </c>
      <c r="G144" s="511" t="str">
        <f t="shared" si="7"/>
        <v xml:space="preserve"> </v>
      </c>
      <c r="H144" s="511" t="str">
        <f t="shared" si="7"/>
        <v xml:space="preserve"> </v>
      </c>
      <c r="K144" s="136"/>
      <c r="L144" s="168"/>
      <c r="M144" s="168"/>
    </row>
    <row r="145" spans="2:13" ht="18" customHeight="1" x14ac:dyDescent="0.3">
      <c r="B145" s="177" t="s">
        <v>126</v>
      </c>
      <c r="C145" s="511" t="str">
        <f>IFERROR(C144/C143, " ")</f>
        <v xml:space="preserve"> </v>
      </c>
      <c r="D145" s="511" t="str">
        <f t="shared" ref="D145:H145" si="8">IFERROR(D144/D143, " ")</f>
        <v xml:space="preserve"> </v>
      </c>
      <c r="E145" s="511" t="str">
        <f t="shared" si="8"/>
        <v xml:space="preserve"> </v>
      </c>
      <c r="F145" s="511" t="str">
        <f t="shared" si="8"/>
        <v xml:space="preserve"> </v>
      </c>
      <c r="G145" s="511" t="str">
        <f t="shared" si="8"/>
        <v xml:space="preserve"> </v>
      </c>
      <c r="H145" s="511" t="str">
        <f t="shared" si="8"/>
        <v xml:space="preserve"> </v>
      </c>
      <c r="K145" s="136"/>
      <c r="L145" s="168"/>
      <c r="M145" s="168"/>
    </row>
    <row r="146" spans="2:13" ht="18" customHeight="1" x14ac:dyDescent="0.3">
      <c r="B146" s="177" t="s">
        <v>142</v>
      </c>
      <c r="C146" s="511" t="str">
        <f>IFERROR(SQRT((C100-(SQRT(3)/2)*C102*C105*(C166/100))^2+((SQRT(3)/2)+C102*C105*SQRT(1-(C166/100)^2))^2), " ")</f>
        <v xml:space="preserve"> </v>
      </c>
      <c r="D146" s="511" t="str">
        <f t="shared" ref="D146:H146" si="9">IFERROR(SQRT((D100-(SQRT(3)/2)*D102*D105*(D166/100))^2+((SQRT(3)/2)+D102*D105*SQRT(1-(D166/100)^2))^2), " ")</f>
        <v xml:space="preserve"> </v>
      </c>
      <c r="E146" s="511" t="str">
        <f t="shared" si="9"/>
        <v xml:space="preserve"> </v>
      </c>
      <c r="F146" s="511" t="str">
        <f t="shared" si="9"/>
        <v xml:space="preserve"> </v>
      </c>
      <c r="G146" s="511" t="str">
        <f t="shared" si="9"/>
        <v xml:space="preserve"> </v>
      </c>
      <c r="H146" s="511" t="str">
        <f t="shared" si="9"/>
        <v xml:space="preserve"> </v>
      </c>
      <c r="K146" s="136"/>
      <c r="L146" s="168"/>
      <c r="M146" s="168"/>
    </row>
    <row r="147" spans="2:13" ht="18" customHeight="1" x14ac:dyDescent="0.3">
      <c r="B147" s="177" t="s">
        <v>143</v>
      </c>
      <c r="C147" s="511" t="str">
        <f>IFERROR(FORECAST(C146,$C$72:$H$72,$C$63:$H$63), " ")</f>
        <v xml:space="preserve"> </v>
      </c>
      <c r="D147" s="511" t="str">
        <f t="shared" ref="D147:H147" si="10">IFERROR(FORECAST(D146,$C$72:$H$72,$C$63:$H$63), " ")</f>
        <v xml:space="preserve"> </v>
      </c>
      <c r="E147" s="511" t="str">
        <f t="shared" si="10"/>
        <v xml:space="preserve"> </v>
      </c>
      <c r="F147" s="511" t="str">
        <f t="shared" si="10"/>
        <v xml:space="preserve"> </v>
      </c>
      <c r="G147" s="511" t="str">
        <f t="shared" si="10"/>
        <v xml:space="preserve"> </v>
      </c>
      <c r="H147" s="511" t="str">
        <f t="shared" si="10"/>
        <v xml:space="preserve"> </v>
      </c>
      <c r="K147" s="136"/>
      <c r="L147" s="168"/>
      <c r="M147" s="168"/>
    </row>
    <row r="148" spans="2:13" ht="18" customHeight="1" x14ac:dyDescent="0.3">
      <c r="B148" s="177" t="s">
        <v>127</v>
      </c>
      <c r="C148" s="511">
        <f t="shared" ref="C148:H148" si="11">1.5*C102^2*C105</f>
        <v>0</v>
      </c>
      <c r="D148" s="511">
        <f t="shared" si="11"/>
        <v>0</v>
      </c>
      <c r="E148" s="511">
        <f t="shared" si="11"/>
        <v>0</v>
      </c>
      <c r="F148" s="511">
        <f t="shared" si="11"/>
        <v>0</v>
      </c>
      <c r="G148" s="511">
        <f t="shared" si="11"/>
        <v>0</v>
      </c>
      <c r="H148" s="511">
        <f t="shared" si="11"/>
        <v>0</v>
      </c>
      <c r="K148" s="136"/>
      <c r="L148" s="168"/>
      <c r="M148" s="168"/>
    </row>
    <row r="149" spans="2:13" ht="18" customHeight="1" x14ac:dyDescent="0.3">
      <c r="B149" s="177" t="s">
        <v>144</v>
      </c>
      <c r="C149" s="511" t="str">
        <f>IFERROR(C103-C147-C148, " ")</f>
        <v xml:space="preserve"> </v>
      </c>
      <c r="D149" s="511" t="str">
        <f t="shared" ref="D149:H149" si="12">IFERROR(D103-D147-D148, " ")</f>
        <v xml:space="preserve"> </v>
      </c>
      <c r="E149" s="511" t="str">
        <f t="shared" si="12"/>
        <v xml:space="preserve"> </v>
      </c>
      <c r="F149" s="511" t="str">
        <f t="shared" si="12"/>
        <v xml:space="preserve"> </v>
      </c>
      <c r="G149" s="511" t="str">
        <f t="shared" si="12"/>
        <v xml:space="preserve"> </v>
      </c>
      <c r="H149" s="511" t="str">
        <f t="shared" si="12"/>
        <v xml:space="preserve"> </v>
      </c>
      <c r="K149" s="136"/>
      <c r="L149" s="168"/>
      <c r="M149" s="168"/>
    </row>
    <row r="150" spans="2:13" ht="18" customHeight="1" x14ac:dyDescent="0.3">
      <c r="B150" s="177" t="s">
        <v>145</v>
      </c>
      <c r="C150" s="511" t="str">
        <f>IFERROR(C149*C145, " ")</f>
        <v xml:space="preserve"> </v>
      </c>
      <c r="D150" s="511" t="str">
        <f t="shared" ref="D150:H150" si="13">IFERROR(D149*D145, " ")</f>
        <v xml:space="preserve"> </v>
      </c>
      <c r="E150" s="511" t="str">
        <f t="shared" si="13"/>
        <v xml:space="preserve"> </v>
      </c>
      <c r="F150" s="511" t="str">
        <f t="shared" si="13"/>
        <v xml:space="preserve"> </v>
      </c>
      <c r="G150" s="511" t="str">
        <f t="shared" si="13"/>
        <v xml:space="preserve"> </v>
      </c>
      <c r="H150" s="511" t="str">
        <f t="shared" si="13"/>
        <v xml:space="preserve"> </v>
      </c>
      <c r="K150" s="136"/>
      <c r="L150" s="168"/>
      <c r="M150" s="168"/>
    </row>
    <row r="151" spans="2:13" ht="18" customHeight="1" x14ac:dyDescent="0.3">
      <c r="B151" s="177" t="s">
        <v>260</v>
      </c>
      <c r="C151" s="511">
        <f>C155-C148</f>
        <v>0</v>
      </c>
      <c r="D151" s="511">
        <f t="shared" ref="D151:H151" si="14">D155-D148</f>
        <v>0</v>
      </c>
      <c r="E151" s="511">
        <f t="shared" si="14"/>
        <v>0</v>
      </c>
      <c r="F151" s="511">
        <f t="shared" si="14"/>
        <v>0</v>
      </c>
      <c r="G151" s="511">
        <f t="shared" si="14"/>
        <v>0</v>
      </c>
      <c r="H151" s="511">
        <f t="shared" si="14"/>
        <v>0</v>
      </c>
      <c r="K151" s="136"/>
      <c r="L151" s="168"/>
      <c r="M151" s="168"/>
    </row>
    <row r="152" spans="2:13" ht="18" customHeight="1" x14ac:dyDescent="0.3">
      <c r="B152" s="177" t="s">
        <v>146</v>
      </c>
      <c r="C152" s="511" t="str">
        <f>IFERROR(C147+C148+C150+C151, " ")</f>
        <v xml:space="preserve"> </v>
      </c>
      <c r="D152" s="511" t="str">
        <f t="shared" ref="D152:H152" si="15">IFERROR(D147+D148+D150+D151, " ")</f>
        <v xml:space="preserve"> </v>
      </c>
      <c r="E152" s="511" t="str">
        <f t="shared" si="15"/>
        <v xml:space="preserve"> </v>
      </c>
      <c r="F152" s="511" t="str">
        <f t="shared" si="15"/>
        <v xml:space="preserve"> </v>
      </c>
      <c r="G152" s="511" t="str">
        <f t="shared" si="15"/>
        <v xml:space="preserve"> </v>
      </c>
      <c r="H152" s="511" t="str">
        <f t="shared" si="15"/>
        <v xml:space="preserve"> </v>
      </c>
      <c r="K152" s="136"/>
      <c r="L152" s="168"/>
      <c r="M152" s="168"/>
    </row>
    <row r="153" spans="2:13" ht="18" customHeight="1" x14ac:dyDescent="0.3">
      <c r="B153" s="177" t="s">
        <v>229</v>
      </c>
      <c r="C153" s="511">
        <f t="shared" ref="C153:H153" si="16">C101+$C$137</f>
        <v>0</v>
      </c>
      <c r="D153" s="511">
        <f t="shared" si="16"/>
        <v>0</v>
      </c>
      <c r="E153" s="511">
        <f t="shared" si="16"/>
        <v>0</v>
      </c>
      <c r="F153" s="511">
        <f t="shared" si="16"/>
        <v>0</v>
      </c>
      <c r="G153" s="511">
        <f t="shared" si="16"/>
        <v>0</v>
      </c>
      <c r="H153" s="511">
        <f t="shared" si="16"/>
        <v>0</v>
      </c>
      <c r="K153" s="136"/>
      <c r="L153" s="168"/>
      <c r="M153" s="168"/>
    </row>
    <row r="154" spans="2:13" ht="18" customHeight="1" x14ac:dyDescent="0.3">
      <c r="B154" s="177" t="s">
        <v>134</v>
      </c>
      <c r="C154" s="511">
        <f t="shared" ref="C154:H154" si="17">C153*C104/9.549</f>
        <v>0</v>
      </c>
      <c r="D154" s="511">
        <f t="shared" si="17"/>
        <v>0</v>
      </c>
      <c r="E154" s="511">
        <f t="shared" si="17"/>
        <v>0</v>
      </c>
      <c r="F154" s="511">
        <f t="shared" si="17"/>
        <v>0</v>
      </c>
      <c r="G154" s="511">
        <f t="shared" si="17"/>
        <v>0</v>
      </c>
      <c r="H154" s="511">
        <f t="shared" si="17"/>
        <v>0</v>
      </c>
      <c r="K154" s="136"/>
      <c r="L154" s="168"/>
      <c r="M154" s="168"/>
    </row>
    <row r="155" spans="2:13" ht="18" customHeight="1" x14ac:dyDescent="0.3">
      <c r="B155" s="177" t="s">
        <v>147</v>
      </c>
      <c r="C155" s="511">
        <f t="shared" ref="C155:H155" si="18">C103-C154</f>
        <v>0</v>
      </c>
      <c r="D155" s="511">
        <f t="shared" si="18"/>
        <v>0</v>
      </c>
      <c r="E155" s="511">
        <f t="shared" si="18"/>
        <v>0</v>
      </c>
      <c r="F155" s="511">
        <f t="shared" si="18"/>
        <v>0</v>
      </c>
      <c r="G155" s="511">
        <f t="shared" si="18"/>
        <v>0</v>
      </c>
      <c r="H155" s="511">
        <f t="shared" si="18"/>
        <v>0</v>
      </c>
      <c r="K155" s="136"/>
    </row>
    <row r="156" spans="2:13" ht="18" customHeight="1" x14ac:dyDescent="0.3">
      <c r="B156" s="177" t="s">
        <v>148</v>
      </c>
      <c r="C156" s="511" t="str">
        <f>IFERROR(C155-C152, " ")</f>
        <v xml:space="preserve"> </v>
      </c>
      <c r="D156" s="511" t="str">
        <f t="shared" ref="D156:H156" si="19">IFERROR(D155-D152, " ")</f>
        <v xml:space="preserve"> </v>
      </c>
      <c r="E156" s="511" t="str">
        <f t="shared" si="19"/>
        <v xml:space="preserve"> </v>
      </c>
      <c r="F156" s="511" t="str">
        <f t="shared" si="19"/>
        <v xml:space="preserve"> </v>
      </c>
      <c r="G156" s="511" t="str">
        <f t="shared" si="19"/>
        <v xml:space="preserve"> </v>
      </c>
      <c r="H156" s="511" t="str">
        <f t="shared" si="19"/>
        <v xml:space="preserve"> </v>
      </c>
      <c r="K156" s="136"/>
    </row>
    <row r="157" spans="2:13" ht="18" customHeight="1" x14ac:dyDescent="0.35">
      <c r="B157" s="177" t="s">
        <v>268</v>
      </c>
      <c r="C157" s="511" t="str">
        <f>IFERROR(IF($C$33="No", 1.5*C102^2*$C$36*(($C$24+$C$40)/($C$24+$C$38)), 1.5*C102^2*$C$29*(($C$24+$C$41)/($C$24+$C$28))), " ")</f>
        <v xml:space="preserve"> </v>
      </c>
      <c r="D157" s="511" t="str">
        <f t="shared" ref="D157:H157" si="20">IFERROR(IF($C$33="No", 1.5*D102^2*$C$36*(($C$24+$C$40)/($C$24+$C$38)), 1.5*D102^2*$C$29*(($C$24+$C$41)/($C$24+$C$28))), " ")</f>
        <v xml:space="preserve"> </v>
      </c>
      <c r="E157" s="511" t="str">
        <f t="shared" si="20"/>
        <v xml:space="preserve"> </v>
      </c>
      <c r="F157" s="511" t="str">
        <f t="shared" si="20"/>
        <v xml:space="preserve"> </v>
      </c>
      <c r="G157" s="511" t="str">
        <f t="shared" si="20"/>
        <v xml:space="preserve"> </v>
      </c>
      <c r="H157" s="511" t="str">
        <f t="shared" si="20"/>
        <v xml:space="preserve"> </v>
      </c>
      <c r="K157" s="136"/>
    </row>
    <row r="158" spans="2:13" ht="18" customHeight="1" x14ac:dyDescent="0.3">
      <c r="B158" s="177" t="s">
        <v>149</v>
      </c>
      <c r="C158" s="511" t="str">
        <f>IFERROR(C103-C147-C157, " ")</f>
        <v xml:space="preserve"> </v>
      </c>
      <c r="D158" s="511" t="str">
        <f t="shared" ref="D158:H158" si="21">IFERROR(D103-D147-D157, " ")</f>
        <v xml:space="preserve"> </v>
      </c>
      <c r="E158" s="511" t="str">
        <f t="shared" si="21"/>
        <v xml:space="preserve"> </v>
      </c>
      <c r="F158" s="511" t="str">
        <f t="shared" si="21"/>
        <v xml:space="preserve"> </v>
      </c>
      <c r="G158" s="511" t="str">
        <f t="shared" si="21"/>
        <v xml:space="preserve"> </v>
      </c>
      <c r="H158" s="511" t="str">
        <f t="shared" si="21"/>
        <v xml:space="preserve"> </v>
      </c>
      <c r="K158" s="136"/>
    </row>
    <row r="159" spans="2:13" ht="18" customHeight="1" x14ac:dyDescent="0.3">
      <c r="B159" s="177" t="s">
        <v>128</v>
      </c>
      <c r="C159" s="511" t="str">
        <f>IFERROR(C145*($C$24+($C$40+$C$41))/(C97+$C$24), " ")</f>
        <v xml:space="preserve"> </v>
      </c>
      <c r="D159" s="511" t="str">
        <f t="shared" ref="D159:H159" si="22">IFERROR(D145*($C$24+($C$40+$C$41))/(D97+$C$24), " ")</f>
        <v xml:space="preserve"> </v>
      </c>
      <c r="E159" s="511" t="str">
        <f t="shared" si="22"/>
        <v xml:space="preserve"> </v>
      </c>
      <c r="F159" s="511" t="str">
        <f t="shared" si="22"/>
        <v xml:space="preserve"> </v>
      </c>
      <c r="G159" s="511" t="str">
        <f t="shared" si="22"/>
        <v xml:space="preserve"> </v>
      </c>
      <c r="H159" s="511" t="str">
        <f t="shared" si="22"/>
        <v xml:space="preserve"> </v>
      </c>
      <c r="K159" s="136"/>
    </row>
    <row r="160" spans="2:13" ht="18" customHeight="1" x14ac:dyDescent="0.3">
      <c r="B160" s="177" t="s">
        <v>133</v>
      </c>
      <c r="C160" s="511" t="str">
        <f>IFERROR(C143*(1-C159), " ")</f>
        <v xml:space="preserve"> </v>
      </c>
      <c r="D160" s="511" t="str">
        <f t="shared" ref="D160:H160" si="23">IFERROR(D143*(1-D159), " ")</f>
        <v xml:space="preserve"> </v>
      </c>
      <c r="E160" s="511" t="str">
        <f t="shared" si="23"/>
        <v xml:space="preserve"> </v>
      </c>
      <c r="F160" s="511" t="str">
        <f t="shared" si="23"/>
        <v xml:space="preserve"> </v>
      </c>
      <c r="G160" s="511" t="str">
        <f t="shared" si="23"/>
        <v xml:space="preserve"> </v>
      </c>
      <c r="H160" s="511" t="str">
        <f t="shared" si="23"/>
        <v xml:space="preserve"> </v>
      </c>
      <c r="K160" s="136"/>
    </row>
    <row r="161" spans="2:11" ht="18" customHeight="1" x14ac:dyDescent="0.35">
      <c r="B161" s="177" t="s">
        <v>270</v>
      </c>
      <c r="C161" s="511" t="str">
        <f>IFERROR(C159*C158, " ")</f>
        <v xml:space="preserve"> </v>
      </c>
      <c r="D161" s="511" t="str">
        <f t="shared" ref="D161:H161" si="24">IFERROR(D159*D158, " ")</f>
        <v xml:space="preserve"> </v>
      </c>
      <c r="E161" s="511" t="str">
        <f t="shared" si="24"/>
        <v xml:space="preserve"> </v>
      </c>
      <c r="F161" s="511" t="str">
        <f t="shared" si="24"/>
        <v xml:space="preserve"> </v>
      </c>
      <c r="G161" s="511" t="str">
        <f t="shared" si="24"/>
        <v xml:space="preserve"> </v>
      </c>
      <c r="H161" s="511" t="str">
        <f t="shared" si="24"/>
        <v xml:space="preserve"> </v>
      </c>
      <c r="K161" s="136"/>
    </row>
    <row r="162" spans="2:11" ht="18" customHeight="1" x14ac:dyDescent="0.3">
      <c r="B162" s="177" t="s">
        <v>150</v>
      </c>
      <c r="C162" s="511" t="str">
        <f>IFERROR($C$176*C153^2, " ")</f>
        <v xml:space="preserve"> </v>
      </c>
      <c r="D162" s="511" t="str">
        <f t="shared" ref="D162:H162" si="25">IFERROR($C$176*D153^2, " ")</f>
        <v xml:space="preserve"> </v>
      </c>
      <c r="E162" s="511" t="str">
        <f t="shared" si="25"/>
        <v xml:space="preserve"> </v>
      </c>
      <c r="F162" s="511" t="str">
        <f t="shared" si="25"/>
        <v xml:space="preserve"> </v>
      </c>
      <c r="G162" s="511" t="str">
        <f t="shared" si="25"/>
        <v xml:space="preserve"> </v>
      </c>
      <c r="H162" s="511" t="str">
        <f t="shared" si="25"/>
        <v xml:space="preserve"> </v>
      </c>
      <c r="K162" s="136"/>
    </row>
    <row r="163" spans="2:11" ht="18" customHeight="1" x14ac:dyDescent="0.3">
      <c r="B163" s="177" t="s">
        <v>269</v>
      </c>
      <c r="C163" s="511" t="str">
        <f>IFERROR(C147+C151+C157+C161+C162, " ")</f>
        <v xml:space="preserve"> </v>
      </c>
      <c r="D163" s="511" t="str">
        <f t="shared" ref="D163:H163" si="26">IFERROR(D147+D151+D157+D161+D162, " ")</f>
        <v xml:space="preserve"> </v>
      </c>
      <c r="E163" s="511" t="str">
        <f t="shared" si="26"/>
        <v xml:space="preserve"> </v>
      </c>
      <c r="F163" s="511" t="str">
        <f t="shared" si="26"/>
        <v xml:space="preserve"> </v>
      </c>
      <c r="G163" s="511" t="str">
        <f t="shared" si="26"/>
        <v xml:space="preserve"> </v>
      </c>
      <c r="H163" s="511" t="str">
        <f t="shared" si="26"/>
        <v xml:space="preserve"> </v>
      </c>
      <c r="K163" s="136"/>
    </row>
    <row r="164" spans="2:11" ht="18" customHeight="1" x14ac:dyDescent="0.3">
      <c r="B164" s="177" t="s">
        <v>151</v>
      </c>
      <c r="C164" s="511" t="str">
        <f>IFERROR(C103-C163, " ")</f>
        <v xml:space="preserve"> </v>
      </c>
      <c r="D164" s="511" t="str">
        <f t="shared" ref="D164:H164" si="27">IFERROR(D103-D163, " ")</f>
        <v xml:space="preserve"> </v>
      </c>
      <c r="E164" s="511" t="str">
        <f t="shared" si="27"/>
        <v xml:space="preserve"> </v>
      </c>
      <c r="F164" s="511" t="str">
        <f t="shared" si="27"/>
        <v xml:space="preserve"> </v>
      </c>
      <c r="G164" s="511" t="str">
        <f t="shared" si="27"/>
        <v xml:space="preserve"> </v>
      </c>
      <c r="H164" s="511" t="str">
        <f t="shared" si="27"/>
        <v xml:space="preserve"> </v>
      </c>
      <c r="K164" s="136"/>
    </row>
    <row r="165" spans="2:11" ht="18" customHeight="1" x14ac:dyDescent="0.3">
      <c r="B165" s="406" t="s">
        <v>136</v>
      </c>
      <c r="C165" s="555" t="str">
        <f>IFERROR(100*(C164/C103), " ")</f>
        <v xml:space="preserve"> </v>
      </c>
      <c r="D165" s="555" t="str">
        <f t="shared" ref="D165:H165" si="28">IFERROR(100*(D164/D103), " ")</f>
        <v xml:space="preserve"> </v>
      </c>
      <c r="E165" s="555" t="str">
        <f t="shared" si="28"/>
        <v xml:space="preserve"> </v>
      </c>
      <c r="F165" s="555" t="str">
        <f t="shared" si="28"/>
        <v xml:space="preserve"> </v>
      </c>
      <c r="G165" s="555" t="str">
        <f t="shared" si="28"/>
        <v xml:space="preserve"> </v>
      </c>
      <c r="H165" s="555" t="str">
        <f t="shared" si="28"/>
        <v xml:space="preserve"> </v>
      </c>
      <c r="K165" s="136"/>
    </row>
    <row r="166" spans="2:11" ht="18" customHeight="1" x14ac:dyDescent="0.3">
      <c r="B166" s="177" t="s">
        <v>137</v>
      </c>
      <c r="C166" s="511" t="str">
        <f>IFERROR(100*(C103/(1.732*C100*C102)), " ")</f>
        <v xml:space="preserve"> </v>
      </c>
      <c r="D166" s="511" t="str">
        <f t="shared" ref="D166:H166" si="29">IFERROR(100*(D103/(1.732*D100*D102)), " ")</f>
        <v xml:space="preserve"> </v>
      </c>
      <c r="E166" s="511" t="str">
        <f t="shared" si="29"/>
        <v xml:space="preserve"> </v>
      </c>
      <c r="F166" s="511" t="str">
        <f t="shared" si="29"/>
        <v xml:space="preserve"> </v>
      </c>
      <c r="G166" s="511" t="str">
        <f t="shared" si="29"/>
        <v xml:space="preserve"> </v>
      </c>
      <c r="H166" s="511" t="str">
        <f t="shared" si="29"/>
        <v xml:space="preserve"> </v>
      </c>
      <c r="K166" s="136"/>
    </row>
    <row r="167" spans="2:11" ht="20.100000000000001" customHeight="1" x14ac:dyDescent="0.3">
      <c r="B167" s="179"/>
      <c r="C167" s="168"/>
      <c r="D167" s="168"/>
      <c r="E167" s="168"/>
      <c r="F167" s="168"/>
      <c r="G167" s="168"/>
      <c r="H167" s="175"/>
      <c r="K167" s="136"/>
    </row>
    <row r="168" spans="2:11" ht="18" customHeight="1" thickBot="1" x14ac:dyDescent="0.4">
      <c r="B168" s="705" t="s">
        <v>152</v>
      </c>
      <c r="C168" s="706"/>
      <c r="D168" s="706"/>
      <c r="E168" s="706"/>
      <c r="F168" s="706"/>
      <c r="G168" s="706"/>
      <c r="H168" s="802"/>
      <c r="K168" s="136"/>
    </row>
    <row r="169" spans="2:11" s="165" customFormat="1" ht="18" customHeight="1" x14ac:dyDescent="0.35">
      <c r="B169" s="506"/>
      <c r="C169" s="507"/>
      <c r="D169" s="507"/>
      <c r="E169" s="507"/>
      <c r="F169" s="507"/>
      <c r="G169" s="167"/>
      <c r="H169" s="220"/>
      <c r="K169" s="136"/>
    </row>
    <row r="170" spans="2:11" s="165" customFormat="1" ht="18" customHeight="1" x14ac:dyDescent="0.35">
      <c r="B170" s="556"/>
      <c r="C170" s="791" t="s">
        <v>99</v>
      </c>
      <c r="D170" s="791"/>
      <c r="E170" s="791"/>
      <c r="F170" s="791"/>
      <c r="G170" s="791"/>
      <c r="H170" s="792"/>
      <c r="K170" s="136"/>
    </row>
    <row r="171" spans="2:11" s="165" customFormat="1" ht="18" customHeight="1" x14ac:dyDescent="0.35">
      <c r="B171" s="557" t="s">
        <v>104</v>
      </c>
      <c r="C171" s="558">
        <v>1</v>
      </c>
      <c r="D171" s="558">
        <v>2</v>
      </c>
      <c r="E171" s="558">
        <v>3</v>
      </c>
      <c r="F171" s="558">
        <v>4</v>
      </c>
      <c r="G171" s="558">
        <v>5</v>
      </c>
      <c r="H171" s="559">
        <v>6</v>
      </c>
      <c r="K171" s="136"/>
    </row>
    <row r="172" spans="2:11" s="165" customFormat="1" ht="18" customHeight="1" x14ac:dyDescent="0.3">
      <c r="B172" s="560" t="s">
        <v>164</v>
      </c>
      <c r="C172" s="561" t="str">
        <f>C156</f>
        <v xml:space="preserve"> </v>
      </c>
      <c r="D172" s="561" t="str">
        <f t="shared" ref="D172:H172" si="30">D156</f>
        <v xml:space="preserve"> </v>
      </c>
      <c r="E172" s="561" t="str">
        <f t="shared" si="30"/>
        <v xml:space="preserve"> </v>
      </c>
      <c r="F172" s="561" t="str">
        <f t="shared" si="30"/>
        <v xml:space="preserve"> </v>
      </c>
      <c r="G172" s="561" t="str">
        <f t="shared" si="30"/>
        <v xml:space="preserve"> </v>
      </c>
      <c r="H172" s="562" t="str">
        <f t="shared" si="30"/>
        <v xml:space="preserve"> </v>
      </c>
      <c r="K172" s="136"/>
    </row>
    <row r="173" spans="2:11" s="165" customFormat="1" ht="18" customHeight="1" x14ac:dyDescent="0.3">
      <c r="B173" s="560" t="s">
        <v>162</v>
      </c>
      <c r="C173" s="561">
        <f>(C101)^2</f>
        <v>0</v>
      </c>
      <c r="D173" s="561">
        <f t="shared" ref="D173:H173" si="31">(D101)^2</f>
        <v>0</v>
      </c>
      <c r="E173" s="561">
        <f t="shared" si="31"/>
        <v>0</v>
      </c>
      <c r="F173" s="561">
        <f t="shared" si="31"/>
        <v>0</v>
      </c>
      <c r="G173" s="561">
        <f t="shared" si="31"/>
        <v>0</v>
      </c>
      <c r="H173" s="562">
        <f t="shared" si="31"/>
        <v>0</v>
      </c>
      <c r="K173" s="136"/>
    </row>
    <row r="174" spans="2:11" s="165" customFormat="1" ht="18" customHeight="1" x14ac:dyDescent="0.3">
      <c r="B174" s="563"/>
      <c r="C174" s="564"/>
      <c r="D174" s="564"/>
      <c r="E174" s="564"/>
      <c r="F174" s="564"/>
      <c r="G174" s="167"/>
      <c r="H174" s="220"/>
      <c r="K174" s="136"/>
    </row>
    <row r="175" spans="2:11" s="165" customFormat="1" ht="18" customHeight="1" x14ac:dyDescent="0.3">
      <c r="B175" s="560" t="s">
        <v>110</v>
      </c>
      <c r="C175" s="561" t="str">
        <f>IFERROR(INTERCEPT(C172:H172,C173:H173), " ")</f>
        <v xml:space="preserve"> </v>
      </c>
      <c r="D175" s="564"/>
      <c r="E175" s="564"/>
      <c r="F175" s="564"/>
      <c r="G175" s="167"/>
      <c r="H175" s="220"/>
      <c r="K175" s="136"/>
    </row>
    <row r="176" spans="2:11" s="167" customFormat="1" ht="18" customHeight="1" x14ac:dyDescent="0.3">
      <c r="B176" s="560" t="s">
        <v>106</v>
      </c>
      <c r="C176" s="561" t="str">
        <f>IFERROR(SLOPE(C172:H172,C173:H173), " ")</f>
        <v xml:space="preserve"> </v>
      </c>
      <c r="D176" s="564"/>
      <c r="E176" s="564"/>
      <c r="F176" s="564"/>
      <c r="H176" s="220"/>
      <c r="K176" s="454"/>
    </row>
    <row r="177" spans="1:11" s="167" customFormat="1" ht="18" customHeight="1" x14ac:dyDescent="0.3">
      <c r="B177" s="560" t="s">
        <v>163</v>
      </c>
      <c r="C177" s="561" t="str">
        <f>IFERROR(CORREL(C173:H173,C172:H172), " ")</f>
        <v xml:space="preserve"> </v>
      </c>
      <c r="D177" s="564"/>
      <c r="E177" s="564"/>
      <c r="F177" s="564"/>
      <c r="H177" s="220"/>
      <c r="K177" s="454"/>
    </row>
    <row r="178" spans="1:11" s="165" customFormat="1" ht="18" customHeight="1" x14ac:dyDescent="0.3">
      <c r="B178" s="560" t="s">
        <v>165</v>
      </c>
      <c r="C178" s="561" t="str">
        <f>IF(OR(C176&lt;0,C177&lt;0.9),"Yes, if one point has already been deleted, the test is unsatisfactory","No")</f>
        <v>No</v>
      </c>
      <c r="D178" s="564"/>
      <c r="E178" s="564"/>
      <c r="F178" s="564"/>
      <c r="G178" s="167"/>
      <c r="H178" s="220"/>
      <c r="K178" s="136"/>
    </row>
    <row r="179" spans="1:11" s="167" customFormat="1" ht="18" customHeight="1" thickBot="1" x14ac:dyDescent="0.35">
      <c r="B179" s="565" t="s">
        <v>348</v>
      </c>
      <c r="C179" s="572"/>
      <c r="D179" s="566"/>
      <c r="E179" s="566"/>
      <c r="F179" s="566"/>
      <c r="G179" s="567"/>
      <c r="H179" s="400"/>
      <c r="K179" s="454"/>
    </row>
    <row r="180" spans="1:11" ht="18" customHeight="1" x14ac:dyDescent="0.3">
      <c r="B180" s="520"/>
      <c r="C180" s="520"/>
      <c r="D180" s="520"/>
      <c r="E180" s="564"/>
      <c r="F180" s="564"/>
      <c r="G180" s="168"/>
      <c r="K180" s="136"/>
    </row>
    <row r="181" spans="1:11" ht="18" customHeight="1" x14ac:dyDescent="0.3">
      <c r="E181" s="520"/>
      <c r="F181" s="520"/>
      <c r="K181" s="136"/>
    </row>
    <row r="182" spans="1:11" ht="18" customHeight="1" x14ac:dyDescent="0.3">
      <c r="A182" s="136"/>
      <c r="B182" s="136"/>
      <c r="C182" s="136"/>
      <c r="D182" s="136"/>
      <c r="E182" s="136"/>
      <c r="F182" s="136"/>
      <c r="G182" s="136"/>
      <c r="H182" s="136"/>
      <c r="I182" s="136"/>
      <c r="J182" s="136"/>
      <c r="K182" s="136"/>
    </row>
  </sheetData>
  <sheetProtection algorithmName="SHA-512" hashValue="mvya8p615yw0IbIxsB8mN68Lpu9VzWw6MDnTnEtaKZwsCqqcBoHE+xDzAkEgAPKik1/rtb6g2KbHDKYylGOQ1w==" saltValue="KC2GJY8B/F56WZyJHnHWxg==" spinCount="100000" sheet="1" selectLockedCells="1"/>
  <mergeCells count="23">
    <mergeCell ref="C170:H170"/>
    <mergeCell ref="C95:H95"/>
    <mergeCell ref="C116:E116"/>
    <mergeCell ref="C117:E117"/>
    <mergeCell ref="C118:E118"/>
    <mergeCell ref="C120:D120"/>
    <mergeCell ref="C141:H141"/>
    <mergeCell ref="B112:H112"/>
    <mergeCell ref="B139:H139"/>
    <mergeCell ref="B168:H168"/>
    <mergeCell ref="C110:F110"/>
    <mergeCell ref="B85:H85"/>
    <mergeCell ref="B2:C2"/>
    <mergeCell ref="C60:H60"/>
    <mergeCell ref="B16:H16"/>
    <mergeCell ref="B17:H17"/>
    <mergeCell ref="B19:H19"/>
    <mergeCell ref="B26:H26"/>
    <mergeCell ref="B31:H31"/>
    <mergeCell ref="B43:H43"/>
    <mergeCell ref="B11:H11"/>
    <mergeCell ref="B12:H12"/>
    <mergeCell ref="C77:F77"/>
  </mergeCells>
  <conditionalFormatting sqref="B36:C40">
    <cfRule type="expression" dxfId="4" priority="3">
      <formula>$C$33="Yes"</formula>
    </cfRule>
  </conditionalFormatting>
  <conditionalFormatting sqref="B41:C41">
    <cfRule type="expression" dxfId="3" priority="2">
      <formula>$C$33="No"</formula>
    </cfRule>
  </conditionalFormatting>
  <conditionalFormatting sqref="B116:H137">
    <cfRule type="expression" dxfId="2" priority="1">
      <formula>$C$114="No"</formula>
    </cfRule>
  </conditionalFormatting>
  <hyperlinks>
    <hyperlink ref="G2" location="Instructions!B37" display="Back to Instructions tab" xr:uid="{05B01860-87FE-476F-BB61-B9AB8CBCC045}"/>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A591F14-FC2B-4877-A304-3ECC23ACDB4E}">
          <x14:formula1>
            <xm:f>'Drop-downs'!$B$22:$B$23</xm:f>
          </x14:formula1>
          <xm:sqref>C114 C33 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fa3036a-053c-408c-8edb-96e4bc804954">
      <Terms xmlns="http://schemas.microsoft.com/office/infopath/2007/PartnerControls"/>
    </lcf76f155ced4ddcb4097134ff3c332f>
    <TaxCatchAll xmlns="9410bbf5-83ec-42c5-bce9-77747a55168d"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82198A82F10F4CA38173E8137DD222" ma:contentTypeVersion="36" ma:contentTypeDescription="Create a new document." ma:contentTypeScope="" ma:versionID="9c440a12f66f80506b6d12ae5f4315cf">
  <xsd:schema xmlns:xsd="http://www.w3.org/2001/XMLSchema" xmlns:xs="http://www.w3.org/2001/XMLSchema" xmlns:p="http://schemas.microsoft.com/office/2006/metadata/properties" xmlns:ns1="http://schemas.microsoft.com/sharepoint/v3" xmlns:ns2="b2bbb9bb-a183-4739-bba4-e751d3385d89" xmlns:ns3="82898ef5-4066-4946-9253-2ff636535b26" xmlns:ns4="8fa3036a-053c-408c-8edb-96e4bc804954" xmlns:ns5="9410bbf5-83ec-42c5-bce9-77747a55168d" targetNamespace="http://schemas.microsoft.com/office/2006/metadata/properties" ma:root="true" ma:fieldsID="483eba13cb86f356d2a463d8e77c58e7" ns1:_="" ns2:_="" ns3:_="" ns4:_="" ns5:_="">
    <xsd:import namespace="http://schemas.microsoft.com/sharepoint/v3"/>
    <xsd:import namespace="b2bbb9bb-a183-4739-bba4-e751d3385d89"/>
    <xsd:import namespace="82898ef5-4066-4946-9253-2ff636535b26"/>
    <xsd:import namespace="8fa3036a-053c-408c-8edb-96e4bc804954"/>
    <xsd:import namespace="9410bbf5-83ec-42c5-bce9-77747a55168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4:lcf76f155ced4ddcb4097134ff3c332f" minOccurs="0"/>
                <xsd:element ref="ns5:TaxCatchAll" minOccurs="0"/>
                <xsd:element ref="ns1:_ip_UnifiedCompliancePolicyProperties" minOccurs="0"/>
                <xsd:element ref="ns1:_ip_UnifiedCompliancePolicyUIAction"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bbb9bb-a183-4739-bba4-e751d3385d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98ef5-4066-4946-9253-2ff636535b2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3036a-053c-408c-8edb-96e4bc804954"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0bbf5-83ec-42c5-bce9-77747a55168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e5271e7-9a16-460d-8468-ac9a89bd1497}" ma:internalName="TaxCatchAll" ma:showField="CatchAllData" ma:web="9410bbf5-83ec-42c5-bce9-77747a5516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1B1672-8B9F-4B5C-BF09-F493BE5E2951}">
  <ds:schemaRefs>
    <ds:schemaRef ds:uri="http://purl.org/dc/terms/"/>
    <ds:schemaRef ds:uri="b2bbb9bb-a183-4739-bba4-e751d3385d89"/>
    <ds:schemaRef ds:uri="http://purl.org/dc/elements/1.1/"/>
    <ds:schemaRef ds:uri="82898ef5-4066-4946-9253-2ff636535b26"/>
    <ds:schemaRef ds:uri="http://www.w3.org/XML/1998/namespace"/>
    <ds:schemaRef ds:uri="http://schemas.microsoft.com/sharepoint/v3"/>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9410bbf5-83ec-42c5-bce9-77747a55168d"/>
    <ds:schemaRef ds:uri="8fa3036a-053c-408c-8edb-96e4bc804954"/>
  </ds:schemaRefs>
</ds:datastoreItem>
</file>

<file path=customXml/itemProps2.xml><?xml version="1.0" encoding="utf-8"?>
<ds:datastoreItem xmlns:ds="http://schemas.openxmlformats.org/officeDocument/2006/customXml" ds:itemID="{D988E42E-523F-445B-9A15-10F8E1712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bbb9bb-a183-4739-bba4-e751d3385d89"/>
    <ds:schemaRef ds:uri="82898ef5-4066-4946-9253-2ff636535b26"/>
    <ds:schemaRef ds:uri="8fa3036a-053c-408c-8edb-96e4bc804954"/>
    <ds:schemaRef ds:uri="9410bbf5-83ec-42c5-bce9-77747a551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F20AF-7BBD-4874-9AA2-8EB56A312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General Info &amp; Test Results</vt:lpstr>
      <vt:lpstr>Determination of Test Method</vt:lpstr>
      <vt:lpstr>Setup &amp; Instrumentation</vt:lpstr>
      <vt:lpstr>CSA C390-10</vt:lpstr>
      <vt:lpstr>IEC 60034-2-1 Method 2-1-1A</vt:lpstr>
      <vt:lpstr>IEC 60034-2-1 Method 2-1-1B</vt:lpstr>
      <vt:lpstr>IEEE 112-2017 Method A</vt:lpstr>
      <vt:lpstr>IEEE 112-2017 Method B</vt:lpstr>
      <vt:lpstr>IEEE 114-2010</vt:lpstr>
      <vt:lpstr>CSA C747-09</vt:lpstr>
      <vt:lpstr>Photos</vt:lpstr>
      <vt:lpstr>Comments</vt:lpstr>
      <vt:lpstr>Report Sign-Off Block</vt:lpstr>
      <vt:lpstr>Drop-downs</vt:lpstr>
      <vt:lpstr>Version Control</vt:lpstr>
    </vt:vector>
  </TitlesOfParts>
  <Manager/>
  <Company>Navigant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Navigant</dc:creator>
  <cp:keywords/>
  <dc:description/>
  <cp:lastModifiedBy>User 939</cp:lastModifiedBy>
  <cp:revision/>
  <dcterms:created xsi:type="dcterms:W3CDTF">2014-09-05T19:18:19Z</dcterms:created>
  <dcterms:modified xsi:type="dcterms:W3CDTF">2025-01-15T22:33:41Z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0x010100C382198A82F10F4CA38173E8137DD222</vt:lpwstr>
  </property>
  <property fmtid="{D5CDD505-2E9C-101B-9397-08002B2CF9AE}" pid="3" name="MediaServiceImageTags">
    <vt:lpwstr/>
  </property>
</Properties>
</file>