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438C8171-C373-4E7B-B7BC-46CBE1B1F639}" xr6:coauthVersionLast="47" xr6:coauthVersionMax="47" xr10:uidLastSave="{00000000-0000-0000-0000-000000000000}"/>
  <workbookProtection workbookAlgorithmName="SHA-512" workbookHashValue="1HpFUZmIAwuS9NFKuScPGdhTMcUqZkS83FvvOrmvdAhF3l82UReNj4E2BsqKY5KJd3ZXEBlQ8qZSipLBuU84+w==" workbookSaltValue="Sz3u6Lc3LKu02cHhBahZdQ==" workbookSpinCount="100000" lockStructure="1"/>
  <bookViews>
    <workbookView xWindow="-120" yWindow="-120" windowWidth="38640" windowHeight="21120" tabRatio="899" xr2:uid="{00000000-000D-0000-FFFF-FFFF00000000}"/>
  </bookViews>
  <sheets>
    <sheet name="Instructions" sheetId="25" r:id="rId1"/>
    <sheet name="General Info &amp; Test Results" sheetId="1" r:id="rId2"/>
    <sheet name="Instrumentation" sheetId="27" r:id="rId3"/>
    <sheet name="Photos" sheetId="16" r:id="rId4"/>
    <sheet name="Inactive or Off Mode Settings" sheetId="20" r:id="rId5"/>
    <sheet name="Setup &amp; Test Cond Inactive-Off" sheetId="31" r:id="rId6"/>
    <sheet name="Off-Cycle Mode Settings" sheetId="34" r:id="rId7"/>
    <sheet name="Setup&amp;Test Cond Off-Cycle Mode" sheetId="35" r:id="rId8"/>
    <sheet name="Data &amp; Calcs Low Power Modes" sheetId="32" r:id="rId9"/>
    <sheet name="Cooling Mode Settings" sheetId="33" r:id="rId10"/>
    <sheet name="Cooling Mode Setup &amp; Conditions" sheetId="6" r:id="rId11"/>
    <sheet name="Data &amp; Calcs Cooling Mode - SS" sheetId="30" r:id="rId12"/>
    <sheet name="Data &amp; Calcs Cooling Mode - VS" sheetId="38" r:id="rId13"/>
    <sheet name="Comments" sheetId="29" r:id="rId14"/>
    <sheet name="Report Sign-Off Block" sheetId="24" r:id="rId15"/>
    <sheet name="Drop-Downs" sheetId="37" r:id="rId16"/>
    <sheet name="Version Control" sheetId="23" r:id="rId17"/>
  </sheets>
  <definedNames>
    <definedName name="ACCDD_83_Full">'Data &amp; Calcs Cooling Mode - VS'!$G$191</definedName>
    <definedName name="ACCDD_83_Low">'Data &amp; Calcs Cooling Mode - VS'!$G$192</definedName>
    <definedName name="ACCDD_83_SS">'Data &amp; Calcs Cooling Mode - SS'!$G$145</definedName>
    <definedName name="ACCDD_83_SS_CF">'Data &amp; Calcs Cooling Mode - VS'!$G$222</definedName>
    <definedName name="ACCDD_83_tSS">'Data &amp; Calcs Cooling Mode - VS'!$G$221</definedName>
    <definedName name="ACCDD_95">'Data &amp; Calcs Cooling Mode - VS'!$G$190</definedName>
    <definedName name="ACCDD_95_SS">'Data &amp; Calcs Cooling Mode - SS'!$G$144</definedName>
    <definedName name="ACCSD_83_Full">'Data &amp; Calcs Cooling Mode - VS'!$G$194</definedName>
    <definedName name="ACCSD_83_Low">'Data &amp; Calcs Cooling Mode - VS'!$G$195</definedName>
    <definedName name="ACCSD_83_SS">'Data &amp; Calcs Cooling Mode - SS'!$G$143</definedName>
    <definedName name="ACCSD_83_SS_CF">'Data &amp; Calcs Cooling Mode - VS'!$G$220</definedName>
    <definedName name="ACCSD_83_tSS">'Data &amp; Calcs Cooling Mode - VS'!$G$219</definedName>
    <definedName name="ACCSD_95">'Data &amp; Calcs Cooling Mode - VS'!$G$193</definedName>
    <definedName name="ACCSD_95_SS">'Data &amp; Calcs Cooling Mode - SS'!$G$142</definedName>
    <definedName name="Aduct_e_ss">'Data &amp; Calcs Cooling Mode - SS'!$G$112</definedName>
    <definedName name="Aduct_e_vs">'Data &amp; Calcs Cooling Mode - VS'!$G$147</definedName>
    <definedName name="Aduct_i_ss">'Data &amp; Calcs Cooling Mode - SS'!$G$113</definedName>
    <definedName name="Aduct_i_vs">'Data &amp; Calcs Cooling Mode - VS'!$G$148</definedName>
    <definedName name="AECDD_83">'Data &amp; Calcs Cooling Mode - SS'!$G$160</definedName>
    <definedName name="AECDD_83_Full">'Data &amp; Calcs Cooling Mode - VS'!$G$210</definedName>
    <definedName name="AECDD_83_Low">'Data &amp; Calcs Cooling Mode - VS'!$G$211</definedName>
    <definedName name="AECDD_83_SS">'Data &amp; Calcs Cooling Mode - VS'!$G$224</definedName>
    <definedName name="AECDD_95">'Data &amp; Calcs Cooling Mode - SS'!$G$159</definedName>
    <definedName name="AECDD_95_Full">'Data &amp; Calcs Cooling Mode - VS'!$G$209</definedName>
    <definedName name="AECIO">'Data &amp; Calcs Low Power Modes'!$F$54</definedName>
    <definedName name="AECOC">'Data &amp; Calcs Low Power Modes'!$F$55</definedName>
    <definedName name="AECSD">'Data &amp; Calcs Cooling Mode - SS'!$G$158</definedName>
    <definedName name="AECSD_83_SS">'Data &amp; Calcs Cooling Mode - VS'!$G$223</definedName>
    <definedName name="AECSD_Full">'Data &amp; Calcs Cooling Mode - VS'!$G$212</definedName>
    <definedName name="AECSD_Low">'Data &amp; Calcs Cooling Mode - VS'!$G$213</definedName>
    <definedName name="AECT">'Data &amp; Calcs Low Power Modes'!$F$56</definedName>
    <definedName name="B" localSheetId="12">'Data &amp; Calcs Cooling Mode - VS'!#REF!</definedName>
    <definedName name="B">'Data &amp; Calcs Cooling Mode - SS'!$G$38</definedName>
    <definedName name="Be" localSheetId="12">'Data &amp; Calcs Cooling Mode - VS'!#REF!</definedName>
    <definedName name="Be">'Data &amp; Calcs Cooling Mode - SS'!#REF!</definedName>
    <definedName name="Bs" localSheetId="12">'Data &amp; Calcs Cooling Mode - VS'!#REF!</definedName>
    <definedName name="Bs">'Data &amp; Calcs Cooling Mode - SS'!#REF!</definedName>
    <definedName name="Capacity83">'Data &amp; Calcs Cooling Mode - SS'!$G$66</definedName>
    <definedName name="Capacity95">'Data &amp; Calcs Cooling Mode - SS'!$G$48</definedName>
    <definedName name="CapacityDD_83_Full">'Data &amp; Calcs Cooling Mode - VS'!$G$68</definedName>
    <definedName name="CapacityDD_83_Low">'Data &amp; Calcs Cooling Mode - VS'!$G$86</definedName>
    <definedName name="CapacityDD_83_SS">'Data &amp; Calcs Cooling Mode - VS'!$G$68</definedName>
    <definedName name="CapacityDD_95_Full">'Data &amp; Calcs Cooling Mode - VS'!$G$50</definedName>
    <definedName name="CapacitySD">'Data &amp; Calcs Cooling Mode - SS'!$G$80</definedName>
    <definedName name="CapacitySD_83_SS">'Data &amp; Calcs Cooling Mode - VS'!$G$100</definedName>
    <definedName name="CapacitySD_Full">'Data &amp; Calcs Cooling Mode - VS'!$G$100</definedName>
    <definedName name="CapacitySD_Low">'Data &amp; Calcs Cooling Mode - VS'!$G$114</definedName>
    <definedName name="CEERDD_SS">'Data &amp; Calcs Cooling Mode - VS'!$G$227</definedName>
    <definedName name="CEERDD_SS_CF">'Data &amp; Calcs Cooling Mode - VS'!$G$228</definedName>
    <definedName name="CEERDD_UA">'Data &amp; Calcs Cooling Mode - VS'!$G$218</definedName>
    <definedName name="CEERSD_SS">'Data &amp; Calcs Cooling Mode - VS'!$G$225</definedName>
    <definedName name="CEERSD_SS_CF">'Data &amp; Calcs Cooling Mode - VS'!$G$226</definedName>
    <definedName name="CEERSD_UA">'Data &amp; Calcs Cooling Mode - VS'!$G$217</definedName>
    <definedName name="cp_da">'Data &amp; Calcs Cooling Mode - VS'!$G$130</definedName>
    <definedName name="cp_wv">'Data &amp; Calcs Cooling Mode - VS'!$G$131</definedName>
    <definedName name="Cr" localSheetId="12">'Data &amp; Calcs Cooling Mode - VS'!#REF!</definedName>
    <definedName name="Cr">'Data &amp; Calcs Cooling Mode - SS'!#REF!</definedName>
    <definedName name="Cr_rounded" localSheetId="12">'Data &amp; Calcs Cooling Mode - VS'!#REF!</definedName>
    <definedName name="Cr_rounded">'Data &amp; Calcs Cooling Mode - SS'!#REF!</definedName>
    <definedName name="Ct" localSheetId="12">'Data &amp; Calcs Cooling Mode - VS'!#REF!</definedName>
    <definedName name="Ct">'Data &amp; Calcs Cooling Mode - SS'!#REF!</definedName>
    <definedName name="d" localSheetId="12">'Data &amp; Calcs Cooling Mode - VS'!#REF!</definedName>
    <definedName name="d">'Data &amp; Calcs Cooling Mode - SS'!$G$94</definedName>
    <definedName name="Duct_Configuration">'Drop-Downs'!$B$12:$B$13</definedName>
    <definedName name="E" localSheetId="12">'Data &amp; Calcs Cooling Mode - VS'!#REF!</definedName>
    <definedName name="E">'Data &amp; Calcs Cooling Mode - SS'!#REF!</definedName>
    <definedName name="Ee" localSheetId="12">'Data &amp; Calcs Cooling Mode - VS'!#REF!</definedName>
    <definedName name="Ee">'Data &amp; Calcs Cooling Mode - SS'!$G$48</definedName>
    <definedName name="EF" localSheetId="12">'Data &amp; Calcs Cooling Mode - VS'!#REF!</definedName>
    <definedName name="EF">'Data &amp; Calcs Cooling Mode - SS'!#REF!</definedName>
    <definedName name="EF_rounded" localSheetId="12">'Data &amp; Calcs Cooling Mode - VS'!#REF!</definedName>
    <definedName name="EF_rounded">'Data &amp; Calcs Cooling Mode - SS'!#REF!</definedName>
    <definedName name="ETLP">'Data &amp; Calcs Low Power Modes'!$F$55</definedName>
    <definedName name="Fp_DD">'Data &amp; Calcs Cooling Mode - VS'!$G$230</definedName>
    <definedName name="Fp_SD">'Data &amp; Calcs Cooling Mode - VS'!$G$229</definedName>
    <definedName name="Hc" localSheetId="12">'Data &amp; Calcs Cooling Mode - VS'!#REF!</definedName>
    <definedName name="Hc">'Data &amp; Calcs Cooling Mode - SS'!#REF!</definedName>
    <definedName name="Ht" localSheetId="12">'Data &amp; Calcs Cooling Mode - VS'!#REF!</definedName>
    <definedName name="Ht">'Data &amp; Calcs Cooling Mode - SS'!$G$37</definedName>
    <definedName name="IEF" localSheetId="12">'Data &amp; Calcs Cooling Mode - VS'!#REF!</definedName>
    <definedName name="IEF">'Data &amp; Calcs Cooling Mode - SS'!#REF!</definedName>
    <definedName name="IEF_rounded" localSheetId="12">'Data &amp; Calcs Cooling Mode - VS'!#REF!</definedName>
    <definedName name="IEF_rounded">'Data &amp; Calcs Cooling Mode - SS'!#REF!</definedName>
    <definedName name="k">'Data &amp; Calcs Low Power Modes'!$F$50</definedName>
    <definedName name="lb_to_kg" localSheetId="12">'Data &amp; Calcs Cooling Mode - VS'!#REF!</definedName>
    <definedName name="lb_to_kg">'Data &amp; Calcs Cooling Mode - SS'!$G$108</definedName>
    <definedName name="Le_ss">'Data &amp; Calcs Cooling Mode - SS'!$G$28</definedName>
    <definedName name="Le_vs">'Data &amp; Calcs Cooling Mode - VS'!$G$30</definedName>
    <definedName name="Li_ss">'Data &amp; Calcs Cooling Mode - SS'!$G$30</definedName>
    <definedName name="Li_vs">'Data &amp; Calcs Cooling Mode - VS'!$G$32</definedName>
    <definedName name="m" localSheetId="12">'Data &amp; Calcs Cooling Mode - VS'!#REF!</definedName>
    <definedName name="m">'Data &amp; Calcs Cooling Mode - SS'!#REF!</definedName>
    <definedName name="ṁ83">'Data &amp; Calcs Cooling Mode - SS'!$G$125</definedName>
    <definedName name="ṁ83_Full">'Data &amp; Calcs Cooling Mode - VS'!$G$164</definedName>
    <definedName name="ṁ83_Low">'Data &amp; Calcs Cooling Mode - VS'!$G$165</definedName>
    <definedName name="ṁ95">'Data &amp; Calcs Cooling Mode - SS'!$G$124</definedName>
    <definedName name="ṁ95_Full">'Data &amp; Calcs Cooling Mode - VS'!$G$163</definedName>
    <definedName name="minutes_to_hours">'Data &amp; Calcs Cooling Mode - SS'!$G$108</definedName>
    <definedName name="ṁSD">'Data &amp; Calcs Cooling Mode - SS'!$G$126</definedName>
    <definedName name="ṁSD_Full">'Data &amp; Calcs Cooling Mode - VS'!$G$166</definedName>
    <definedName name="ṁSD_Low">'Data &amp; Calcs Cooling Mode - VS'!$G$167</definedName>
    <definedName name="Ode_ss">'Data &amp; Calcs Cooling Mode - SS'!$G$27</definedName>
    <definedName name="Ode_vs">'Data &amp; Calcs Cooling Mode - VS'!$G$29</definedName>
    <definedName name="Odi_ss">'Data &amp; Calcs Cooling Mode - SS'!$G$29</definedName>
    <definedName name="Odi_vs">'Data &amp; Calcs Cooling Mode - VS'!$G$31</definedName>
    <definedName name="p" localSheetId="12">'Data &amp; Calcs Cooling Mode - VS'!#REF!</definedName>
    <definedName name="p">'Data &amp; Calcs Cooling Mode - SS'!$G$34</definedName>
    <definedName name="PDD_83">'Data &amp; Calcs Cooling Mode - SS'!$G$65</definedName>
    <definedName name="PDD_83_Full">'Data &amp; Calcs Cooling Mode - VS'!$G$67</definedName>
    <definedName name="PDD_83_Low">'Data &amp; Calcs Cooling Mode - VS'!$G$85</definedName>
    <definedName name="PDD_83_SS">'Data &amp; Calcs Cooling Mode - VS'!$G$67</definedName>
    <definedName name="PDD_95">'Data &amp; Calcs Cooling Mode - SS'!$G$47</definedName>
    <definedName name="PDD_95_Full">'Data &amp; Calcs Cooling Mode - VS'!$G$49</definedName>
    <definedName name="PIA">'Data &amp; Calcs Low Power Modes'!$F$22</definedName>
    <definedName name="PIO">'Data &amp; Calcs Low Power Modes'!$F$54</definedName>
    <definedName name="POC" localSheetId="8">'Data &amp; Calcs Low Power Modes'!$F$34</definedName>
    <definedName name="pom">'Data &amp; Calcs Low Power Modes'!$F$23</definedName>
    <definedName name="PSD">'Data &amp; Calcs Cooling Mode - SS'!$G$79</definedName>
    <definedName name="PSD_83_SS">'Data &amp; Calcs Cooling Mode - VS'!$G$99</definedName>
    <definedName name="PSD_Full">'Data &amp; Calcs Cooling Mode - VS'!$G$99</definedName>
    <definedName name="PSD_Low">'Data &amp; Calcs Cooling Mode - VS'!$G$113</definedName>
    <definedName name="Qduct_DD_83">'Data &amp; Calcs Cooling Mode - SS'!$G$119</definedName>
    <definedName name="Qduct_DD_83_Full">'Data &amp; Calcs Cooling Mode - VS'!$G$156</definedName>
    <definedName name="Qduct_DD_83_Low">'Data &amp; Calcs Cooling Mode - VS'!$G$157</definedName>
    <definedName name="Qduct_DD_95">'Data &amp; Calcs Cooling Mode - SS'!$G$118</definedName>
    <definedName name="Qduct_DD_95_Full">'Data &amp; Calcs Cooling Mode - VS'!$G$155</definedName>
    <definedName name="Qduct_SD">'Data &amp; Calcs Cooling Mode - SS'!$G$120</definedName>
    <definedName name="Qduct_SD_Full">'Data &amp; Calcs Cooling Mode - VS'!$G$158</definedName>
    <definedName name="Qduct_SD_Low">'Data &amp; Calcs Cooling Mode - VS'!$G$159</definedName>
    <definedName name="Qinfiltration_DD_83">'Data &amp; Calcs Cooling Mode - SS'!$G$132</definedName>
    <definedName name="Qinfiltration_DD_83_Full">'Data &amp; Calcs Cooling Mode - VS'!$G$175</definedName>
    <definedName name="Qinfiltration_DD_83_Low">'Data &amp; Calcs Cooling Mode - VS'!$G$176</definedName>
    <definedName name="Qinfiltration_DD_95">'Data &amp; Calcs Cooling Mode - SS'!$G$131</definedName>
    <definedName name="Qinfiltration_DD_95_Full">'Data &amp; Calcs Cooling Mode - VS'!$G$174</definedName>
    <definedName name="Qinfiltration_SD_83">'Data &amp; Calcs Cooling Mode - SS'!$G$138</definedName>
    <definedName name="Qinfiltration_SD_83_Full">'Data &amp; Calcs Cooling Mode - VS'!$G$184</definedName>
    <definedName name="Qinfiltration_SD_83_Low">'Data &amp; Calcs Cooling Mode - VS'!$G$185</definedName>
    <definedName name="Qinfiltration_SD_95">'Data &amp; Calcs Cooling Mode - SS'!$G$137</definedName>
    <definedName name="Qinfiltration_SD_95_Full">'Data &amp; Calcs Cooling Mode - VS'!$G$183</definedName>
    <definedName name="Ql_DD_83">'Data &amp; Calcs Cooling Mode - SS'!$G$130</definedName>
    <definedName name="Ql_DD_83_Full">'Data &amp; Calcs Cooling Mode - VS'!$G$172</definedName>
    <definedName name="Ql_DD_83_Low">'Data &amp; Calcs Cooling Mode - VS'!$G$173</definedName>
    <definedName name="Ql_DD_95">'Data &amp; Calcs Cooling Mode - SS'!$G$129</definedName>
    <definedName name="Ql_DD_95_Full">'Data &amp; Calcs Cooling Mode - VS'!$G$171</definedName>
    <definedName name="Ql_SD_83">'Data &amp; Calcs Cooling Mode - SS'!$G$136</definedName>
    <definedName name="Ql_SD_83_Full">'Data &amp; Calcs Cooling Mode - VS'!$G$181</definedName>
    <definedName name="Ql_SD_83_Low">'Data &amp; Calcs Cooling Mode - VS'!$G$182</definedName>
    <definedName name="Ql_SD_95">'Data &amp; Calcs Cooling Mode - SS'!$G$135</definedName>
    <definedName name="Ql_SD_95_Full">'Data &amp; Calcs Cooling Mode - VS'!$G$180</definedName>
    <definedName name="Qs_DD_83">'Data &amp; Calcs Cooling Mode - SS'!$G$128</definedName>
    <definedName name="Qs_DD_83_Full">'Data &amp; Calcs Cooling Mode - VS'!$G$169</definedName>
    <definedName name="Qs_DD_83_Low">'Data &amp; Calcs Cooling Mode - VS'!$G$170</definedName>
    <definedName name="Qs_DD_95">'Data &amp; Calcs Cooling Mode - SS'!$G$127</definedName>
    <definedName name="Qs_DD_95_Full">'Data &amp; Calcs Cooling Mode - VS'!$G$168</definedName>
    <definedName name="Qs_SD_83">'Data &amp; Calcs Cooling Mode - SS'!$G$134</definedName>
    <definedName name="Qs_SD_83_Full">'Data &amp; Calcs Cooling Mode - VS'!$G$178</definedName>
    <definedName name="Qs_SD_83_Low">'Data &amp; Calcs Cooling Mode - VS'!$G$179</definedName>
    <definedName name="Qs_SD_95">'Data &amp; Calcs Cooling Mode - SS'!$G$133</definedName>
    <definedName name="Qs_SD_95_Full">'Data &amp; Calcs Cooling Mode - VS'!$G$177</definedName>
    <definedName name="SACCDD">'Data &amp; Calcs Cooling Mode - VS'!$G$200</definedName>
    <definedName name="SACCFull_DD">'Data &amp; Calcs Cooling Mode - VS'!$G$205</definedName>
    <definedName name="SACCFull_SD">'Data &amp; Calcs Cooling Mode - VS'!$G$204</definedName>
    <definedName name="SACCSD">'Data &amp; Calcs Cooling Mode - VS'!$G$199</definedName>
    <definedName name="SIO">'Data &amp; Calcs Low Power Modes'!$F$48</definedName>
    <definedName name="SOC">'Data &amp; Calcs Low Power Modes'!$F$49</definedName>
    <definedName name="tcm">'Data &amp; Calcs Cooling Mode - VS'!$G$141</definedName>
    <definedName name="Tduct_83_e">'Data &amp; Calcs Cooling Mode - SS'!$G$57</definedName>
    <definedName name="Tduct_83_i">'Data &amp; Calcs Cooling Mode - SS'!$G$58</definedName>
    <definedName name="Tduct_95_e">'Data &amp; Calcs Cooling Mode - SS'!$G$39</definedName>
    <definedName name="Tduct_95_i">'Data &amp; Calcs Cooling Mode - SS'!$G$40</definedName>
    <definedName name="Tduct_e">'Data &amp; Calcs Cooling Mode - SS'!$G$75</definedName>
    <definedName name="Tduct_Full">'Data &amp; Calcs Cooling Mode - VS'!$G$95</definedName>
    <definedName name="Tduct_Full_83_e">'Data &amp; Calcs Cooling Mode - VS'!$G$59</definedName>
    <definedName name="Tduct_Full_83_i">'Data &amp; Calcs Cooling Mode - VS'!$G$60</definedName>
    <definedName name="Tduct_Full_95_e">'Data &amp; Calcs Cooling Mode - VS'!$G$41</definedName>
    <definedName name="Tduct_Full_95_i">'Data &amp; Calcs Cooling Mode - VS'!$G$42</definedName>
    <definedName name="Tduct_Low">'Data &amp; Calcs Cooling Mode - VS'!$G$109</definedName>
    <definedName name="Tduct_Low_83_e">'Data &amp; Calcs Cooling Mode - VS'!$G$77</definedName>
    <definedName name="Tduct_Low_83_i">'Data &amp; Calcs Cooling Mode - VS'!$G$78</definedName>
    <definedName name="Tei_a_ss">'Data &amp; Calcs Cooling Mode - SS'!$G$37</definedName>
    <definedName name="Tei_a_vs">'Data &amp; Calcs Cooling Mode - VS'!$G$39</definedName>
    <definedName name="Tei_b_ss">'Data &amp; Calcs Cooling Mode - SS'!$G$55</definedName>
    <definedName name="Tei_b_vs">'Data &amp; Calcs Cooling Mode - VS'!$G$57</definedName>
    <definedName name="Tei_c_ss">'Data &amp; Calcs Cooling Mode - SS'!$G$73</definedName>
    <definedName name="Tei_c_vs">'Data &amp; Calcs Cooling Mode - VS'!$G$75</definedName>
    <definedName name="Tei_d_vs">'Data &amp; Calcs Cooling Mode - VS'!$G$93</definedName>
    <definedName name="Tei_e_vs">'Data &amp; Calcs Cooling Mode - VS'!$G$107</definedName>
    <definedName name="Tt" localSheetId="12">'Data &amp; Calcs Cooling Mode - VS'!#REF!</definedName>
    <definedName name="Tt">'Data &amp; Calcs Cooling Mode - SS'!$G$35</definedName>
    <definedName name="Tw" localSheetId="12">'Data &amp; Calcs Cooling Mode - VS'!#REF!</definedName>
    <definedName name="Tw">'Data &amp; Calcs Cooling Mode - SS'!$G$36</definedName>
    <definedName name="Vci_83">'Data &amp; Calcs Cooling Mode - SS'!$G$60</definedName>
    <definedName name="Vci_83_Full">'Data &amp; Calcs Cooling Mode - VS'!$G$62</definedName>
    <definedName name="Vci_83_Low">'Data &amp; Calcs Cooling Mode - VS'!$G$80</definedName>
    <definedName name="Vci_95">'Data &amp; Calcs Cooling Mode - SS'!$G$42</definedName>
    <definedName name="Vci_95_Full">'Data &amp; Calcs Cooling Mode - VS'!$G$44</definedName>
    <definedName name="Vco_83">'Data &amp; Calcs Cooling Mode - SS'!$G$59</definedName>
    <definedName name="Vco_83_Full">'Data &amp; Calcs Cooling Mode - VS'!$G$61</definedName>
    <definedName name="Vco_83_Low">'Data &amp; Calcs Cooling Mode - VS'!$G$79</definedName>
    <definedName name="Vco_95">'Data &amp; Calcs Cooling Mode - SS'!$G$41</definedName>
    <definedName name="Vco_95_Full">'Data &amp; Calcs Cooling Mode - VS'!$G$43</definedName>
    <definedName name="Vco_SD">'Data &amp; Calcs Cooling Mode - SS'!$G$76</definedName>
    <definedName name="Vco_SD_Full">'Data &amp; Calcs Cooling Mode - VS'!$G$96</definedName>
    <definedName name="Vco_SD_Low">'Data &amp; Calcs Cooling Mode - VS'!$G$110</definedName>
    <definedName name="w" localSheetId="12">'Data &amp; Calcs Cooling Mode - VS'!#REF!</definedName>
    <definedName name="w">'Data &amp; Calcs Cooling Mode - SS'!#REF!</definedName>
    <definedName name="ρci_83">'Data &amp; Calcs Cooling Mode - SS'!$G$62</definedName>
    <definedName name="ρci_83_Full">'Data &amp; Calcs Cooling Mode - VS'!$G$64</definedName>
    <definedName name="ρci_83_Low">'Data &amp; Calcs Cooling Mode - VS'!$G$82</definedName>
    <definedName name="ρci_95">'Data &amp; Calcs Cooling Mode - SS'!$G$44</definedName>
    <definedName name="ρci_95_Full">'Data &amp; Calcs Cooling Mode - VS'!$G$46</definedName>
    <definedName name="ρco_83">'Data &amp; Calcs Cooling Mode - SS'!$G$61</definedName>
    <definedName name="ρco_83_Full">'Data &amp; Calcs Cooling Mode - VS'!$G$63</definedName>
    <definedName name="ρco_83_Low">'Data &amp; Calcs Cooling Mode - VS'!$G$81</definedName>
    <definedName name="ρco_95">'Data &amp; Calcs Cooling Mode - SS'!$G$43</definedName>
    <definedName name="ρco_95_Full">'Data &amp; Calcs Cooling Mode - VS'!$G$45</definedName>
    <definedName name="ρco_SD">'Data &amp; Calcs Cooling Mode - SS'!$G$77</definedName>
    <definedName name="ρco_SD_Full">'Data &amp; Calcs Cooling Mode - VS'!$G$97</definedName>
    <definedName name="ρco_SD_Low">'Data &amp; Calcs Cooling Mode - VS'!$G$111</definedName>
    <definedName name="ωci_83">'Data &amp; Calcs Cooling Mode - SS'!$G$64</definedName>
    <definedName name="ωci_83_Full">'Data &amp; Calcs Cooling Mode - VS'!$G$66</definedName>
    <definedName name="ωci_83_Low">'Data &amp; Calcs Cooling Mode - VS'!$G$84</definedName>
    <definedName name="ωci_95">'Data &amp; Calcs Cooling Mode - SS'!$G$46</definedName>
    <definedName name="ωci_95_Full">'Data &amp; Calcs Cooling Mode - VS'!$G$48</definedName>
    <definedName name="ωco_83">'Data &amp; Calcs Cooling Mode - SS'!$G$63</definedName>
    <definedName name="ωco_83_Full">'Data &amp; Calcs Cooling Mode - VS'!$G$65</definedName>
    <definedName name="ωco_83_Low">'Data &amp; Calcs Cooling Mode - VS'!$G$83</definedName>
    <definedName name="ωco_95">'Data &amp; Calcs Cooling Mode - SS'!$G$45</definedName>
    <definedName name="ωco_95_Full">'Data &amp; Calcs Cooling Mode - VS'!$G$47</definedName>
    <definedName name="ωco_SD">'Data &amp; Calcs Cooling Mode - SS'!$G$78</definedName>
    <definedName name="ωco_SD_Full">'Data &amp; Calcs Cooling Mode - VS'!$G$98</definedName>
    <definedName name="ωco_SD_Low">'Data &amp; Calcs Cooling Mode - VS'!$G$112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30" l="1"/>
  <c r="G120" i="30"/>
  <c r="G114" i="30"/>
  <c r="G160" i="30" l="1"/>
  <c r="G159" i="30"/>
  <c r="G158" i="30"/>
  <c r="G126" i="30"/>
  <c r="G136" i="30" s="1"/>
  <c r="G130" i="30"/>
  <c r="G124" i="30"/>
  <c r="G129" i="30" s="1"/>
  <c r="G113" i="30"/>
  <c r="G117" i="30" s="1"/>
  <c r="G112" i="30"/>
  <c r="G148" i="38"/>
  <c r="G154" i="38" s="1"/>
  <c r="G147" i="38"/>
  <c r="G158" i="38" s="1"/>
  <c r="G224" i="38"/>
  <c r="H224" i="38" s="1"/>
  <c r="G223" i="38"/>
  <c r="H223" i="38" s="1"/>
  <c r="G213" i="38"/>
  <c r="H213" i="38" s="1"/>
  <c r="G212" i="38"/>
  <c r="H212" i="38" s="1"/>
  <c r="G211" i="38"/>
  <c r="H211" i="38" s="1"/>
  <c r="G210" i="38"/>
  <c r="H210" i="38" s="1"/>
  <c r="G209" i="38"/>
  <c r="H209" i="38" s="1"/>
  <c r="G167" i="38"/>
  <c r="G182" i="38" s="1"/>
  <c r="G166" i="38"/>
  <c r="G181" i="38" s="1"/>
  <c r="G165" i="38"/>
  <c r="G173" i="38" s="1"/>
  <c r="G164" i="38"/>
  <c r="G172" i="38" s="1"/>
  <c r="G163" i="38"/>
  <c r="G171" i="38" s="1"/>
  <c r="D8" i="38"/>
  <c r="B8" i="38"/>
  <c r="B7" i="38"/>
  <c r="D6" i="38"/>
  <c r="B6" i="38"/>
  <c r="B5" i="38"/>
  <c r="B4" i="38"/>
  <c r="D3" i="38"/>
  <c r="B3" i="38"/>
  <c r="B2" i="38"/>
  <c r="G152" i="38" l="1"/>
  <c r="G150" i="38"/>
  <c r="G159" i="38"/>
  <c r="G151" i="38"/>
  <c r="G149" i="38"/>
  <c r="G153" i="38"/>
  <c r="G157" i="38" s="1"/>
  <c r="G178" i="38"/>
  <c r="G184" i="38" s="1"/>
  <c r="G194" i="38" s="1"/>
  <c r="G168" i="38" a="1"/>
  <c r="G168" i="38" s="1"/>
  <c r="G174" i="38" s="1"/>
  <c r="G179" i="38"/>
  <c r="G185" i="38" s="1"/>
  <c r="G195" i="38" s="1"/>
  <c r="G169" i="38"/>
  <c r="G175" i="38" s="1"/>
  <c r="G180" i="38"/>
  <c r="G177" i="38"/>
  <c r="G170" i="38"/>
  <c r="G176" i="38" s="1"/>
  <c r="G127" i="30"/>
  <c r="G131" i="30" s="1"/>
  <c r="G128" i="30"/>
  <c r="G132" i="30" s="1"/>
  <c r="G133" i="30"/>
  <c r="G134" i="30"/>
  <c r="G138" i="30" s="1"/>
  <c r="G143" i="30" s="1"/>
  <c r="G135" i="30"/>
  <c r="G115" i="30"/>
  <c r="G116" i="30"/>
  <c r="G155" i="38" l="1"/>
  <c r="G190" i="38" s="1"/>
  <c r="G183" i="38"/>
  <c r="G193" i="38" s="1"/>
  <c r="G204" i="38" s="1"/>
  <c r="G137" i="30"/>
  <c r="G142" i="30" s="1"/>
  <c r="G164" i="30" s="1"/>
  <c r="G192" i="38"/>
  <c r="G220" i="38"/>
  <c r="G219" i="38"/>
  <c r="G156" i="38"/>
  <c r="C3" i="37"/>
  <c r="C7" i="37"/>
  <c r="C6" i="37"/>
  <c r="G226" i="38" l="1"/>
  <c r="G151" i="30"/>
  <c r="G217" i="38"/>
  <c r="G199" i="38"/>
  <c r="G225" i="38"/>
  <c r="G200" i="38"/>
  <c r="G218" i="38"/>
  <c r="H220" i="38"/>
  <c r="H219" i="38"/>
  <c r="G222" i="38"/>
  <c r="G228" i="38" s="1"/>
  <c r="G191" i="38"/>
  <c r="G205" i="38" s="1"/>
  <c r="G221" i="38"/>
  <c r="G227" i="38" s="1"/>
  <c r="F55" i="32"/>
  <c r="F54" i="32"/>
  <c r="G229" i="38" l="1"/>
  <c r="G231" i="38" s="1"/>
  <c r="H221" i="38"/>
  <c r="H222" i="38"/>
  <c r="G230" i="38"/>
  <c r="G232" i="38" s="1"/>
  <c r="H205" i="38"/>
  <c r="F27" i="1"/>
  <c r="H199" i="38"/>
  <c r="F20" i="1"/>
  <c r="H200" i="38"/>
  <c r="F26" i="1"/>
  <c r="H204" i="38"/>
  <c r="F21" i="1"/>
  <c r="H160" i="30"/>
  <c r="H159" i="30"/>
  <c r="H158" i="30"/>
  <c r="H218" i="38" l="1"/>
  <c r="H217" i="38"/>
  <c r="F56" i="32"/>
  <c r="H226" i="38" l="1"/>
  <c r="H228" i="38"/>
  <c r="G118" i="30"/>
  <c r="G144" i="30" s="1"/>
  <c r="G119" i="30"/>
  <c r="G145" i="30" s="1"/>
  <c r="B8" i="35"/>
  <c r="B7" i="35"/>
  <c r="C6" i="35"/>
  <c r="B6" i="35"/>
  <c r="B5" i="35"/>
  <c r="B4" i="35"/>
  <c r="C3" i="35"/>
  <c r="B3" i="35"/>
  <c r="B2" i="35"/>
  <c r="B8" i="34"/>
  <c r="B7" i="34"/>
  <c r="C6" i="34"/>
  <c r="B6" i="34"/>
  <c r="B5" i="34"/>
  <c r="B4" i="34"/>
  <c r="C3" i="34"/>
  <c r="B3" i="34"/>
  <c r="B2" i="34"/>
  <c r="G165" i="30" l="1"/>
  <c r="H165" i="30" s="1"/>
  <c r="F11" i="1" s="1"/>
  <c r="G152" i="30"/>
  <c r="H152" i="30" s="1"/>
  <c r="F10" i="1" s="1"/>
  <c r="H227" i="38"/>
  <c r="H225" i="38"/>
  <c r="H164" i="30"/>
  <c r="F16" i="1" s="1"/>
  <c r="H151" i="30"/>
  <c r="F15" i="1" s="1"/>
  <c r="B7" i="25"/>
  <c r="C6" i="25"/>
  <c r="B6" i="25"/>
  <c r="B5" i="25"/>
  <c r="B4" i="25"/>
  <c r="C3" i="25"/>
  <c r="B3" i="25"/>
  <c r="B2" i="25"/>
  <c r="B8" i="1"/>
  <c r="B7" i="1"/>
  <c r="C6" i="1"/>
  <c r="B6" i="1"/>
  <c r="B5" i="1"/>
  <c r="B4" i="1"/>
  <c r="C3" i="1"/>
  <c r="B3" i="1"/>
  <c r="B2" i="1"/>
  <c r="B8" i="27"/>
  <c r="B7" i="27"/>
  <c r="C6" i="27"/>
  <c r="B6" i="27"/>
  <c r="B5" i="27"/>
  <c r="B4" i="27"/>
  <c r="C3" i="27"/>
  <c r="B3" i="27"/>
  <c r="B2" i="27"/>
  <c r="B8" i="16"/>
  <c r="B7" i="16"/>
  <c r="C6" i="16"/>
  <c r="B6" i="16"/>
  <c r="B5" i="16"/>
  <c r="B4" i="16"/>
  <c r="C3" i="16"/>
  <c r="B3" i="16"/>
  <c r="B2" i="16"/>
  <c r="B8" i="20"/>
  <c r="B7" i="20"/>
  <c r="C6" i="20"/>
  <c r="B6" i="20"/>
  <c r="B5" i="20"/>
  <c r="B4" i="20"/>
  <c r="C3" i="20"/>
  <c r="B3" i="20"/>
  <c r="B2" i="20"/>
  <c r="B8" i="31"/>
  <c r="B7" i="31"/>
  <c r="C6" i="31"/>
  <c r="B6" i="31"/>
  <c r="B5" i="31"/>
  <c r="B4" i="31"/>
  <c r="C3" i="31"/>
  <c r="B3" i="31"/>
  <c r="B2" i="31"/>
  <c r="B8" i="32"/>
  <c r="B7" i="32"/>
  <c r="D6" i="32"/>
  <c r="B6" i="32"/>
  <c r="B5" i="32"/>
  <c r="B4" i="32"/>
  <c r="D3" i="32"/>
  <c r="B3" i="32"/>
  <c r="B2" i="32"/>
  <c r="B8" i="33"/>
  <c r="B7" i="33"/>
  <c r="C6" i="33"/>
  <c r="B6" i="33"/>
  <c r="B5" i="33"/>
  <c r="B4" i="33"/>
  <c r="C3" i="33"/>
  <c r="B3" i="33"/>
  <c r="B2" i="33"/>
  <c r="C6" i="6"/>
  <c r="B8" i="6"/>
  <c r="B7" i="6"/>
  <c r="D6" i="30"/>
  <c r="B8" i="30"/>
  <c r="B7" i="30"/>
  <c r="B8" i="29"/>
  <c r="B7" i="29"/>
  <c r="C6" i="29"/>
  <c r="B6" i="29"/>
  <c r="B5" i="29"/>
  <c r="B4" i="29"/>
  <c r="C3" i="29"/>
  <c r="B3" i="29"/>
  <c r="B2" i="29"/>
  <c r="C6" i="24"/>
  <c r="B8" i="24"/>
  <c r="B7" i="24"/>
  <c r="C8" i="23"/>
  <c r="C8" i="37" s="1"/>
  <c r="C7" i="23"/>
  <c r="C6" i="23"/>
  <c r="C5" i="23"/>
  <c r="C4" i="23"/>
  <c r="C4" i="37" l="1"/>
  <c r="D4" i="38"/>
  <c r="C5" i="37"/>
  <c r="D5" i="38"/>
  <c r="C7" i="35"/>
  <c r="D7" i="38"/>
  <c r="H229" i="38"/>
  <c r="H230" i="38"/>
  <c r="D8" i="30"/>
  <c r="C8" i="35"/>
  <c r="C8" i="34"/>
  <c r="C4" i="16"/>
  <c r="C4" i="35"/>
  <c r="C4" i="34"/>
  <c r="C5" i="1"/>
  <c r="C5" i="35"/>
  <c r="C5" i="34"/>
  <c r="C7" i="24"/>
  <c r="C7" i="34"/>
  <c r="C4" i="31"/>
  <c r="C4" i="27"/>
  <c r="C4" i="25"/>
  <c r="D4" i="30"/>
  <c r="C4" i="6"/>
  <c r="D4" i="32"/>
  <c r="C4" i="20"/>
  <c r="C4" i="29"/>
  <c r="C4" i="1"/>
  <c r="D5" i="32"/>
  <c r="C5" i="27"/>
  <c r="C5" i="33"/>
  <c r="C5" i="16"/>
  <c r="C5" i="29"/>
  <c r="C5" i="20"/>
  <c r="C5" i="25"/>
  <c r="C4" i="24"/>
  <c r="C4" i="33"/>
  <c r="C5" i="31"/>
  <c r="C8" i="6"/>
  <c r="C8" i="33"/>
  <c r="C8" i="31"/>
  <c r="C8" i="20"/>
  <c r="C8" i="16"/>
  <c r="C8" i="1"/>
  <c r="D8" i="32"/>
  <c r="C8" i="27"/>
  <c r="C7" i="25"/>
  <c r="C7" i="1"/>
  <c r="C8" i="24"/>
  <c r="C8" i="29"/>
  <c r="C7" i="16"/>
  <c r="C7" i="27"/>
  <c r="C7" i="31"/>
  <c r="C7" i="20"/>
  <c r="C7" i="33"/>
  <c r="D7" i="32"/>
  <c r="C7" i="6"/>
  <c r="D7" i="30"/>
  <c r="C7" i="29"/>
  <c r="H232" i="38" l="1"/>
  <c r="F28" i="1"/>
  <c r="H231" i="38"/>
  <c r="F22" i="1"/>
  <c r="B2" i="30"/>
  <c r="D15" i="24"/>
  <c r="H39" i="1" l="1"/>
  <c r="H38" i="1"/>
  <c r="H37" i="1"/>
  <c r="H36" i="1"/>
  <c r="E39" i="1"/>
  <c r="E38" i="1"/>
  <c r="E37" i="1"/>
  <c r="E36" i="1"/>
  <c r="B6" i="30"/>
  <c r="B5" i="30"/>
  <c r="B4" i="30"/>
  <c r="B3" i="30"/>
  <c r="G37" i="1" l="1"/>
  <c r="G38" i="1"/>
  <c r="G39" i="1"/>
  <c r="G36" i="1"/>
  <c r="D5" i="30" l="1"/>
  <c r="B6" i="6" l="1"/>
  <c r="B5" i="6"/>
  <c r="B4" i="6"/>
  <c r="B3" i="6"/>
  <c r="B2" i="6"/>
  <c r="B6" i="24" l="1"/>
  <c r="B5" i="24"/>
  <c r="B4" i="24"/>
  <c r="B3" i="24"/>
  <c r="B2" i="24"/>
  <c r="D3" i="30"/>
  <c r="C5" i="6" l="1"/>
  <c r="C5" i="24"/>
  <c r="C3" i="6"/>
  <c r="C3"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<sst xmlns="http://schemas.openxmlformats.org/spreadsheetml/2006/main" count="1196" uniqueCount="591">
  <si>
    <t>Lab Name:</t>
  </si>
  <si>
    <t>Product Information</t>
  </si>
  <si>
    <t xml:space="preserve">Manufacturer model number: </t>
  </si>
  <si>
    <t>Condition as received:</t>
  </si>
  <si>
    <t>Settings</t>
  </si>
  <si>
    <t>Step 1</t>
  </si>
  <si>
    <t>Step 2</t>
  </si>
  <si>
    <t>Step 3</t>
  </si>
  <si>
    <t>Step 4</t>
  </si>
  <si>
    <t>Step 5</t>
  </si>
  <si>
    <t>Step 6</t>
  </si>
  <si>
    <t>Step 7</t>
  </si>
  <si>
    <t xml:space="preserve">     Height</t>
  </si>
  <si>
    <t xml:space="preserve">     Width</t>
  </si>
  <si>
    <t xml:space="preserve">     Depth</t>
  </si>
  <si>
    <t>Outer Dimensions (in)</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</si>
  <si>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</si>
  <si>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</si>
  <si>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</si>
  <si>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</si>
  <si>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</si>
  <si>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</si>
  <si>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</si>
  <si>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</si>
  <si>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</si>
  <si>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</si>
  <si>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</si>
  <si>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</si>
  <si>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</si>
  <si>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</si>
  <si>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</si>
  <si>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</si>
  <si>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</si>
  <si>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</si>
  <si>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</si>
  <si>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</si>
  <si>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</si>
  <si>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</si>
  <si>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</si>
  <si>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</si>
  <si>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</si>
  <si>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</si>
  <si>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</si>
  <si>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</si>
  <si>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</si>
  <si>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</si>
  <si>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</si>
  <si>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</si>
  <si>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</si>
  <si>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Version Control</t>
  </si>
  <si>
    <t>[MM/DD/YYYY]</t>
  </si>
  <si>
    <t>Instructions</t>
  </si>
  <si>
    <t>Test Information</t>
  </si>
  <si>
    <t>Model #</t>
  </si>
  <si>
    <t>Brand</t>
  </si>
  <si>
    <t>Result</t>
  </si>
  <si>
    <t>Comments</t>
  </si>
  <si>
    <t>Instrument Type</t>
  </si>
  <si>
    <t>Back to Instructions tab</t>
  </si>
  <si>
    <t>Setting 1:</t>
  </si>
  <si>
    <t>Setting 2:</t>
  </si>
  <si>
    <t>Setting 3:</t>
  </si>
  <si>
    <t>Setting 4:</t>
  </si>
  <si>
    <t>Setting 5:</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</si>
  <si>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</si>
  <si>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</si>
  <si>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</si>
  <si>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</si>
  <si>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</si>
  <si>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</si>
  <si>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</si>
  <si>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</si>
  <si>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</si>
  <si>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</si>
  <si>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</si>
  <si>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</si>
  <si>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Test Data Inputs</t>
  </si>
  <si>
    <t>Measurement</t>
  </si>
  <si>
    <t>[°F]</t>
  </si>
  <si>
    <t>Notes/Comments: (Please clarify any pertinent details, unusual events, etc.)</t>
  </si>
  <si>
    <t>Calculations</t>
  </si>
  <si>
    <t>Constants used in Calculations</t>
  </si>
  <si>
    <t>Resolution</t>
  </si>
  <si>
    <t>Test Condition</t>
  </si>
  <si>
    <t>Unit</t>
  </si>
  <si>
    <t>[ft]</t>
  </si>
  <si>
    <t>Describe method used to collect condensate:</t>
  </si>
  <si>
    <t>Setting Type</t>
  </si>
  <si>
    <t>Setting Selection</t>
  </si>
  <si>
    <t>Setting #</t>
  </si>
  <si>
    <t>Setting 6:</t>
  </si>
  <si>
    <t>Setting 7:</t>
  </si>
  <si>
    <t>Setting 8:</t>
  </si>
  <si>
    <t>Setting 9:</t>
  </si>
  <si>
    <t>Setting 10:</t>
  </si>
  <si>
    <t>4. Standard Test Voltage</t>
  </si>
  <si>
    <t>[V]</t>
  </si>
  <si>
    <t>Standard test voltage:</t>
  </si>
  <si>
    <t>Constant</t>
  </si>
  <si>
    <t>Duration of test period (p):</t>
  </si>
  <si>
    <t>Instrumentation</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</si>
  <si>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</si>
  <si>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</si>
  <si>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</si>
  <si>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2. FTC EnergyGuide label (if present)</t>
  </si>
  <si>
    <t>3. Photos of test unit from all sides</t>
  </si>
  <si>
    <t>6. Exact placement of all sensors on, in, or around the device</t>
  </si>
  <si>
    <t>7. Control Panel Settings</t>
  </si>
  <si>
    <t>8. Additional photos (if necessary)</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</si>
  <si>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</si>
  <si>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Reviewed by Test Lab</t>
  </si>
  <si>
    <t>[Test Lab Name]</t>
  </si>
  <si>
    <t>Instructions and table of contents</t>
  </si>
  <si>
    <t>Lab information, product information and test results</t>
  </si>
  <si>
    <t>Instrumentation requirements</t>
  </si>
  <si>
    <t>Inputs for photographs</t>
  </si>
  <si>
    <t>Measurement inputs and automated calculations</t>
  </si>
  <si>
    <t>Inputs for report template user to provide comments</t>
  </si>
  <si>
    <t>Report review history</t>
  </si>
  <si>
    <t>Revision history</t>
  </si>
  <si>
    <t>1. Unit Installation</t>
  </si>
  <si>
    <t xml:space="preserve">2. Electrical Energy Supply </t>
  </si>
  <si>
    <t>Standard test frequency:</t>
  </si>
  <si>
    <t>[Hz]</t>
  </si>
  <si>
    <t>3. Test Room Conditions</t>
  </si>
  <si>
    <t>Maintain the test room ambient air temperature conditions as specified in Section 4, Paragraph 4.2 of IEC 62301.</t>
  </si>
  <si>
    <t>Ambient Test Room Temperature</t>
  </si>
  <si>
    <t>[C]</t>
  </si>
  <si>
    <t>Test Data</t>
  </si>
  <si>
    <t>Inactive/Off Mode</t>
  </si>
  <si>
    <t>[W]</t>
  </si>
  <si>
    <t>Off-Cycle Mode</t>
  </si>
  <si>
    <t>[hours]</t>
  </si>
  <si>
    <t>Conversion factor for watt-hours to kilowatt-hours</t>
  </si>
  <si>
    <t>[kWh/Wh]</t>
  </si>
  <si>
    <t>Step 8</t>
  </si>
  <si>
    <t>Step 9</t>
  </si>
  <si>
    <t>Step 10</t>
  </si>
  <si>
    <t>Step 11</t>
  </si>
  <si>
    <t>Tabs</t>
  </si>
  <si>
    <t>Tabs with input cells</t>
  </si>
  <si>
    <t>Cells</t>
  </si>
  <si>
    <t>Auto-populated cell</t>
  </si>
  <si>
    <t>Provided data</t>
  </si>
  <si>
    <t>Test Report Template Name:</t>
  </si>
  <si>
    <t>Calculated Result (unrounded)</t>
  </si>
  <si>
    <t>Calculated Result
(unrounded)</t>
  </si>
  <si>
    <t>[F]</t>
  </si>
  <si>
    <t>Step 12</t>
  </si>
  <si>
    <t>Step 13</t>
  </si>
  <si>
    <t>Inactive or Off Mode Settings</t>
  </si>
  <si>
    <t>Data &amp; Calcs Low Power Modes</t>
  </si>
  <si>
    <t>Setup &amp; Test Cond Inactive-Off</t>
  </si>
  <si>
    <t>Off-Cycle Mode Settings</t>
  </si>
  <si>
    <t>Setup&amp;Test Cond Off-Cycle Mode</t>
  </si>
  <si>
    <t>Input for inactive mode or off mode test settings</t>
  </si>
  <si>
    <t>Setup and test condition requirements for inactive mode or off mode test</t>
  </si>
  <si>
    <t>Input for off-cycle mode test settings</t>
  </si>
  <si>
    <t>Setup and test condition requirements for off-cycle mode test</t>
  </si>
  <si>
    <t>Measurement inputs and automated calculations for low power mode tests (inactive, off, and off-cycle modes)</t>
  </si>
  <si>
    <t>Portable Air Conditioners</t>
  </si>
  <si>
    <t>Seasonally Adjusted Capacity (SACC)</t>
  </si>
  <si>
    <t>Btu/hr</t>
  </si>
  <si>
    <t>Combined Energy Efficiency Ratio (CEER)</t>
  </si>
  <si>
    <t>Btu/W-hr</t>
  </si>
  <si>
    <t>Duct Configuration (Single or Dual):</t>
  </si>
  <si>
    <t>For the standby mode and off mode testing, install the portable air conditioner in accordance with Section 5, Paragraph 5.2 of IEC 62301 (incorporated by reference; see §430.3), disregarding the provisions regarding batteries and the determination, classification, and testing of relevant modes.</t>
  </si>
  <si>
    <t>For the standby mode and off mode testing, maintain the input standard voltage at 115 V ±1 percent. Maintain the electrical supply at the rated frequency ±1 percent. Maintain the electrical supply voltage waveform indicated in Section 4, Paragraph 4.3.2 of IEC 62301. The wattmeter used to measure standby mode and off mode power consumption must meet the requirements specified in Section 4, Paragraph 4.4 of IEC 62301.</t>
  </si>
  <si>
    <t>Maintain the setup and installation from cooling mode testing, in accordance with section 3.1.1 and subsuquent subsections in appendix CC.</t>
  </si>
  <si>
    <t>Maintain the test room ambient air temperature conditions from cooling mode testing.</t>
  </si>
  <si>
    <t>Maintain the input standard voltage at 115 V ±1 percent. Maintain the electrical supply at the rated frequency ±1 percent. The wattmeter used to measure off-cycle mode power consumption must meet the requirements specified in Section 4, Paragraph 4.4 of IEC 62301.</t>
  </si>
  <si>
    <t>Ambient Test Room Temperature (dry-bulb)</t>
  </si>
  <si>
    <t>Ambient Test Room Temperature (wet-bulb)</t>
  </si>
  <si>
    <t>Follow the test procedure specified in Section 5, Paragraph 5.3.2 of IEC 62301 for testing in each possible mode as described in sections 4.3.1 and 4.3.2 of appendix CC.</t>
  </si>
  <si>
    <t>Establish the testing conditions set forth in section 3.2 of appendix CC, ensuring that the portable air conditioner does not enter any active modes during the test. For portable air conditioners that take some time to enter a stable state from a higher power state as discussed in Section 5, Paragraph 5.1, Note 1 of IEC 62301, allow sufficient time for the portable air conditioner to reach the lowest power state before proceeding with the test measurement.</t>
  </si>
  <si>
    <r>
      <t>Off Mode Power (P</t>
    </r>
    <r>
      <rPr>
        <vertAlign val="subscript"/>
        <sz val="11"/>
        <rFont val="Palatino Linotype"/>
        <family val="1"/>
      </rPr>
      <t>om</t>
    </r>
    <r>
      <rPr>
        <sz val="11"/>
        <rFont val="Palatino Linotype"/>
        <family val="1"/>
      </rPr>
      <t>):</t>
    </r>
  </si>
  <si>
    <r>
      <t>Inactive Mode Power (P</t>
    </r>
    <r>
      <rPr>
        <vertAlign val="subscript"/>
        <sz val="11"/>
        <rFont val="Palatino Linotype"/>
        <family val="1"/>
      </rPr>
      <t>ia</t>
    </r>
    <r>
      <rPr>
        <sz val="11"/>
        <rFont val="Palatino Linotype"/>
        <family val="1"/>
      </rPr>
      <t>):</t>
    </r>
  </si>
  <si>
    <t>Prior to Start of Inactive/Off Mode Test</t>
  </si>
  <si>
    <t>Start of Inactive/Off Mode Test</t>
  </si>
  <si>
    <t>Start of the Off-Cycle Mode Test</t>
  </si>
  <si>
    <t>Prior to Start of the Off-Cycle Mode Test</t>
  </si>
  <si>
    <t xml:space="preserve">Establish the test conditions specified in section 3.1.1 of appendix CC for off-cycle mode and use the wattmeter specified in section 3.2.3 of appendix CC (but do not use the duct measurements in section 3.1.1.6). </t>
  </si>
  <si>
    <t>Begin the off-cycle mode test period 5 minutes following the cooling mode test period. Adjust the setpoint higher than the ambient temperature to ensure the product will not enter cooling mode and begin the test 5 minutes after the compressor cycles off due to the change in setpoint. Do not change any other control settings between the end of the cooling mode test period and the start of the off-cycle mode test period.</t>
  </si>
  <si>
    <r>
      <t>Average Off-cycle Mode Power (P</t>
    </r>
    <r>
      <rPr>
        <vertAlign val="subscript"/>
        <sz val="11"/>
        <rFont val="Palatino Linotype"/>
        <family val="1"/>
      </rPr>
      <t>oc</t>
    </r>
    <r>
      <rPr>
        <sz val="11"/>
        <rFont val="Palatino Linotype"/>
        <family val="1"/>
      </rPr>
      <t>)</t>
    </r>
  </si>
  <si>
    <r>
      <t>Portable air conditioner inactive mode or off mode annual hours (t</t>
    </r>
    <r>
      <rPr>
        <vertAlign val="subscript"/>
        <sz val="11"/>
        <color theme="1"/>
        <rFont val="Palatino Linotype"/>
        <family val="1"/>
      </rPr>
      <t>ia</t>
    </r>
    <r>
      <rPr>
        <sz val="11"/>
        <color theme="1"/>
        <rFont val="Palatino Linotype"/>
        <family val="1"/>
      </rPr>
      <t xml:space="preserve"> or t</t>
    </r>
    <r>
      <rPr>
        <vertAlign val="subscript"/>
        <sz val="11"/>
        <color theme="1"/>
        <rFont val="Palatino Linotype"/>
        <family val="1"/>
      </rPr>
      <t>om</t>
    </r>
    <r>
      <rPr>
        <sz val="11"/>
        <color theme="1"/>
        <rFont val="Palatino Linotype"/>
        <family val="1"/>
      </rPr>
      <t>)</t>
    </r>
  </si>
  <si>
    <r>
      <t>Portable air conditioner off-cycle mode annual hours (t</t>
    </r>
    <r>
      <rPr>
        <vertAlign val="subscript"/>
        <sz val="11"/>
        <color theme="1"/>
        <rFont val="Palatino Linotype"/>
        <family val="1"/>
      </rPr>
      <t>oc</t>
    </r>
    <r>
      <rPr>
        <sz val="11"/>
        <color theme="1"/>
        <rFont val="Palatino Linotype"/>
        <family val="1"/>
      </rPr>
      <t>)</t>
    </r>
  </si>
  <si>
    <t>Annual Energy Consumption</t>
  </si>
  <si>
    <r>
      <t>Off-cycle mode annual energy consumption (AEC</t>
    </r>
    <r>
      <rPr>
        <vertAlign val="subscript"/>
        <sz val="11"/>
        <color theme="1"/>
        <rFont val="Palatino Linotype"/>
        <family val="1"/>
      </rPr>
      <t>oc</t>
    </r>
    <r>
      <rPr>
        <sz val="11"/>
        <color theme="1"/>
        <rFont val="Palatino Linotype"/>
        <family val="1"/>
      </rPr>
      <t>)</t>
    </r>
  </si>
  <si>
    <r>
      <t>Total annual energy consumption in all modes except cooling (AEC</t>
    </r>
    <r>
      <rPr>
        <vertAlign val="subscript"/>
        <sz val="11"/>
        <color theme="1"/>
        <rFont val="Palatino Linotype"/>
        <family val="1"/>
      </rPr>
      <t>T</t>
    </r>
    <r>
      <rPr>
        <sz val="11"/>
        <color theme="1"/>
        <rFont val="Palatino Linotype"/>
        <family val="1"/>
      </rPr>
      <t>)</t>
    </r>
  </si>
  <si>
    <t>Cooling Mode Settings</t>
  </si>
  <si>
    <t>Data &amp; Calcs Cooling Mode</t>
  </si>
  <si>
    <t>Cooling Mode Setup &amp; Conditions</t>
  </si>
  <si>
    <t>4. Evaporator-side duct and instrumentation setup (with and without insulation)</t>
  </si>
  <si>
    <t>5. Condenser-side duct and instrumentation setup (with and without insulation)</t>
  </si>
  <si>
    <t>1. General Instruction for Cooling Mode Test</t>
  </si>
  <si>
    <t>Use ducting components provided by the manufacturer, including, where provided by the manufacturer, ducts, connectors for attaching the duct(s) to the test unit, sealing, insulation, and window mounting fixtures. Do not apply additional sealing or insulation. Following installation of any insulation and sealing provided by the manufacturer. Then adhere four equally spaced thermocouples per duct to the outer surface of the entire length of the duct. Measure the surface temperatures of each duct. Temperature measurements must have an error no greater than ±0.5  °F over the range being measured.</t>
  </si>
  <si>
    <t>3. Positioning of Test Unit</t>
  </si>
  <si>
    <t>There shall be no less than 3 feet between any test chamber wall surface and any surface on the portable air conditioner, except the surface or surfaces of the portable air conditioner that include a duct attachment. The distance between the test chamber wall and a surface with one or more duct attachments is prescribed by the test setup requirements in Section 7.3.7 of ANSI/AHAM PAC-1-2015.</t>
  </si>
  <si>
    <t>Distance from test unit surface with duct attachments to closest wall or partition:</t>
  </si>
  <si>
    <t>If the unit has an auto-evaporative feature, keep any provided drain plug installed as shipped and do not provide other means of condensate removal. If the internal condensate collection bucket fills during the test, halt the test, remove the drain plug, install a gravity drain line, and start the test from the beginning. If no auto-evaporative feature is available, remove the drain plug and install a gravity drain line. If no auto-evaporative feature or gravity drain is available and a condensate pump is included, or if the manufacturer specifies the use of an included condensate pump during cooling mode operation, then test the portable air conditioner with the condensate pump enabled. For units tested with a condensate pump, apply the provisions in Section 7.1.2 of ANSI/AHAM PAC-1-2015 (incorporated by reference; see §430.3) if the pump cycles on and off.</t>
  </si>
  <si>
    <t>Maintain the input standard voltage at 115 V ±1 percent. Test at the rated frequency, maintained within ±1 percent.</t>
  </si>
  <si>
    <t>Set the controls to the lowest available temperature setpoint for cooling mode. If the portable air conditioner has a user-adjustable fan speed, select the maximum fan speed setting. If the portable air conditioner has an automatic louver oscillation feature, disable that feature throughout testing. If the louver oscillation feature is included but there is no option to disable it, test with the louver oscillation enabled. If the portable air conditioner has adjustable louvers, position the louvers parallel with the air flow to maximize air flow and minimize static pressure loss.</t>
  </si>
  <si>
    <t>5. Condensate Removal</t>
  </si>
  <si>
    <t>Dry bulb</t>
  </si>
  <si>
    <t>Wet bulb</t>
  </si>
  <si>
    <t xml:space="preserve"> Evaporator inlet air, °F (°C)</t>
  </si>
  <si>
    <t>Condenser inlet air, °F (°C)</t>
  </si>
  <si>
    <t>Table 1</t>
  </si>
  <si>
    <t>80 (26.7)</t>
  </si>
  <si>
    <t>67 (19.4)</t>
  </si>
  <si>
    <t>95 (35.0)</t>
  </si>
  <si>
    <t>83 (28.3)</t>
  </si>
  <si>
    <t>75 (23.9)</t>
  </si>
  <si>
    <t>67.5 (19.7)</t>
  </si>
  <si>
    <t>[min]</t>
  </si>
  <si>
    <t>Average condenser inlet wet-bulb temperature:</t>
  </si>
  <si>
    <t>Average condenser inlet dry-bulb temperature:</t>
  </si>
  <si>
    <t>Average evaporator inlet dry-bulb temperature:</t>
  </si>
  <si>
    <t>Average evaporator inlet wet-bulb temperature:</t>
  </si>
  <si>
    <t>Average power during test period:</t>
  </si>
  <si>
    <t>Measured average cooling capacity during test period:</t>
  </si>
  <si>
    <t>[Btu/h]</t>
  </si>
  <si>
    <t>Duct Dimensions and Surface Area</t>
  </si>
  <si>
    <t>Convection coefficient</t>
  </si>
  <si>
    <t>Average condenser inlet surface temperature:</t>
  </si>
  <si>
    <t>Average condenser exhaust surface temperature:</t>
  </si>
  <si>
    <t>Average volumetric flowrate of condenser inlet air:</t>
  </si>
  <si>
    <t>[cfm]</t>
  </si>
  <si>
    <t>Average density of condenser outlet air:</t>
  </si>
  <si>
    <t>[lbm/ft^3]</t>
  </si>
  <si>
    <t>[lbw/lbda]</t>
  </si>
  <si>
    <t>Average volumetric flowrate of condenser outlet air:</t>
  </si>
  <si>
    <t>Average density of condenser inlet air:</t>
  </si>
  <si>
    <t>Average humidity ratio of condenser inlet air:</t>
  </si>
  <si>
    <t>Average humidity ratio of condenser outlet air:</t>
  </si>
  <si>
    <t>Dry air mass flow rate for single-duct configuration:</t>
  </si>
  <si>
    <t>[lb/m]</t>
  </si>
  <si>
    <t>Dry air specific heat</t>
  </si>
  <si>
    <t>Water vapor specific heat</t>
  </si>
  <si>
    <t>Indoor chamber dry-bulb temperature</t>
  </si>
  <si>
    <t>[Btu/hr-ft^2-F]</t>
  </si>
  <si>
    <t>[Btu/lb,-F]</t>
  </si>
  <si>
    <t>Infiltration air dry-bulb temperature, 95F condition:</t>
  </si>
  <si>
    <t>Infiltration air dry-bulb temperature, 83F condition:</t>
  </si>
  <si>
    <t>Infiltration air humidity ratio, 95F condition:</t>
  </si>
  <si>
    <t>Infiltration air humidity ratio, 83F condition:</t>
  </si>
  <si>
    <t>Indoor chamber humidity ratio:</t>
  </si>
  <si>
    <t>Conversion factor from minutes to hours:</t>
  </si>
  <si>
    <t>[min/hr]</t>
  </si>
  <si>
    <t>[ft^2]</t>
  </si>
  <si>
    <t>Latent heat of vaporization for water vapor</t>
  </si>
  <si>
    <t>Weighting factor for 83F test condition:</t>
  </si>
  <si>
    <t>Weighting factor for 95F test condition:</t>
  </si>
  <si>
    <t>Conversion factor for watt-hours to kilowatt-hours:</t>
  </si>
  <si>
    <t>Adjusted cooling capacity, 95F outdoor condition for single-duct configuration:</t>
  </si>
  <si>
    <t>Adjusted cooling capacity, 83F outdoor condition for single-duct configuration:</t>
  </si>
  <si>
    <t>Adjusted cooling capacity, 83F outdoor condition for dual-duct configuration:</t>
  </si>
  <si>
    <t>Adjusted cooling capacity, 95F outdoor condition for dual-duct configuration:</t>
  </si>
  <si>
    <t>Dual-duct cooling mode annual energy consumption, 95F condition:</t>
  </si>
  <si>
    <t>Dual-duct cooling mode annual energy consumption, 83F condition:</t>
  </si>
  <si>
    <t>Combined energy efficiency ratio, single-duct configuration:</t>
  </si>
  <si>
    <t>Combined energy efficiency ratio, dual-duct configuration:</t>
  </si>
  <si>
    <t>Single-duct cooling mode annual energy consumption:</t>
  </si>
  <si>
    <t>[kWh/year]</t>
  </si>
  <si>
    <t>[Btu/Wh]</t>
  </si>
  <si>
    <t>Condenser exhaust duct outer diameter, including any manufacturer-supplied insulation:</t>
  </si>
  <si>
    <t>Condenser exhaust duct extended length:</t>
  </si>
  <si>
    <t>Dry air mass flow rate for dual-duct configuration, 95F outdoor condition:</t>
  </si>
  <si>
    <t>Dry air mass flow rate for dual-duct configuration, 83F outdoor condition:</t>
  </si>
  <si>
    <t>Sensible infiltration air heat contribution at 95F outdoor condition, dual-duct configuration:</t>
  </si>
  <si>
    <t>Sensible infiltration air heat contribution at 83F outdoor condition, dual-duct configuration:</t>
  </si>
  <si>
    <t>Latent infiltration air heat contribution at 95F outdoor condition, dual-duct configuration:</t>
  </si>
  <si>
    <t>Latent infiltration air heat contribution at 83F outdoor condition, dual-duct configuration:</t>
  </si>
  <si>
    <t>Total infiltration air heat contribution at 95F outdoor condition, dual-duct configuration:</t>
  </si>
  <si>
    <t>Total infiltration air heat contribution at 83F outdoor condition, dual-duct configuration:</t>
  </si>
  <si>
    <t>Sensible infiltration air heat contribution at 95F outdoor condition, single-duct configuration:</t>
  </si>
  <si>
    <t>Sensible infiltration air heat contribution at 83F outdoor condition, single-duct configuration:</t>
  </si>
  <si>
    <t>Latent infiltration air heat contribution at 95F outdoor condition, single-duct configuration:</t>
  </si>
  <si>
    <t>Latent infiltration air heat contribution at 83F outdoor condition, single-duct configuration:</t>
  </si>
  <si>
    <t>Total infiltration air heat contribution at 95F outdoor condition, single-duct configuration:</t>
  </si>
  <si>
    <t>Total infiltration air heat contribution at 83F outdoor condition, single-duct configuration:</t>
  </si>
  <si>
    <t>Seasonally Adjusted Cooling Capacity, Single-Duct Configuration:</t>
  </si>
  <si>
    <t>Seasonally Adjusted Cooling Capacity, Dual-Duct Configuration:</t>
  </si>
  <si>
    <t>Cooling mode annual operating hours:</t>
  </si>
  <si>
    <t>Measured</t>
  </si>
  <si>
    <t>Condenser inlet duct outer diameter, including any manufacturer-supplied insulation:</t>
  </si>
  <si>
    <t>Condenser inlet duct extended length:</t>
  </si>
  <si>
    <t>Maximum</t>
  </si>
  <si>
    <t>Minimum</t>
  </si>
  <si>
    <r>
      <t>Inactive mode or off mode annual energy consumption (AEC</t>
    </r>
    <r>
      <rPr>
        <vertAlign val="subscript"/>
        <sz val="11"/>
        <color theme="1"/>
        <rFont val="Palatino Linotype"/>
        <family val="1"/>
      </rPr>
      <t>ia</t>
    </r>
    <r>
      <rPr>
        <sz val="11"/>
        <color theme="1"/>
        <rFont val="Palatino Linotype"/>
        <family val="1"/>
      </rPr>
      <t xml:space="preserve"> or AEC</t>
    </r>
    <r>
      <rPr>
        <vertAlign val="subscript"/>
        <sz val="11"/>
        <color theme="1"/>
        <rFont val="Palatino Linotype"/>
        <family val="1"/>
      </rPr>
      <t>om</t>
    </r>
    <r>
      <rPr>
        <sz val="11"/>
        <color theme="1"/>
        <rFont val="Palatino Linotype"/>
        <family val="1"/>
      </rPr>
      <t>)</t>
    </r>
  </si>
  <si>
    <t>Distance from test unit surface without duct attachment to closest wall or partition:</t>
  </si>
  <si>
    <t>Input for cooling mode test settings</t>
  </si>
  <si>
    <t>Setup and test condition requirements for cooling mode</t>
  </si>
  <si>
    <t>v1.0</t>
  </si>
  <si>
    <t>Duct Configuration (Single or Dual)</t>
  </si>
  <si>
    <t>Single-Duct</t>
  </si>
  <si>
    <t>Dual-Duct</t>
  </si>
  <si>
    <t>Drop-Downs</t>
  </si>
  <si>
    <t>Used for drop-down lists; summary of drop-down options</t>
  </si>
  <si>
    <t>Calculated Result
(rounded per reporting requirements)</t>
  </si>
  <si>
    <t>v2.0</t>
  </si>
  <si>
    <t>Appendix CC to Subpart B of Part 430-Uniform Test Method for Measuring the Energy Consumption of Portable Air Conditioners [81 FR 35265, June 1, 2016, as amended at 88 FR 31127, May 15, 2023]</t>
  </si>
  <si>
    <t>The test apparatus and instructions for testing portable air conditioners in cooling mode must conform to the requirements specified in Section 4, “Definitions” and Section 7, “Tests,” of ANSI/AHAM PAC-1-2015, except as otherwise specified in appendix CC. Where applicable, measure duct heat transfer and infiltration air heat transfer according to section 4.1.3 and section 4.1.4 of appendix CC, respectively.</t>
  </si>
  <si>
    <t>1.A</t>
  </si>
  <si>
    <t>2.B</t>
  </si>
  <si>
    <t>2.D</t>
  </si>
  <si>
    <t>2.A</t>
  </si>
  <si>
    <t>2.C</t>
  </si>
  <si>
    <t>2.E</t>
  </si>
  <si>
    <t>1.B</t>
  </si>
  <si>
    <t>1.C</t>
  </si>
  <si>
    <t>Compressor Speed</t>
  </si>
  <si>
    <t>Table 2</t>
  </si>
  <si>
    <t>Full</t>
  </si>
  <si>
    <t>Low</t>
  </si>
  <si>
    <t>Condition 2.A - Dual-Duct Units</t>
  </si>
  <si>
    <t>Condition 1.B - Dual-Duct Units</t>
  </si>
  <si>
    <t>Condition 1.A - Dual-Duct Units</t>
  </si>
  <si>
    <t>General Instruction - Single-Speed Units</t>
  </si>
  <si>
    <t>General Instruction - Variable-Speed Units</t>
  </si>
  <si>
    <t>Condition 2.B - Dual-Duct Units</t>
  </si>
  <si>
    <t>Condition 2.C - Dual-Duct Units</t>
  </si>
  <si>
    <t>Condition 1.C - Single-Duct Units</t>
  </si>
  <si>
    <t>Condition 2.D - Single-Duct Units</t>
  </si>
  <si>
    <t>Condition 2.E - Single-Duct Units</t>
  </si>
  <si>
    <t>Dry air mass flow rate for single-duct configuration, condition 2.E</t>
  </si>
  <si>
    <t>Sensible infiltration air heat contribution at condition 2.A</t>
  </si>
  <si>
    <t>Sensible infiltration air heat contribution at condition 2.B</t>
  </si>
  <si>
    <t>Latent infiltration air heat contribution at condition 2.A:</t>
  </si>
  <si>
    <t>Latent infiltration air heat contribution at condition 2.B:</t>
  </si>
  <si>
    <t>Sensible infiltration air heat contribution at condition 2.C:</t>
  </si>
  <si>
    <t>Latent infiltration air heat contribution at condition 2.C:</t>
  </si>
  <si>
    <t>Total infiltration air heat contribution at condition 2.A:</t>
  </si>
  <si>
    <t>Total infiltration air heat contribution at condition 2.B:</t>
  </si>
  <si>
    <t>Total infiltration air heat contribution at condition 2.C:</t>
  </si>
  <si>
    <t>Sensible infiltration air heat contribution at 83F outdoor condition, full compressor speed, single-duct configuration:</t>
  </si>
  <si>
    <t>Sensible infiltration air heat contribution at 83F outdoor condition, low compressor speed, single-duct configuration:</t>
  </si>
  <si>
    <t>Latent infiltration air heat contribution at 83F outdoor condition, full compressor speed, single-duct configuration:</t>
  </si>
  <si>
    <t>Latent infiltration air heat contribution at 83F outdoor condition, low compressor speed, single-duct configuration:</t>
  </si>
  <si>
    <t>Total infiltration air heat contribution at 83F outdoor condition, low compressor speed, single-duct configuration:</t>
  </si>
  <si>
    <t>Total infiltration air heat contribution at 83F outdoor condition, full compressor speed, single-duct configuration:</t>
  </si>
  <si>
    <t>Adjusted cooling capacity, condition 2.A:</t>
  </si>
  <si>
    <t>Adjusted cooling capacity, condition 2.B:</t>
  </si>
  <si>
    <t>Adjusted cooling capacity, condition 2.C:</t>
  </si>
  <si>
    <t>Adjusted cooling capacity, 83F outdoor condition, full compressor speed, for single-duct configuration:</t>
  </si>
  <si>
    <t>Adjusted cooling capacity, 83F outdoor condition, low compressor speed, for single-duct configuration:</t>
  </si>
  <si>
    <t>Dual-duct cooling mode annual energy consumption, condition 2.A:</t>
  </si>
  <si>
    <t>Dual-duct cooling mode annual energy consumption, condition 2.B:</t>
  </si>
  <si>
    <t>Dual-duct cooling mode annual energy consumption, condition 2.C:</t>
  </si>
  <si>
    <t>Single-duct cooling mode annual energy consumption, condition 2.D:</t>
  </si>
  <si>
    <t>Single-duct cooling mode annual energy consumption, condition 2.E:</t>
  </si>
  <si>
    <t>Unadjusted combined energy efficiency ratio, single-duct configuration:</t>
  </si>
  <si>
    <t>Unadjusted combined energy efficiency ratio, dual-duct configuration:</t>
  </si>
  <si>
    <t>Duct Heat Transfer - Single-Speed Units</t>
  </si>
  <si>
    <t>Infiltration Air Heat Transfer - Single-Speed Units</t>
  </si>
  <si>
    <t>Adjusted Cooling Capacity - Single-Speed Units</t>
  </si>
  <si>
    <t>Seasonally Adjusted Cooling Capacity - Single-Speed Units</t>
  </si>
  <si>
    <t>Annual Energy Consumption - Single-Speed Units</t>
  </si>
  <si>
    <t>Combined Energy Efficiency Ratio - Single-Speed Units</t>
  </si>
  <si>
    <t>Duct Heat Transfer - Variable-Speed Units</t>
  </si>
  <si>
    <t>Infiltration Air Heat Transfer - Variable-Speed Units</t>
  </si>
  <si>
    <t>Adjusted Cooling Capacity - Variable-Speed Units</t>
  </si>
  <si>
    <t>Seasonally Adjusted Cooling Capacity - Variable-Speed Units</t>
  </si>
  <si>
    <t>Full-Load Seasonally Adjusted Cooling Capacity - Variable-Speed Units</t>
  </si>
  <si>
    <t>Annual Energy Consumption - Variable-Speed Units</t>
  </si>
  <si>
    <t>Combined Energy Efficiency Ratio - Variable-Speed Units</t>
  </si>
  <si>
    <t>Compressor Type</t>
  </si>
  <si>
    <t>Variable-Speed</t>
  </si>
  <si>
    <t>Single-Speed</t>
  </si>
  <si>
    <r>
      <t>Full-Load Seasonally Adjusted Capacity (SACC</t>
    </r>
    <r>
      <rPr>
        <vertAlign val="subscript"/>
        <sz val="11"/>
        <color theme="1"/>
        <rFont val="Palatino Linotype"/>
        <family val="1"/>
      </rPr>
      <t>Full</t>
    </r>
    <r>
      <rPr>
        <sz val="11"/>
        <color theme="1"/>
        <rFont val="Palatino Linotype"/>
        <family val="1"/>
      </rPr>
      <t>)</t>
    </r>
  </si>
  <si>
    <t>Test Results: Variable-Speed, Dual-Duct Configuration</t>
  </si>
  <si>
    <t>Test Results: Variable-Speed, Single-Duct Configuration</t>
  </si>
  <si>
    <t>Test Results: Single-Speed, Dual-Duct Configuration</t>
  </si>
  <si>
    <t>Test Results: Single-Speed, Single-Duct Configuration</t>
  </si>
  <si>
    <t>2a. Duct Setup for Single- or Dual-Duct Units</t>
  </si>
  <si>
    <t>2b. Duct Setup for Combined-Duct Units</t>
  </si>
  <si>
    <t>Use ducting components provided by the manufacturer, including, where provided by the manufacturer, ducts, connectors for attaching the duct(s) to the test unit, sealing, insulation, and window mounting fixtures. The manufacturer must provide the testing facility an adapter that allows for the individual connection of the condenser inlet and outlet airflows to the test facility's airflow measuring apparatuses. Do not apply additional sealing or insulation. Following installation of any insulation and sealing provided by the manufacturer. Then adhere sixteen thermocouples to the outer surface of the duct, spaced evenly around the circumference (four thermocouples, each 90 degrees apart, radially) and down the entire length of the duct (four sets of four thermocouples, evenly spaced along the entire length of the duct), ensuring that the thermocouples are spaced along the entire length equally. Measure the surface temperatures of each duct. Place at least one thermocouple preferably adjacent to, but otherwise as close as possible to, the condenser inlet aperture and at least one thermocouple on the duct surface preferably adjacent to, but otherwise as close as possible to, the condenser outlet aperture. Temperature measurements must have an error no greater than ±0.5  °F over the range being measured.</t>
  </si>
  <si>
    <r>
      <t>Measure the indoor room cooling capacity and overall power input in cooling mode in accordance with Section 7.1.b and 7.1.c of ANSI/AHAM PAC-1-2015, respectively. Determine the test duration in accordance with Section 8.7 of ASHRAE Standard 37-2009. Apply the test conditions for single-duct and dual-duct portable air conditioners presented in Table 2, below, instead of the test conditions in Table 3 of ANSI/AHAM PAC-1-2015. For single-duct units, measure the indoor room cooling capacity and overall power input in cooling mode twice, first in accordance with the ambient conditions and compressor speed settings for test condition 2.D (Capacity</t>
    </r>
    <r>
      <rPr>
        <vertAlign val="subscript"/>
        <sz val="11"/>
        <color theme="1"/>
        <rFont val="Palatino Linotype"/>
        <family val="1"/>
      </rPr>
      <t>SD_Full</t>
    </r>
    <r>
      <rPr>
        <sz val="11"/>
        <color theme="1"/>
        <rFont val="Palatino Linotype"/>
        <family val="1"/>
      </rPr>
      <t>, P</t>
    </r>
    <r>
      <rPr>
        <vertAlign val="subscript"/>
        <sz val="11"/>
        <color theme="1"/>
        <rFont val="Palatino Linotype"/>
        <family val="1"/>
      </rPr>
      <t>SD_Full</t>
    </r>
    <r>
      <rPr>
        <sz val="11"/>
        <color theme="1"/>
        <rFont val="Palatino Linotype"/>
        <family val="1"/>
      </rPr>
      <t>), and then in accordance with the ambient conditions for test condition 2.E (Capacity</t>
    </r>
    <r>
      <rPr>
        <vertAlign val="subscript"/>
        <sz val="11"/>
        <color theme="1"/>
        <rFont val="Palatino Linotype"/>
        <family val="1"/>
      </rPr>
      <t>SD_Low</t>
    </r>
    <r>
      <rPr>
        <sz val="11"/>
        <color theme="1"/>
        <rFont val="Palatino Linotype"/>
        <family val="1"/>
      </rPr>
      <t>, P</t>
    </r>
    <r>
      <rPr>
        <vertAlign val="subscript"/>
        <sz val="11"/>
        <color theme="1"/>
        <rFont val="Palatino Linotype"/>
        <family val="1"/>
      </rPr>
      <t>SD_Low</t>
    </r>
    <r>
      <rPr>
        <sz val="11"/>
        <color theme="1"/>
        <rFont val="Palatino Linotype"/>
        <family val="1"/>
      </rPr>
      <t>), both presented in Table 2, below. For dual-duct units, measure the indoor room cooling capacity and overall power input three times, first in accordance with ambient conditions for test condition 2.A (Capacity</t>
    </r>
    <r>
      <rPr>
        <vertAlign val="subscript"/>
        <sz val="11"/>
        <color theme="1"/>
        <rFont val="Palatino Linotype"/>
        <family val="1"/>
      </rPr>
      <t>95_Full</t>
    </r>
    <r>
      <rPr>
        <sz val="11"/>
        <color theme="1"/>
        <rFont val="Palatino Linotype"/>
        <family val="1"/>
      </rPr>
      <t>, P</t>
    </r>
    <r>
      <rPr>
        <vertAlign val="subscript"/>
        <sz val="11"/>
        <color theme="1"/>
        <rFont val="Palatino Linotype"/>
        <family val="1"/>
      </rPr>
      <t>95_Full</t>
    </r>
    <r>
      <rPr>
        <sz val="11"/>
        <color theme="1"/>
        <rFont val="Palatino Linotype"/>
        <family val="1"/>
      </rPr>
      <t>), second in accordance with the ambient conditions for test condition 2.B (Capacity</t>
    </r>
    <r>
      <rPr>
        <vertAlign val="subscript"/>
        <sz val="11"/>
        <color theme="1"/>
        <rFont val="Palatino Linotype"/>
        <family val="1"/>
      </rPr>
      <t>83_Full</t>
    </r>
    <r>
      <rPr>
        <sz val="11"/>
        <color theme="1"/>
        <rFont val="Palatino Linotype"/>
        <family val="1"/>
      </rPr>
      <t>, P</t>
    </r>
    <r>
      <rPr>
        <vertAlign val="subscript"/>
        <sz val="11"/>
        <color theme="1"/>
        <rFont val="Palatino Linotype"/>
        <family val="1"/>
      </rPr>
      <t>83_Full</t>
    </r>
    <r>
      <rPr>
        <sz val="11"/>
        <color theme="1"/>
        <rFont val="Palatino Linotype"/>
        <family val="1"/>
      </rPr>
      <t>), and third in accordance with the ambient conditions for test condition 2.C (Capacity</t>
    </r>
    <r>
      <rPr>
        <vertAlign val="subscript"/>
        <sz val="11"/>
        <color theme="1"/>
        <rFont val="Palatino Linotype"/>
        <family val="1"/>
      </rPr>
      <t>83_Low</t>
    </r>
    <r>
      <rPr>
        <sz val="11"/>
        <color theme="1"/>
        <rFont val="Palatino Linotype"/>
        <family val="1"/>
      </rPr>
      <t>, P</t>
    </r>
    <r>
      <rPr>
        <vertAlign val="subscript"/>
        <sz val="11"/>
        <color theme="1"/>
        <rFont val="Palatino Linotype"/>
        <family val="1"/>
      </rPr>
      <t>83_Low</t>
    </r>
    <r>
      <rPr>
        <sz val="11"/>
        <color theme="1"/>
        <rFont val="Palatino Linotype"/>
        <family val="1"/>
      </rPr>
      <t>), each presented in Table 2, below.</t>
    </r>
  </si>
  <si>
    <r>
      <t>Measure the indoor room cooling capacity and overall power input in cooling mode in accordance with Section 7.1.b and 7.1.c of ANSI/AHAM PAC-1-2015, respectively. Determine the test duration in accordance with Section 8.7 of ASHRAE Standard 37-2009. Apply the test conditions for single-duct and dual-duct portable air conditioners presented in Table 1, below, instead of the test conditions in Table 3 of ANSI/AHAM PAC-1-2015. For single-duct units, measure the indoor room cooling capacity, Capacity</t>
    </r>
    <r>
      <rPr>
        <vertAlign val="subscript"/>
        <sz val="11"/>
        <color theme="1"/>
        <rFont val="Palatino Linotype"/>
        <family val="1"/>
      </rPr>
      <t>SD</t>
    </r>
    <r>
      <rPr>
        <sz val="11"/>
        <color theme="1"/>
        <rFont val="Palatino Linotype"/>
        <family val="1"/>
      </rPr>
      <t>, and overall power input in cooling mode, P</t>
    </r>
    <r>
      <rPr>
        <vertAlign val="subscript"/>
        <sz val="11"/>
        <color theme="1"/>
        <rFont val="Palatino Linotype"/>
        <family val="1"/>
      </rPr>
      <t>SD</t>
    </r>
    <r>
      <rPr>
        <sz val="11"/>
        <color theme="1"/>
        <rFont val="Palatino Linotype"/>
        <family val="1"/>
      </rPr>
      <t>, in accordance with the ambient conditions for test condition 1.C, presented in Table 1, below. For dual-duct units, measure the indoor room cooling capacity and overall power input in accordance with ambient conditions for test condition 1.A (Capacity</t>
    </r>
    <r>
      <rPr>
        <vertAlign val="subscript"/>
        <sz val="11"/>
        <color theme="1"/>
        <rFont val="Palatino Linotype"/>
        <family val="1"/>
      </rPr>
      <t>95</t>
    </r>
    <r>
      <rPr>
        <sz val="11"/>
        <color theme="1"/>
        <rFont val="Palatino Linotype"/>
        <family val="1"/>
      </rPr>
      <t>, P</t>
    </r>
    <r>
      <rPr>
        <vertAlign val="subscript"/>
        <sz val="11"/>
        <color theme="1"/>
        <rFont val="Palatino Linotype"/>
        <family val="1"/>
      </rPr>
      <t>95</t>
    </r>
    <r>
      <rPr>
        <sz val="11"/>
        <color theme="1"/>
        <rFont val="Palatino Linotype"/>
        <family val="1"/>
      </rPr>
      <t>), and then measure the indoor room cooling capacity and overall power input a second time in accordance with the ambient conditions for test condition 1.B (Capacity</t>
    </r>
    <r>
      <rPr>
        <vertAlign val="subscript"/>
        <sz val="11"/>
        <color theme="1"/>
        <rFont val="Palatino Linotype"/>
        <family val="1"/>
      </rPr>
      <t>83</t>
    </r>
    <r>
      <rPr>
        <sz val="11"/>
        <color theme="1"/>
        <rFont val="Palatino Linotype"/>
        <family val="1"/>
      </rPr>
      <t>, P</t>
    </r>
    <r>
      <rPr>
        <vertAlign val="subscript"/>
        <sz val="11"/>
        <color theme="1"/>
        <rFont val="Palatino Linotype"/>
        <family val="1"/>
      </rPr>
      <t>83</t>
    </r>
    <r>
      <rPr>
        <sz val="11"/>
        <color theme="1"/>
        <rFont val="Palatino Linotype"/>
        <family val="1"/>
      </rPr>
      <t>), presented in Table 1 below.</t>
    </r>
  </si>
  <si>
    <r>
      <t>If the portable air conditioner has an inactive mode, as defined in section 2.6 of appendix CC, but not an off mode, as defined in section 2.8 of appendix CC, measure and record the average inactive mode power of the portable air conditioner, P</t>
    </r>
    <r>
      <rPr>
        <vertAlign val="subscript"/>
        <sz val="11"/>
        <color theme="1"/>
        <rFont val="Palatino Linotype"/>
        <family val="1"/>
      </rPr>
      <t>ia</t>
    </r>
    <r>
      <rPr>
        <sz val="11"/>
        <color theme="1"/>
        <rFont val="Palatino Linotype"/>
        <family val="1"/>
      </rPr>
      <t>, in watts. If the portable air conditioner has an off mode, as defined in section 2.8 of appendix CC, measure and record the average off mode power of the portable air conditioner, P</t>
    </r>
    <r>
      <rPr>
        <vertAlign val="subscript"/>
        <sz val="11"/>
        <color theme="1"/>
        <rFont val="Palatino Linotype"/>
        <family val="1"/>
      </rPr>
      <t>om</t>
    </r>
    <r>
      <rPr>
        <sz val="11"/>
        <color theme="1"/>
        <rFont val="Palatino Linotype"/>
        <family val="1"/>
      </rPr>
      <t>, in watts.</t>
    </r>
  </si>
  <si>
    <r>
      <t>The off-cycle mode test period must be 2 hours in duration, during which period, record the power consumption at the same intervals as recorded for cooling mode testing. Measure and record the average off-cycle mode power of the portable air conditioner, P</t>
    </r>
    <r>
      <rPr>
        <vertAlign val="subscript"/>
        <sz val="11"/>
        <color theme="1"/>
        <rFont val="Palatino Linotype"/>
        <family val="1"/>
      </rPr>
      <t>oc</t>
    </r>
    <r>
      <rPr>
        <sz val="11"/>
        <color theme="1"/>
        <rFont val="Palatino Linotype"/>
        <family val="1"/>
      </rPr>
      <t>, in watts.</t>
    </r>
  </si>
  <si>
    <t xml:space="preserve">You have indicated that this unit is a single-speed portable AC. Please use the "Data &amp; Calcs Cooling Mode - SS" tab to enter test data. </t>
  </si>
  <si>
    <t xml:space="preserve">You have indicated that this unit is a variable-speed portable AC. Please use the "Data &amp; Calcs Cooling Mode - VS" tab to enter test data. </t>
  </si>
  <si>
    <t>Value</t>
  </si>
  <si>
    <t>Variable Name</t>
  </si>
  <si>
    <r>
      <t>T</t>
    </r>
    <r>
      <rPr>
        <vertAlign val="subscript"/>
        <sz val="11"/>
        <rFont val="Palatino Linotype"/>
        <family val="1"/>
      </rPr>
      <t>duct_Full_95_e</t>
    </r>
  </si>
  <si>
    <r>
      <t>T</t>
    </r>
    <r>
      <rPr>
        <vertAlign val="subscript"/>
        <sz val="11"/>
        <rFont val="Palatino Linotype"/>
        <family val="1"/>
      </rPr>
      <t>duct_Full_95_i</t>
    </r>
  </si>
  <si>
    <r>
      <t>T</t>
    </r>
    <r>
      <rPr>
        <vertAlign val="subscript"/>
        <sz val="11"/>
        <rFont val="Palatino Linotype"/>
        <family val="1"/>
      </rPr>
      <t>duct_Full_83_e</t>
    </r>
  </si>
  <si>
    <r>
      <t>T</t>
    </r>
    <r>
      <rPr>
        <vertAlign val="subscript"/>
        <sz val="11"/>
        <rFont val="Palatino Linotype"/>
        <family val="1"/>
      </rPr>
      <t>duct_Full_83_i</t>
    </r>
  </si>
  <si>
    <r>
      <t>T</t>
    </r>
    <r>
      <rPr>
        <vertAlign val="subscript"/>
        <sz val="11"/>
        <rFont val="Palatino Linotype"/>
        <family val="1"/>
      </rPr>
      <t>duct_Low_83_e</t>
    </r>
  </si>
  <si>
    <r>
      <t>T</t>
    </r>
    <r>
      <rPr>
        <vertAlign val="subscript"/>
        <sz val="11"/>
        <rFont val="Palatino Linotype"/>
        <family val="1"/>
      </rPr>
      <t>duct_Low_83_i</t>
    </r>
  </si>
  <si>
    <r>
      <t>T</t>
    </r>
    <r>
      <rPr>
        <vertAlign val="subscript"/>
        <sz val="11"/>
        <rFont val="Palatino Linotype"/>
        <family val="1"/>
      </rPr>
      <t>duct_Full</t>
    </r>
  </si>
  <si>
    <r>
      <t>T</t>
    </r>
    <r>
      <rPr>
        <vertAlign val="subscript"/>
        <sz val="11"/>
        <rFont val="Palatino Linotype"/>
        <family val="1"/>
      </rPr>
      <t>duct_Low</t>
    </r>
  </si>
  <si>
    <r>
      <t>V</t>
    </r>
    <r>
      <rPr>
        <vertAlign val="subscript"/>
        <sz val="11"/>
        <rFont val="Palatino Linotype"/>
        <family val="1"/>
      </rPr>
      <t>co_95_Full</t>
    </r>
  </si>
  <si>
    <r>
      <t>V</t>
    </r>
    <r>
      <rPr>
        <vertAlign val="subscript"/>
        <sz val="11"/>
        <rFont val="Palatino Linotype"/>
        <family val="1"/>
      </rPr>
      <t>ci_95_Full</t>
    </r>
  </si>
  <si>
    <r>
      <t>V</t>
    </r>
    <r>
      <rPr>
        <vertAlign val="subscript"/>
        <sz val="11"/>
        <rFont val="Palatino Linotype"/>
        <family val="1"/>
      </rPr>
      <t>co_83_Full</t>
    </r>
  </si>
  <si>
    <r>
      <t>V</t>
    </r>
    <r>
      <rPr>
        <vertAlign val="subscript"/>
        <sz val="11"/>
        <rFont val="Palatino Linotype"/>
        <family val="1"/>
      </rPr>
      <t>ci_83_Full</t>
    </r>
  </si>
  <si>
    <r>
      <t>V</t>
    </r>
    <r>
      <rPr>
        <vertAlign val="subscript"/>
        <sz val="11"/>
        <rFont val="Palatino Linotype"/>
        <family val="1"/>
      </rPr>
      <t>co_83_Low</t>
    </r>
  </si>
  <si>
    <r>
      <t>V</t>
    </r>
    <r>
      <rPr>
        <vertAlign val="subscript"/>
        <sz val="11"/>
        <rFont val="Palatino Linotype"/>
        <family val="1"/>
      </rPr>
      <t>ci_83_Low</t>
    </r>
  </si>
  <si>
    <r>
      <t>V</t>
    </r>
    <r>
      <rPr>
        <vertAlign val="subscript"/>
        <sz val="11"/>
        <rFont val="Palatino Linotype"/>
        <family val="1"/>
      </rPr>
      <t>co_SD_Full</t>
    </r>
  </si>
  <si>
    <r>
      <t>V</t>
    </r>
    <r>
      <rPr>
        <vertAlign val="subscript"/>
        <sz val="11"/>
        <rFont val="Palatino Linotype"/>
        <family val="1"/>
      </rPr>
      <t>co_SD_Low</t>
    </r>
  </si>
  <si>
    <r>
      <rPr>
        <sz val="11"/>
        <rFont val="Calibri"/>
        <family val="2"/>
      </rPr>
      <t>ρ</t>
    </r>
    <r>
      <rPr>
        <vertAlign val="subscript"/>
        <sz val="11"/>
        <rFont val="Palatino Linotype"/>
        <family val="1"/>
      </rPr>
      <t>co_95_Full</t>
    </r>
  </si>
  <si>
    <r>
      <rPr>
        <sz val="11"/>
        <rFont val="Calibri"/>
        <family val="2"/>
      </rPr>
      <t>ρ</t>
    </r>
    <r>
      <rPr>
        <vertAlign val="subscript"/>
        <sz val="11"/>
        <rFont val="Palatino Linotype"/>
        <family val="1"/>
      </rPr>
      <t>co_83_Full</t>
    </r>
  </si>
  <si>
    <r>
      <rPr>
        <sz val="11"/>
        <rFont val="Calibri"/>
        <family val="2"/>
      </rPr>
      <t>ρ</t>
    </r>
    <r>
      <rPr>
        <vertAlign val="subscript"/>
        <sz val="11"/>
        <rFont val="Palatino Linotype"/>
        <family val="1"/>
      </rPr>
      <t>ci_83_Full</t>
    </r>
  </si>
  <si>
    <r>
      <rPr>
        <sz val="11"/>
        <rFont val="Calibri"/>
        <family val="2"/>
      </rPr>
      <t>ρ</t>
    </r>
    <r>
      <rPr>
        <vertAlign val="subscript"/>
        <sz val="11"/>
        <rFont val="Palatino Linotype"/>
        <family val="1"/>
      </rPr>
      <t>ci_95_Full</t>
    </r>
  </si>
  <si>
    <r>
      <rPr>
        <sz val="11"/>
        <rFont val="Calibri"/>
        <family val="2"/>
      </rPr>
      <t>ρ</t>
    </r>
    <r>
      <rPr>
        <vertAlign val="subscript"/>
        <sz val="11"/>
        <rFont val="Palatino Linotype"/>
        <family val="1"/>
      </rPr>
      <t>co_83_Low</t>
    </r>
  </si>
  <si>
    <r>
      <rPr>
        <sz val="11"/>
        <rFont val="Calibri"/>
        <family val="2"/>
      </rPr>
      <t>ρ</t>
    </r>
    <r>
      <rPr>
        <vertAlign val="subscript"/>
        <sz val="11"/>
        <rFont val="Palatino Linotype"/>
        <family val="1"/>
      </rPr>
      <t>ci_83_Low</t>
    </r>
  </si>
  <si>
    <r>
      <rPr>
        <sz val="11"/>
        <rFont val="Calibri"/>
        <family val="2"/>
      </rPr>
      <t>ρ</t>
    </r>
    <r>
      <rPr>
        <vertAlign val="subscript"/>
        <sz val="11"/>
        <rFont val="Palatino Linotype"/>
        <family val="1"/>
      </rPr>
      <t>co_SD_Full</t>
    </r>
  </si>
  <si>
    <r>
      <rPr>
        <sz val="11"/>
        <rFont val="Calibri"/>
        <family val="2"/>
      </rPr>
      <t>ρ</t>
    </r>
    <r>
      <rPr>
        <vertAlign val="subscript"/>
        <sz val="11"/>
        <rFont val="Palatino Linotype"/>
        <family val="1"/>
      </rPr>
      <t>co_SD_Low</t>
    </r>
  </si>
  <si>
    <r>
      <rPr>
        <sz val="11"/>
        <rFont val="Calibri"/>
        <family val="2"/>
      </rPr>
      <t>ω</t>
    </r>
    <r>
      <rPr>
        <vertAlign val="subscript"/>
        <sz val="11"/>
        <rFont val="Palatino Linotype"/>
        <family val="1"/>
      </rPr>
      <t>co_95_Full</t>
    </r>
  </si>
  <si>
    <r>
      <rPr>
        <sz val="11"/>
        <rFont val="Calibri"/>
        <family val="2"/>
      </rPr>
      <t>ω</t>
    </r>
    <r>
      <rPr>
        <vertAlign val="subscript"/>
        <sz val="11"/>
        <rFont val="Palatino Linotype"/>
        <family val="1"/>
      </rPr>
      <t>ci_95_Full</t>
    </r>
  </si>
  <si>
    <r>
      <rPr>
        <sz val="11"/>
        <rFont val="Calibri"/>
        <family val="2"/>
      </rPr>
      <t>ω</t>
    </r>
    <r>
      <rPr>
        <vertAlign val="subscript"/>
        <sz val="11"/>
        <rFont val="Palatino Linotype"/>
        <family val="1"/>
      </rPr>
      <t>co_83_Full</t>
    </r>
  </si>
  <si>
    <r>
      <rPr>
        <sz val="11"/>
        <rFont val="Calibri"/>
        <family val="2"/>
      </rPr>
      <t>ω</t>
    </r>
    <r>
      <rPr>
        <vertAlign val="subscript"/>
        <sz val="11"/>
        <rFont val="Palatino Linotype"/>
        <family val="1"/>
      </rPr>
      <t>ci_83_Full</t>
    </r>
  </si>
  <si>
    <r>
      <rPr>
        <sz val="11"/>
        <rFont val="Calibri"/>
        <family val="2"/>
      </rPr>
      <t>ω</t>
    </r>
    <r>
      <rPr>
        <vertAlign val="subscript"/>
        <sz val="11"/>
        <rFont val="Palatino Linotype"/>
        <family val="1"/>
      </rPr>
      <t>co_83_Low</t>
    </r>
  </si>
  <si>
    <r>
      <rPr>
        <sz val="11"/>
        <rFont val="Calibri"/>
        <family val="2"/>
      </rPr>
      <t>ω</t>
    </r>
    <r>
      <rPr>
        <vertAlign val="subscript"/>
        <sz val="11"/>
        <rFont val="Palatino Linotype"/>
        <family val="1"/>
      </rPr>
      <t>ci_83_Low</t>
    </r>
  </si>
  <si>
    <r>
      <rPr>
        <sz val="11"/>
        <rFont val="Calibri"/>
        <family val="2"/>
      </rPr>
      <t>ω</t>
    </r>
    <r>
      <rPr>
        <vertAlign val="subscript"/>
        <sz val="11"/>
        <rFont val="Palatino Linotype"/>
        <family val="1"/>
      </rPr>
      <t>co_SD_Full</t>
    </r>
  </si>
  <si>
    <r>
      <rPr>
        <sz val="11"/>
        <rFont val="Calibri"/>
        <family val="2"/>
      </rPr>
      <t>ω</t>
    </r>
    <r>
      <rPr>
        <vertAlign val="subscript"/>
        <sz val="11"/>
        <rFont val="Palatino Linotype"/>
        <family val="1"/>
      </rPr>
      <t>co_SD_Low</t>
    </r>
  </si>
  <si>
    <r>
      <rPr>
        <sz val="11"/>
        <rFont val="Calibri"/>
        <family val="2"/>
      </rPr>
      <t>ṁ</t>
    </r>
    <r>
      <rPr>
        <vertAlign val="subscript"/>
        <sz val="11"/>
        <rFont val="Calibri"/>
        <family val="2"/>
      </rPr>
      <t>83</t>
    </r>
    <r>
      <rPr>
        <vertAlign val="subscript"/>
        <sz val="11"/>
        <rFont val="Palatino Linotype"/>
        <family val="1"/>
      </rPr>
      <t>_Full</t>
    </r>
  </si>
  <si>
    <r>
      <t>Q</t>
    </r>
    <r>
      <rPr>
        <vertAlign val="subscript"/>
        <sz val="11"/>
        <rFont val="Palatino Linotype"/>
        <family val="1"/>
      </rPr>
      <t>s_DD_95_Full</t>
    </r>
  </si>
  <si>
    <r>
      <t>Q</t>
    </r>
    <r>
      <rPr>
        <vertAlign val="subscript"/>
        <sz val="11"/>
        <rFont val="Palatino Linotype"/>
        <family val="1"/>
      </rPr>
      <t>s_DD_83_Full</t>
    </r>
  </si>
  <si>
    <r>
      <t>Q</t>
    </r>
    <r>
      <rPr>
        <vertAlign val="subscript"/>
        <sz val="11"/>
        <rFont val="Palatino Linotype"/>
        <family val="1"/>
      </rPr>
      <t>s_DD_83_Low</t>
    </r>
  </si>
  <si>
    <r>
      <t>Q</t>
    </r>
    <r>
      <rPr>
        <vertAlign val="subscript"/>
        <sz val="11"/>
        <rFont val="Palatino Linotype"/>
        <family val="1"/>
      </rPr>
      <t>l_DD_95_Full</t>
    </r>
  </si>
  <si>
    <r>
      <t>Q</t>
    </r>
    <r>
      <rPr>
        <vertAlign val="subscript"/>
        <sz val="11"/>
        <rFont val="Palatino Linotype"/>
        <family val="1"/>
      </rPr>
      <t>l_DD_83_Full</t>
    </r>
  </si>
  <si>
    <r>
      <t>Q</t>
    </r>
    <r>
      <rPr>
        <vertAlign val="subscript"/>
        <sz val="11"/>
        <rFont val="Palatino Linotype"/>
        <family val="1"/>
      </rPr>
      <t>l_DD_83_Low</t>
    </r>
  </si>
  <si>
    <r>
      <t>Q</t>
    </r>
    <r>
      <rPr>
        <vertAlign val="subscript"/>
        <sz val="11"/>
        <rFont val="Palatino Linotype"/>
        <family val="1"/>
      </rPr>
      <t>infiltration_DD_95_Full</t>
    </r>
  </si>
  <si>
    <r>
      <t>Q</t>
    </r>
    <r>
      <rPr>
        <vertAlign val="subscript"/>
        <sz val="11"/>
        <rFont val="Palatino Linotype"/>
        <family val="1"/>
      </rPr>
      <t>infiltration_DD_83_Full</t>
    </r>
  </si>
  <si>
    <r>
      <t>Q</t>
    </r>
    <r>
      <rPr>
        <vertAlign val="subscript"/>
        <sz val="11"/>
        <rFont val="Palatino Linotype"/>
        <family val="1"/>
      </rPr>
      <t>infiltration_DD_83_Low</t>
    </r>
  </si>
  <si>
    <r>
      <t>Q</t>
    </r>
    <r>
      <rPr>
        <vertAlign val="subscript"/>
        <sz val="11"/>
        <rFont val="Palatino Linotype"/>
        <family val="1"/>
      </rPr>
      <t>s_SD_95_Full</t>
    </r>
  </si>
  <si>
    <r>
      <t>Q</t>
    </r>
    <r>
      <rPr>
        <vertAlign val="subscript"/>
        <sz val="11"/>
        <rFont val="Palatino Linotype"/>
        <family val="1"/>
      </rPr>
      <t>s_SD_83_Full</t>
    </r>
  </si>
  <si>
    <r>
      <t>Q</t>
    </r>
    <r>
      <rPr>
        <vertAlign val="subscript"/>
        <sz val="11"/>
        <rFont val="Palatino Linotype"/>
        <family val="1"/>
      </rPr>
      <t>s_SD_83_Low</t>
    </r>
  </si>
  <si>
    <r>
      <t>Q</t>
    </r>
    <r>
      <rPr>
        <vertAlign val="subscript"/>
        <sz val="11"/>
        <rFont val="Palatino Linotype"/>
        <family val="1"/>
      </rPr>
      <t>l_SD_95_Full</t>
    </r>
  </si>
  <si>
    <r>
      <t>Q</t>
    </r>
    <r>
      <rPr>
        <vertAlign val="subscript"/>
        <sz val="11"/>
        <rFont val="Palatino Linotype"/>
        <family val="1"/>
      </rPr>
      <t>l_SD_83_Full</t>
    </r>
  </si>
  <si>
    <r>
      <t>Q</t>
    </r>
    <r>
      <rPr>
        <vertAlign val="subscript"/>
        <sz val="11"/>
        <rFont val="Palatino Linotype"/>
        <family val="1"/>
      </rPr>
      <t>l_SD_83_Low</t>
    </r>
  </si>
  <si>
    <r>
      <t>Q</t>
    </r>
    <r>
      <rPr>
        <vertAlign val="subscript"/>
        <sz val="11"/>
        <rFont val="Palatino Linotype"/>
        <family val="1"/>
      </rPr>
      <t>infiltration_SD_95_Full</t>
    </r>
  </si>
  <si>
    <r>
      <t>Q</t>
    </r>
    <r>
      <rPr>
        <vertAlign val="subscript"/>
        <sz val="11"/>
        <rFont val="Palatino Linotype"/>
        <family val="1"/>
      </rPr>
      <t>infiltration_SD_83_Full</t>
    </r>
  </si>
  <si>
    <r>
      <t>Q</t>
    </r>
    <r>
      <rPr>
        <vertAlign val="subscript"/>
        <sz val="11"/>
        <rFont val="Palatino Linotype"/>
        <family val="1"/>
      </rPr>
      <t>infiltration_SD_83_Low</t>
    </r>
  </si>
  <si>
    <r>
      <t>ACC</t>
    </r>
    <r>
      <rPr>
        <vertAlign val="subscript"/>
        <sz val="11"/>
        <rFont val="Palatino Linotype"/>
        <family val="1"/>
      </rPr>
      <t>DD_95</t>
    </r>
  </si>
  <si>
    <r>
      <t>ACC</t>
    </r>
    <r>
      <rPr>
        <vertAlign val="subscript"/>
        <sz val="11"/>
        <rFont val="Palatino Linotype"/>
        <family val="1"/>
      </rPr>
      <t>DD_83_Full</t>
    </r>
  </si>
  <si>
    <r>
      <t>ACC</t>
    </r>
    <r>
      <rPr>
        <vertAlign val="subscript"/>
        <sz val="11"/>
        <rFont val="Palatino Linotype"/>
        <family val="1"/>
      </rPr>
      <t>DD_83_Low</t>
    </r>
  </si>
  <si>
    <r>
      <t>ACC</t>
    </r>
    <r>
      <rPr>
        <vertAlign val="subscript"/>
        <sz val="11"/>
        <rFont val="Palatino Linotype"/>
        <family val="1"/>
      </rPr>
      <t>SD_95</t>
    </r>
  </si>
  <si>
    <r>
      <t>ACC</t>
    </r>
    <r>
      <rPr>
        <vertAlign val="subscript"/>
        <sz val="11"/>
        <rFont val="Palatino Linotype"/>
        <family val="1"/>
      </rPr>
      <t>SD_83_Full</t>
    </r>
  </si>
  <si>
    <r>
      <t>ACC</t>
    </r>
    <r>
      <rPr>
        <vertAlign val="subscript"/>
        <sz val="11"/>
        <rFont val="Palatino Linotype"/>
        <family val="1"/>
      </rPr>
      <t>SD_83_Low</t>
    </r>
  </si>
  <si>
    <r>
      <t>Capacity</t>
    </r>
    <r>
      <rPr>
        <vertAlign val="subscript"/>
        <sz val="11"/>
        <rFont val="Palatino Linotype"/>
        <family val="1"/>
      </rPr>
      <t>DD_95_Full</t>
    </r>
  </si>
  <si>
    <r>
      <t>Capacity</t>
    </r>
    <r>
      <rPr>
        <vertAlign val="subscript"/>
        <sz val="11"/>
        <rFont val="Palatino Linotype"/>
        <family val="1"/>
      </rPr>
      <t>DD_83_Full</t>
    </r>
  </si>
  <si>
    <r>
      <t>Capacity</t>
    </r>
    <r>
      <rPr>
        <vertAlign val="subscript"/>
        <sz val="11"/>
        <rFont val="Palatino Linotype"/>
        <family val="1"/>
      </rPr>
      <t>DD_83_Low</t>
    </r>
  </si>
  <si>
    <r>
      <t>Capacity</t>
    </r>
    <r>
      <rPr>
        <vertAlign val="subscript"/>
        <sz val="11"/>
        <rFont val="Palatino Linotype"/>
        <family val="1"/>
      </rPr>
      <t>SD_Low</t>
    </r>
  </si>
  <si>
    <r>
      <t>Capacity</t>
    </r>
    <r>
      <rPr>
        <vertAlign val="subscript"/>
        <sz val="11"/>
        <rFont val="Palatino Linotype"/>
        <family val="1"/>
      </rPr>
      <t>SD_Full</t>
    </r>
  </si>
  <si>
    <r>
      <t>SACC</t>
    </r>
    <r>
      <rPr>
        <vertAlign val="subscript"/>
        <sz val="11"/>
        <rFont val="Palatino Linotype"/>
        <family val="1"/>
      </rPr>
      <t>SD</t>
    </r>
  </si>
  <si>
    <r>
      <t>SACC</t>
    </r>
    <r>
      <rPr>
        <vertAlign val="subscript"/>
        <sz val="11"/>
        <rFont val="Palatino Linotype"/>
        <family val="1"/>
      </rPr>
      <t>DD</t>
    </r>
  </si>
  <si>
    <r>
      <t>SACC</t>
    </r>
    <r>
      <rPr>
        <vertAlign val="subscript"/>
        <sz val="11"/>
        <rFont val="Palatino Linotype"/>
        <family val="1"/>
      </rPr>
      <t>Full_SD</t>
    </r>
  </si>
  <si>
    <r>
      <t>SACC</t>
    </r>
    <r>
      <rPr>
        <vertAlign val="subscript"/>
        <sz val="11"/>
        <rFont val="Palatino Linotype"/>
        <family val="1"/>
      </rPr>
      <t>Full_DD</t>
    </r>
  </si>
  <si>
    <r>
      <t>AEC</t>
    </r>
    <r>
      <rPr>
        <vertAlign val="subscript"/>
        <sz val="11"/>
        <rFont val="Palatino Linotype"/>
        <family val="1"/>
      </rPr>
      <t>DD_95_Full</t>
    </r>
  </si>
  <si>
    <r>
      <t>AEC</t>
    </r>
    <r>
      <rPr>
        <vertAlign val="subscript"/>
        <sz val="11"/>
        <rFont val="Palatino Linotype"/>
        <family val="1"/>
      </rPr>
      <t>DD_83_Full</t>
    </r>
  </si>
  <si>
    <r>
      <t>AEC</t>
    </r>
    <r>
      <rPr>
        <vertAlign val="subscript"/>
        <sz val="11"/>
        <rFont val="Palatino Linotype"/>
        <family val="1"/>
      </rPr>
      <t>DD_83_Low</t>
    </r>
  </si>
  <si>
    <r>
      <t>AEC</t>
    </r>
    <r>
      <rPr>
        <vertAlign val="subscript"/>
        <sz val="11"/>
        <rFont val="Palatino Linotype"/>
        <family val="1"/>
      </rPr>
      <t>SD_Full</t>
    </r>
  </si>
  <si>
    <r>
      <t>AEC</t>
    </r>
    <r>
      <rPr>
        <vertAlign val="subscript"/>
        <sz val="11"/>
        <rFont val="Palatino Linotype"/>
        <family val="1"/>
      </rPr>
      <t>SD_Low</t>
    </r>
  </si>
  <si>
    <r>
      <t>P</t>
    </r>
    <r>
      <rPr>
        <vertAlign val="subscript"/>
        <sz val="11"/>
        <rFont val="Palatino Linotype"/>
        <family val="1"/>
      </rPr>
      <t>DD_95_Full</t>
    </r>
  </si>
  <si>
    <r>
      <t>P</t>
    </r>
    <r>
      <rPr>
        <vertAlign val="subscript"/>
        <sz val="11"/>
        <rFont val="Palatino Linotype"/>
        <family val="1"/>
      </rPr>
      <t>DD_83_Full</t>
    </r>
  </si>
  <si>
    <r>
      <t>P</t>
    </r>
    <r>
      <rPr>
        <vertAlign val="subscript"/>
        <sz val="11"/>
        <rFont val="Palatino Linotype"/>
        <family val="1"/>
      </rPr>
      <t>DD_83_Low</t>
    </r>
  </si>
  <si>
    <r>
      <t>P</t>
    </r>
    <r>
      <rPr>
        <vertAlign val="subscript"/>
        <sz val="11"/>
        <rFont val="Palatino Linotype"/>
        <family val="1"/>
      </rPr>
      <t>SD_Full</t>
    </r>
  </si>
  <si>
    <r>
      <t>P</t>
    </r>
    <r>
      <rPr>
        <vertAlign val="subscript"/>
        <sz val="11"/>
        <rFont val="Palatino Linotype"/>
        <family val="1"/>
      </rPr>
      <t>SD_Low</t>
    </r>
  </si>
  <si>
    <r>
      <t>CEER</t>
    </r>
    <r>
      <rPr>
        <vertAlign val="subscript"/>
        <sz val="11"/>
        <rFont val="Palatino Linotype"/>
        <family val="1"/>
      </rPr>
      <t>SD_UA</t>
    </r>
  </si>
  <si>
    <r>
      <t>CEER</t>
    </r>
    <r>
      <rPr>
        <vertAlign val="subscript"/>
        <sz val="11"/>
        <rFont val="Palatino Linotype"/>
        <family val="1"/>
      </rPr>
      <t>DD_UA</t>
    </r>
  </si>
  <si>
    <r>
      <t>ACC</t>
    </r>
    <r>
      <rPr>
        <vertAlign val="subscript"/>
        <sz val="11"/>
        <rFont val="Palatino Linotype"/>
        <family val="1"/>
      </rPr>
      <t>SD_83_SS</t>
    </r>
  </si>
  <si>
    <r>
      <t>ACC</t>
    </r>
    <r>
      <rPr>
        <vertAlign val="subscript"/>
        <sz val="11"/>
        <rFont val="Palatino Linotype"/>
        <family val="1"/>
      </rPr>
      <t>SD_83_SS_CF</t>
    </r>
  </si>
  <si>
    <r>
      <t>ACC</t>
    </r>
    <r>
      <rPr>
        <vertAlign val="subscript"/>
        <sz val="11"/>
        <rFont val="Palatino Linotype"/>
        <family val="1"/>
      </rPr>
      <t>DD_83_SS</t>
    </r>
  </si>
  <si>
    <r>
      <t>ACC</t>
    </r>
    <r>
      <rPr>
        <vertAlign val="subscript"/>
        <sz val="11"/>
        <rFont val="Palatino Linotype"/>
        <family val="1"/>
      </rPr>
      <t>DD_83_SS_CF</t>
    </r>
  </si>
  <si>
    <r>
      <t>AEC</t>
    </r>
    <r>
      <rPr>
        <vertAlign val="subscript"/>
        <sz val="11"/>
        <rFont val="Palatino Linotype"/>
        <family val="1"/>
      </rPr>
      <t>SD_83_SS</t>
    </r>
  </si>
  <si>
    <r>
      <t>AEC</t>
    </r>
    <r>
      <rPr>
        <vertAlign val="subscript"/>
        <sz val="11"/>
        <rFont val="Palatino Linotype"/>
        <family val="1"/>
      </rPr>
      <t>DD_83_SS</t>
    </r>
  </si>
  <si>
    <r>
      <t>CEER</t>
    </r>
    <r>
      <rPr>
        <vertAlign val="subscript"/>
        <sz val="11"/>
        <rFont val="Palatino Linotype"/>
        <family val="1"/>
      </rPr>
      <t>SD_SS</t>
    </r>
  </si>
  <si>
    <r>
      <t>CEER</t>
    </r>
    <r>
      <rPr>
        <vertAlign val="subscript"/>
        <sz val="11"/>
        <rFont val="Palatino Linotype"/>
        <family val="1"/>
      </rPr>
      <t>SD_SS_CF</t>
    </r>
  </si>
  <si>
    <r>
      <t>CEER</t>
    </r>
    <r>
      <rPr>
        <vertAlign val="subscript"/>
        <sz val="11"/>
        <rFont val="Palatino Linotype"/>
        <family val="1"/>
      </rPr>
      <t>DD_SS</t>
    </r>
  </si>
  <si>
    <r>
      <t>CEER</t>
    </r>
    <r>
      <rPr>
        <vertAlign val="subscript"/>
        <sz val="11"/>
        <rFont val="Palatino Linotype"/>
        <family val="1"/>
      </rPr>
      <t>DD_SS_CF</t>
    </r>
  </si>
  <si>
    <r>
      <t>F</t>
    </r>
    <r>
      <rPr>
        <vertAlign val="subscript"/>
        <sz val="11"/>
        <rFont val="Palatino Linotype"/>
        <family val="1"/>
      </rPr>
      <t>p_SD</t>
    </r>
  </si>
  <si>
    <r>
      <t>F</t>
    </r>
    <r>
      <rPr>
        <vertAlign val="subscript"/>
        <sz val="11"/>
        <rFont val="Palatino Linotype"/>
        <family val="1"/>
      </rPr>
      <t>p_DD</t>
    </r>
  </si>
  <si>
    <r>
      <t>CEER</t>
    </r>
    <r>
      <rPr>
        <vertAlign val="subscript"/>
        <sz val="11"/>
        <rFont val="Palatino Linotype"/>
        <family val="1"/>
      </rPr>
      <t>SD</t>
    </r>
  </si>
  <si>
    <r>
      <t>CEER</t>
    </r>
    <r>
      <rPr>
        <vertAlign val="subscript"/>
        <sz val="11"/>
        <color theme="1"/>
        <rFont val="Palatino Linotype"/>
        <family val="1"/>
      </rPr>
      <t>DD</t>
    </r>
  </si>
  <si>
    <r>
      <t>Od</t>
    </r>
    <r>
      <rPr>
        <vertAlign val="subscript"/>
        <sz val="11"/>
        <rFont val="Palatino Linotype"/>
        <family val="1"/>
      </rPr>
      <t>e</t>
    </r>
  </si>
  <si>
    <r>
      <t>L</t>
    </r>
    <r>
      <rPr>
        <vertAlign val="subscript"/>
        <sz val="11"/>
        <rFont val="Palatino Linotype"/>
        <family val="1"/>
      </rPr>
      <t>e</t>
    </r>
  </si>
  <si>
    <r>
      <t>Od</t>
    </r>
    <r>
      <rPr>
        <vertAlign val="subscript"/>
        <sz val="11"/>
        <rFont val="Palatino Linotype"/>
        <family val="1"/>
      </rPr>
      <t>i</t>
    </r>
  </si>
  <si>
    <r>
      <t>L</t>
    </r>
    <r>
      <rPr>
        <vertAlign val="subscript"/>
        <sz val="11"/>
        <rFont val="Palatino Linotype"/>
        <family val="1"/>
      </rPr>
      <t>i</t>
    </r>
  </si>
  <si>
    <r>
      <t>A</t>
    </r>
    <r>
      <rPr>
        <vertAlign val="subscript"/>
        <sz val="11"/>
        <rFont val="Palatino Linotype"/>
        <family val="1"/>
      </rPr>
      <t>duct_e</t>
    </r>
  </si>
  <si>
    <r>
      <t>A</t>
    </r>
    <r>
      <rPr>
        <vertAlign val="subscript"/>
        <sz val="11"/>
        <rFont val="Palatino Linotype"/>
        <family val="1"/>
      </rPr>
      <t>duct_i</t>
    </r>
  </si>
  <si>
    <r>
      <t>Q</t>
    </r>
    <r>
      <rPr>
        <vertAlign val="subscript"/>
        <sz val="11"/>
        <rFont val="Palatino Linotype"/>
        <family val="1"/>
      </rPr>
      <t>duct_DD_95</t>
    </r>
  </si>
  <si>
    <r>
      <t>Q</t>
    </r>
    <r>
      <rPr>
        <vertAlign val="subscript"/>
        <sz val="11"/>
        <rFont val="Palatino Linotype"/>
        <family val="1"/>
      </rPr>
      <t>duct_DD_83</t>
    </r>
  </si>
  <si>
    <r>
      <t>Q</t>
    </r>
    <r>
      <rPr>
        <vertAlign val="subscript"/>
        <sz val="11"/>
        <rFont val="Palatino Linotype"/>
        <family val="1"/>
      </rPr>
      <t>duct_SD</t>
    </r>
  </si>
  <si>
    <r>
      <t>T</t>
    </r>
    <r>
      <rPr>
        <vertAlign val="subscript"/>
        <sz val="11"/>
        <rFont val="Palatino Linotype"/>
        <family val="1"/>
      </rPr>
      <t>duct_95_e</t>
    </r>
  </si>
  <si>
    <r>
      <t>T</t>
    </r>
    <r>
      <rPr>
        <vertAlign val="subscript"/>
        <sz val="11"/>
        <rFont val="Palatino Linotype"/>
        <family val="1"/>
      </rPr>
      <t>duct_95_i</t>
    </r>
  </si>
  <si>
    <r>
      <t>T</t>
    </r>
    <r>
      <rPr>
        <vertAlign val="subscript"/>
        <sz val="11"/>
        <rFont val="Palatino Linotype"/>
        <family val="1"/>
      </rPr>
      <t>duct_83_e</t>
    </r>
  </si>
  <si>
    <r>
      <t>T</t>
    </r>
    <r>
      <rPr>
        <vertAlign val="subscript"/>
        <sz val="11"/>
        <rFont val="Palatino Linotype"/>
        <family val="1"/>
      </rPr>
      <t>duct_83_i</t>
    </r>
  </si>
  <si>
    <r>
      <t>T</t>
    </r>
    <r>
      <rPr>
        <vertAlign val="subscript"/>
        <sz val="11"/>
        <rFont val="Palatino Linotype"/>
        <family val="1"/>
      </rPr>
      <t>duct_e</t>
    </r>
  </si>
  <si>
    <r>
      <t>T</t>
    </r>
    <r>
      <rPr>
        <vertAlign val="subscript"/>
        <sz val="11"/>
        <rFont val="Palatino Linotype"/>
        <family val="1"/>
      </rPr>
      <t>ei</t>
    </r>
  </si>
  <si>
    <r>
      <rPr>
        <sz val="11"/>
        <rFont val="Calibri"/>
        <family val="2"/>
      </rPr>
      <t>ṁ</t>
    </r>
    <r>
      <rPr>
        <i/>
        <vertAlign val="subscript"/>
        <sz val="11"/>
        <rFont val="Palatino Linotype"/>
        <family val="1"/>
      </rPr>
      <t>95</t>
    </r>
  </si>
  <si>
    <r>
      <rPr>
        <sz val="11"/>
        <rFont val="Calibri"/>
        <family val="2"/>
      </rPr>
      <t>ṁ</t>
    </r>
    <r>
      <rPr>
        <vertAlign val="subscript"/>
        <sz val="11"/>
        <rFont val="Calibri"/>
        <family val="2"/>
      </rPr>
      <t>83</t>
    </r>
  </si>
  <si>
    <r>
      <t>V</t>
    </r>
    <r>
      <rPr>
        <vertAlign val="subscript"/>
        <sz val="11"/>
        <rFont val="Palatino Linotype"/>
        <family val="1"/>
      </rPr>
      <t>co_95</t>
    </r>
  </si>
  <si>
    <r>
      <t>V</t>
    </r>
    <r>
      <rPr>
        <vertAlign val="subscript"/>
        <sz val="11"/>
        <rFont val="Palatino Linotype"/>
        <family val="1"/>
      </rPr>
      <t>ci_95</t>
    </r>
  </si>
  <si>
    <r>
      <rPr>
        <sz val="11"/>
        <rFont val="Calibri"/>
        <family val="2"/>
      </rPr>
      <t>ρ</t>
    </r>
    <r>
      <rPr>
        <vertAlign val="subscript"/>
        <sz val="11"/>
        <rFont val="Palatino Linotype"/>
        <family val="1"/>
      </rPr>
      <t>co_95</t>
    </r>
  </si>
  <si>
    <r>
      <rPr>
        <sz val="11"/>
        <rFont val="Calibri"/>
        <family val="2"/>
      </rPr>
      <t>ρ</t>
    </r>
    <r>
      <rPr>
        <vertAlign val="subscript"/>
        <sz val="11"/>
        <rFont val="Palatino Linotype"/>
        <family val="1"/>
      </rPr>
      <t>ci_95</t>
    </r>
  </si>
  <si>
    <r>
      <rPr>
        <sz val="11"/>
        <rFont val="Calibri"/>
        <family val="2"/>
      </rPr>
      <t>ω</t>
    </r>
    <r>
      <rPr>
        <vertAlign val="subscript"/>
        <sz val="11"/>
        <rFont val="Palatino Linotype"/>
        <family val="1"/>
      </rPr>
      <t>co_95</t>
    </r>
  </si>
  <si>
    <r>
      <rPr>
        <sz val="11"/>
        <rFont val="Calibri"/>
        <family val="2"/>
      </rPr>
      <t>ω</t>
    </r>
    <r>
      <rPr>
        <vertAlign val="subscript"/>
        <sz val="11"/>
        <rFont val="Palatino Linotype"/>
        <family val="1"/>
      </rPr>
      <t>ci_95</t>
    </r>
  </si>
  <si>
    <r>
      <t>V</t>
    </r>
    <r>
      <rPr>
        <vertAlign val="subscript"/>
        <sz val="11"/>
        <rFont val="Palatino Linotype"/>
        <family val="1"/>
      </rPr>
      <t>co_83</t>
    </r>
  </si>
  <si>
    <r>
      <t>V</t>
    </r>
    <r>
      <rPr>
        <vertAlign val="subscript"/>
        <sz val="11"/>
        <rFont val="Palatino Linotype"/>
        <family val="1"/>
      </rPr>
      <t>ci_83</t>
    </r>
  </si>
  <si>
    <r>
      <rPr>
        <sz val="11"/>
        <rFont val="Calibri"/>
        <family val="2"/>
      </rPr>
      <t>ρ</t>
    </r>
    <r>
      <rPr>
        <vertAlign val="subscript"/>
        <sz val="11"/>
        <rFont val="Palatino Linotype"/>
        <family val="1"/>
      </rPr>
      <t>co_83</t>
    </r>
  </si>
  <si>
    <r>
      <rPr>
        <sz val="11"/>
        <rFont val="Calibri"/>
        <family val="2"/>
      </rPr>
      <t>ρ</t>
    </r>
    <r>
      <rPr>
        <vertAlign val="subscript"/>
        <sz val="11"/>
        <rFont val="Palatino Linotype"/>
        <family val="1"/>
      </rPr>
      <t>ci_83</t>
    </r>
  </si>
  <si>
    <r>
      <rPr>
        <sz val="11"/>
        <rFont val="Calibri"/>
        <family val="2"/>
      </rPr>
      <t>ω</t>
    </r>
    <r>
      <rPr>
        <vertAlign val="subscript"/>
        <sz val="11"/>
        <rFont val="Palatino Linotype"/>
        <family val="1"/>
      </rPr>
      <t>co_83</t>
    </r>
  </si>
  <si>
    <r>
      <rPr>
        <sz val="11"/>
        <rFont val="Calibri"/>
        <family val="2"/>
      </rPr>
      <t>ω</t>
    </r>
    <r>
      <rPr>
        <vertAlign val="subscript"/>
        <sz val="11"/>
        <rFont val="Palatino Linotype"/>
        <family val="1"/>
      </rPr>
      <t>ci_83</t>
    </r>
  </si>
  <si>
    <r>
      <t>V</t>
    </r>
    <r>
      <rPr>
        <vertAlign val="subscript"/>
        <sz val="11"/>
        <rFont val="Palatino Linotype"/>
        <family val="1"/>
      </rPr>
      <t>co_SD</t>
    </r>
  </si>
  <si>
    <r>
      <rPr>
        <sz val="11"/>
        <rFont val="Calibri"/>
        <family val="2"/>
      </rPr>
      <t>ρ</t>
    </r>
    <r>
      <rPr>
        <vertAlign val="subscript"/>
        <sz val="11"/>
        <rFont val="Palatino Linotype"/>
        <family val="1"/>
      </rPr>
      <t>co_SD</t>
    </r>
  </si>
  <si>
    <r>
      <rPr>
        <sz val="11"/>
        <rFont val="Calibri"/>
        <family val="2"/>
      </rPr>
      <t>ω</t>
    </r>
    <r>
      <rPr>
        <vertAlign val="subscript"/>
        <sz val="11"/>
        <rFont val="Palatino Linotype"/>
        <family val="1"/>
      </rPr>
      <t>co_SD</t>
    </r>
  </si>
  <si>
    <r>
      <t>Q</t>
    </r>
    <r>
      <rPr>
        <vertAlign val="subscript"/>
        <sz val="11"/>
        <rFont val="Palatino Linotype"/>
        <family val="1"/>
      </rPr>
      <t>s_DD_95</t>
    </r>
  </si>
  <si>
    <r>
      <t>Q</t>
    </r>
    <r>
      <rPr>
        <vertAlign val="subscript"/>
        <sz val="11"/>
        <rFont val="Palatino Linotype"/>
        <family val="1"/>
      </rPr>
      <t>s_DD_83</t>
    </r>
  </si>
  <si>
    <r>
      <t>Q</t>
    </r>
    <r>
      <rPr>
        <vertAlign val="subscript"/>
        <sz val="11"/>
        <rFont val="Palatino Linotype"/>
        <family val="1"/>
      </rPr>
      <t>l_DD_95</t>
    </r>
  </si>
  <si>
    <r>
      <t>Q</t>
    </r>
    <r>
      <rPr>
        <vertAlign val="subscript"/>
        <sz val="11"/>
        <rFont val="Palatino Linotype"/>
        <family val="1"/>
      </rPr>
      <t>l_DD_83</t>
    </r>
  </si>
  <si>
    <r>
      <t>Q</t>
    </r>
    <r>
      <rPr>
        <vertAlign val="subscript"/>
        <sz val="11"/>
        <rFont val="Palatino Linotype"/>
        <family val="1"/>
      </rPr>
      <t>s_SD_95</t>
    </r>
  </si>
  <si>
    <r>
      <t>Q</t>
    </r>
    <r>
      <rPr>
        <vertAlign val="subscript"/>
        <sz val="11"/>
        <rFont val="Palatino Linotype"/>
        <family val="1"/>
      </rPr>
      <t>s_SD_83</t>
    </r>
  </si>
  <si>
    <r>
      <t>Q</t>
    </r>
    <r>
      <rPr>
        <vertAlign val="subscript"/>
        <sz val="11"/>
        <rFont val="Palatino Linotype"/>
        <family val="1"/>
      </rPr>
      <t>l_SD_95</t>
    </r>
  </si>
  <si>
    <r>
      <t>Q</t>
    </r>
    <r>
      <rPr>
        <vertAlign val="subscript"/>
        <sz val="11"/>
        <rFont val="Palatino Linotype"/>
        <family val="1"/>
      </rPr>
      <t>l_SD_83</t>
    </r>
  </si>
  <si>
    <r>
      <t>Q</t>
    </r>
    <r>
      <rPr>
        <vertAlign val="subscript"/>
        <sz val="11"/>
        <rFont val="Palatino Linotype"/>
        <family val="1"/>
      </rPr>
      <t>infiltration_DD_95</t>
    </r>
  </si>
  <si>
    <r>
      <t>Q</t>
    </r>
    <r>
      <rPr>
        <vertAlign val="subscript"/>
        <sz val="11"/>
        <rFont val="Palatino Linotype"/>
        <family val="1"/>
      </rPr>
      <t>infiltration_DD_83</t>
    </r>
  </si>
  <si>
    <r>
      <t>Q</t>
    </r>
    <r>
      <rPr>
        <vertAlign val="subscript"/>
        <sz val="11"/>
        <rFont val="Palatino Linotype"/>
        <family val="1"/>
      </rPr>
      <t>infiltration_SD_95</t>
    </r>
  </si>
  <si>
    <r>
      <t>Q</t>
    </r>
    <r>
      <rPr>
        <vertAlign val="subscript"/>
        <sz val="11"/>
        <rFont val="Palatino Linotype"/>
        <family val="1"/>
      </rPr>
      <t>infiltration_SD_83</t>
    </r>
  </si>
  <si>
    <r>
      <t>ACC</t>
    </r>
    <r>
      <rPr>
        <vertAlign val="subscript"/>
        <sz val="11"/>
        <rFont val="Palatino Linotype"/>
        <family val="1"/>
      </rPr>
      <t>SD_95_SS</t>
    </r>
  </si>
  <si>
    <r>
      <t>ACC</t>
    </r>
    <r>
      <rPr>
        <vertAlign val="subscript"/>
        <sz val="11"/>
        <rFont val="Palatino Linotype"/>
        <family val="1"/>
      </rPr>
      <t>DD_95_SS</t>
    </r>
  </si>
  <si>
    <r>
      <t>Capacity</t>
    </r>
    <r>
      <rPr>
        <vertAlign val="subscript"/>
        <sz val="11"/>
        <rFont val="Palatino Linotype"/>
        <family val="1"/>
      </rPr>
      <t>SD</t>
    </r>
  </si>
  <si>
    <r>
      <t>Capacity</t>
    </r>
    <r>
      <rPr>
        <vertAlign val="subscript"/>
        <sz val="11"/>
        <rFont val="Palatino Linotype"/>
        <family val="1"/>
      </rPr>
      <t>83</t>
    </r>
  </si>
  <si>
    <r>
      <t>Capacity</t>
    </r>
    <r>
      <rPr>
        <vertAlign val="subscript"/>
        <sz val="11"/>
        <rFont val="Palatino Linotype"/>
        <family val="1"/>
      </rPr>
      <t>95</t>
    </r>
  </si>
  <si>
    <r>
      <t>AEC</t>
    </r>
    <r>
      <rPr>
        <vertAlign val="subscript"/>
        <sz val="11"/>
        <rFont val="Palatino Linotype"/>
        <family val="1"/>
      </rPr>
      <t>DD_95</t>
    </r>
  </si>
  <si>
    <r>
      <t>AEC</t>
    </r>
    <r>
      <rPr>
        <vertAlign val="subscript"/>
        <sz val="11"/>
        <rFont val="Palatino Linotype"/>
        <family val="1"/>
      </rPr>
      <t>DD_83</t>
    </r>
  </si>
  <si>
    <r>
      <t>AEC</t>
    </r>
    <r>
      <rPr>
        <vertAlign val="subscript"/>
        <sz val="11"/>
        <rFont val="Palatino Linotype"/>
        <family val="1"/>
      </rPr>
      <t>SD</t>
    </r>
  </si>
  <si>
    <r>
      <t>P</t>
    </r>
    <r>
      <rPr>
        <vertAlign val="subscript"/>
        <sz val="11"/>
        <rFont val="Palatino Linotype"/>
        <family val="1"/>
      </rPr>
      <t>DD_95</t>
    </r>
  </si>
  <si>
    <r>
      <t>P</t>
    </r>
    <r>
      <rPr>
        <vertAlign val="subscript"/>
        <sz val="11"/>
        <rFont val="Palatino Linotype"/>
        <family val="1"/>
      </rPr>
      <t>DD_83</t>
    </r>
  </si>
  <si>
    <r>
      <t>P</t>
    </r>
    <r>
      <rPr>
        <vertAlign val="subscript"/>
        <sz val="11"/>
        <rFont val="Palatino Linotype"/>
        <family val="1"/>
      </rPr>
      <t>SD</t>
    </r>
  </si>
  <si>
    <r>
      <t>CEER</t>
    </r>
    <r>
      <rPr>
        <vertAlign val="subscript"/>
        <sz val="11"/>
        <rFont val="Palatino Linotype"/>
        <family val="1"/>
      </rPr>
      <t>DD</t>
    </r>
  </si>
  <si>
    <r>
      <rPr>
        <sz val="11"/>
        <rFont val="Calibri"/>
        <family val="2"/>
      </rPr>
      <t>ṁ</t>
    </r>
    <r>
      <rPr>
        <vertAlign val="subscript"/>
        <sz val="11"/>
        <rFont val="Palatino Linotype"/>
        <family val="1"/>
      </rPr>
      <t>SD</t>
    </r>
  </si>
  <si>
    <r>
      <t>c</t>
    </r>
    <r>
      <rPr>
        <vertAlign val="subscript"/>
        <sz val="11"/>
        <rFont val="Palatino Linotype"/>
        <family val="1"/>
      </rPr>
      <t>p_da</t>
    </r>
  </si>
  <si>
    <r>
      <t>c</t>
    </r>
    <r>
      <rPr>
        <vertAlign val="subscript"/>
        <sz val="11"/>
        <rFont val="Palatino Linotype"/>
        <family val="1"/>
      </rPr>
      <t>p_wv</t>
    </r>
  </si>
  <si>
    <r>
      <rPr>
        <sz val="11"/>
        <rFont val="Calibri"/>
        <family val="2"/>
      </rPr>
      <t>ṁ</t>
    </r>
    <r>
      <rPr>
        <vertAlign val="subscript"/>
        <sz val="11"/>
        <rFont val="Palatino Linotype"/>
        <family val="1"/>
      </rPr>
      <t>SD_Full</t>
    </r>
  </si>
  <si>
    <r>
      <rPr>
        <sz val="11"/>
        <rFont val="Calibri"/>
        <family val="2"/>
      </rPr>
      <t>ṁ</t>
    </r>
    <r>
      <rPr>
        <vertAlign val="subscript"/>
        <sz val="11"/>
        <rFont val="Palatino Linotype"/>
        <family val="1"/>
      </rPr>
      <t>SD_Low</t>
    </r>
  </si>
  <si>
    <r>
      <rPr>
        <sz val="11"/>
        <rFont val="Calibri"/>
        <family val="2"/>
      </rPr>
      <t>ṁ</t>
    </r>
    <r>
      <rPr>
        <vertAlign val="subscript"/>
        <sz val="11"/>
        <rFont val="Palatino Linotype"/>
        <family val="1"/>
      </rPr>
      <t>83_Low</t>
    </r>
  </si>
  <si>
    <r>
      <t>Q</t>
    </r>
    <r>
      <rPr>
        <vertAlign val="subscript"/>
        <sz val="11"/>
        <rFont val="Palatino Linotype"/>
        <family val="1"/>
      </rPr>
      <t>duct_DD_95_Full</t>
    </r>
  </si>
  <si>
    <r>
      <t>Q</t>
    </r>
    <r>
      <rPr>
        <vertAlign val="subscript"/>
        <sz val="11"/>
        <rFont val="Palatino Linotype"/>
        <family val="1"/>
      </rPr>
      <t>duct_DD_83_Full</t>
    </r>
  </si>
  <si>
    <r>
      <t>Q</t>
    </r>
    <r>
      <rPr>
        <vertAlign val="subscript"/>
        <sz val="11"/>
        <rFont val="Palatino Linotype"/>
        <family val="1"/>
      </rPr>
      <t>duct_DD_83_Low</t>
    </r>
  </si>
  <si>
    <r>
      <t>Q</t>
    </r>
    <r>
      <rPr>
        <vertAlign val="subscript"/>
        <sz val="11"/>
        <rFont val="Palatino Linotype"/>
        <family val="1"/>
      </rPr>
      <t>duct_SD_Full</t>
    </r>
  </si>
  <si>
    <r>
      <t>Q</t>
    </r>
    <r>
      <rPr>
        <vertAlign val="subscript"/>
        <sz val="11"/>
        <rFont val="Palatino Linotype"/>
        <family val="1"/>
      </rPr>
      <t>duct_SD_Low</t>
    </r>
  </si>
  <si>
    <r>
      <rPr>
        <sz val="11"/>
        <rFont val="Calibri"/>
        <family val="2"/>
      </rPr>
      <t>ṁ</t>
    </r>
    <r>
      <rPr>
        <vertAlign val="subscript"/>
        <sz val="11"/>
        <rFont val="Palatino Linotype"/>
        <family val="1"/>
      </rPr>
      <t>95_Full</t>
    </r>
  </si>
  <si>
    <t>Condenser exhaust duct surface area:</t>
  </si>
  <si>
    <t>Condenser inlet duct surface area:</t>
  </si>
  <si>
    <t>Heat transfer from condenser exhaust to conditioned space, condition 2.A:</t>
  </si>
  <si>
    <t>Heat transfer from condenser inlet to conditioned space, condition 2.A:</t>
  </si>
  <si>
    <t>Heat transfer from condenser exhaust to conditioned space, condition 2.B:</t>
  </si>
  <si>
    <t>Heat transfer from condenser inlet to conditioned space, condition 2.B:</t>
  </si>
  <si>
    <t>Heat transfer from condenser exhaust to conditioned space, condition 2.C:</t>
  </si>
  <si>
    <t>Heat transfer from condenser inlet to conditioned space, condition 2.C:</t>
  </si>
  <si>
    <t>Total heat transferred from ducts to conditions space, condition 2.A:</t>
  </si>
  <si>
    <t>Total heat transferred from ducts to conditions space, condition 2.B:</t>
  </si>
  <si>
    <t>Total heat transferred from ducts to conditions space, condition 2.C:</t>
  </si>
  <si>
    <t>Heat transfer from duct to conditioned space, condition 2.D:</t>
  </si>
  <si>
    <t>Heat transfer from duct to conditioned space condition 2.E:</t>
  </si>
  <si>
    <t>Dry air mass flow rate for dual-duct configuration, condition 2.A:</t>
  </si>
  <si>
    <t>Dry air mass flow rate for dual-duct configuration, condition 2.B:</t>
  </si>
  <si>
    <t>Dry air mass flow rate for dual-duct configuration, condition 2.C:</t>
  </si>
  <si>
    <t>Dry air mass flow rate for single-duct configuration, condition 2.D:</t>
  </si>
  <si>
    <t>Sensible infiltration air heat contribrution at 95F outdoor condition, single-duct configuration:</t>
  </si>
  <si>
    <t>Theoretical single-speed adjusted cooling acpacity, single-duct, 83F outdoor condition, without cycling losses:</t>
  </si>
  <si>
    <t>Theoretical single-speed adjusted cooling acpacity, single-duct, 83F outdoor condition, with cycling losses:</t>
  </si>
  <si>
    <t>Theoretical single-speed annual energy consumption, single-duct:</t>
  </si>
  <si>
    <t>Theoretical single-speed annual energy consumption, dual-duct:</t>
  </si>
  <si>
    <t>Theoretical single-speed combined energy efficiency ratio, single-duct, without cycling losses:</t>
  </si>
  <si>
    <t>Theoretical single-speed combined energy efficiency ratio, single-duct, with cycling losses:</t>
  </si>
  <si>
    <t>Theoretical single-speed combined energy efficiency ratio, dual-duct, without cycling losses:</t>
  </si>
  <si>
    <t>Theoretical single-speed combined energy efficiency ratio, dual-duct, with cycling losses:</t>
  </si>
  <si>
    <t>Performance Adjustment Factor, single-duct configuration:</t>
  </si>
  <si>
    <t>Performance Adjustment Factor, dual-duct configuration:</t>
  </si>
  <si>
    <t>Convection coefficient:</t>
  </si>
  <si>
    <t>Dry air specific heat:</t>
  </si>
  <si>
    <t>Water vapor specific heat:</t>
  </si>
  <si>
    <t>Latent heat of vaporization for water vapor:</t>
  </si>
  <si>
    <t>Indoor chamber dry-bulb temperature:</t>
  </si>
  <si>
    <t>Heat transfer from condenser exhaust to conditioned space, condition 1.A:</t>
  </si>
  <si>
    <t>Heat transfer from condenser inlet to conditioned space, condition 1.A:</t>
  </si>
  <si>
    <t>Heat transfer from condenser exhaust to conditioned space, condition 1.B:</t>
  </si>
  <si>
    <t>Heat transfer from condenser inlet to conditioned space, condition 1.B:</t>
  </si>
  <si>
    <t>Total heat transferred from ducts to conditions space, condition 1.A:</t>
  </si>
  <si>
    <t>Total heat transferred from ducts to conditions space, condition 1.B:</t>
  </si>
  <si>
    <t>Heat transfer from duct to conditioned space condition 1.C:</t>
  </si>
  <si>
    <t>Theoretical single-speed adjusted cooling capacity, dual-duct, 83F outdoor condition, without cycling losses</t>
  </si>
  <si>
    <t>Theoretical single-speed adjusted cooling capacity, dual-duct, 83F outdoor condition, with cycling losses:</t>
  </si>
  <si>
    <t>Step 14</t>
  </si>
  <si>
    <t>Data &amp; Calcs Cooling Mode - SS</t>
  </si>
  <si>
    <t>Data &amp; Calcs Cooling Mode - VS</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</si>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</sst>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
  </numFmts>
  <fonts count="47"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b/>
      <sz val="12"/>
      <color theme="1"/>
      <name val="Palatino Linotype"/>
      <family val="1"/>
    </font>
    <font>
      <sz val="11"/>
      <color theme="1"/>
      <name val="Calibri"/>
      <family val="2"/>
    </font>
    <font>
      <sz val="11"/>
      <color theme="0"/>
      <name val="Palatino Linotype"/>
      <family val="2"/>
    </font>
    <font>
      <sz val="11"/>
      <color rgb="FF9C6500"/>
      <name val="Palatino Linotype"/>
      <family val="2"/>
    </font>
    <font>
      <vertAlign val="subscript"/>
      <sz val="11"/>
      <name val="Palatino Linotype"/>
      <family val="1"/>
    </font>
    <font>
      <vertAlign val="subscript"/>
      <sz val="11"/>
      <color theme="1"/>
      <name val="Palatino Linotype"/>
      <family val="1"/>
    </font>
    <font>
      <sz val="12"/>
      <color theme="0"/>
      <name val="Palatino Linotype"/>
      <family val="1"/>
    </font>
    <font>
      <sz val="11"/>
      <name val="Calibri"/>
      <family val="2"/>
    </font>
    <font>
      <i/>
      <sz val="11"/>
      <name val="Palatino Linotype"/>
      <family val="1"/>
    </font>
    <font>
      <i/>
      <vertAlign val="subscript"/>
      <sz val="11"/>
      <name val="Palatino Linotype"/>
      <family val="1"/>
    </font>
    <font>
      <i/>
      <sz val="12"/>
      <color theme="1"/>
      <name val="Palatino Linotype"/>
      <family val="1"/>
    </font>
    <font>
      <vertAlign val="subscript"/>
      <sz val="11"/>
      <name val="Calibri"/>
      <family val="2"/>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5" tint="0.79998168889431442"/>
        <bgColor indexed="65"/>
      </patternFill>
    </fill>
    <fill>
      <patternFill patternType="solid">
        <fgColor theme="0" tint="-0.249977111117893"/>
        <bgColor indexed="64"/>
      </patternFill>
    </fill>
    <fill>
      <patternFill patternType="solid">
        <fgColor rgb="FF99CCFF"/>
        <bgColor theme="3" tint="0.59996337778862885"/>
      </patternFill>
    </fill>
    <fill>
      <patternFill patternType="solid">
        <fgColor rgb="FF0070C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bottom style="thin">
        <color theme="0" tint="-0.249977111117893"/>
      </bottom>
      <diagonal/>
    </border>
    <border>
      <left/>
      <right/>
      <top style="thin">
        <color theme="0" tint="-0.1499679555650502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medium">
        <color indexed="64"/>
      </top>
      <bottom style="thin">
        <color indexed="64"/>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right style="thin">
        <color indexed="64"/>
      </right>
      <top style="thin">
        <color indexed="64"/>
      </top>
      <bottom/>
      <diagonal/>
    </border>
    <border>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theme="0" tint="-0.249977111117893"/>
      </bottom>
      <diagonal/>
    </border>
    <border>
      <left/>
      <right style="thin">
        <color indexed="64"/>
      </right>
      <top style="thin">
        <color theme="0" tint="-0.14996795556505021"/>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medium">
        <color indexed="64"/>
      </top>
      <bottom style="thin">
        <color theme="0" tint="-0.249977111117893"/>
      </bottom>
      <diagonal/>
    </border>
    <border>
      <left style="thin">
        <color theme="0" tint="-0.249977111117893"/>
      </left>
      <right/>
      <top style="thin">
        <color indexed="64"/>
      </top>
      <bottom style="medium">
        <color indexed="64"/>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19">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4" fillId="19" borderId="0" applyNumberFormat="0" applyBorder="0" applyAlignment="0" applyProtection="0"/>
    <xf numFmtId="0" fontId="37" fillId="18" borderId="0" applyNumberFormat="0" applyBorder="0" applyAlignment="0" applyProtection="0"/>
    <xf numFmtId="0" fontId="38" fillId="17" borderId="0" applyNumberFormat="0" applyBorder="0" applyAlignment="0" applyProtection="0"/>
  </cellStyleXfs>
  <cellXfs count="703">
    <xf numFmtId="0" fontId="0" fillId="0" borderId="0" xfId="0"/>
    <xf numFmtId="0" fontId="6" fillId="0" borderId="0" xfId="6"/>
    <xf numFmtId="0" fontId="6" fillId="0" borderId="10" xfId="6" applyBorder="1"/>
    <xf numFmtId="0" fontId="8" fillId="0" borderId="6" xfId="0" applyFont="1" applyBorder="1"/>
    <xf numFmtId="0" fontId="8" fillId="0" borderId="0" xfId="0" applyFont="1"/>
    <xf numFmtId="0" fontId="8" fillId="0" borderId="10" xfId="0" applyFont="1" applyBorder="1"/>
    <xf numFmtId="0" fontId="8" fillId="0" borderId="0" xfId="0" applyFont="1" applyBorder="1"/>
    <xf numFmtId="0" fontId="21" fillId="0" borderId="0" xfId="1" applyFont="1" applyAlignment="1" applyProtection="1">
      <protection locked="0"/>
    </xf>
    <xf numFmtId="0" fontId="22" fillId="6" borderId="7" xfId="7" applyFont="1" applyBorder="1" applyAlignment="1">
      <alignment vertical="center"/>
    </xf>
    <xf numFmtId="0" fontId="22" fillId="6" borderId="8" xfId="7" applyFont="1" applyBorder="1" applyAlignment="1">
      <alignment vertical="center"/>
    </xf>
    <xf numFmtId="0" fontId="22" fillId="6" borderId="9" xfId="7" applyFont="1" applyBorder="1" applyAlignment="1">
      <alignment vertical="center"/>
    </xf>
    <xf numFmtId="0" fontId="8" fillId="0" borderId="6"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5" borderId="0" xfId="0" applyFont="1" applyFill="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22" fillId="2" borderId="0" xfId="7" applyFont="1" applyFill="1" applyBorder="1" applyAlignment="1">
      <alignment vertical="center"/>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22" fillId="6" borderId="29" xfId="7" applyFont="1" applyBorder="1" applyAlignment="1">
      <alignment vertical="center"/>
    </xf>
    <xf numFmtId="0" fontId="22" fillId="6" borderId="30" xfId="7" applyFont="1" applyBorder="1" applyAlignment="1">
      <alignment vertical="center"/>
    </xf>
    <xf numFmtId="0" fontId="22" fillId="6" borderId="31" xfId="7" applyFont="1" applyBorder="1" applyAlignment="1">
      <alignment vertical="center"/>
    </xf>
    <xf numFmtId="0" fontId="7" fillId="6" borderId="7" xfId="7" applyFont="1" applyBorder="1">
      <alignment horizontal="left" vertical="center"/>
    </xf>
    <xf numFmtId="0" fontId="7" fillId="6" borderId="9" xfId="7" applyFont="1" applyBorder="1">
      <alignment horizontal="left" vertical="center"/>
    </xf>
    <xf numFmtId="0" fontId="29" fillId="0" borderId="20" xfId="6" applyFont="1" applyBorder="1" applyAlignment="1">
      <alignment horizontal="center"/>
    </xf>
    <xf numFmtId="0" fontId="29" fillId="0" borderId="21" xfId="6" applyFont="1" applyBorder="1" applyAlignment="1">
      <alignment horizontal="center"/>
    </xf>
    <xf numFmtId="0" fontId="8" fillId="0" borderId="36" xfId="6" applyFont="1" applyBorder="1"/>
    <xf numFmtId="0" fontId="8" fillId="0" borderId="41" xfId="6" applyFont="1" applyBorder="1"/>
    <xf numFmtId="0" fontId="8" fillId="0" borderId="39" xfId="6" applyFont="1" applyBorder="1"/>
    <xf numFmtId="0" fontId="17" fillId="0" borderId="36" xfId="6" applyFont="1" applyBorder="1" applyAlignment="1">
      <alignment vertical="center"/>
    </xf>
    <xf numFmtId="0" fontId="17" fillId="0" borderId="39" xfId="6" applyFont="1" applyBorder="1" applyAlignment="1">
      <alignment vertical="center"/>
    </xf>
    <xf numFmtId="0" fontId="22" fillId="0" borderId="0" xfId="7" applyFont="1" applyFill="1" applyBorder="1" applyAlignment="1">
      <alignment vertical="center"/>
    </xf>
    <xf numFmtId="14" fontId="8" fillId="0" borderId="56" xfId="6" applyNumberFormat="1" applyFont="1" applyBorder="1" applyAlignment="1">
      <alignment horizontal="left"/>
    </xf>
    <xf numFmtId="14" fontId="8" fillId="0" borderId="57"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1" xfId="6" applyFont="1" applyBorder="1" applyAlignment="1">
      <alignment vertical="center"/>
    </xf>
    <xf numFmtId="0" fontId="8" fillId="0" borderId="36" xfId="6" applyNumberFormat="1" applyFont="1" applyBorder="1" applyAlignment="1">
      <alignment vertical="center"/>
    </xf>
    <xf numFmtId="0" fontId="8" fillId="0" borderId="36" xfId="6" applyFont="1" applyBorder="1" applyAlignment="1">
      <alignment vertical="center"/>
    </xf>
    <xf numFmtId="0" fontId="22" fillId="6" borderId="30" xfId="7" quotePrefix="1" applyFont="1" applyBorder="1" applyAlignment="1">
      <alignment horizontal="left" vertical="center"/>
    </xf>
    <xf numFmtId="0" fontId="8" fillId="0" borderId="39" xfId="6" applyFont="1" applyBorder="1" applyAlignment="1">
      <alignment vertical="center"/>
    </xf>
    <xf numFmtId="0" fontId="10" fillId="0" borderId="46" xfId="17" applyFont="1" applyBorder="1" applyAlignment="1">
      <alignment horizontal="center" vertical="center" wrapText="1"/>
    </xf>
    <xf numFmtId="0" fontId="10" fillId="0" borderId="4" xfId="17" applyFont="1" applyBorder="1" applyAlignment="1">
      <alignment horizontal="center" vertical="center" wrapText="1"/>
    </xf>
    <xf numFmtId="0" fontId="10" fillId="0" borderId="35" xfId="17" applyFont="1" applyBorder="1" applyAlignment="1">
      <alignment horizontal="center" vertical="center" wrapText="1"/>
    </xf>
    <xf numFmtId="0" fontId="8" fillId="0" borderId="0" xfId="0" applyFont="1" applyBorder="1" applyAlignment="1">
      <alignment vertical="center"/>
    </xf>
    <xf numFmtId="0" fontId="8" fillId="0" borderId="48" xfId="6" applyFont="1" applyBorder="1" applyAlignment="1">
      <alignment vertical="center"/>
    </xf>
    <xf numFmtId="0" fontId="8" fillId="0" borderId="49" xfId="6"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10" fillId="0" borderId="29" xfId="6" applyFont="1" applyBorder="1" applyAlignment="1">
      <alignment horizontal="center" vertical="center"/>
    </xf>
    <xf numFmtId="0" fontId="10" fillId="0" borderId="21" xfId="6" applyFont="1" applyBorder="1" applyAlignment="1">
      <alignment horizontal="center" vertical="center"/>
    </xf>
    <xf numFmtId="0" fontId="8" fillId="0" borderId="42" xfId="6" applyFont="1" applyBorder="1" applyAlignment="1">
      <alignment vertical="center"/>
    </xf>
    <xf numFmtId="0" fontId="8" fillId="0" borderId="38" xfId="6" applyFont="1" applyBorder="1" applyAlignment="1">
      <alignment vertical="center"/>
    </xf>
    <xf numFmtId="0" fontId="17" fillId="0" borderId="40" xfId="6" applyFont="1" applyBorder="1" applyAlignment="1">
      <alignment vertical="center"/>
    </xf>
    <xf numFmtId="0" fontId="17" fillId="0" borderId="0" xfId="6" applyFont="1" applyBorder="1" applyAlignment="1">
      <alignment vertical="center"/>
    </xf>
    <xf numFmtId="0" fontId="10" fillId="0" borderId="46"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6" applyFont="1" applyBorder="1" applyAlignment="1">
      <alignment horizontal="center" vertical="center"/>
    </xf>
    <xf numFmtId="0" fontId="10" fillId="0" borderId="35"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0" xfId="0" applyFont="1" applyFill="1" applyBorder="1" applyAlignment="1">
      <alignment vertical="center" wrapText="1"/>
    </xf>
    <xf numFmtId="0" fontId="26" fillId="2"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0" borderId="48" xfId="0" applyFont="1" applyBorder="1" applyAlignment="1">
      <alignment vertical="center"/>
    </xf>
    <xf numFmtId="0" fontId="8" fillId="2" borderId="0" xfId="0" applyFont="1" applyFill="1" applyBorder="1" applyAlignment="1">
      <alignment vertical="center"/>
    </xf>
    <xf numFmtId="0" fontId="8" fillId="0" borderId="0" xfId="0" applyFont="1" applyAlignment="1">
      <alignment vertical="center" wrapText="1"/>
    </xf>
    <xf numFmtId="0" fontId="8" fillId="5" borderId="0" xfId="0" applyFont="1" applyFill="1" applyAlignment="1">
      <alignment vertical="center" wrapText="1"/>
    </xf>
    <xf numFmtId="0" fontId="8" fillId="0" borderId="0" xfId="0" applyFont="1" applyBorder="1" applyAlignment="1">
      <alignment vertical="center" wrapText="1"/>
    </xf>
    <xf numFmtId="0" fontId="8" fillId="5" borderId="0" xfId="0" applyFont="1" applyFill="1" applyBorder="1" applyAlignment="1">
      <alignment vertical="center" wrapText="1"/>
    </xf>
    <xf numFmtId="0" fontId="8" fillId="0" borderId="49" xfId="0" applyFont="1" applyBorder="1" applyAlignment="1">
      <alignment vertical="center"/>
    </xf>
    <xf numFmtId="0" fontId="26" fillId="5" borderId="0" xfId="0" applyFont="1" applyFill="1" applyAlignment="1">
      <alignment vertical="center"/>
    </xf>
    <xf numFmtId="0" fontId="6" fillId="0" borderId="36" xfId="6" applyNumberFormat="1" applyBorder="1"/>
    <xf numFmtId="0" fontId="9" fillId="0" borderId="59" xfId="6" applyFont="1" applyBorder="1" applyAlignment="1">
      <alignment horizontal="left"/>
    </xf>
    <xf numFmtId="0" fontId="6" fillId="0" borderId="41" xfId="6" applyFont="1" applyBorder="1"/>
    <xf numFmtId="0" fontId="6" fillId="0" borderId="36" xfId="6" applyFont="1" applyBorder="1"/>
    <xf numFmtId="0" fontId="6" fillId="0" borderId="36" xfId="6" applyNumberFormat="1" applyFont="1" applyBorder="1"/>
    <xf numFmtId="0" fontId="28" fillId="0" borderId="56" xfId="6" applyFont="1" applyBorder="1" applyAlignment="1">
      <alignment horizontal="left"/>
    </xf>
    <xf numFmtId="14" fontId="6" fillId="0" borderId="56" xfId="6" applyNumberFormat="1" applyFont="1" applyBorder="1" applyAlignment="1">
      <alignment horizontal="left"/>
    </xf>
    <xf numFmtId="0" fontId="28" fillId="0" borderId="59" xfId="6" applyFont="1" applyBorder="1" applyAlignment="1">
      <alignment horizontal="left"/>
    </xf>
    <xf numFmtId="0" fontId="6" fillId="0" borderId="39" xfId="6" applyFont="1" applyBorder="1"/>
    <xf numFmtId="14" fontId="6" fillId="0" borderId="57" xfId="6" applyNumberFormat="1" applyFont="1" applyBorder="1" applyAlignment="1">
      <alignment horizontal="left"/>
    </xf>
    <xf numFmtId="0" fontId="6" fillId="0" borderId="48" xfId="6" applyNumberFormat="1" applyFont="1" applyBorder="1" applyAlignment="1">
      <alignment horizontal="center" wrapText="1"/>
    </xf>
    <xf numFmtId="14" fontId="6" fillId="0" borderId="38" xfId="6" applyNumberFormat="1" applyFont="1" applyBorder="1" applyAlignment="1">
      <alignment horizontal="center" wrapText="1"/>
    </xf>
    <xf numFmtId="165" fontId="12" fillId="0" borderId="48"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40" xfId="6" applyNumberFormat="1" applyFont="1" applyBorder="1" applyAlignment="1">
      <alignment horizontal="center" wrapText="1"/>
    </xf>
    <xf numFmtId="0" fontId="6" fillId="0" borderId="47" xfId="6" applyNumberFormat="1" applyFont="1" applyBorder="1" applyAlignment="1">
      <alignment horizontal="center" wrapText="1"/>
    </xf>
    <xf numFmtId="14" fontId="6" fillId="0" borderId="42" xfId="6" applyNumberFormat="1" applyFont="1" applyBorder="1" applyAlignment="1">
      <alignment horizontal="center" wrapText="1"/>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31" fillId="2" borderId="6" xfId="7" applyFont="1" applyFill="1" applyBorder="1" applyAlignment="1">
      <alignment horizontal="center" vertical="center"/>
    </xf>
    <xf numFmtId="0" fontId="31" fillId="2" borderId="28" xfId="7" applyFont="1" applyFill="1" applyBorder="1" applyAlignment="1">
      <alignment horizontal="center" vertical="center"/>
    </xf>
    <xf numFmtId="14" fontId="11" fillId="13" borderId="1" xfId="18" applyNumberFormat="1" applyFont="1" applyFill="1" applyBorder="1" applyProtection="1">
      <alignment horizontal="center" vertical="center"/>
    </xf>
    <xf numFmtId="0" fontId="11" fillId="13" borderId="18" xfId="18" applyFont="1" applyFill="1" applyBorder="1" applyAlignment="1" applyProtection="1">
      <alignment horizontal="left" vertical="center"/>
    </xf>
    <xf numFmtId="0" fontId="11" fillId="13" borderId="17" xfId="18" applyFont="1" applyFill="1" applyBorder="1" applyAlignment="1" applyProtection="1">
      <alignment horizontal="left" vertical="center"/>
    </xf>
    <xf numFmtId="0" fontId="17" fillId="12" borderId="15" xfId="18" applyFont="1" applyFill="1" applyBorder="1" applyAlignment="1" applyProtection="1">
      <alignment horizontal="left" vertical="center"/>
      <protection locked="0"/>
    </xf>
    <xf numFmtId="0" fontId="17" fillId="12" borderId="18" xfId="18" applyFont="1" applyFill="1" applyBorder="1" applyAlignment="1" applyProtection="1">
      <alignment horizontal="left" vertical="center"/>
      <protection locked="0"/>
    </xf>
    <xf numFmtId="14" fontId="17" fillId="12" borderId="1" xfId="18" applyNumberFormat="1" applyFont="1" applyFill="1" applyBorder="1" applyProtection="1">
      <alignment horizontal="center" vertical="center"/>
      <protection locked="0"/>
    </xf>
    <xf numFmtId="0" fontId="17" fillId="12" borderId="18" xfId="18" applyFont="1" applyFill="1" applyBorder="1" applyAlignment="1" applyProtection="1">
      <alignment horizontal="center" vertical="center"/>
      <protection locked="0"/>
    </xf>
    <xf numFmtId="0" fontId="17" fillId="12" borderId="17" xfId="18" applyFont="1" applyFill="1" applyBorder="1" applyAlignment="1" applyProtection="1">
      <alignment horizontal="center" vertical="center"/>
      <protection locked="0"/>
    </xf>
    <xf numFmtId="0" fontId="17" fillId="12" borderId="1" xfId="18" applyFont="1" applyFill="1" applyBorder="1" applyAlignment="1" applyProtection="1">
      <alignment horizontal="left" vertical="center"/>
      <protection locked="0"/>
    </xf>
    <xf numFmtId="0" fontId="17" fillId="12" borderId="16" xfId="18" applyFont="1" applyFill="1" applyBorder="1" applyAlignment="1" applyProtection="1">
      <alignment horizontal="left" vertical="center"/>
      <protection locked="0"/>
    </xf>
    <xf numFmtId="0" fontId="17" fillId="12" borderId="23" xfId="18" applyFont="1" applyFill="1" applyBorder="1" applyAlignment="1" applyProtection="1">
      <alignment horizontal="left" vertical="center"/>
      <protection locked="0"/>
    </xf>
    <xf numFmtId="0" fontId="17" fillId="12" borderId="17" xfId="18" applyFont="1" applyFill="1" applyBorder="1" applyAlignment="1" applyProtection="1">
      <alignment horizontal="left" vertical="center"/>
      <protection locked="0"/>
    </xf>
    <xf numFmtId="0" fontId="34" fillId="2" borderId="0" xfId="0" applyFont="1" applyFill="1" applyProtection="1"/>
    <xf numFmtId="0" fontId="0" fillId="5" borderId="0" xfId="0" applyFill="1" applyProtection="1"/>
    <xf numFmtId="0" fontId="8" fillId="2" borderId="6" xfId="0" applyFont="1" applyFill="1" applyBorder="1" applyProtection="1"/>
    <xf numFmtId="0" fontId="8" fillId="2" borderId="0" xfId="0" applyFont="1" applyFill="1" applyBorder="1" applyProtection="1"/>
    <xf numFmtId="0" fontId="8" fillId="2" borderId="10" xfId="0" applyFont="1" applyFill="1" applyBorder="1" applyProtection="1"/>
    <xf numFmtId="0" fontId="35" fillId="2" borderId="0" xfId="0" applyFont="1" applyFill="1" applyProtection="1"/>
    <xf numFmtId="0" fontId="10" fillId="2" borderId="6" xfId="0" applyFont="1" applyFill="1" applyBorder="1" applyProtection="1"/>
    <xf numFmtId="0" fontId="8" fillId="0" borderId="10" xfId="0" applyFont="1" applyFill="1" applyBorder="1" applyProtection="1"/>
    <xf numFmtId="0" fontId="34" fillId="5" borderId="0" xfId="0" applyFont="1" applyFill="1" applyBorder="1" applyProtection="1"/>
    <xf numFmtId="0" fontId="10" fillId="2" borderId="0" xfId="0" applyFont="1" applyFill="1" applyBorder="1" applyAlignment="1" applyProtection="1">
      <alignment horizontal="center" vertical="center"/>
    </xf>
    <xf numFmtId="0" fontId="36" fillId="0" borderId="10" xfId="0" applyFont="1" applyFill="1" applyBorder="1" applyProtection="1"/>
    <xf numFmtId="0" fontId="17" fillId="0" borderId="33" xfId="0" applyFont="1" applyBorder="1" applyAlignment="1" applyProtection="1">
      <alignment horizontal="left" vertical="center"/>
    </xf>
    <xf numFmtId="0" fontId="17" fillId="0" borderId="69" xfId="0" applyFont="1" applyBorder="1" applyAlignment="1" applyProtection="1">
      <alignment horizontal="left" vertical="center"/>
    </xf>
    <xf numFmtId="0" fontId="0" fillId="0" borderId="10" xfId="0" applyFont="1" applyFill="1" applyBorder="1" applyProtection="1"/>
    <xf numFmtId="0" fontId="8" fillId="2" borderId="11" xfId="0" applyFont="1" applyFill="1" applyBorder="1" applyProtection="1"/>
    <xf numFmtId="0" fontId="8" fillId="2" borderId="12" xfId="0" applyFont="1" applyFill="1" applyBorder="1" applyProtection="1"/>
    <xf numFmtId="0" fontId="8" fillId="2" borderId="13" xfId="0" applyFont="1" applyFill="1" applyBorder="1" applyProtection="1"/>
    <xf numFmtId="0" fontId="8" fillId="0" borderId="10" xfId="0" applyNumberFormat="1" applyFont="1" applyFill="1" applyBorder="1" applyAlignment="1" applyProtection="1">
      <alignment horizontal="left"/>
    </xf>
    <xf numFmtId="0" fontId="8" fillId="0" borderId="0" xfId="0" applyNumberFormat="1" applyFont="1" applyFill="1" applyBorder="1" applyAlignment="1" applyProtection="1">
      <alignment horizontal="center"/>
    </xf>
    <xf numFmtId="0" fontId="8" fillId="2" borderId="0" xfId="0" applyFont="1" applyFill="1" applyProtection="1"/>
    <xf numFmtId="0" fontId="8" fillId="2" borderId="0" xfId="0" applyFont="1" applyFill="1" applyBorder="1" applyAlignment="1" applyProtection="1">
      <alignment vertical="top"/>
    </xf>
    <xf numFmtId="0" fontId="8" fillId="0" borderId="13" xfId="0" applyFont="1" applyFill="1" applyBorder="1" applyProtection="1"/>
    <xf numFmtId="0" fontId="34" fillId="5" borderId="0" xfId="0" applyFont="1" applyFill="1" applyProtection="1"/>
    <xf numFmtId="0" fontId="34" fillId="2" borderId="0" xfId="0" applyFont="1" applyFill="1"/>
    <xf numFmtId="0" fontId="8" fillId="0" borderId="47" xfId="0" applyFont="1" applyBorder="1" applyAlignment="1">
      <alignment vertical="center"/>
    </xf>
    <xf numFmtId="0" fontId="10" fillId="0" borderId="46" xfId="0" applyFont="1" applyBorder="1" applyAlignment="1">
      <alignment horizontal="center" vertical="center" wrapText="1"/>
    </xf>
    <xf numFmtId="0" fontId="10" fillId="2" borderId="10" xfId="0" applyFont="1" applyFill="1" applyBorder="1" applyAlignment="1" applyProtection="1">
      <alignment horizontal="center" wrapText="1"/>
    </xf>
    <xf numFmtId="0" fontId="8" fillId="2" borderId="10" xfId="0" applyFont="1" applyFill="1" applyBorder="1" applyAlignment="1" applyProtection="1">
      <alignment horizontal="left" wrapText="1"/>
    </xf>
    <xf numFmtId="0" fontId="8" fillId="0" borderId="0" xfId="0" applyFont="1" applyFill="1" applyBorder="1" applyProtection="1"/>
    <xf numFmtId="0" fontId="36" fillId="0" borderId="0" xfId="0" applyFont="1" applyFill="1" applyBorder="1" applyProtection="1"/>
    <xf numFmtId="0" fontId="0" fillId="0" borderId="0" xfId="0" applyFont="1" applyFill="1" applyBorder="1" applyProtection="1"/>
    <xf numFmtId="0" fontId="34" fillId="0" borderId="0" xfId="0" applyFont="1" applyFill="1" applyProtection="1"/>
    <xf numFmtId="0" fontId="10" fillId="0" borderId="0" xfId="0" applyFont="1" applyFill="1" applyBorder="1" applyAlignment="1" applyProtection="1">
      <alignment horizontal="left"/>
    </xf>
    <xf numFmtId="0" fontId="8" fillId="0" borderId="0" xfId="0" applyFont="1" applyFill="1" applyProtection="1"/>
    <xf numFmtId="0" fontId="8" fillId="0" borderId="0" xfId="0" applyFont="1" applyFill="1" applyBorder="1" applyAlignment="1" applyProtection="1">
      <alignment vertical="top"/>
    </xf>
    <xf numFmtId="0" fontId="34" fillId="0" borderId="0" xfId="0" applyFont="1" applyFill="1"/>
    <xf numFmtId="0" fontId="8" fillId="0" borderId="36" xfId="6" applyFont="1" applyFill="1" applyBorder="1" applyAlignment="1">
      <alignment vertical="center"/>
    </xf>
    <xf numFmtId="0" fontId="8" fillId="0" borderId="38" xfId="6" applyFont="1" applyFill="1" applyBorder="1" applyAlignment="1">
      <alignment vertical="center"/>
    </xf>
    <xf numFmtId="0" fontId="8" fillId="21" borderId="1" xfId="0" applyNumberFormat="1" applyFont="1" applyFill="1" applyBorder="1" applyAlignment="1" applyProtection="1">
      <alignment horizontal="center"/>
      <protection locked="0"/>
    </xf>
    <xf numFmtId="0" fontId="8" fillId="0" borderId="0" xfId="4" applyNumberFormat="1" applyFont="1" applyFill="1" applyBorder="1" applyAlignment="1" applyProtection="1">
      <alignment horizontal="left" vertical="top" wrapText="1"/>
    </xf>
    <xf numFmtId="0" fontId="17" fillId="0" borderId="34" xfId="0" applyFont="1" applyBorder="1" applyAlignment="1" applyProtection="1">
      <alignment horizontal="left" vertical="center"/>
    </xf>
    <xf numFmtId="0" fontId="8" fillId="0" borderId="13" xfId="0" applyNumberFormat="1" applyFont="1" applyFill="1" applyBorder="1" applyAlignment="1" applyProtection="1">
      <alignment horizontal="left"/>
    </xf>
    <xf numFmtId="0" fontId="17" fillId="0" borderId="80" xfId="0" applyFont="1" applyBorder="1" applyAlignment="1" applyProtection="1">
      <alignment horizontal="left" vertical="center"/>
    </xf>
    <xf numFmtId="0" fontId="8" fillId="2" borderId="13" xfId="0" applyFont="1" applyFill="1" applyBorder="1" applyAlignment="1" applyProtection="1">
      <alignment horizontal="left" wrapText="1"/>
    </xf>
    <xf numFmtId="14" fontId="11" fillId="13" borderId="23" xfId="18" applyNumberFormat="1" applyFont="1" applyFill="1" applyBorder="1" applyProtection="1">
      <alignment horizontal="center" vertical="center"/>
    </xf>
    <xf numFmtId="14" fontId="11" fillId="13" borderId="4" xfId="18" applyNumberFormat="1" applyFont="1" applyFill="1" applyBorder="1" applyProtection="1">
      <alignment horizontal="center" vertical="center"/>
    </xf>
    <xf numFmtId="0" fontId="11" fillId="13" borderId="35" xfId="18" applyFont="1" applyFill="1" applyBorder="1" applyAlignment="1" applyProtection="1">
      <alignment horizontal="left" vertical="center"/>
    </xf>
    <xf numFmtId="0" fontId="10" fillId="0" borderId="85" xfId="21" applyFont="1" applyBorder="1" applyAlignment="1" applyProtection="1">
      <alignment horizontal="center"/>
    </xf>
    <xf numFmtId="0" fontId="10" fillId="0" borderId="21" xfId="21" applyFont="1" applyBorder="1" applyAlignment="1" applyProtection="1">
      <alignment horizontal="center"/>
    </xf>
    <xf numFmtId="14" fontId="17" fillId="12" borderId="23" xfId="18" applyNumberFormat="1" applyFont="1" applyFill="1" applyBorder="1" applyProtection="1">
      <alignment horizontal="center" vertical="center"/>
      <protection locked="0"/>
    </xf>
    <xf numFmtId="0" fontId="17" fillId="12" borderId="35" xfId="18" applyFont="1" applyFill="1" applyBorder="1" applyAlignment="1" applyProtection="1">
      <alignment horizontal="left" vertical="center"/>
      <protection locked="0"/>
    </xf>
    <xf numFmtId="165" fontId="12" fillId="0" borderId="91" xfId="6" applyNumberFormat="1" applyFont="1" applyBorder="1" applyAlignment="1">
      <alignment horizontal="center" wrapText="1"/>
    </xf>
    <xf numFmtId="14" fontId="6" fillId="0" borderId="92" xfId="6" applyNumberFormat="1" applyFont="1" applyBorder="1" applyAlignment="1">
      <alignment horizontal="center" wrapText="1"/>
    </xf>
    <xf numFmtId="0" fontId="9" fillId="0" borderId="0" xfId="6" applyFont="1" applyBorder="1" applyAlignment="1">
      <alignment vertical="center"/>
    </xf>
    <xf numFmtId="0" fontId="22" fillId="0" borderId="0" xfId="7" applyFont="1" applyFill="1" applyBorder="1" applyAlignment="1">
      <alignment horizontal="left" vertical="center"/>
    </xf>
    <xf numFmtId="0" fontId="26" fillId="0" borderId="0" xfId="0" applyFont="1" applyFill="1" applyBorder="1" applyAlignment="1" applyProtection="1">
      <alignment horizontal="left" vertical="center" wrapText="1"/>
    </xf>
    <xf numFmtId="0" fontId="0" fillId="0" borderId="7" xfId="0" applyBorder="1" applyAlignment="1">
      <alignment vertical="center"/>
    </xf>
    <xf numFmtId="0" fontId="8" fillId="2" borderId="8" xfId="0" applyFont="1" applyFill="1" applyBorder="1" applyProtection="1"/>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18" xfId="0" applyFont="1" applyFill="1" applyBorder="1" applyAlignment="1" applyProtection="1">
      <alignment horizontal="left" wrapText="1"/>
    </xf>
    <xf numFmtId="0" fontId="8" fillId="2" borderId="17" xfId="0" applyFont="1" applyFill="1" applyBorder="1" applyAlignment="1" applyProtection="1">
      <alignment horizontal="left" wrapText="1"/>
    </xf>
    <xf numFmtId="0" fontId="10" fillId="0" borderId="29" xfId="21" applyFont="1" applyBorder="1" applyAlignment="1" applyProtection="1"/>
    <xf numFmtId="0" fontId="10" fillId="0" borderId="84" xfId="21" applyFont="1" applyBorder="1" applyAlignment="1" applyProtection="1"/>
    <xf numFmtId="0" fontId="11" fillId="13" borderId="22" xfId="18" applyFont="1" applyFill="1" applyBorder="1" applyAlignment="1" applyProtection="1">
      <alignment vertical="center"/>
    </xf>
    <xf numFmtId="0" fontId="11" fillId="13" borderId="93" xfId="18" applyFont="1" applyFill="1" applyBorder="1" applyAlignment="1" applyProtection="1">
      <alignment vertical="center"/>
    </xf>
    <xf numFmtId="0" fontId="11" fillId="13" borderId="81" xfId="18" applyFont="1" applyFill="1" applyBorder="1" applyAlignment="1" applyProtection="1">
      <alignment vertical="center"/>
    </xf>
    <xf numFmtId="0" fontId="11" fillId="13" borderId="5" xfId="18" applyFont="1" applyFill="1" applyBorder="1" applyAlignment="1" applyProtection="1">
      <alignment vertical="center"/>
    </xf>
    <xf numFmtId="0" fontId="11" fillId="13" borderId="82" xfId="18" applyFont="1" applyFill="1" applyBorder="1" applyAlignment="1" applyProtection="1">
      <alignment vertical="center"/>
    </xf>
    <xf numFmtId="0" fontId="11" fillId="13" borderId="58" xfId="18" applyFont="1" applyFill="1" applyBorder="1" applyAlignment="1" applyProtection="1">
      <alignment vertical="center"/>
    </xf>
    <xf numFmtId="0" fontId="21" fillId="0" borderId="94" xfId="1" applyFont="1" applyBorder="1" applyAlignment="1" applyProtection="1">
      <alignment vertical="center"/>
      <protection locked="0"/>
    </xf>
    <xf numFmtId="0" fontId="21" fillId="0" borderId="95" xfId="1" applyFont="1" applyBorder="1" applyAlignment="1" applyProtection="1">
      <alignment vertical="center"/>
      <protection locked="0"/>
    </xf>
    <xf numFmtId="0" fontId="8" fillId="0" borderId="91" xfId="6" applyFont="1" applyBorder="1" applyAlignment="1">
      <alignment vertical="center"/>
    </xf>
    <xf numFmtId="0" fontId="8" fillId="0" borderId="97" xfId="0" applyFont="1" applyBorder="1" applyAlignment="1">
      <alignment horizontal="center" vertical="center"/>
    </xf>
    <xf numFmtId="0" fontId="8" fillId="0" borderId="16" xfId="6" applyFont="1" applyBorder="1" applyAlignment="1">
      <alignment vertical="center"/>
    </xf>
    <xf numFmtId="0" fontId="8" fillId="0" borderId="17" xfId="0" applyFont="1" applyBorder="1" applyAlignment="1">
      <alignment horizontal="center" vertical="center"/>
    </xf>
    <xf numFmtId="164" fontId="8" fillId="12" borderId="10" xfId="4" applyNumberFormat="1" applyFont="1" applyFill="1" applyBorder="1" applyAlignment="1" applyProtection="1">
      <alignment horizontal="center" vertical="center"/>
    </xf>
    <xf numFmtId="0" fontId="11" fillId="13" borderId="10" xfId="5" applyFont="1" applyFill="1" applyBorder="1" applyAlignment="1" applyProtection="1">
      <alignment horizontal="center" vertical="center"/>
    </xf>
    <xf numFmtId="0" fontId="17" fillId="0" borderId="10" xfId="6" applyFont="1" applyFill="1" applyBorder="1" applyAlignment="1" applyProtection="1">
      <alignment horizontal="center" vertical="center"/>
    </xf>
    <xf numFmtId="0" fontId="27" fillId="15" borderId="13" xfId="0" applyFont="1" applyFill="1" applyBorder="1" applyAlignment="1" applyProtection="1">
      <alignment horizontal="center" vertical="center"/>
    </xf>
    <xf numFmtId="0" fontId="10" fillId="20" borderId="98" xfId="0" applyFont="1" applyFill="1" applyBorder="1" applyAlignment="1">
      <alignment horizontal="center" vertical="center"/>
    </xf>
    <xf numFmtId="0" fontId="22" fillId="2" borderId="7" xfId="7" applyFont="1" applyFill="1" applyBorder="1" applyAlignment="1">
      <alignment horizontal="left" vertical="center"/>
    </xf>
    <xf numFmtId="0" fontId="22" fillId="2" borderId="101" xfId="7" applyFont="1" applyFill="1" applyBorder="1" applyAlignment="1">
      <alignment horizontal="left" vertical="center"/>
    </xf>
    <xf numFmtId="0" fontId="22" fillId="2" borderId="11" xfId="7" applyFont="1" applyFill="1" applyBorder="1" applyAlignment="1">
      <alignment horizontal="left" vertical="center"/>
    </xf>
    <xf numFmtId="0" fontId="22" fillId="2" borderId="102" xfId="7" applyFont="1" applyFill="1" applyBorder="1" applyAlignment="1">
      <alignment horizontal="left" vertical="center"/>
    </xf>
    <xf numFmtId="0" fontId="17" fillId="0" borderId="79" xfId="6" applyFont="1" applyBorder="1" applyAlignment="1">
      <alignment vertical="center"/>
    </xf>
    <xf numFmtId="0" fontId="17" fillId="0" borderId="72" xfId="6" applyFont="1" applyBorder="1" applyAlignment="1">
      <alignment vertical="center"/>
    </xf>
    <xf numFmtId="0" fontId="17" fillId="0" borderId="75" xfId="6" applyFont="1" applyFill="1" applyBorder="1" applyAlignment="1">
      <alignment vertical="center"/>
    </xf>
    <xf numFmtId="14" fontId="17" fillId="12" borderId="18" xfId="18" applyNumberFormat="1" applyFont="1" applyFill="1" applyBorder="1" applyAlignment="1" applyProtection="1">
      <alignment horizontal="center" vertical="center"/>
      <protection locked="0"/>
    </xf>
    <xf numFmtId="14" fontId="17" fillId="12" borderId="17" xfId="18" applyNumberFormat="1" applyFont="1" applyFill="1" applyBorder="1" applyAlignment="1" applyProtection="1">
      <alignment horizontal="center" vertical="center"/>
      <protection locked="0"/>
    </xf>
    <xf numFmtId="0" fontId="6" fillId="0" borderId="56" xfId="6" applyNumberFormat="1" applyFont="1" applyBorder="1" applyAlignment="1">
      <alignment horizontal="left"/>
    </xf>
    <xf numFmtId="0" fontId="6" fillId="0" borderId="103" xfId="6" applyFont="1" applyBorder="1" applyAlignment="1">
      <alignment horizontal="left" vertical="center"/>
    </xf>
    <xf numFmtId="0" fontId="6" fillId="0" borderId="104" xfId="6" applyNumberFormat="1" applyFont="1" applyBorder="1" applyAlignment="1">
      <alignment horizontal="left" vertical="center" wrapText="1"/>
    </xf>
    <xf numFmtId="0" fontId="8" fillId="0" borderId="56" xfId="6" applyNumberFormat="1" applyFont="1" applyBorder="1" applyAlignment="1">
      <alignment horizontal="left"/>
    </xf>
    <xf numFmtId="0" fontId="8" fillId="0" borderId="56" xfId="6" applyNumberFormat="1" applyFont="1" applyBorder="1" applyAlignment="1">
      <alignment horizontal="left" vertical="center" wrapText="1"/>
    </xf>
    <xf numFmtId="0" fontId="8" fillId="0" borderId="57" xfId="6" applyNumberFormat="1" applyFont="1" applyBorder="1" applyAlignment="1">
      <alignment horizontal="left" vertical="center" wrapText="1"/>
    </xf>
    <xf numFmtId="0" fontId="33" fillId="13" borderId="96" xfId="14" quotePrefix="1" applyNumberFormat="1" applyFont="1" applyFill="1" applyBorder="1" applyAlignment="1">
      <alignment vertical="center"/>
    </xf>
    <xf numFmtId="0" fontId="8" fillId="2" borderId="18" xfId="0" applyFont="1" applyFill="1" applyBorder="1" applyProtection="1"/>
    <xf numFmtId="164" fontId="17" fillId="0" borderId="23" xfId="24" applyNumberFormat="1" applyFont="1" applyFill="1" applyBorder="1" applyAlignment="1" applyProtection="1">
      <alignment horizontal="center"/>
    </xf>
    <xf numFmtId="0" fontId="8" fillId="2" borderId="17" xfId="0" applyFont="1" applyFill="1" applyBorder="1" applyProtection="1"/>
    <xf numFmtId="0" fontId="11" fillId="13" borderId="1" xfId="0" applyNumberFormat="1" applyFont="1" applyFill="1" applyBorder="1" applyAlignment="1" applyProtection="1">
      <alignment horizontal="center"/>
    </xf>
    <xf numFmtId="0" fontId="11" fillId="13" borderId="23" xfId="0" applyNumberFormat="1" applyFont="1" applyFill="1" applyBorder="1" applyAlignment="1" applyProtection="1">
      <alignment horizontal="center"/>
    </xf>
    <xf numFmtId="0" fontId="8" fillId="12" borderId="1" xfId="0" applyNumberFormat="1" applyFont="1" applyFill="1" applyBorder="1" applyAlignment="1" applyProtection="1">
      <alignment horizontal="center"/>
      <protection locked="0"/>
    </xf>
    <xf numFmtId="0" fontId="8" fillId="12" borderId="23" xfId="0" applyNumberFormat="1" applyFont="1" applyFill="1" applyBorder="1" applyAlignment="1" applyProtection="1">
      <alignment horizontal="center"/>
      <protection locked="0"/>
    </xf>
    <xf numFmtId="0" fontId="34" fillId="2" borderId="0" xfId="0" applyFont="1" applyFill="1" applyBorder="1" applyProtection="1"/>
    <xf numFmtId="1" fontId="17" fillId="0" borderId="1" xfId="24" applyNumberFormat="1" applyFont="1" applyFill="1" applyBorder="1" applyAlignment="1" applyProtection="1">
      <alignment horizontal="center"/>
    </xf>
    <xf numFmtId="0" fontId="8" fillId="2" borderId="1" xfId="0" applyFont="1" applyFill="1" applyBorder="1" applyAlignment="1" applyProtection="1">
      <alignment horizontal="center"/>
    </xf>
    <xf numFmtId="0" fontId="10" fillId="2" borderId="1" xfId="0" applyFont="1" applyFill="1" applyBorder="1" applyAlignment="1" applyProtection="1">
      <alignment horizontal="center"/>
    </xf>
    <xf numFmtId="0" fontId="10" fillId="2" borderId="15" xfId="0" applyFont="1" applyFill="1" applyBorder="1" applyAlignment="1" applyProtection="1">
      <alignment horizontal="left"/>
    </xf>
    <xf numFmtId="0" fontId="10" fillId="2" borderId="18" xfId="0" applyFont="1" applyFill="1" applyBorder="1" applyAlignment="1" applyProtection="1">
      <alignment horizontal="center"/>
    </xf>
    <xf numFmtId="0" fontId="8" fillId="2" borderId="18" xfId="0" applyFont="1" applyFill="1" applyBorder="1" applyAlignment="1" applyProtection="1">
      <alignment horizontal="center"/>
    </xf>
    <xf numFmtId="0" fontId="8" fillId="2" borderId="23"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86" xfId="0" applyFont="1" applyFill="1" applyBorder="1" applyAlignment="1" applyProtection="1">
      <alignment horizontal="center"/>
    </xf>
    <xf numFmtId="0" fontId="8" fillId="12" borderId="89" xfId="0" applyNumberFormat="1" applyFont="1" applyFill="1" applyBorder="1" applyAlignment="1" applyProtection="1">
      <alignment horizontal="center"/>
      <protection locked="0"/>
    </xf>
    <xf numFmtId="0" fontId="8" fillId="21" borderId="23" xfId="0" applyNumberFormat="1" applyFont="1" applyFill="1" applyBorder="1" applyAlignment="1" applyProtection="1">
      <alignment horizontal="center"/>
      <protection locked="0"/>
    </xf>
    <xf numFmtId="0" fontId="8" fillId="2" borderId="7" xfId="0" applyFont="1" applyFill="1" applyBorder="1" applyProtection="1"/>
    <xf numFmtId="0" fontId="8" fillId="2" borderId="9" xfId="0" applyFont="1" applyFill="1" applyBorder="1" applyProtection="1"/>
    <xf numFmtId="0" fontId="16" fillId="0" borderId="0" xfId="0" applyFont="1" applyAlignment="1">
      <alignment vertical="center"/>
    </xf>
    <xf numFmtId="0" fontId="8" fillId="0" borderId="0" xfId="6" applyFont="1" applyBorder="1"/>
    <xf numFmtId="14" fontId="8" fillId="0" borderId="0" xfId="6" applyNumberFormat="1" applyFont="1" applyBorder="1" applyAlignment="1">
      <alignment horizontal="left"/>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17" fillId="12" borderId="14" xfId="18" applyFont="1" applyFill="1" applyBorder="1" applyAlignment="1" applyProtection="1">
      <alignment horizontal="center" vertical="center"/>
      <protection locked="0"/>
    </xf>
    <xf numFmtId="0" fontId="20" fillId="12" borderId="43" xfId="18" applyFont="1" applyFill="1" applyBorder="1" applyAlignment="1" applyProtection="1">
      <alignment horizontal="center" vertical="center"/>
      <protection locked="0"/>
    </xf>
    <xf numFmtId="0" fontId="20" fillId="12" borderId="32" xfId="18" applyFont="1" applyFill="1" applyBorder="1" applyAlignment="1" applyProtection="1">
      <alignment horizontal="center" vertical="center"/>
      <protection locked="0"/>
    </xf>
    <xf numFmtId="0" fontId="0" fillId="2" borderId="0" xfId="0" applyFill="1"/>
    <xf numFmtId="0" fontId="0" fillId="5" borderId="0" xfId="0" applyFill="1"/>
    <xf numFmtId="0" fontId="6" fillId="2" borderId="41" xfId="6" applyFont="1" applyFill="1" applyBorder="1"/>
    <xf numFmtId="0" fontId="28" fillId="2" borderId="59" xfId="6" applyFont="1" applyFill="1" applyBorder="1" applyAlignment="1">
      <alignment horizontal="left"/>
    </xf>
    <xf numFmtId="0" fontId="6" fillId="2" borderId="36" xfId="6" applyFont="1" applyFill="1" applyBorder="1"/>
    <xf numFmtId="14" fontId="6" fillId="2" borderId="56" xfId="6" applyNumberFormat="1" applyFont="1" applyFill="1" applyBorder="1" applyAlignment="1">
      <alignment horizontal="left"/>
    </xf>
    <xf numFmtId="0" fontId="6" fillId="2" borderId="36" xfId="6" applyNumberFormat="1" applyFont="1" applyFill="1" applyBorder="1"/>
    <xf numFmtId="0" fontId="28" fillId="2" borderId="56" xfId="6" applyFont="1" applyFill="1" applyBorder="1" applyAlignment="1">
      <alignment horizontal="left"/>
    </xf>
    <xf numFmtId="0" fontId="6" fillId="2" borderId="103" xfId="6" applyFont="1" applyFill="1" applyBorder="1" applyAlignment="1">
      <alignment horizontal="left" vertical="center"/>
    </xf>
    <xf numFmtId="0" fontId="6" fillId="2" borderId="104" xfId="6" applyNumberFormat="1" applyFont="1" applyFill="1" applyBorder="1" applyAlignment="1">
      <alignment horizontal="left" vertical="center" wrapText="1"/>
    </xf>
    <xf numFmtId="0" fontId="6" fillId="2" borderId="39" xfId="6" applyFont="1" applyFill="1" applyBorder="1"/>
    <xf numFmtId="14" fontId="6" fillId="2" borderId="57" xfId="6" applyNumberFormat="1" applyFont="1" applyFill="1" applyBorder="1" applyAlignment="1">
      <alignment horizontal="left"/>
    </xf>
    <xf numFmtId="0" fontId="8" fillId="2" borderId="0" xfId="21" applyFont="1" applyFill="1" applyBorder="1"/>
    <xf numFmtId="14" fontId="8" fillId="2" borderId="0" xfId="21" applyNumberFormat="1" applyFont="1" applyFill="1" applyBorder="1" applyAlignment="1">
      <alignment horizontal="left"/>
    </xf>
    <xf numFmtId="0" fontId="8" fillId="2" borderId="0" xfId="0" applyFont="1" applyFill="1"/>
    <xf numFmtId="0" fontId="8" fillId="2" borderId="0" xfId="0" applyFont="1" applyFill="1" applyBorder="1"/>
    <xf numFmtId="0" fontId="8" fillId="2" borderId="89" xfId="0" applyFont="1" applyFill="1" applyBorder="1"/>
    <xf numFmtId="0" fontId="8" fillId="2" borderId="4" xfId="0" applyFont="1" applyFill="1" applyBorder="1"/>
    <xf numFmtId="0" fontId="17" fillId="0" borderId="107" xfId="0" applyFont="1" applyFill="1" applyBorder="1" applyProtection="1"/>
    <xf numFmtId="0" fontId="17" fillId="0" borderId="56" xfId="21" applyFont="1" applyBorder="1" applyProtection="1"/>
    <xf numFmtId="0" fontId="11" fillId="22" borderId="27" xfId="6" applyFont="1" applyFill="1" applyBorder="1" applyAlignment="1" applyProtection="1">
      <alignment horizontal="center" vertical="center"/>
    </xf>
    <xf numFmtId="165" fontId="33" fillId="13" borderId="23" xfId="14" quotePrefix="1" applyNumberFormat="1" applyFont="1" applyFill="1" applyBorder="1" applyAlignment="1">
      <alignment horizontal="right" vertical="center"/>
    </xf>
    <xf numFmtId="165" fontId="33" fillId="13" borderId="23" xfId="14" quotePrefix="1" applyNumberFormat="1" applyFont="1" applyFill="1" applyBorder="1" applyAlignment="1">
      <alignment vertical="center"/>
    </xf>
    <xf numFmtId="0" fontId="10" fillId="2" borderId="8" xfId="0" applyFont="1" applyFill="1" applyBorder="1" applyAlignment="1" applyProtection="1">
      <alignment horizontal="center" vertical="center"/>
    </xf>
    <xf numFmtId="0" fontId="8" fillId="2" borderId="88" xfId="0" applyFont="1" applyFill="1" applyBorder="1" applyAlignment="1" applyProtection="1">
      <alignment horizontal="left"/>
    </xf>
    <xf numFmtId="0" fontId="8" fillId="2" borderId="89" xfId="0" applyFont="1" applyFill="1" applyBorder="1" applyAlignment="1" applyProtection="1">
      <alignment horizontal="center"/>
    </xf>
    <xf numFmtId="0" fontId="26" fillId="0" borderId="10" xfId="0" applyFont="1" applyFill="1" applyBorder="1" applyAlignment="1" applyProtection="1">
      <alignment horizontal="left" vertical="center" wrapText="1"/>
    </xf>
    <xf numFmtId="0" fontId="8" fillId="2" borderId="10" xfId="0" applyFont="1" applyFill="1" applyBorder="1" applyAlignment="1" applyProtection="1">
      <alignment horizontal="center"/>
    </xf>
    <xf numFmtId="0" fontId="0" fillId="0" borderId="0" xfId="0" applyBorder="1"/>
    <xf numFmtId="0" fontId="8" fillId="0" borderId="0" xfId="0" applyNumberFormat="1" applyFont="1" applyFill="1" applyBorder="1" applyAlignment="1" applyProtection="1">
      <alignment horizontal="left"/>
    </xf>
    <xf numFmtId="0" fontId="10" fillId="2" borderId="0" xfId="0" applyFont="1" applyFill="1" applyBorder="1" applyAlignment="1" applyProtection="1">
      <alignment horizontal="center" wrapText="1"/>
    </xf>
    <xf numFmtId="0" fontId="8" fillId="2" borderId="0" xfId="0" applyFont="1" applyFill="1" applyBorder="1" applyAlignment="1" applyProtection="1">
      <alignment horizontal="left" wrapText="1"/>
    </xf>
    <xf numFmtId="0" fontId="0" fillId="0" borderId="10" xfId="0" applyBorder="1"/>
    <xf numFmtId="0" fontId="10" fillId="2" borderId="87"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34" fillId="2" borderId="0" xfId="0" applyFont="1" applyFill="1" applyBorder="1"/>
    <xf numFmtId="0" fontId="34" fillId="2" borderId="12" xfId="0" applyFont="1" applyFill="1" applyBorder="1"/>
    <xf numFmtId="0" fontId="34" fillId="5" borderId="0" xfId="0" applyFont="1" applyFill="1"/>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21" fillId="0" borderId="0" xfId="19" applyFont="1" applyAlignment="1" applyProtection="1">
      <alignment horizontal="left" vertical="center"/>
      <protection locked="0"/>
    </xf>
    <xf numFmtId="0" fontId="8" fillId="0" borderId="0" xfId="4" applyNumberFormat="1" applyFont="1" applyFill="1" applyBorder="1" applyAlignment="1" applyProtection="1">
      <alignment horizontal="left" vertical="top" wrapText="1"/>
      <protection locked="0"/>
    </xf>
    <xf numFmtId="0" fontId="10" fillId="20" borderId="29" xfId="0" applyFont="1" applyFill="1" applyBorder="1" applyAlignment="1" applyProtection="1">
      <alignment horizontal="left"/>
    </xf>
    <xf numFmtId="0" fontId="10" fillId="20" borderId="30" xfId="0" applyFont="1" applyFill="1" applyBorder="1" applyAlignment="1" applyProtection="1">
      <alignment horizontal="left"/>
    </xf>
    <xf numFmtId="0" fontId="10" fillId="20" borderId="31" xfId="0" applyFont="1" applyFill="1" applyBorder="1" applyAlignment="1" applyProtection="1">
      <alignment horizontal="left"/>
    </xf>
    <xf numFmtId="0" fontId="21" fillId="0" borderId="0" xfId="19" applyFont="1" applyAlignment="1" applyProtection="1">
      <alignment horizontal="left" vertical="center"/>
      <protection locked="0"/>
    </xf>
    <xf numFmtId="0" fontId="8" fillId="2" borderId="75" xfId="0" applyFont="1" applyFill="1" applyBorder="1" applyAlignment="1" applyProtection="1">
      <alignment horizontal="left"/>
    </xf>
    <xf numFmtId="0" fontId="10" fillId="0" borderId="10" xfId="0" applyFont="1" applyFill="1" applyBorder="1" applyAlignment="1" applyProtection="1">
      <alignment horizontal="left"/>
    </xf>
    <xf numFmtId="0" fontId="34" fillId="2" borderId="6" xfId="0" applyFont="1" applyFill="1" applyBorder="1"/>
    <xf numFmtId="0" fontId="34" fillId="2" borderId="10" xfId="0" applyFont="1" applyFill="1" applyBorder="1"/>
    <xf numFmtId="0" fontId="34" fillId="2" borderId="13" xfId="0" applyFont="1" applyFill="1" applyBorder="1"/>
    <xf numFmtId="0" fontId="8" fillId="2" borderId="70" xfId="0" applyFont="1" applyFill="1" applyBorder="1" applyAlignment="1" applyProtection="1">
      <alignment horizontal="left"/>
    </xf>
    <xf numFmtId="0" fontId="8" fillId="2" borderId="71" xfId="0" applyFont="1" applyFill="1" applyBorder="1" applyAlignment="1" applyProtection="1">
      <alignment horizontal="left"/>
    </xf>
    <xf numFmtId="0" fontId="8" fillId="0" borderId="10" xfId="0" applyNumberFormat="1" applyFont="1" applyFill="1" applyBorder="1" applyAlignment="1" applyProtection="1">
      <alignment horizontal="center"/>
    </xf>
    <xf numFmtId="0" fontId="34" fillId="0" borderId="0" xfId="0" applyFont="1" applyFill="1" applyBorder="1"/>
    <xf numFmtId="0" fontId="34" fillId="0" borderId="10" xfId="0" applyFont="1" applyFill="1" applyBorder="1"/>
    <xf numFmtId="0" fontId="34" fillId="2" borderId="110" xfId="0" applyFont="1" applyFill="1" applyBorder="1"/>
    <xf numFmtId="0" fontId="8" fillId="2" borderId="11" xfId="0" applyFont="1" applyFill="1" applyBorder="1" applyAlignment="1" applyProtection="1">
      <alignment horizontal="left"/>
    </xf>
    <xf numFmtId="0" fontId="8" fillId="2" borderId="108" xfId="0" applyFont="1" applyFill="1" applyBorder="1" applyAlignment="1" applyProtection="1">
      <alignment horizontal="left"/>
    </xf>
    <xf numFmtId="165" fontId="11" fillId="13" borderId="1" xfId="0" applyNumberFormat="1" applyFont="1" applyFill="1" applyBorder="1" applyAlignment="1" applyProtection="1">
      <alignment horizontal="center"/>
    </xf>
    <xf numFmtId="165" fontId="11" fillId="13" borderId="23" xfId="0" applyNumberFormat="1" applyFont="1" applyFill="1" applyBorder="1" applyAlignment="1" applyProtection="1">
      <alignment horizontal="center"/>
    </xf>
    <xf numFmtId="0" fontId="8" fillId="2" borderId="10" xfId="0" applyFont="1" applyFill="1" applyBorder="1" applyAlignment="1" applyProtection="1">
      <alignment horizontal="left" vertical="center" wrapText="1"/>
    </xf>
    <xf numFmtId="0" fontId="8" fillId="2" borderId="13" xfId="0" applyFont="1" applyFill="1" applyBorder="1" applyAlignment="1" applyProtection="1">
      <alignment horizontal="left" vertical="center" wrapText="1"/>
    </xf>
    <xf numFmtId="0" fontId="17" fillId="0" borderId="24"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96" xfId="0" applyFont="1" applyBorder="1" applyAlignment="1" applyProtection="1">
      <alignment horizontal="left" vertical="center"/>
    </xf>
    <xf numFmtId="0" fontId="17" fillId="0" borderId="82" xfId="0" applyFont="1" applyBorder="1" applyAlignment="1" applyProtection="1">
      <alignment horizontal="left" vertical="center"/>
    </xf>
    <xf numFmtId="0" fontId="17" fillId="0" borderId="58"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81" xfId="0" applyFont="1" applyBorder="1" applyAlignment="1" applyProtection="1">
      <alignment horizontal="left" vertical="center"/>
    </xf>
    <xf numFmtId="0" fontId="17" fillId="0" borderId="108" xfId="0" applyFont="1" applyBorder="1" applyAlignment="1" applyProtection="1">
      <alignment horizontal="left" vertical="center"/>
    </xf>
    <xf numFmtId="0" fontId="17" fillId="0" borderId="5" xfId="0" applyFont="1" applyBorder="1" applyAlignment="1" applyProtection="1">
      <alignment horizontal="left" vertical="center"/>
    </xf>
    <xf numFmtId="0" fontId="17" fillId="0" borderId="12" xfId="0" applyFont="1" applyBorder="1" applyAlignment="1" applyProtection="1">
      <alignment horizontal="left" vertical="center"/>
    </xf>
    <xf numFmtId="0" fontId="17" fillId="0" borderId="112" xfId="0" applyFont="1" applyBorder="1" applyAlignment="1" applyProtection="1">
      <alignment horizontal="left" vertical="center"/>
    </xf>
    <xf numFmtId="0" fontId="8" fillId="2" borderId="102" xfId="0" applyFont="1" applyFill="1" applyBorder="1" applyAlignment="1" applyProtection="1">
      <alignment horizontal="left" wrapText="1"/>
    </xf>
    <xf numFmtId="0" fontId="8" fillId="0" borderId="15" xfId="6" applyFont="1" applyBorder="1" applyAlignment="1">
      <alignment vertical="center"/>
    </xf>
    <xf numFmtId="0" fontId="33" fillId="13" borderId="5" xfId="14" quotePrefix="1" applyNumberFormat="1" applyFont="1" applyFill="1" applyBorder="1" applyAlignment="1">
      <alignment vertical="center"/>
    </xf>
    <xf numFmtId="0" fontId="8" fillId="0" borderId="43" xfId="0" applyFont="1" applyBorder="1" applyAlignment="1">
      <alignment horizontal="center" vertical="center"/>
    </xf>
    <xf numFmtId="0" fontId="34" fillId="2" borderId="0" xfId="0" applyFont="1" applyFill="1" applyAlignment="1">
      <alignment wrapText="1"/>
    </xf>
    <xf numFmtId="0" fontId="0" fillId="0" borderId="0" xfId="0" applyAlignment="1">
      <alignment wrapText="1"/>
    </xf>
    <xf numFmtId="0" fontId="0" fillId="5" borderId="0" xfId="0" applyFill="1" applyAlignment="1" applyProtection="1">
      <alignment wrapText="1"/>
    </xf>
    <xf numFmtId="0" fontId="43" fillId="0" borderId="5" xfId="0" applyFont="1" applyBorder="1" applyAlignment="1" applyProtection="1">
      <alignment horizontal="left" vertical="center"/>
    </xf>
    <xf numFmtId="0" fontId="10" fillId="2" borderId="7" xfId="0" applyFont="1" applyFill="1" applyBorder="1" applyProtection="1"/>
    <xf numFmtId="0" fontId="10" fillId="2" borderId="8" xfId="0" applyFont="1" applyFill="1" applyBorder="1" applyProtection="1"/>
    <xf numFmtId="0" fontId="10" fillId="2" borderId="60" xfId="0" applyFont="1" applyFill="1" applyBorder="1" applyAlignment="1" applyProtection="1"/>
    <xf numFmtId="0" fontId="10" fillId="2" borderId="116" xfId="0" applyFont="1" applyFill="1" applyBorder="1" applyAlignment="1" applyProtection="1"/>
    <xf numFmtId="0" fontId="12" fillId="0" borderId="5" xfId="0" applyFont="1" applyBorder="1" applyAlignment="1" applyProtection="1">
      <alignment horizontal="left" vertical="center"/>
    </xf>
    <xf numFmtId="0" fontId="17" fillId="0" borderId="117" xfId="0" applyFont="1" applyBorder="1" applyAlignment="1" applyProtection="1">
      <alignment horizontal="left" vertical="center"/>
    </xf>
    <xf numFmtId="0" fontId="10" fillId="2" borderId="116" xfId="0" applyFont="1" applyFill="1" applyBorder="1" applyAlignment="1" applyProtection="1">
      <alignment horizontal="center"/>
    </xf>
    <xf numFmtId="0" fontId="10" fillId="2" borderId="116" xfId="0" applyFont="1" applyFill="1" applyBorder="1" applyAlignment="1" applyProtection="1">
      <alignment horizontal="center" vertical="center"/>
    </xf>
    <xf numFmtId="0" fontId="8" fillId="2" borderId="75" xfId="0" applyFont="1" applyFill="1" applyBorder="1" applyAlignment="1" applyProtection="1"/>
    <xf numFmtId="0" fontId="8" fillId="2" borderId="16" xfId="0" applyFont="1" applyFill="1" applyBorder="1" applyAlignment="1" applyProtection="1">
      <alignment horizontal="left"/>
    </xf>
    <xf numFmtId="0" fontId="10" fillId="20" borderId="29" xfId="0" applyFont="1" applyFill="1" applyBorder="1" applyAlignment="1" applyProtection="1">
      <alignment horizontal="left"/>
    </xf>
    <xf numFmtId="0" fontId="10" fillId="20" borderId="30" xfId="0" applyFont="1" applyFill="1" applyBorder="1" applyAlignment="1" applyProtection="1">
      <alignment horizontal="left"/>
    </xf>
    <xf numFmtId="0" fontId="10" fillId="20" borderId="31" xfId="0" applyFont="1" applyFill="1" applyBorder="1" applyAlignment="1" applyProtection="1">
      <alignment horizontal="left"/>
    </xf>
    <xf numFmtId="0" fontId="8" fillId="2" borderId="15" xfId="0" applyFont="1" applyFill="1" applyBorder="1" applyAlignment="1" applyProtection="1">
      <alignment horizontal="left"/>
    </xf>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8" fillId="0" borderId="60" xfId="21" applyFont="1" applyBorder="1" applyAlignment="1" applyProtection="1">
      <alignment horizontal="left" vertical="center"/>
    </xf>
    <xf numFmtId="0" fontId="8" fillId="0" borderId="61" xfId="21" applyFont="1" applyBorder="1" applyAlignment="1" applyProtection="1">
      <alignment horizontal="left" vertical="center"/>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9" fillId="0" borderId="62" xfId="21" applyFont="1" applyBorder="1" applyAlignment="1" applyProtection="1">
      <alignment horizontal="left" vertical="center"/>
    </xf>
    <xf numFmtId="0" fontId="9" fillId="0" borderId="63" xfId="21" applyFont="1" applyBorder="1" applyAlignment="1" applyProtection="1">
      <alignment horizontal="left" vertical="center"/>
    </xf>
    <xf numFmtId="0" fontId="9" fillId="0" borderId="66" xfId="21" applyNumberFormat="1" applyFont="1" applyBorder="1" applyAlignment="1" applyProtection="1">
      <alignment horizontal="left" vertical="center"/>
    </xf>
    <xf numFmtId="0" fontId="9" fillId="0" borderId="67" xfId="21" applyNumberFormat="1" applyFont="1" applyBorder="1" applyAlignment="1" applyProtection="1">
      <alignment horizontal="left" vertical="center"/>
    </xf>
    <xf numFmtId="14" fontId="9" fillId="0" borderId="66" xfId="21" applyNumberFormat="1" applyFont="1" applyBorder="1" applyAlignment="1" applyProtection="1">
      <alignment horizontal="left" vertical="center"/>
    </xf>
    <xf numFmtId="14" fontId="9" fillId="0" borderId="67" xfId="21" applyNumberFormat="1" applyFont="1" applyBorder="1" applyAlignment="1" applyProtection="1">
      <alignment horizontal="left" vertical="center"/>
    </xf>
    <xf numFmtId="0" fontId="8" fillId="0" borderId="11" xfId="21" applyFont="1" applyBorder="1" applyAlignment="1" applyProtection="1">
      <alignment horizontal="left" vertical="center"/>
    </xf>
    <xf numFmtId="0" fontId="8" fillId="0" borderId="68" xfId="21" applyFont="1" applyBorder="1" applyAlignment="1" applyProtection="1">
      <alignment horizontal="left" vertical="center"/>
    </xf>
    <xf numFmtId="0" fontId="9" fillId="0" borderId="67" xfId="21" applyNumberFormat="1" applyFont="1" applyBorder="1" applyAlignment="1" applyProtection="1">
      <alignment horizontal="left" vertical="center" wrapText="1"/>
    </xf>
    <xf numFmtId="14" fontId="9" fillId="0" borderId="12" xfId="21" applyNumberFormat="1" applyFont="1" applyBorder="1" applyAlignment="1" applyProtection="1">
      <alignment horizontal="left" vertical="center"/>
    </xf>
    <xf numFmtId="14" fontId="9" fillId="0" borderId="13" xfId="21" applyNumberFormat="1" applyFont="1" applyBorder="1" applyAlignment="1" applyProtection="1">
      <alignment horizontal="left" vertical="center"/>
    </xf>
    <xf numFmtId="0" fontId="21" fillId="0" borderId="0" xfId="19" applyFont="1" applyAlignment="1" applyProtection="1">
      <alignment horizontal="left" vertical="center"/>
      <protection locked="0"/>
    </xf>
    <xf numFmtId="0" fontId="10" fillId="20" borderId="7" xfId="0" applyFont="1" applyFill="1" applyBorder="1" applyAlignment="1" applyProtection="1">
      <alignment horizontal="left"/>
    </xf>
    <xf numFmtId="0" fontId="10" fillId="20" borderId="8" xfId="0" applyFont="1" applyFill="1" applyBorder="1" applyAlignment="1" applyProtection="1">
      <alignment horizontal="left"/>
    </xf>
    <xf numFmtId="0" fontId="11" fillId="13" borderId="78" xfId="0" applyNumberFormat="1" applyFont="1" applyFill="1" applyBorder="1" applyAlignment="1" applyProtection="1">
      <alignment horizontal="center"/>
    </xf>
    <xf numFmtId="0" fontId="11" fillId="13" borderId="5" xfId="0" applyNumberFormat="1" applyFont="1" applyFill="1" applyBorder="1" applyAlignment="1" applyProtection="1">
      <alignment horizontal="center"/>
    </xf>
    <xf numFmtId="0" fontId="11" fillId="13" borderId="106" xfId="0" applyNumberFormat="1" applyFont="1" applyFill="1" applyBorder="1" applyAlignment="1" applyProtection="1">
      <alignment horizontal="center"/>
    </xf>
    <xf numFmtId="0" fontId="11" fillId="13" borderId="58" xfId="0" applyNumberFormat="1" applyFont="1" applyFill="1" applyBorder="1" applyAlignment="1" applyProtection="1">
      <alignment horizontal="center"/>
    </xf>
    <xf numFmtId="0" fontId="10" fillId="2" borderId="4" xfId="0" applyFont="1" applyFill="1" applyBorder="1" applyAlignment="1" applyProtection="1">
      <alignment horizontal="center" vertical="center" wrapText="1"/>
    </xf>
    <xf numFmtId="0" fontId="10" fillId="20" borderId="9" xfId="0" applyFont="1" applyFill="1" applyBorder="1" applyAlignment="1" applyProtection="1">
      <alignment horizontal="left"/>
    </xf>
    <xf numFmtId="0" fontId="10" fillId="2" borderId="105" xfId="0" applyFont="1" applyFill="1" applyBorder="1" applyAlignment="1" applyProtection="1">
      <alignment horizontal="center" vertical="center" wrapText="1"/>
    </xf>
    <xf numFmtId="0" fontId="17" fillId="0" borderId="5" xfId="0" applyFont="1" applyBorder="1" applyAlignment="1" applyProtection="1">
      <alignment horizontal="left" vertical="center" wrapText="1"/>
    </xf>
    <xf numFmtId="0" fontId="10" fillId="2" borderId="93" xfId="0" applyFont="1" applyFill="1" applyBorder="1" applyAlignment="1" applyProtection="1">
      <alignment horizontal="center" vertical="center"/>
    </xf>
    <xf numFmtId="0" fontId="8" fillId="2" borderId="58" xfId="0" applyFont="1" applyFill="1" applyBorder="1" applyAlignment="1" applyProtection="1">
      <alignment wrapText="1"/>
    </xf>
    <xf numFmtId="0" fontId="10" fillId="2" borderId="93" xfId="0" applyFont="1" applyFill="1" applyBorder="1" applyAlignment="1" applyProtection="1">
      <alignment horizontal="center"/>
    </xf>
    <xf numFmtId="0" fontId="11" fillId="13" borderId="78" xfId="0" applyNumberFormat="1" applyFont="1" applyFill="1" applyBorder="1" applyAlignment="1" applyProtection="1">
      <alignment horizontal="center" vertical="center"/>
    </xf>
    <xf numFmtId="0" fontId="11" fillId="13" borderId="106" xfId="0" applyNumberFormat="1" applyFont="1" applyFill="1" applyBorder="1" applyAlignment="1" applyProtection="1">
      <alignment horizontal="center" vertical="center"/>
    </xf>
    <xf numFmtId="0" fontId="42" fillId="0" borderId="5" xfId="0" applyFont="1" applyBorder="1" applyAlignment="1" applyProtection="1">
      <alignment horizontal="left" vertical="center"/>
    </xf>
    <xf numFmtId="0" fontId="10" fillId="2" borderId="113" xfId="0" applyFont="1" applyFill="1" applyBorder="1" applyAlignment="1" applyProtection="1">
      <alignment horizontal="center" vertical="center"/>
    </xf>
    <xf numFmtId="0" fontId="10" fillId="2" borderId="109"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0" fontId="10" fillId="20" borderId="7" xfId="0" applyFont="1" applyFill="1" applyBorder="1" applyAlignment="1" applyProtection="1"/>
    <xf numFmtId="0" fontId="10" fillId="20" borderId="8" xfId="0" applyFont="1" applyFill="1" applyBorder="1" applyAlignment="1" applyProtection="1"/>
    <xf numFmtId="0" fontId="10" fillId="20" borderId="9" xfId="0" applyFont="1" applyFill="1" applyBorder="1" applyAlignment="1" applyProtection="1"/>
    <xf numFmtId="0" fontId="8" fillId="2" borderId="46" xfId="0" applyFont="1" applyFill="1" applyBorder="1" applyAlignment="1" applyProtection="1">
      <alignment horizontal="center"/>
    </xf>
    <xf numFmtId="0" fontId="17" fillId="0" borderId="81" xfId="0" applyFont="1" applyBorder="1" applyAlignment="1" applyProtection="1">
      <alignment vertical="center"/>
    </xf>
    <xf numFmtId="0" fontId="17" fillId="0" borderId="5" xfId="0" applyFont="1" applyBorder="1" applyAlignment="1" applyProtection="1">
      <alignment vertical="center"/>
    </xf>
    <xf numFmtId="0" fontId="17" fillId="0" borderId="112" xfId="0" applyFont="1" applyBorder="1" applyAlignment="1" applyProtection="1">
      <alignment vertical="center" wrapText="1"/>
    </xf>
    <xf numFmtId="0" fontId="10" fillId="2" borderId="22" xfId="0" applyFont="1" applyFill="1" applyBorder="1" applyAlignment="1" applyProtection="1"/>
    <xf numFmtId="0" fontId="10" fillId="2" borderId="111" xfId="0" applyFont="1" applyFill="1" applyBorder="1" applyAlignment="1" applyProtection="1"/>
    <xf numFmtId="0" fontId="10" fillId="0" borderId="6" xfId="0" applyFont="1" applyFill="1" applyBorder="1" applyAlignment="1" applyProtection="1">
      <alignment horizontal="left"/>
    </xf>
    <xf numFmtId="0" fontId="10" fillId="2" borderId="93" xfId="0" applyFont="1" applyFill="1" applyBorder="1" applyProtection="1"/>
    <xf numFmtId="0" fontId="8" fillId="2" borderId="93" xfId="0" applyFont="1" applyFill="1" applyBorder="1" applyProtection="1"/>
    <xf numFmtId="0" fontId="17" fillId="0" borderId="119" xfId="0" applyFont="1" applyBorder="1" applyAlignment="1" applyProtection="1">
      <alignment horizontal="left" vertical="center"/>
    </xf>
    <xf numFmtId="0" fontId="8" fillId="2" borderId="113" xfId="0" applyFont="1" applyFill="1" applyBorder="1" applyProtection="1"/>
    <xf numFmtId="0" fontId="0" fillId="0" borderId="6" xfId="0" applyBorder="1"/>
    <xf numFmtId="0" fontId="0" fillId="0" borderId="11" xfId="0" applyBorder="1"/>
    <xf numFmtId="0" fontId="10" fillId="2" borderId="87" xfId="0" applyFont="1" applyFill="1" applyBorder="1" applyAlignment="1" applyProtection="1">
      <alignment horizontal="center" vertical="center"/>
    </xf>
    <xf numFmtId="0" fontId="17" fillId="0" borderId="112" xfId="0" applyFont="1" applyBorder="1" applyAlignment="1" applyProtection="1">
      <alignment vertical="center"/>
    </xf>
    <xf numFmtId="0" fontId="10" fillId="20" borderId="30" xfId="0" applyFont="1" applyFill="1" applyBorder="1" applyAlignment="1" applyProtection="1"/>
    <xf numFmtId="0" fontId="10" fillId="20" borderId="31" xfId="0" applyFont="1" applyFill="1" applyBorder="1" applyAlignment="1" applyProtection="1"/>
    <xf numFmtId="0" fontId="45" fillId="2" borderId="0" xfId="0" applyFont="1" applyFill="1" applyBorder="1"/>
    <xf numFmtId="165" fontId="11" fillId="13" borderId="1" xfId="0" applyNumberFormat="1" applyFont="1" applyFill="1" applyBorder="1" applyAlignment="1" applyProtection="1">
      <alignment horizontal="center" vertical="center"/>
    </xf>
    <xf numFmtId="165" fontId="11" fillId="13" borderId="23" xfId="0" applyNumberFormat="1" applyFont="1" applyFill="1" applyBorder="1" applyAlignment="1" applyProtection="1">
      <alignment horizontal="center" vertical="center"/>
    </xf>
    <xf numFmtId="0" fontId="10" fillId="2" borderId="113" xfId="0" applyFont="1" applyFill="1" applyBorder="1" applyAlignment="1" applyProtection="1">
      <alignment horizontal="center"/>
    </xf>
    <xf numFmtId="0" fontId="8" fillId="2" borderId="108" xfId="0" applyFont="1" applyFill="1" applyBorder="1" applyAlignment="1" applyProtection="1"/>
    <xf numFmtId="0" fontId="10" fillId="20" borderId="29" xfId="0" applyFont="1" applyFill="1" applyBorder="1" applyAlignment="1" applyProtection="1"/>
    <xf numFmtId="0" fontId="8" fillId="2" borderId="12" xfId="0" applyFont="1" applyFill="1" applyBorder="1" applyAlignment="1" applyProtection="1">
      <alignment horizontal="left"/>
    </xf>
    <xf numFmtId="0" fontId="17" fillId="0" borderId="112" xfId="0" applyFont="1" applyBorder="1" applyAlignment="1" applyProtection="1">
      <alignment horizontal="left" vertical="center" wrapText="1"/>
    </xf>
    <xf numFmtId="0" fontId="10" fillId="2" borderId="120" xfId="0" applyFont="1" applyFill="1" applyBorder="1" applyAlignment="1" applyProtection="1"/>
    <xf numFmtId="0" fontId="8" fillId="2" borderId="82" xfId="0" applyFont="1" applyFill="1" applyBorder="1" applyAlignment="1" applyProtection="1"/>
    <xf numFmtId="0" fontId="8" fillId="2" borderId="58" xfId="0" applyFont="1" applyFill="1" applyBorder="1" applyAlignment="1" applyProtection="1">
      <alignment horizontal="left"/>
    </xf>
    <xf numFmtId="0" fontId="8" fillId="2" borderId="121" xfId="0" applyFont="1" applyFill="1" applyBorder="1" applyAlignment="1" applyProtection="1"/>
    <xf numFmtId="0" fontId="8" fillId="2" borderId="119" xfId="0" applyFont="1" applyFill="1" applyBorder="1" applyAlignment="1" applyProtection="1">
      <alignment wrapText="1"/>
    </xf>
    <xf numFmtId="0" fontId="8" fillId="2" borderId="77" xfId="0" applyFont="1" applyFill="1" applyBorder="1" applyAlignment="1" applyProtection="1">
      <alignment horizontal="left"/>
    </xf>
    <xf numFmtId="0" fontId="34" fillId="2" borderId="6" xfId="0" applyFont="1" applyFill="1" applyBorder="1" applyProtection="1"/>
    <xf numFmtId="0" fontId="34" fillId="2" borderId="6" xfId="0" applyFont="1" applyFill="1" applyBorder="1" applyAlignment="1">
      <alignment wrapText="1"/>
    </xf>
    <xf numFmtId="0" fontId="34" fillId="0" borderId="10" xfId="0" applyFont="1" applyFill="1" applyBorder="1" applyAlignment="1">
      <alignment wrapText="1"/>
    </xf>
    <xf numFmtId="0" fontId="34" fillId="2" borderId="11" xfId="0" applyFont="1" applyFill="1" applyBorder="1"/>
    <xf numFmtId="0" fontId="8" fillId="2" borderId="12" xfId="0" applyFont="1" applyFill="1" applyBorder="1" applyAlignment="1" applyProtection="1">
      <alignment horizontal="left" wrapText="1"/>
    </xf>
    <xf numFmtId="0" fontId="9" fillId="0" borderId="74" xfId="21" applyNumberFormat="1" applyFont="1" applyBorder="1" applyAlignment="1" applyProtection="1">
      <alignment horizontal="left" vertical="center"/>
    </xf>
    <xf numFmtId="0" fontId="22" fillId="6" borderId="29" xfId="7" applyFont="1" applyBorder="1" applyAlignment="1" applyProtection="1">
      <alignment vertical="center"/>
    </xf>
    <xf numFmtId="0" fontId="22" fillId="6" borderId="30" xfId="7" applyFont="1" applyBorder="1" applyAlignment="1" applyProtection="1">
      <alignment vertical="center"/>
    </xf>
    <xf numFmtId="0" fontId="22" fillId="6" borderId="31" xfId="7" applyFont="1" applyBorder="1" applyAlignment="1" applyProtection="1">
      <alignment vertical="center"/>
    </xf>
    <xf numFmtId="0" fontId="8" fillId="0" borderId="60" xfId="21" applyFont="1" applyBorder="1" applyAlignment="1" applyProtection="1">
      <alignment vertical="center"/>
    </xf>
    <xf numFmtId="0" fontId="8" fillId="0" borderId="61" xfId="21" applyFont="1" applyBorder="1" applyAlignment="1" applyProtection="1">
      <alignment vertical="center"/>
    </xf>
    <xf numFmtId="0" fontId="9" fillId="0" borderId="62" xfId="21" applyFont="1" applyBorder="1" applyAlignment="1" applyProtection="1">
      <alignment vertical="center"/>
    </xf>
    <xf numFmtId="0" fontId="9" fillId="0" borderId="63" xfId="21" applyFont="1" applyBorder="1" applyAlignment="1" applyProtection="1">
      <alignment vertical="center"/>
    </xf>
    <xf numFmtId="0" fontId="8" fillId="0" borderId="64" xfId="21" applyFont="1" applyBorder="1" applyAlignment="1" applyProtection="1">
      <alignment vertical="center"/>
    </xf>
    <xf numFmtId="0" fontId="8" fillId="0" borderId="65" xfId="21" applyFont="1" applyBorder="1" applyAlignment="1" applyProtection="1">
      <alignment vertical="center"/>
    </xf>
    <xf numFmtId="0" fontId="9" fillId="0" borderId="66" xfId="21" applyNumberFormat="1" applyFont="1" applyBorder="1" applyAlignment="1" applyProtection="1">
      <alignment vertical="center"/>
    </xf>
    <xf numFmtId="0" fontId="9" fillId="0" borderId="67" xfId="21" applyNumberFormat="1" applyFont="1" applyBorder="1" applyAlignment="1" applyProtection="1">
      <alignment vertical="center"/>
    </xf>
    <xf numFmtId="0" fontId="9" fillId="0" borderId="67" xfId="21" applyNumberFormat="1" applyFont="1" applyBorder="1" applyAlignment="1" applyProtection="1">
      <alignment vertical="center" wrapText="1"/>
    </xf>
    <xf numFmtId="14" fontId="9" fillId="0" borderId="67" xfId="21" applyNumberFormat="1" applyFont="1" applyBorder="1" applyAlignment="1" applyProtection="1">
      <alignment vertical="center"/>
    </xf>
    <xf numFmtId="0" fontId="8" fillId="0" borderId="11" xfId="21" applyFont="1" applyBorder="1" applyAlignment="1" applyProtection="1">
      <alignment vertical="center"/>
    </xf>
    <xf numFmtId="0" fontId="8" fillId="0" borderId="68" xfId="21" applyFont="1" applyBorder="1" applyAlignment="1" applyProtection="1">
      <alignment vertical="center"/>
    </xf>
    <xf numFmtId="14" fontId="9" fillId="0" borderId="12" xfId="21" applyNumberFormat="1" applyFont="1" applyBorder="1" applyAlignment="1" applyProtection="1">
      <alignment vertical="center"/>
    </xf>
    <xf numFmtId="14" fontId="9" fillId="0" borderId="13" xfId="21" applyNumberFormat="1" applyFont="1" applyBorder="1" applyAlignment="1" applyProtection="1">
      <alignment vertical="center"/>
    </xf>
    <xf numFmtId="0" fontId="9" fillId="0" borderId="74" xfId="21" applyNumberFormat="1" applyFont="1" applyBorder="1" applyAlignment="1" applyProtection="1">
      <alignment vertical="center"/>
    </xf>
    <xf numFmtId="0" fontId="7" fillId="6" borderId="29" xfId="7" applyBorder="1" applyAlignment="1">
      <alignment horizontal="left" vertical="center"/>
    </xf>
    <xf numFmtId="0" fontId="7" fillId="6" borderId="31" xfId="7" applyBorder="1" applyAlignment="1">
      <alignment horizontal="left" vertical="center"/>
    </xf>
    <xf numFmtId="0" fontId="21" fillId="0" borderId="29" xfId="1" applyFont="1" applyBorder="1" applyAlignment="1" applyProtection="1">
      <alignment horizontal="left" vertical="center" wrapText="1"/>
      <protection locked="0"/>
    </xf>
    <xf numFmtId="0" fontId="21" fillId="0" borderId="31" xfId="1" applyFont="1" applyBorder="1" applyAlignment="1" applyProtection="1">
      <alignment horizontal="left" vertical="center" wrapText="1"/>
      <protection locked="0"/>
    </xf>
    <xf numFmtId="0" fontId="17" fillId="14" borderId="7" xfId="7" applyFont="1" applyFill="1" applyBorder="1" applyAlignment="1">
      <alignment horizontal="left" vertical="center" wrapText="1"/>
    </xf>
    <xf numFmtId="0" fontId="17" fillId="14" borderId="9" xfId="7" applyFont="1" applyFill="1" applyBorder="1" applyAlignment="1">
      <alignment horizontal="left" vertical="center" wrapText="1"/>
    </xf>
    <xf numFmtId="0" fontId="17" fillId="14" borderId="6" xfId="7" applyFont="1" applyFill="1" applyBorder="1" applyAlignment="1">
      <alignment horizontal="left" vertical="center" wrapText="1"/>
    </xf>
    <xf numFmtId="0" fontId="17" fillId="14" borderId="10" xfId="7" applyFont="1" applyFill="1" applyBorder="1" applyAlignment="1">
      <alignment horizontal="left" vertical="center" wrapText="1"/>
    </xf>
    <xf numFmtId="0" fontId="17" fillId="14" borderId="11" xfId="7" applyFont="1" applyFill="1" applyBorder="1" applyAlignment="1">
      <alignment horizontal="left" vertical="center" wrapText="1"/>
    </xf>
    <xf numFmtId="0" fontId="17" fillId="14" borderId="13" xfId="7" applyFont="1" applyFill="1" applyBorder="1" applyAlignment="1">
      <alignment horizontal="left" vertical="center" wrapText="1"/>
    </xf>
    <xf numFmtId="0" fontId="17" fillId="14" borderId="7" xfId="7" applyFont="1" applyFill="1" applyBorder="1" applyAlignment="1" applyProtection="1">
      <alignment horizontal="left" vertical="center" wrapText="1"/>
    </xf>
    <xf numFmtId="0" fontId="17" fillId="14" borderId="9" xfId="7" applyFont="1" applyFill="1" applyBorder="1" applyAlignment="1" applyProtection="1">
      <alignment horizontal="left" vertical="center" wrapText="1"/>
    </xf>
    <xf numFmtId="0" fontId="17" fillId="14" borderId="11" xfId="7" applyFont="1" applyFill="1" applyBorder="1" applyAlignment="1" applyProtection="1">
      <alignment horizontal="left" vertical="center" wrapText="1"/>
    </xf>
    <xf numFmtId="0" fontId="17" fillId="14" borderId="13" xfId="7" applyFont="1" applyFill="1" applyBorder="1" applyAlignment="1" applyProtection="1">
      <alignment horizontal="left" vertical="center" wrapText="1"/>
    </xf>
    <xf numFmtId="0" fontId="10" fillId="20" borderId="29" xfId="0" applyFont="1" applyFill="1" applyBorder="1" applyAlignment="1">
      <alignment horizontal="center"/>
    </xf>
    <xf numFmtId="0" fontId="10" fillId="20" borderId="31" xfId="0" applyFont="1" applyFill="1" applyBorder="1" applyAlignment="1">
      <alignment horizontal="center"/>
    </xf>
    <xf numFmtId="0" fontId="10" fillId="20" borderId="99" xfId="0" applyFont="1" applyFill="1" applyBorder="1" applyAlignment="1">
      <alignment horizontal="center" vertical="center"/>
    </xf>
    <xf numFmtId="0" fontId="10" fillId="20" borderId="100" xfId="0" applyFont="1" applyFill="1" applyBorder="1" applyAlignment="1">
      <alignment horizontal="center" vertical="center"/>
    </xf>
    <xf numFmtId="0" fontId="32" fillId="6" borderId="29" xfId="7" applyFont="1" applyBorder="1" applyAlignment="1">
      <alignment horizontal="left" vertical="center"/>
    </xf>
    <xf numFmtId="0" fontId="32" fillId="6" borderId="31" xfId="7" applyFont="1" applyBorder="1" applyAlignment="1">
      <alignment horizontal="left" vertical="center"/>
    </xf>
    <xf numFmtId="0" fontId="22" fillId="16" borderId="7" xfId="7" applyFont="1" applyFill="1" applyBorder="1" applyAlignment="1" applyProtection="1">
      <alignment horizontal="left" vertical="center" wrapText="1"/>
    </xf>
    <xf numFmtId="0" fontId="22" fillId="16" borderId="8" xfId="7" applyFont="1" applyFill="1" applyBorder="1" applyAlignment="1" applyProtection="1">
      <alignment horizontal="left" vertical="center" wrapText="1"/>
    </xf>
    <xf numFmtId="0" fontId="22" fillId="16" borderId="9" xfId="7" applyFont="1" applyFill="1" applyBorder="1" applyAlignment="1" applyProtection="1">
      <alignment horizontal="left" vertical="center" wrapText="1"/>
    </xf>
    <xf numFmtId="0" fontId="22" fillId="16" borderId="6" xfId="7" applyFont="1" applyFill="1" applyBorder="1" applyAlignment="1" applyProtection="1">
      <alignment horizontal="left" vertical="center" wrapText="1"/>
    </xf>
    <xf numFmtId="0" fontId="22" fillId="16" borderId="0" xfId="7" applyFont="1" applyFill="1" applyBorder="1" applyAlignment="1" applyProtection="1">
      <alignment horizontal="left" vertical="center" wrapText="1"/>
    </xf>
    <xf numFmtId="0" fontId="22" fillId="16" borderId="10" xfId="7" applyFont="1" applyFill="1" applyBorder="1" applyAlignment="1" applyProtection="1">
      <alignment horizontal="left" vertical="center" wrapText="1"/>
    </xf>
    <xf numFmtId="0" fontId="22" fillId="16" borderId="11" xfId="7" applyFont="1" applyFill="1" applyBorder="1" applyAlignment="1" applyProtection="1">
      <alignment horizontal="left" vertical="center" wrapText="1"/>
    </xf>
    <xf numFmtId="0" fontId="22" fillId="16" borderId="12" xfId="7" applyFont="1" applyFill="1" applyBorder="1" applyAlignment="1" applyProtection="1">
      <alignment horizontal="left" vertical="center" wrapText="1"/>
    </xf>
    <xf numFmtId="0" fontId="22" fillId="16" borderId="13" xfId="7" applyFont="1" applyFill="1" applyBorder="1" applyAlignment="1" applyProtection="1">
      <alignment horizontal="left" vertical="center" wrapText="1"/>
    </xf>
    <xf numFmtId="0" fontId="26" fillId="0" borderId="6" xfId="6" applyFont="1" applyBorder="1" applyAlignment="1">
      <alignment horizontal="left" vertical="center"/>
    </xf>
    <xf numFmtId="0" fontId="26" fillId="0" borderId="10" xfId="6" applyFont="1" applyBorder="1" applyAlignment="1">
      <alignment horizontal="left" vertical="center"/>
    </xf>
    <xf numFmtId="0" fontId="23" fillId="0" borderId="0" xfId="1" applyFont="1" applyAlignment="1" applyProtection="1">
      <alignment horizontal="left" vertical="center"/>
      <protection locked="0"/>
    </xf>
    <xf numFmtId="0" fontId="22" fillId="6" borderId="29" xfId="7" applyFont="1" applyBorder="1" applyAlignment="1">
      <alignment horizontal="left" vertical="center"/>
    </xf>
    <xf numFmtId="0" fontId="22" fillId="6" borderId="30" xfId="7" applyFont="1" applyBorder="1" applyAlignment="1">
      <alignment horizontal="left" vertical="center"/>
    </xf>
    <xf numFmtId="0" fontId="22" fillId="6" borderId="31" xfId="7" applyFont="1" applyBorder="1" applyAlignment="1">
      <alignment horizontal="left" vertical="center"/>
    </xf>
    <xf numFmtId="0" fontId="8" fillId="12" borderId="6" xfId="0" applyFont="1" applyFill="1" applyBorder="1" applyAlignment="1" applyProtection="1">
      <alignment horizontal="left" vertical="top" wrapText="1"/>
      <protection locked="0"/>
    </xf>
    <xf numFmtId="0" fontId="8" fillId="12" borderId="0" xfId="0" applyFont="1" applyFill="1" applyBorder="1" applyAlignment="1" applyProtection="1">
      <alignment horizontal="left" vertical="top" wrapText="1"/>
      <protection locked="0"/>
    </xf>
    <xf numFmtId="0" fontId="8" fillId="12" borderId="10" xfId="0" applyFont="1" applyFill="1" applyBorder="1" applyAlignment="1" applyProtection="1">
      <alignment horizontal="left" vertical="top" wrapText="1"/>
      <protection locked="0"/>
    </xf>
    <xf numFmtId="0" fontId="8" fillId="12" borderId="11" xfId="0" applyFont="1" applyFill="1" applyBorder="1" applyAlignment="1" applyProtection="1">
      <alignment horizontal="left" vertical="top" wrapText="1"/>
      <protection locked="0"/>
    </xf>
    <xf numFmtId="0" fontId="8" fillId="12" borderId="12" xfId="0" applyFont="1" applyFill="1" applyBorder="1" applyAlignment="1" applyProtection="1">
      <alignment horizontal="left" vertical="top" wrapText="1"/>
      <protection locked="0"/>
    </xf>
    <xf numFmtId="0" fontId="8" fillId="12" borderId="13" xfId="0" applyFont="1" applyFill="1" applyBorder="1" applyAlignment="1" applyProtection="1">
      <alignment horizontal="left" vertical="top" wrapText="1"/>
      <protection locked="0"/>
    </xf>
    <xf numFmtId="0" fontId="22" fillId="6" borderId="29" xfId="7" applyFont="1" applyBorder="1" applyAlignment="1">
      <alignment horizontal="left" vertical="top"/>
    </xf>
    <xf numFmtId="0" fontId="22" fillId="6" borderId="30" xfId="7" applyFont="1" applyBorder="1" applyAlignment="1">
      <alignment horizontal="left" vertical="top"/>
    </xf>
    <xf numFmtId="0" fontId="22" fillId="6" borderId="31" xfId="7" applyFont="1" applyBorder="1" applyAlignment="1">
      <alignment horizontal="left" vertical="top"/>
    </xf>
    <xf numFmtId="0" fontId="8" fillId="12" borderId="7" xfId="0" applyFont="1" applyFill="1" applyBorder="1" applyAlignment="1" applyProtection="1">
      <alignment horizontal="left" vertical="top" wrapText="1"/>
      <protection locked="0"/>
    </xf>
    <xf numFmtId="0" fontId="8" fillId="12" borderId="8" xfId="0" applyFont="1" applyFill="1" applyBorder="1" applyAlignment="1" applyProtection="1">
      <alignment horizontal="left" vertical="top" wrapText="1"/>
      <protection locked="0"/>
    </xf>
    <xf numFmtId="0" fontId="8" fillId="12" borderId="9" xfId="0" applyFont="1" applyFill="1" applyBorder="1" applyAlignment="1" applyProtection="1">
      <alignment horizontal="left" vertical="top" wrapText="1"/>
      <protection locked="0"/>
    </xf>
    <xf numFmtId="0" fontId="10" fillId="0" borderId="4" xfId="0" applyFont="1" applyBorder="1" applyAlignment="1">
      <alignment horizontal="center" vertical="center" wrapText="1"/>
    </xf>
    <xf numFmtId="0" fontId="9" fillId="0" borderId="52" xfId="6" applyFont="1" applyBorder="1" applyAlignment="1">
      <alignment horizontal="left" vertical="center"/>
    </xf>
    <xf numFmtId="0" fontId="9" fillId="0" borderId="53" xfId="6" applyFont="1" applyBorder="1" applyAlignment="1">
      <alignment horizontal="left" vertical="center"/>
    </xf>
    <xf numFmtId="0" fontId="9" fillId="0" borderId="44" xfId="6" applyFont="1" applyBorder="1" applyAlignment="1">
      <alignment horizontal="left" vertical="center"/>
    </xf>
    <xf numFmtId="0" fontId="10" fillId="0" borderId="35" xfId="0" applyFont="1" applyBorder="1" applyAlignment="1">
      <alignment horizontal="center" vertical="center" wrapText="1"/>
    </xf>
    <xf numFmtId="0" fontId="9" fillId="0" borderId="54" xfId="6" applyNumberFormat="1" applyFont="1" applyBorder="1" applyAlignment="1">
      <alignment horizontal="left" vertical="center"/>
    </xf>
    <xf numFmtId="0" fontId="9" fillId="0" borderId="50" xfId="6" applyNumberFormat="1" applyFont="1" applyBorder="1" applyAlignment="1">
      <alignment horizontal="left" vertical="center"/>
    </xf>
    <xf numFmtId="0" fontId="9" fillId="0" borderId="37" xfId="6" applyNumberFormat="1" applyFont="1" applyBorder="1" applyAlignment="1">
      <alignment horizontal="left" vertical="center"/>
    </xf>
    <xf numFmtId="14" fontId="9" fillId="0" borderId="54" xfId="6" applyNumberFormat="1" applyFont="1" applyBorder="1" applyAlignment="1">
      <alignment horizontal="left" vertical="center"/>
    </xf>
    <xf numFmtId="14" fontId="9" fillId="0" borderId="50" xfId="6" applyNumberFormat="1" applyFont="1" applyBorder="1" applyAlignment="1">
      <alignment horizontal="left" vertical="center"/>
    </xf>
    <xf numFmtId="14" fontId="9" fillId="0" borderId="37" xfId="6" applyNumberFormat="1" applyFont="1" applyBorder="1" applyAlignment="1">
      <alignment horizontal="left" vertical="center"/>
    </xf>
    <xf numFmtId="0" fontId="9" fillId="0" borderId="54" xfId="6" applyNumberFormat="1" applyFont="1" applyBorder="1" applyAlignment="1">
      <alignment horizontal="left" vertical="center" wrapText="1"/>
    </xf>
    <xf numFmtId="0" fontId="9" fillId="0" borderId="50" xfId="6" applyNumberFormat="1" applyFont="1" applyBorder="1" applyAlignment="1">
      <alignment horizontal="left" vertical="center" wrapText="1"/>
    </xf>
    <xf numFmtId="0" fontId="9" fillId="0" borderId="37" xfId="6" applyNumberFormat="1" applyFont="1" applyBorder="1" applyAlignment="1">
      <alignment horizontal="left" vertical="center" wrapText="1"/>
    </xf>
    <xf numFmtId="14" fontId="9" fillId="0" borderId="55" xfId="6" applyNumberFormat="1" applyFont="1" applyBorder="1" applyAlignment="1">
      <alignment horizontal="left" vertical="center"/>
    </xf>
    <xf numFmtId="14" fontId="9" fillId="0" borderId="51" xfId="6" applyNumberFormat="1" applyFont="1" applyBorder="1" applyAlignment="1">
      <alignment horizontal="left" vertical="center"/>
    </xf>
    <xf numFmtId="14" fontId="9" fillId="0" borderId="45" xfId="6" applyNumberFormat="1" applyFont="1" applyBorder="1" applyAlignment="1">
      <alignment horizontal="left" vertical="center"/>
    </xf>
    <xf numFmtId="0" fontId="8" fillId="12" borderId="4" xfId="0" applyFont="1" applyFill="1" applyBorder="1" applyAlignment="1" applyProtection="1">
      <alignment horizontal="center" vertical="center"/>
      <protection locked="0"/>
    </xf>
    <xf numFmtId="0" fontId="8" fillId="12" borderId="1" xfId="0" applyFont="1" applyFill="1" applyBorder="1" applyAlignment="1" applyProtection="1">
      <alignment horizontal="center" vertical="center"/>
      <protection locked="0"/>
    </xf>
    <xf numFmtId="0" fontId="8" fillId="12" borderId="23" xfId="0" applyFont="1" applyFill="1" applyBorder="1" applyAlignment="1" applyProtection="1">
      <alignment horizontal="center" vertical="center"/>
      <protection locked="0"/>
    </xf>
    <xf numFmtId="0" fontId="8" fillId="12" borderId="35" xfId="0" applyFont="1" applyFill="1" applyBorder="1" applyAlignment="1" applyProtection="1">
      <alignment horizontal="center" vertical="center"/>
      <protection locked="0"/>
    </xf>
    <xf numFmtId="0" fontId="8" fillId="12" borderId="18" xfId="0" applyFont="1" applyFill="1" applyBorder="1" applyAlignment="1" applyProtection="1">
      <alignment horizontal="center" vertical="center"/>
      <protection locked="0"/>
    </xf>
    <xf numFmtId="0" fontId="8" fillId="12" borderId="17" xfId="0" applyFont="1" applyFill="1" applyBorder="1" applyAlignment="1" applyProtection="1">
      <alignment horizontal="center" vertical="center"/>
      <protection locked="0"/>
    </xf>
    <xf numFmtId="0" fontId="8" fillId="12" borderId="78" xfId="0" applyNumberFormat="1" applyFont="1" applyFill="1" applyBorder="1" applyAlignment="1" applyProtection="1">
      <alignment horizontal="center" vertical="center"/>
      <protection locked="0"/>
    </xf>
    <xf numFmtId="0" fontId="8" fillId="12" borderId="5" xfId="0" applyNumberFormat="1" applyFont="1" applyFill="1" applyBorder="1" applyAlignment="1" applyProtection="1">
      <alignment horizontal="center" vertical="center"/>
      <protection locked="0"/>
    </xf>
    <xf numFmtId="0" fontId="8" fillId="12" borderId="106" xfId="0" applyNumberFormat="1" applyFont="1" applyFill="1" applyBorder="1" applyAlignment="1" applyProtection="1">
      <alignment horizontal="center" vertical="center"/>
      <protection locked="0"/>
    </xf>
    <xf numFmtId="0" fontId="8" fillId="12" borderId="58" xfId="0" applyNumberFormat="1" applyFont="1" applyFill="1" applyBorder="1" applyAlignment="1" applyProtection="1">
      <alignment horizontal="center" vertical="center"/>
      <protection locked="0"/>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15" xfId="0" applyFont="1" applyBorder="1" applyAlignment="1">
      <alignment horizontal="left" vertical="center"/>
    </xf>
    <xf numFmtId="0" fontId="8" fillId="0" borderId="1" xfId="0" applyFont="1" applyBorder="1" applyAlignment="1">
      <alignment horizontal="left" vertical="center"/>
    </xf>
    <xf numFmtId="14" fontId="8" fillId="0" borderId="1" xfId="0" applyNumberFormat="1" applyFont="1" applyFill="1" applyBorder="1" applyAlignment="1" applyProtection="1">
      <alignment horizontal="center" vertical="center"/>
    </xf>
    <xf numFmtId="14" fontId="8" fillId="0" borderId="18" xfId="0" applyNumberFormat="1" applyFont="1" applyFill="1" applyBorder="1" applyAlignment="1" applyProtection="1">
      <alignment horizontal="center" vertical="center"/>
    </xf>
    <xf numFmtId="0" fontId="8" fillId="0" borderId="16" xfId="0" applyFont="1" applyBorder="1" applyAlignment="1">
      <alignment horizontal="left" vertical="center"/>
    </xf>
    <xf numFmtId="0" fontId="8" fillId="0" borderId="23" xfId="0" applyFont="1" applyBorder="1" applyAlignment="1">
      <alignment horizontal="left" vertical="center"/>
    </xf>
    <xf numFmtId="14" fontId="8" fillId="0" borderId="23" xfId="0" applyNumberFormat="1" applyFont="1" applyFill="1" applyBorder="1" applyAlignment="1" applyProtection="1">
      <alignment horizontal="center" vertical="center"/>
    </xf>
    <xf numFmtId="14" fontId="8" fillId="0" borderId="17" xfId="0" applyNumberFormat="1" applyFont="1" applyFill="1" applyBorder="1" applyAlignment="1" applyProtection="1">
      <alignment horizontal="center" vertical="center"/>
    </xf>
    <xf numFmtId="0" fontId="10" fillId="0" borderId="4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8" fillId="0" borderId="75" xfId="0" applyFont="1" applyFill="1" applyBorder="1" applyAlignment="1">
      <alignment horizontal="left" vertical="center"/>
    </xf>
    <xf numFmtId="0" fontId="8" fillId="0" borderId="76" xfId="0" applyFont="1" applyFill="1" applyBorder="1" applyAlignment="1">
      <alignment horizontal="left" vertical="center"/>
    </xf>
    <xf numFmtId="0" fontId="8" fillId="0" borderId="77" xfId="0" applyFont="1" applyFill="1" applyBorder="1" applyAlignment="1">
      <alignment horizontal="left" vertical="center"/>
    </xf>
    <xf numFmtId="0" fontId="10" fillId="0" borderId="105"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0" fillId="0" borderId="86"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1" fillId="0" borderId="0" xfId="1" applyFont="1" applyAlignment="1" applyProtection="1">
      <alignment horizontal="left" vertical="center"/>
      <protection locked="0"/>
    </xf>
    <xf numFmtId="0" fontId="8" fillId="2" borderId="16" xfId="0" applyFont="1" applyFill="1" applyBorder="1" applyAlignment="1" applyProtection="1">
      <alignment horizontal="left"/>
    </xf>
    <xf numFmtId="0" fontId="8" fillId="2" borderId="23" xfId="0" applyFont="1" applyFill="1" applyBorder="1" applyAlignment="1" applyProtection="1">
      <alignment horizontal="left"/>
    </xf>
    <xf numFmtId="0" fontId="10" fillId="20" borderId="29" xfId="0" applyFont="1" applyFill="1" applyBorder="1" applyAlignment="1" applyProtection="1">
      <alignment horizontal="left"/>
    </xf>
    <xf numFmtId="0" fontId="10" fillId="20" borderId="30" xfId="0" applyFont="1" applyFill="1" applyBorder="1" applyAlignment="1" applyProtection="1">
      <alignment horizontal="left"/>
    </xf>
    <xf numFmtId="0" fontId="10" fillId="20" borderId="31" xfId="0" applyFont="1" applyFill="1" applyBorder="1" applyAlignment="1" applyProtection="1">
      <alignment horizontal="left"/>
    </xf>
    <xf numFmtId="0" fontId="8" fillId="2" borderId="15" xfId="0" applyFont="1" applyFill="1" applyBorder="1" applyAlignment="1" applyProtection="1">
      <alignment horizontal="left"/>
    </xf>
    <xf numFmtId="0" fontId="8" fillId="2" borderId="1" xfId="0" applyFont="1" applyFill="1" applyBorder="1" applyAlignment="1" applyProtection="1">
      <alignment horizontal="left"/>
    </xf>
    <xf numFmtId="0" fontId="8" fillId="0" borderId="29" xfId="0" applyFont="1" applyFill="1" applyBorder="1" applyAlignment="1" applyProtection="1">
      <alignment horizontal="left" vertical="center" wrapText="1"/>
    </xf>
    <xf numFmtId="0" fontId="8" fillId="0" borderId="30" xfId="0" applyFont="1" applyFill="1" applyBorder="1" applyAlignment="1" applyProtection="1">
      <alignment horizontal="left" vertical="center" wrapText="1"/>
    </xf>
    <xf numFmtId="0" fontId="8" fillId="0" borderId="31" xfId="0" applyFont="1" applyFill="1" applyBorder="1" applyAlignment="1" applyProtection="1">
      <alignment horizontal="left" vertical="center" wrapText="1"/>
    </xf>
    <xf numFmtId="0" fontId="8" fillId="12" borderId="6" xfId="4" applyNumberFormat="1" applyFont="1" applyFill="1" applyBorder="1" applyAlignment="1" applyProtection="1">
      <alignment horizontal="left" vertical="top" wrapText="1"/>
      <protection locked="0"/>
    </xf>
    <xf numFmtId="0" fontId="8" fillId="12" borderId="0" xfId="4" applyNumberFormat="1" applyFont="1" applyFill="1" applyBorder="1" applyAlignment="1" applyProtection="1">
      <alignment horizontal="left" vertical="top" wrapText="1"/>
      <protection locked="0"/>
    </xf>
    <xf numFmtId="0" fontId="8" fillId="12" borderId="10" xfId="4" applyNumberFormat="1" applyFont="1" applyFill="1" applyBorder="1" applyAlignment="1" applyProtection="1">
      <alignment horizontal="left" vertical="top" wrapText="1"/>
      <protection locked="0"/>
    </xf>
    <xf numFmtId="0" fontId="8" fillId="12" borderId="11" xfId="4" applyNumberFormat="1" applyFont="1" applyFill="1" applyBorder="1" applyAlignment="1" applyProtection="1">
      <alignment horizontal="left" vertical="top" wrapText="1"/>
      <protection locked="0"/>
    </xf>
    <xf numFmtId="0" fontId="8" fillId="12" borderId="12" xfId="4" applyNumberFormat="1" applyFont="1" applyFill="1" applyBorder="1" applyAlignment="1" applyProtection="1">
      <alignment horizontal="left" vertical="top" wrapText="1"/>
      <protection locked="0"/>
    </xf>
    <xf numFmtId="0" fontId="8" fillId="12" borderId="13" xfId="4" applyNumberFormat="1" applyFont="1" applyFill="1" applyBorder="1" applyAlignment="1" applyProtection="1">
      <alignment horizontal="left" vertical="top" wrapText="1"/>
      <protection locked="0"/>
    </xf>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8" fillId="0" borderId="60" xfId="21" applyFont="1" applyBorder="1" applyAlignment="1" applyProtection="1">
      <alignment horizontal="left" vertical="center"/>
    </xf>
    <xf numFmtId="0" fontId="8" fillId="0" borderId="61" xfId="21" applyFont="1" applyBorder="1" applyAlignment="1" applyProtection="1">
      <alignment horizontal="left" vertical="center"/>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9" fillId="0" borderId="62" xfId="21" applyFont="1" applyBorder="1" applyAlignment="1" applyProtection="1">
      <alignment horizontal="left" vertical="center"/>
    </xf>
    <xf numFmtId="0" fontId="9" fillId="0" borderId="63" xfId="21" applyFont="1" applyBorder="1" applyAlignment="1" applyProtection="1">
      <alignment horizontal="left" vertical="center"/>
    </xf>
    <xf numFmtId="0" fontId="9" fillId="0" borderId="66" xfId="21" applyNumberFormat="1" applyFont="1" applyBorder="1" applyAlignment="1" applyProtection="1">
      <alignment horizontal="left" vertical="center"/>
    </xf>
    <xf numFmtId="0" fontId="9" fillId="0" borderId="67" xfId="21" applyNumberFormat="1" applyFont="1" applyBorder="1" applyAlignment="1" applyProtection="1">
      <alignment horizontal="left" vertical="center"/>
    </xf>
    <xf numFmtId="14" fontId="9" fillId="0" borderId="66" xfId="21" applyNumberFormat="1" applyFont="1" applyBorder="1" applyAlignment="1" applyProtection="1">
      <alignment horizontal="left" vertical="center"/>
    </xf>
    <xf numFmtId="14" fontId="9" fillId="0" borderId="67" xfId="21" applyNumberFormat="1" applyFont="1" applyBorder="1" applyAlignment="1" applyProtection="1">
      <alignment horizontal="left" vertical="center"/>
    </xf>
    <xf numFmtId="0" fontId="8" fillId="0" borderId="11" xfId="21" applyFont="1" applyBorder="1" applyAlignment="1" applyProtection="1">
      <alignment horizontal="left" vertical="center"/>
    </xf>
    <xf numFmtId="0" fontId="8" fillId="0" borderId="68" xfId="21" applyFont="1" applyBorder="1" applyAlignment="1" applyProtection="1">
      <alignment horizontal="left" vertical="center"/>
    </xf>
    <xf numFmtId="0" fontId="9" fillId="0" borderId="74" xfId="21" applyNumberFormat="1" applyFont="1" applyBorder="1" applyAlignment="1" applyProtection="1">
      <alignment horizontal="left" vertical="center" wrapText="1"/>
    </xf>
    <xf numFmtId="0" fontId="9" fillId="0" borderId="67" xfId="21" applyNumberFormat="1" applyFont="1" applyBorder="1" applyAlignment="1" applyProtection="1">
      <alignment horizontal="left" vertical="center" wrapText="1"/>
    </xf>
    <xf numFmtId="14" fontId="9" fillId="0" borderId="12" xfId="21" applyNumberFormat="1" applyFont="1" applyBorder="1" applyAlignment="1" applyProtection="1">
      <alignment horizontal="left" vertical="center"/>
    </xf>
    <xf numFmtId="14" fontId="9" fillId="0" borderId="13" xfId="21" applyNumberFormat="1" applyFont="1" applyBorder="1" applyAlignment="1" applyProtection="1">
      <alignment horizontal="left" vertical="center"/>
    </xf>
    <xf numFmtId="0" fontId="8"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12" borderId="1" xfId="0" applyNumberFormat="1" applyFont="1" applyFill="1" applyBorder="1" applyAlignment="1" applyProtection="1">
      <alignment horizontal="center" vertical="center"/>
      <protection locked="0"/>
    </xf>
    <xf numFmtId="0" fontId="8" fillId="12" borderId="23" xfId="0" applyNumberFormat="1" applyFont="1" applyFill="1" applyBorder="1" applyAlignment="1" applyProtection="1">
      <alignment horizontal="center" vertical="center"/>
      <protection locked="0"/>
    </xf>
    <xf numFmtId="0" fontId="8" fillId="0" borderId="75" xfId="0" applyFont="1" applyBorder="1" applyAlignment="1">
      <alignment horizontal="left"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8" fillId="0" borderId="46" xfId="0" applyFont="1" applyFill="1" applyBorder="1" applyAlignment="1" applyProtection="1">
      <alignment horizontal="center" vertical="center" wrapText="1"/>
    </xf>
    <xf numFmtId="0" fontId="8" fillId="0" borderId="4" xfId="0" quotePrefix="1" applyFont="1" applyFill="1" applyBorder="1" applyAlignment="1" applyProtection="1">
      <alignment horizontal="center" vertical="center" wrapText="1"/>
    </xf>
    <xf numFmtId="0" fontId="8" fillId="0" borderId="15" xfId="0" quotePrefix="1" applyFont="1" applyFill="1" applyBorder="1" applyAlignment="1" applyProtection="1">
      <alignment horizontal="center" vertical="center" wrapText="1"/>
    </xf>
    <xf numFmtId="0" fontId="8" fillId="0" borderId="1" xfId="0" quotePrefix="1" applyFont="1" applyFill="1" applyBorder="1" applyAlignment="1" applyProtection="1">
      <alignment horizontal="center" vertical="center" wrapText="1"/>
    </xf>
    <xf numFmtId="0" fontId="8" fillId="0" borderId="16" xfId="0" quotePrefix="1" applyFont="1" applyFill="1" applyBorder="1" applyAlignment="1" applyProtection="1">
      <alignment horizontal="center" vertical="center" wrapText="1"/>
    </xf>
    <xf numFmtId="0" fontId="8" fillId="0" borderId="23" xfId="0" quotePrefix="1" applyFont="1" applyFill="1" applyBorder="1" applyAlignment="1" applyProtection="1">
      <alignment horizontal="center" vertical="center" wrapText="1"/>
    </xf>
    <xf numFmtId="0" fontId="8" fillId="12" borderId="4" xfId="0" quotePrefix="1" applyFont="1" applyFill="1" applyBorder="1" applyAlignment="1" applyProtection="1">
      <alignment horizontal="left" vertical="top" wrapText="1"/>
      <protection locked="0"/>
    </xf>
    <xf numFmtId="0" fontId="8" fillId="12" borderId="35" xfId="0" quotePrefix="1" applyFont="1" applyFill="1" applyBorder="1" applyAlignment="1" applyProtection="1">
      <alignment horizontal="left" vertical="top" wrapText="1"/>
      <protection locked="0"/>
    </xf>
    <xf numFmtId="0" fontId="8" fillId="12" borderId="1" xfId="0" quotePrefix="1" applyFont="1" applyFill="1" applyBorder="1" applyAlignment="1" applyProtection="1">
      <alignment horizontal="left" vertical="top" wrapText="1"/>
      <protection locked="0"/>
    </xf>
    <xf numFmtId="0" fontId="8" fillId="12" borderId="18" xfId="0" quotePrefix="1" applyFont="1" applyFill="1" applyBorder="1" applyAlignment="1" applyProtection="1">
      <alignment horizontal="left" vertical="top" wrapText="1"/>
      <protection locked="0"/>
    </xf>
    <xf numFmtId="0" fontId="8" fillId="12" borderId="23" xfId="0" quotePrefix="1" applyFont="1" applyFill="1" applyBorder="1" applyAlignment="1" applyProtection="1">
      <alignment horizontal="left" vertical="top" wrapText="1"/>
      <protection locked="0"/>
    </xf>
    <xf numFmtId="0" fontId="8" fillId="12" borderId="17" xfId="0" quotePrefix="1" applyFont="1" applyFill="1" applyBorder="1" applyAlignment="1" applyProtection="1">
      <alignment horizontal="left" vertical="top" wrapText="1"/>
      <protection locked="0"/>
    </xf>
    <xf numFmtId="0" fontId="41" fillId="2" borderId="0" xfId="1" applyFont="1" applyFill="1" applyAlignment="1" applyProtection="1">
      <alignment horizontal="center" vertical="center" wrapText="1"/>
    </xf>
    <xf numFmtId="0" fontId="10" fillId="2" borderId="118" xfId="0" applyFont="1" applyFill="1" applyBorder="1" applyAlignment="1" applyProtection="1">
      <alignment horizontal="center" wrapText="1"/>
    </xf>
    <xf numFmtId="0" fontId="10" fillId="2" borderId="83" xfId="0" applyFont="1" applyFill="1" applyBorder="1" applyAlignment="1" applyProtection="1">
      <alignment horizontal="center" wrapText="1"/>
    </xf>
    <xf numFmtId="0" fontId="10" fillId="2" borderId="27" xfId="0" applyFont="1" applyFill="1" applyBorder="1" applyAlignment="1" applyProtection="1">
      <alignment horizontal="center" wrapText="1"/>
    </xf>
    <xf numFmtId="0" fontId="21" fillId="0" borderId="0" xfId="19" applyFont="1" applyAlignment="1" applyProtection="1">
      <alignment horizontal="left" vertical="center"/>
      <protection locked="0"/>
    </xf>
    <xf numFmtId="0" fontId="11" fillId="13" borderId="78" xfId="0" applyNumberFormat="1" applyFont="1" applyFill="1" applyBorder="1" applyAlignment="1" applyProtection="1">
      <alignment horizontal="center"/>
    </xf>
    <xf numFmtId="0" fontId="11" fillId="13" borderId="5" xfId="0" applyNumberFormat="1" applyFont="1" applyFill="1" applyBorder="1" applyAlignment="1" applyProtection="1">
      <alignment horizontal="center"/>
    </xf>
    <xf numFmtId="0" fontId="11" fillId="13" borderId="106" xfId="0" applyNumberFormat="1" applyFont="1" applyFill="1" applyBorder="1" applyAlignment="1" applyProtection="1">
      <alignment horizontal="center"/>
    </xf>
    <xf numFmtId="0" fontId="11" fillId="13" borderId="58" xfId="0" applyNumberFormat="1" applyFont="1" applyFill="1" applyBorder="1" applyAlignment="1" applyProtection="1">
      <alignment horizontal="center"/>
    </xf>
    <xf numFmtId="0" fontId="10" fillId="2" borderId="111" xfId="0" applyFont="1" applyFill="1" applyBorder="1" applyAlignment="1" applyProtection="1">
      <alignment horizontal="center" vertical="center" wrapText="1"/>
    </xf>
    <xf numFmtId="0" fontId="10" fillId="2" borderId="93" xfId="0" applyFont="1" applyFill="1" applyBorder="1" applyAlignment="1" applyProtection="1">
      <alignment horizontal="center" vertical="center" wrapText="1"/>
    </xf>
    <xf numFmtId="0" fontId="10" fillId="20" borderId="29" xfId="0" applyFont="1" applyFill="1" applyBorder="1" applyAlignment="1" applyProtection="1"/>
    <xf numFmtId="0" fontId="10" fillId="20" borderId="30" xfId="0" applyFont="1" applyFill="1" applyBorder="1" applyAlignment="1" applyProtection="1"/>
    <xf numFmtId="0" fontId="10" fillId="20" borderId="31" xfId="0" applyFont="1" applyFill="1" applyBorder="1" applyAlignment="1" applyProtection="1"/>
    <xf numFmtId="0" fontId="8" fillId="12" borderId="7" xfId="4" applyNumberFormat="1" applyFont="1" applyFill="1" applyBorder="1" applyAlignment="1" applyProtection="1">
      <alignment vertical="top" wrapText="1"/>
      <protection locked="0"/>
    </xf>
    <xf numFmtId="0" fontId="8" fillId="12" borderId="8" xfId="4" applyNumberFormat="1" applyFont="1" applyFill="1" applyBorder="1" applyAlignment="1" applyProtection="1">
      <alignment vertical="top" wrapText="1"/>
      <protection locked="0"/>
    </xf>
    <xf numFmtId="0" fontId="8" fillId="12" borderId="9" xfId="4" applyNumberFormat="1" applyFont="1" applyFill="1" applyBorder="1" applyAlignment="1" applyProtection="1">
      <alignment vertical="top" wrapText="1"/>
      <protection locked="0"/>
    </xf>
    <xf numFmtId="0" fontId="8" fillId="12" borderId="6" xfId="4" applyNumberFormat="1" applyFont="1" applyFill="1" applyBorder="1" applyAlignment="1" applyProtection="1">
      <alignment vertical="top" wrapText="1"/>
      <protection locked="0"/>
    </xf>
    <xf numFmtId="0" fontId="8" fillId="12" borderId="0" xfId="4" applyNumberFormat="1" applyFont="1" applyFill="1" applyBorder="1" applyAlignment="1" applyProtection="1">
      <alignment vertical="top" wrapText="1"/>
      <protection locked="0"/>
    </xf>
    <xf numFmtId="0" fontId="8" fillId="12" borderId="10" xfId="4" applyNumberFormat="1" applyFont="1" applyFill="1" applyBorder="1" applyAlignment="1" applyProtection="1">
      <alignment vertical="top" wrapText="1"/>
      <protection locked="0"/>
    </xf>
    <xf numFmtId="0" fontId="8" fillId="12" borderId="11" xfId="4" applyNumberFormat="1" applyFont="1" applyFill="1" applyBorder="1" applyAlignment="1" applyProtection="1">
      <alignment vertical="top" wrapText="1"/>
      <protection locked="0"/>
    </xf>
    <xf numFmtId="0" fontId="8" fillId="12" borderId="12" xfId="4" applyNumberFormat="1" applyFont="1" applyFill="1" applyBorder="1" applyAlignment="1" applyProtection="1">
      <alignment vertical="top" wrapText="1"/>
      <protection locked="0"/>
    </xf>
    <xf numFmtId="0" fontId="8" fillId="12" borderId="13" xfId="4" applyNumberFormat="1" applyFont="1" applyFill="1" applyBorder="1" applyAlignment="1" applyProtection="1">
      <alignment vertical="top" wrapText="1"/>
      <protection locked="0"/>
    </xf>
    <xf numFmtId="166" fontId="17" fillId="0" borderId="78" xfId="24" applyNumberFormat="1" applyFont="1" applyFill="1" applyBorder="1" applyAlignment="1" applyProtection="1">
      <alignment horizontal="center"/>
    </xf>
    <xf numFmtId="166" fontId="17" fillId="0" borderId="5" xfId="24" applyNumberFormat="1" applyFont="1" applyFill="1" applyBorder="1" applyAlignment="1" applyProtection="1">
      <alignment horizontal="center"/>
    </xf>
    <xf numFmtId="165" fontId="17" fillId="0" borderId="78" xfId="24" applyNumberFormat="1" applyFont="1" applyFill="1" applyBorder="1" applyAlignment="1" applyProtection="1">
      <alignment horizontal="center"/>
    </xf>
    <xf numFmtId="165" fontId="17" fillId="0" borderId="5" xfId="24" applyNumberFormat="1" applyFont="1" applyFill="1" applyBorder="1" applyAlignment="1" applyProtection="1">
      <alignment horizontal="center"/>
    </xf>
    <xf numFmtId="1" fontId="17" fillId="0" borderId="78" xfId="24" applyNumberFormat="1" applyFont="1" applyFill="1" applyBorder="1" applyAlignment="1" applyProtection="1">
      <alignment horizontal="center"/>
    </xf>
    <xf numFmtId="1" fontId="17" fillId="0" borderId="5" xfId="24" applyNumberFormat="1" applyFont="1" applyFill="1" applyBorder="1" applyAlignment="1" applyProtection="1">
      <alignment horizontal="center"/>
    </xf>
    <xf numFmtId="167" fontId="17" fillId="0" borderId="78" xfId="24" applyNumberFormat="1" applyFont="1" applyFill="1" applyBorder="1" applyAlignment="1" applyProtection="1">
      <alignment horizontal="center"/>
    </xf>
    <xf numFmtId="167" fontId="17" fillId="0" borderId="5" xfId="24" applyNumberFormat="1" applyFont="1" applyFill="1" applyBorder="1" applyAlignment="1" applyProtection="1">
      <alignment horizontal="center"/>
    </xf>
    <xf numFmtId="0" fontId="10" fillId="2" borderId="105" xfId="0" applyFont="1" applyFill="1" applyBorder="1" applyAlignment="1" applyProtection="1">
      <alignment horizontal="center" vertical="center"/>
    </xf>
    <xf numFmtId="0" fontId="10" fillId="2" borderId="93" xfId="0" applyFont="1" applyFill="1" applyBorder="1" applyAlignment="1" applyProtection="1">
      <alignment horizontal="center" vertical="center"/>
    </xf>
    <xf numFmtId="2" fontId="17" fillId="0" borderId="78" xfId="24" applyNumberFormat="1" applyFont="1" applyFill="1" applyBorder="1" applyAlignment="1" applyProtection="1">
      <alignment horizontal="center"/>
    </xf>
    <xf numFmtId="2" fontId="17" fillId="0" borderId="5" xfId="24" applyNumberFormat="1" applyFont="1" applyFill="1" applyBorder="1" applyAlignment="1" applyProtection="1">
      <alignment horizontal="center"/>
    </xf>
    <xf numFmtId="164" fontId="17" fillId="0" borderId="78" xfId="24" applyNumberFormat="1" applyFont="1" applyFill="1" applyBorder="1" applyAlignment="1" applyProtection="1">
      <alignment horizontal="center"/>
    </xf>
    <xf numFmtId="164" fontId="17" fillId="0" borderId="5" xfId="24" applyNumberFormat="1" applyFont="1" applyFill="1" applyBorder="1" applyAlignment="1" applyProtection="1">
      <alignment horizontal="center"/>
    </xf>
    <xf numFmtId="0" fontId="10" fillId="2" borderId="114" xfId="0" applyFont="1" applyFill="1" applyBorder="1" applyAlignment="1" applyProtection="1">
      <alignment horizontal="center" vertical="center"/>
    </xf>
    <xf numFmtId="0" fontId="10" fillId="2" borderId="115"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13" xfId="0" applyFont="1" applyFill="1" applyBorder="1" applyAlignment="1" applyProtection="1">
      <alignment horizontal="center" vertical="center"/>
    </xf>
    <xf numFmtId="0" fontId="10" fillId="2" borderId="109"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0" fillId="2" borderId="111" xfId="0" applyFont="1" applyFill="1" applyBorder="1" applyAlignment="1" applyProtection="1">
      <alignment horizontal="center" vertical="center"/>
    </xf>
    <xf numFmtId="0" fontId="17" fillId="0" borderId="78" xfId="24" applyNumberFormat="1" applyFont="1" applyFill="1" applyBorder="1" applyAlignment="1" applyProtection="1">
      <alignment horizontal="center"/>
    </xf>
    <xf numFmtId="0" fontId="17" fillId="0" borderId="5" xfId="24" applyNumberFormat="1" applyFont="1" applyFill="1" applyBorder="1" applyAlignment="1" applyProtection="1">
      <alignment horizontal="center"/>
    </xf>
    <xf numFmtId="0" fontId="17" fillId="0" borderId="106" xfId="24" applyNumberFormat="1" applyFont="1" applyFill="1" applyBorder="1" applyAlignment="1" applyProtection="1">
      <alignment horizontal="center"/>
    </xf>
    <xf numFmtId="0" fontId="17" fillId="0" borderId="58" xfId="24" applyNumberFormat="1" applyFont="1" applyFill="1" applyBorder="1" applyAlignment="1" applyProtection="1">
      <alignment horizontal="center"/>
    </xf>
    <xf numFmtId="0" fontId="10" fillId="2" borderId="113" xfId="0" applyFont="1" applyFill="1" applyBorder="1" applyAlignment="1" applyProtection="1">
      <alignment horizontal="center" vertical="center" wrapText="1"/>
    </xf>
    <xf numFmtId="0" fontId="10" fillId="2" borderId="109" xfId="0" applyFont="1" applyFill="1" applyBorder="1" applyAlignment="1" applyProtection="1">
      <alignment horizontal="center" vertical="center" wrapText="1"/>
    </xf>
    <xf numFmtId="0" fontId="10" fillId="2" borderId="83" xfId="0" applyFont="1" applyFill="1" applyBorder="1" applyAlignment="1" applyProtection="1">
      <alignment horizontal="center" vertical="center" wrapText="1"/>
    </xf>
    <xf numFmtId="0" fontId="10" fillId="2" borderId="114" xfId="0" applyFont="1" applyFill="1" applyBorder="1" applyAlignment="1" applyProtection="1">
      <alignment horizontal="center" vertical="center" wrapText="1"/>
    </xf>
    <xf numFmtId="0" fontId="10" fillId="2" borderId="115"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7" fillId="0" borderId="81" xfId="0" applyFont="1" applyBorder="1" applyAlignment="1" applyProtection="1">
      <alignment horizontal="left" vertical="center" wrapText="1"/>
    </xf>
    <xf numFmtId="0" fontId="17" fillId="0" borderId="112"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0" fillId="2" borderId="105" xfId="0" applyFont="1" applyFill="1" applyBorder="1" applyAlignment="1" applyProtection="1">
      <alignment horizontal="center" wrapText="1"/>
    </xf>
    <xf numFmtId="0" fontId="10" fillId="2" borderId="93" xfId="0" applyFont="1" applyFill="1" applyBorder="1" applyAlignment="1" applyProtection="1">
      <alignment horizontal="center" wrapText="1"/>
    </xf>
    <xf numFmtId="0" fontId="17" fillId="0" borderId="81" xfId="0" applyFont="1" applyBorder="1" applyAlignment="1" applyProtection="1">
      <alignment vertical="center" wrapText="1"/>
    </xf>
    <xf numFmtId="0" fontId="17" fillId="0" borderId="112" xfId="0" applyFont="1" applyBorder="1" applyAlignment="1" applyProtection="1">
      <alignment vertical="center" wrapText="1"/>
    </xf>
    <xf numFmtId="0" fontId="17" fillId="0" borderId="5" xfId="0" applyFont="1" applyBorder="1" applyAlignment="1" applyProtection="1">
      <alignment vertical="center" wrapText="1"/>
    </xf>
    <xf numFmtId="0" fontId="10" fillId="2" borderId="22" xfId="0" applyFont="1" applyFill="1" applyBorder="1" applyAlignment="1" applyProtection="1">
      <alignment horizontal="center"/>
    </xf>
    <xf numFmtId="0" fontId="10" fillId="2" borderId="111" xfId="0" applyFont="1" applyFill="1" applyBorder="1" applyAlignment="1" applyProtection="1">
      <alignment horizontal="center"/>
    </xf>
    <xf numFmtId="0" fontId="10" fillId="2" borderId="105" xfId="0" applyFont="1" applyFill="1" applyBorder="1" applyAlignment="1" applyProtection="1">
      <alignment horizontal="center" vertical="center" wrapText="1"/>
    </xf>
    <xf numFmtId="0" fontId="11" fillId="13" borderId="78" xfId="0" applyNumberFormat="1" applyFont="1" applyFill="1" applyBorder="1" applyAlignment="1" applyProtection="1">
      <alignment horizontal="center" vertical="center"/>
    </xf>
    <xf numFmtId="0" fontId="11" fillId="13" borderId="5" xfId="0" applyNumberFormat="1" applyFont="1" applyFill="1" applyBorder="1" applyAlignment="1" applyProtection="1">
      <alignment horizontal="center" vertical="center"/>
    </xf>
    <xf numFmtId="0" fontId="11" fillId="13" borderId="106" xfId="0" applyNumberFormat="1" applyFont="1" applyFill="1" applyBorder="1" applyAlignment="1" applyProtection="1">
      <alignment horizontal="center" vertical="center"/>
    </xf>
    <xf numFmtId="0" fontId="11" fillId="13" borderId="58" xfId="0" applyNumberFormat="1" applyFont="1" applyFill="1" applyBorder="1" applyAlignment="1" applyProtection="1">
      <alignment horizontal="center" vertical="center"/>
    </xf>
    <xf numFmtId="0" fontId="8" fillId="2" borderId="82" xfId="0" applyFont="1" applyFill="1" applyBorder="1" applyAlignment="1" applyProtection="1">
      <alignment wrapText="1"/>
    </xf>
    <xf numFmtId="0" fontId="8" fillId="2" borderId="119" xfId="0" applyFont="1" applyFill="1" applyBorder="1" applyAlignment="1" applyProtection="1">
      <alignment wrapText="1"/>
    </xf>
    <xf numFmtId="0" fontId="8" fillId="2" borderId="58" xfId="0" applyFont="1" applyFill="1" applyBorder="1" applyAlignment="1" applyProtection="1">
      <alignment wrapText="1"/>
    </xf>
    <xf numFmtId="0" fontId="10" fillId="2" borderId="101"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8" fillId="12" borderId="24"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25" xfId="0" applyFont="1" applyFill="1" applyBorder="1" applyAlignment="1" applyProtection="1">
      <alignment horizontal="left" vertical="top" wrapText="1"/>
      <protection locked="0"/>
    </xf>
    <xf numFmtId="0" fontId="8" fillId="12" borderId="26"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8" fillId="12" borderId="27" xfId="0" applyFont="1" applyFill="1" applyBorder="1" applyAlignment="1" applyProtection="1">
      <alignment horizontal="left" vertical="top" wrapText="1"/>
      <protection locked="0"/>
    </xf>
    <xf numFmtId="0" fontId="8" fillId="0" borderId="82" xfId="21" applyFont="1" applyBorder="1" applyAlignment="1" applyProtection="1">
      <alignment horizontal="left"/>
    </xf>
    <xf numFmtId="0" fontId="8" fillId="0" borderId="58" xfId="21" applyFont="1" applyBorder="1" applyAlignment="1" applyProtection="1">
      <alignment horizontal="left"/>
    </xf>
    <xf numFmtId="0" fontId="17" fillId="16" borderId="86" xfId="7" applyFont="1" applyFill="1" applyBorder="1" applyAlignment="1" applyProtection="1">
      <alignment horizontal="left" vertical="center" wrapText="1"/>
    </xf>
    <xf numFmtId="0" fontId="17" fillId="16" borderId="87" xfId="7" applyFont="1" applyFill="1" applyBorder="1" applyAlignment="1" applyProtection="1">
      <alignment horizontal="left" vertical="center" wrapText="1"/>
    </xf>
    <xf numFmtId="0" fontId="17" fillId="16" borderId="14" xfId="7" applyFont="1" applyFill="1" applyBorder="1" applyAlignment="1" applyProtection="1">
      <alignment horizontal="left" vertical="center" wrapText="1"/>
    </xf>
    <xf numFmtId="0" fontId="17" fillId="16" borderId="88" xfId="7" applyFont="1" applyFill="1" applyBorder="1" applyAlignment="1" applyProtection="1">
      <alignment horizontal="left" vertical="center" wrapText="1"/>
    </xf>
    <xf numFmtId="0" fontId="17" fillId="16" borderId="89" xfId="7" applyFont="1" applyFill="1" applyBorder="1" applyAlignment="1" applyProtection="1">
      <alignment horizontal="left" vertical="center" wrapText="1"/>
    </xf>
    <xf numFmtId="0" fontId="17" fillId="16" borderId="90" xfId="7" applyFont="1" applyFill="1" applyBorder="1" applyAlignment="1" applyProtection="1">
      <alignment horizontal="left" vertical="center" wrapText="1"/>
    </xf>
    <xf numFmtId="0" fontId="10" fillId="0" borderId="29" xfId="21" applyFont="1" applyBorder="1" applyAlignment="1" applyProtection="1">
      <alignment horizontal="center"/>
    </xf>
    <xf numFmtId="0" fontId="10" fillId="0" borderId="84" xfId="21" applyFont="1" applyBorder="1" applyAlignment="1" applyProtection="1">
      <alignment horizontal="center"/>
    </xf>
    <xf numFmtId="0" fontId="8" fillId="0" borderId="26" xfId="21" applyFont="1" applyBorder="1" applyAlignment="1" applyProtection="1">
      <alignment horizontal="left"/>
    </xf>
    <xf numFmtId="0" fontId="8" fillId="0" borderId="83" xfId="21" applyFont="1" applyBorder="1" applyAlignment="1" applyProtection="1">
      <alignment horizontal="left"/>
    </xf>
    <xf numFmtId="0" fontId="8" fillId="0" borderId="81" xfId="21" applyFont="1" applyBorder="1" applyAlignment="1" applyProtection="1">
      <alignment horizontal="left"/>
    </xf>
    <xf numFmtId="0" fontId="8" fillId="0" borderId="5" xfId="21" applyFont="1" applyBorder="1" applyAlignment="1" applyProtection="1">
      <alignment horizontal="left"/>
    </xf>
    <xf numFmtId="0" fontId="7" fillId="6" borderId="29" xfId="7" applyFont="1" applyBorder="1" applyAlignment="1">
      <alignment horizontal="left" vertical="center"/>
    </xf>
    <xf numFmtId="0" fontId="7" fillId="6" borderId="31" xfId="7" applyFont="1" applyBorder="1" applyAlignment="1">
      <alignment horizontal="left" vertical="center"/>
    </xf>
  </cellXfs>
  <cellStyles count="27">
    <cellStyle name="20% - Accent2" xfId="24" builtinId="34"/>
    <cellStyle name="40% - Accent1" xfId="4" builtinId="31"/>
    <cellStyle name="60% - Accent1 2" xfId="25" xr:uid="{00000000-0005-0000-0000-000002000000}"/>
    <cellStyle name="60% - Accent2" xfId="5" builtinId="36"/>
    <cellStyle name="Auto Populated Cells" xfId="8" xr:uid="{00000000-0005-0000-0000-000004000000}"/>
    <cellStyle name="Calculation 2" xfId="9" xr:uid="{00000000-0005-0000-0000-000005000000}"/>
    <cellStyle name="Conditional Cell" xfId="10" xr:uid="{00000000-0005-0000-0000-000006000000}"/>
    <cellStyle name="Explanatory Text 2" xfId="11" xr:uid="{00000000-0005-0000-0000-000007000000}"/>
    <cellStyle name="Explanatory Text 3" xfId="20" xr:uid="{00000000-0005-0000-0000-000008000000}"/>
    <cellStyle name="Fixed Values" xfId="12" xr:uid="{00000000-0005-0000-0000-000009000000}"/>
    <cellStyle name="Heading 4 2" xfId="7" xr:uid="{00000000-0005-0000-0000-00000A000000}"/>
    <cellStyle name="Hyperlink" xfId="1" builtinId="8"/>
    <cellStyle name="Hyperlink 2" xfId="19" xr:uid="{00000000-0005-0000-0000-00000C000000}"/>
    <cellStyle name="Input 2" xfId="13" xr:uid="{00000000-0005-0000-0000-00000D000000}"/>
    <cellStyle name="Input 3" xfId="18" xr:uid="{00000000-0005-0000-0000-00000E000000}"/>
    <cellStyle name="Neutral 2" xfId="26" xr:uid="{00000000-0005-0000-0000-00000F000000}"/>
    <cellStyle name="Normal" xfId="0" builtinId="0"/>
    <cellStyle name="Normal 2" xfId="2" xr:uid="{00000000-0005-0000-0000-000011000000}"/>
    <cellStyle name="Normal 2 2" xfId="21" xr:uid="{00000000-0005-0000-0000-000012000000}"/>
    <cellStyle name="Normal 3" xfId="3" xr:uid="{00000000-0005-0000-0000-000013000000}"/>
    <cellStyle name="Normal 3 2" xfId="22" xr:uid="{00000000-0005-0000-0000-000014000000}"/>
    <cellStyle name="Normal 3 3" xfId="23" xr:uid="{00000000-0005-0000-0000-000015000000}"/>
    <cellStyle name="Normal 4" xfId="6" xr:uid="{00000000-0005-0000-0000-000016000000}"/>
    <cellStyle name="Output 2" xfId="14" xr:uid="{00000000-0005-0000-0000-000017000000}"/>
    <cellStyle name="Revision Needed" xfId="15" xr:uid="{00000000-0005-0000-0000-000018000000}"/>
    <cellStyle name="Tab Header" xfId="16" xr:uid="{00000000-0005-0000-0000-000019000000}"/>
    <cellStyle name="Table Header" xfId="17" xr:uid="{00000000-0005-0000-0000-00001A000000}"/>
  </cellStyles>
  <dxfs count="13">
    <dxf>
      <fill>
        <patternFill>
          <fgColor indexed="64"/>
          <bgColor rgb="FFFFFF00"/>
        </patternFill>
      </fill>
    </dxf>
    <dxf>
      <font>
        <u/>
        <color rgb="FF0066CC"/>
      </font>
      <fill>
        <patternFill>
          <bgColor theme="9"/>
        </patternFill>
      </fill>
      <border>
        <left/>
        <right/>
        <top/>
        <bottom/>
      </border>
    </dxf>
    <dxf>
      <font>
        <color theme="1"/>
      </font>
      <fill>
        <patternFill>
          <bgColor theme="1"/>
        </patternFill>
      </fill>
    </dxf>
    <dxf>
      <font>
        <color theme="1"/>
      </font>
      <fill>
        <patternFill patternType="solid">
          <fgColor theme="1"/>
          <bgColor theme="1"/>
        </patternFill>
      </fill>
    </dxf>
    <dxf>
      <font>
        <color theme="1"/>
      </font>
      <fill>
        <patternFill patternType="lightGray">
          <fgColor theme="1"/>
          <bgColor theme="1"/>
        </patternFill>
      </fill>
    </dxf>
    <dxf>
      <font>
        <u/>
        <color rgb="FF0066CC"/>
      </font>
      <fill>
        <patternFill>
          <bgColor theme="9"/>
        </patternFill>
      </fill>
      <border>
        <left/>
        <right/>
        <top/>
        <bottom/>
      </border>
    </dxf>
    <dxf>
      <font>
        <color theme="1"/>
      </font>
      <fill>
        <patternFill patternType="lightGray">
          <fgColor theme="1"/>
          <bgColor theme="1"/>
        </patternFill>
      </fill>
    </dxf>
    <dxf>
      <font>
        <color theme="1"/>
      </font>
      <fill>
        <patternFill patternType="lightGray">
          <fgColor theme="1"/>
          <bgColor theme="1"/>
        </patternFill>
      </fill>
    </dxf>
    <dxf>
      <font>
        <color theme="1"/>
      </font>
      <fill>
        <patternFill>
          <bgColor theme="1"/>
        </patternFill>
      </fill>
    </dxf>
    <dxf>
      <font>
        <color theme="1"/>
      </font>
      <fill>
        <patternFill patternType="darkGrid">
          <bgColor theme="1"/>
        </patternFill>
      </fill>
    </dxf>
    <dxf>
      <font>
        <color theme="1"/>
      </font>
      <fill>
        <patternFill patternType="darkGrid">
          <bgColor theme="1"/>
        </patternFill>
      </fill>
    </dxf>
    <dxf>
      <font>
        <color theme="1"/>
      </font>
      <fill>
        <patternFill>
          <bgColor theme="1"/>
        </patternFill>
      </fill>
    </dxf>
    <dxf>
      <font>
        <color theme="1"/>
      </font>
      <fill>
        <patternFill>
          <bgColor theme="1"/>
        </patternFill>
      </fill>
    </dxf>
  </dxfs>
  <tableStyles count="0" defaultTableStyle="TableStyleMedium9" defaultPivotStyle="PivotStyleLight16"/>
  <colors>
    <mruColors>
      <color rgb="FF0066CC"/>
      <color rgb="FF800000"/>
      <color rgb="FF99FF66"/>
      <color rgb="FF99CCFF"/>
      <color rgb="FF0000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a87a8ab1faa6e3acecd63cf97665e615&amp;mc=true&amp;node=pt10.3.430&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3"/>
  <sheetViews>
    <sheetView showGridLines="0" tabSelected="1" zoomScale="80" zoomScaleNormal="80" workbookViewId="0">
      <selection activeCell="C61" sqref="C61"/>
    </sheetView>
  </sheetViews>
  <sheetFormatPr defaultColWidth="9.140625" defaultRowHeight="16.5" x14ac:dyDescent="0.25"/>
  <cols>
    <col min="1" max="1" width="2.7109375" style="58" customWidth="1"/>
    <col min="2" max="2" width="55" style="58" customWidth="1"/>
    <col min="3" max="3" width="146" style="58" customWidth="1"/>
    <col min="4" max="4" width="5.140625" style="58" customWidth="1"/>
    <col min="5" max="5" width="4.140625" style="58" customWidth="1"/>
    <col min="6" max="16384" width="9.140625" style="58"/>
  </cols>
  <sheetData>
    <row r="1" spans="2:5" ht="17.25" thickBot="1" x14ac:dyDescent="0.3">
      <c r="E1" s="59"/>
    </row>
    <row r="2" spans="2:5" ht="18" thickBot="1" x14ac:dyDescent="0.3">
      <c r="B2" s="442" t="str">
        <f>'Version Control'!$B$2</f>
        <v>Title Block</v>
      </c>
      <c r="C2" s="443"/>
      <c r="E2" s="59"/>
    </row>
    <row r="3" spans="2:5" s="60" customFormat="1" x14ac:dyDescent="0.3">
      <c r="B3" s="35" t="str">
        <f>'Version Control'!$B$3</f>
        <v>Test Report Template Name:</v>
      </c>
      <c r="C3" s="89" t="str">
        <f>'Version Control'!$C$3</f>
        <v>Portable Air Conditioners</v>
      </c>
      <c r="E3" s="61"/>
    </row>
    <row r="4" spans="2:5" s="60" customFormat="1" x14ac:dyDescent="0.3">
      <c r="B4" s="88" t="str">
        <f>'Version Control'!$B$4</f>
        <v>Version Number:</v>
      </c>
      <c r="C4" s="214" t="str">
        <f>'Version Control'!$C$4</f>
        <v>v2.1</v>
      </c>
      <c r="E4" s="61"/>
    </row>
    <row r="5" spans="2:5" s="60" customFormat="1" x14ac:dyDescent="0.3">
      <c r="B5" s="34" t="str">
        <f>'Version Control'!$B$5</f>
        <v xml:space="preserve">Latest Template Revision: </v>
      </c>
      <c r="C5" s="40">
        <f>'Version Control'!$C$5</f>
        <v>45611</v>
      </c>
      <c r="E5" s="61"/>
    </row>
    <row r="6" spans="2:5" s="60" customFormat="1" x14ac:dyDescent="0.3">
      <c r="B6" s="34" t="str">
        <f>'Version Control'!$B$6</f>
        <v>Tab Name:</v>
      </c>
      <c r="C6" s="214" t="str">
        <f ca="1">MID(CELL("filename",A1), FIND("]", CELL("filename", A1))+ 1, 255)</f>
        <v>Instructions</v>
      </c>
      <c r="E6" s="61"/>
    </row>
    <row r="7" spans="2:5" ht="17.25" thickBot="1" x14ac:dyDescent="0.3">
      <c r="B7" s="49" t="str">
        <f>'Version Control'!$B$7</f>
        <v>File Name:</v>
      </c>
      <c r="C7" s="216" t="str">
        <f ca="1">'Version Control'!$C$7</f>
        <v>Portable Air Conditioners - v2.1.xlsx</v>
      </c>
      <c r="E7" s="59"/>
    </row>
    <row r="8" spans="2:5" x14ac:dyDescent="0.25">
      <c r="E8" s="59"/>
    </row>
    <row r="9" spans="2:5" ht="17.25" thickBot="1" x14ac:dyDescent="0.3">
      <c r="E9" s="59"/>
    </row>
    <row r="10" spans="2:5" ht="18" thickBot="1" x14ac:dyDescent="0.3">
      <c r="B10" s="105" t="s">
        <v>33</v>
      </c>
      <c r="C10" s="106"/>
      <c r="E10" s="59"/>
    </row>
    <row r="11" spans="2:5" ht="34.5" customHeight="1" thickBot="1" x14ac:dyDescent="0.3">
      <c r="B11" s="444" t="s">
        <v>301</v>
      </c>
      <c r="C11" s="445"/>
      <c r="E11" s="59"/>
    </row>
    <row r="12" spans="2:5" ht="17.25" thickBot="1" x14ac:dyDescent="0.3">
      <c r="E12" s="59"/>
    </row>
    <row r="13" spans="2:5" ht="18" thickBot="1" x14ac:dyDescent="0.3">
      <c r="B13" s="105" t="s">
        <v>16</v>
      </c>
      <c r="C13" s="106"/>
      <c r="E13" s="59"/>
    </row>
    <row r="14" spans="2:5" ht="18" thickBot="1" x14ac:dyDescent="0.3">
      <c r="B14" s="62" t="s">
        <v>34</v>
      </c>
      <c r="C14" s="63" t="s">
        <v>35</v>
      </c>
      <c r="E14" s="59"/>
    </row>
    <row r="15" spans="2:5" x14ac:dyDescent="0.25">
      <c r="B15" s="45" t="s">
        <v>51</v>
      </c>
      <c r="C15" s="64" t="s">
        <v>112</v>
      </c>
      <c r="E15" s="59"/>
    </row>
    <row r="16" spans="2:5" x14ac:dyDescent="0.25">
      <c r="B16" s="47" t="s">
        <v>36</v>
      </c>
      <c r="C16" s="65" t="s">
        <v>113</v>
      </c>
      <c r="E16" s="59"/>
    </row>
    <row r="17" spans="2:5" x14ac:dyDescent="0.25">
      <c r="B17" s="47" t="s">
        <v>100</v>
      </c>
      <c r="C17" s="65" t="s">
        <v>114</v>
      </c>
      <c r="E17" s="59"/>
    </row>
    <row r="18" spans="2:5" x14ac:dyDescent="0.25">
      <c r="B18" s="47" t="s">
        <v>19</v>
      </c>
      <c r="C18" s="65" t="s">
        <v>115</v>
      </c>
      <c r="E18" s="59"/>
    </row>
    <row r="19" spans="2:5" x14ac:dyDescent="0.25">
      <c r="B19" s="47" t="s">
        <v>150</v>
      </c>
      <c r="C19" s="65" t="s">
        <v>155</v>
      </c>
      <c r="E19" s="59"/>
    </row>
    <row r="20" spans="2:5" x14ac:dyDescent="0.25">
      <c r="B20" s="47" t="s">
        <v>152</v>
      </c>
      <c r="C20" s="65" t="s">
        <v>156</v>
      </c>
      <c r="E20" s="59"/>
    </row>
    <row r="21" spans="2:5" x14ac:dyDescent="0.25">
      <c r="B21" s="47" t="s">
        <v>153</v>
      </c>
      <c r="C21" s="65" t="s">
        <v>157</v>
      </c>
      <c r="E21" s="59"/>
    </row>
    <row r="22" spans="2:5" x14ac:dyDescent="0.25">
      <c r="B22" s="47" t="s">
        <v>154</v>
      </c>
      <c r="C22" s="65" t="s">
        <v>158</v>
      </c>
      <c r="E22" s="59"/>
    </row>
    <row r="23" spans="2:5" x14ac:dyDescent="0.25">
      <c r="B23" s="47" t="s">
        <v>151</v>
      </c>
      <c r="C23" s="158" t="s">
        <v>159</v>
      </c>
      <c r="E23" s="59"/>
    </row>
    <row r="24" spans="2:5" x14ac:dyDescent="0.25">
      <c r="B24" s="47" t="s">
        <v>189</v>
      </c>
      <c r="C24" s="65" t="s">
        <v>291</v>
      </c>
      <c r="E24" s="59"/>
    </row>
    <row r="25" spans="2:5" x14ac:dyDescent="0.25">
      <c r="B25" s="47" t="s">
        <v>191</v>
      </c>
      <c r="C25" s="65" t="s">
        <v>292</v>
      </c>
      <c r="E25" s="59"/>
    </row>
    <row r="26" spans="2:5" x14ac:dyDescent="0.25">
      <c r="B26" s="157" t="s">
        <v>190</v>
      </c>
      <c r="C26" s="158" t="s">
        <v>116</v>
      </c>
      <c r="E26" s="59"/>
    </row>
    <row r="27" spans="2:5" x14ac:dyDescent="0.25">
      <c r="B27" s="47" t="s">
        <v>56</v>
      </c>
      <c r="C27" s="65" t="s">
        <v>117</v>
      </c>
      <c r="E27" s="59"/>
    </row>
    <row r="28" spans="2:5" x14ac:dyDescent="0.25">
      <c r="B28" s="47" t="s">
        <v>48</v>
      </c>
      <c r="C28" s="65" t="s">
        <v>118</v>
      </c>
      <c r="E28" s="59"/>
    </row>
    <row r="29" spans="2:5" x14ac:dyDescent="0.3">
      <c r="B29" s="265" t="s">
        <v>297</v>
      </c>
      <c r="C29" s="266" t="s">
        <v>298</v>
      </c>
      <c r="E29" s="59"/>
    </row>
    <row r="30" spans="2:5" ht="17.25" thickBot="1" x14ac:dyDescent="0.3">
      <c r="B30" s="38" t="s">
        <v>49</v>
      </c>
      <c r="C30" s="66" t="s">
        <v>119</v>
      </c>
      <c r="E30" s="59"/>
    </row>
    <row r="31" spans="2:5" ht="17.25" thickBot="1" x14ac:dyDescent="0.3">
      <c r="E31" s="59"/>
    </row>
    <row r="32" spans="2:5" ht="18" thickBot="1" x14ac:dyDescent="0.4">
      <c r="B32" s="456" t="s">
        <v>65</v>
      </c>
      <c r="C32" s="457"/>
      <c r="E32" s="59"/>
    </row>
    <row r="33" spans="2:5" ht="16.5" customHeight="1" x14ac:dyDescent="0.25">
      <c r="B33" s="201" t="s">
        <v>139</v>
      </c>
      <c r="C33" s="267" t="s">
        <v>140</v>
      </c>
      <c r="E33" s="59"/>
    </row>
    <row r="34" spans="2:5" x14ac:dyDescent="0.25">
      <c r="B34" s="458" t="s">
        <v>141</v>
      </c>
      <c r="C34" s="197" t="s">
        <v>21</v>
      </c>
      <c r="E34" s="59"/>
    </row>
    <row r="35" spans="2:5" x14ac:dyDescent="0.25">
      <c r="B35" s="458"/>
      <c r="C35" s="198" t="s">
        <v>142</v>
      </c>
      <c r="E35" s="59"/>
    </row>
    <row r="36" spans="2:5" x14ac:dyDescent="0.25">
      <c r="B36" s="458"/>
      <c r="C36" s="199" t="s">
        <v>143</v>
      </c>
      <c r="E36" s="59"/>
    </row>
    <row r="37" spans="2:5" ht="21.75" thickBot="1" x14ac:dyDescent="0.3">
      <c r="B37" s="459"/>
      <c r="C37" s="200" t="s">
        <v>71</v>
      </c>
      <c r="E37" s="59"/>
    </row>
    <row r="38" spans="2:5" ht="17.25" thickBot="1" x14ac:dyDescent="0.3">
      <c r="C38" s="53"/>
      <c r="E38" s="59"/>
    </row>
    <row r="39" spans="2:5" ht="18.75" thickBot="1" x14ac:dyDescent="0.3">
      <c r="B39" s="460" t="s">
        <v>74</v>
      </c>
      <c r="C39" s="461"/>
      <c r="E39" s="59"/>
    </row>
    <row r="40" spans="2:5" ht="16.5" customHeight="1" x14ac:dyDescent="0.25">
      <c r="B40" s="446" t="s">
        <v>72</v>
      </c>
      <c r="C40" s="447"/>
      <c r="E40" s="59"/>
    </row>
    <row r="41" spans="2:5" x14ac:dyDescent="0.25">
      <c r="B41" s="448"/>
      <c r="C41" s="449"/>
      <c r="E41" s="59"/>
    </row>
    <row r="42" spans="2:5" ht="19.5" customHeight="1" thickBot="1" x14ac:dyDescent="0.3">
      <c r="B42" s="450"/>
      <c r="C42" s="451"/>
      <c r="E42" s="59"/>
    </row>
    <row r="43" spans="2:5" ht="16.5" customHeight="1" x14ac:dyDescent="0.25">
      <c r="B43" s="452" t="s">
        <v>101</v>
      </c>
      <c r="C43" s="453"/>
      <c r="E43" s="59"/>
    </row>
    <row r="44" spans="2:5" ht="21.75" customHeight="1" thickBot="1" x14ac:dyDescent="0.3">
      <c r="B44" s="454"/>
      <c r="C44" s="455"/>
      <c r="E44" s="59"/>
    </row>
    <row r="45" spans="2:5" ht="9.75" customHeight="1" x14ac:dyDescent="0.25">
      <c r="B45" s="202"/>
      <c r="C45" s="203"/>
      <c r="E45" s="59"/>
    </row>
    <row r="46" spans="2:5" ht="21" x14ac:dyDescent="0.25">
      <c r="B46" s="107" t="s">
        <v>66</v>
      </c>
      <c r="C46" s="108" t="s">
        <v>67</v>
      </c>
      <c r="E46" s="59"/>
    </row>
    <row r="47" spans="2:5" ht="9.75" customHeight="1" thickBot="1" x14ac:dyDescent="0.3">
      <c r="B47" s="204"/>
      <c r="C47" s="205"/>
      <c r="E47" s="59"/>
    </row>
    <row r="48" spans="2:5" s="60" customFormat="1" ht="15" customHeight="1" x14ac:dyDescent="0.25">
      <c r="B48" s="206" t="s">
        <v>5</v>
      </c>
      <c r="C48" s="191" t="s">
        <v>36</v>
      </c>
      <c r="E48" s="61"/>
    </row>
    <row r="49" spans="1:5" x14ac:dyDescent="0.25">
      <c r="B49" s="207" t="s">
        <v>6</v>
      </c>
      <c r="C49" s="191" t="s">
        <v>100</v>
      </c>
      <c r="E49" s="59"/>
    </row>
    <row r="50" spans="1:5" x14ac:dyDescent="0.25">
      <c r="B50" s="207" t="s">
        <v>7</v>
      </c>
      <c r="C50" s="191" t="s">
        <v>19</v>
      </c>
      <c r="E50" s="59"/>
    </row>
    <row r="51" spans="1:5" x14ac:dyDescent="0.25">
      <c r="B51" s="207" t="s">
        <v>8</v>
      </c>
      <c r="C51" s="191" t="s">
        <v>150</v>
      </c>
      <c r="E51" s="59"/>
    </row>
    <row r="52" spans="1:5" x14ac:dyDescent="0.25">
      <c r="B52" s="207" t="s">
        <v>9</v>
      </c>
      <c r="C52" s="191" t="s">
        <v>152</v>
      </c>
      <c r="E52" s="59"/>
    </row>
    <row r="53" spans="1:5" x14ac:dyDescent="0.25">
      <c r="B53" s="207" t="s">
        <v>10</v>
      </c>
      <c r="C53" s="191" t="s">
        <v>153</v>
      </c>
      <c r="E53" s="59"/>
    </row>
    <row r="54" spans="1:5" x14ac:dyDescent="0.25">
      <c r="B54" s="207" t="s">
        <v>11</v>
      </c>
      <c r="C54" s="191" t="s">
        <v>154</v>
      </c>
      <c r="E54" s="59"/>
    </row>
    <row r="55" spans="1:5" x14ac:dyDescent="0.25">
      <c r="B55" s="207" t="s">
        <v>135</v>
      </c>
      <c r="C55" s="191" t="s">
        <v>151</v>
      </c>
      <c r="E55" s="59"/>
    </row>
    <row r="56" spans="1:5" x14ac:dyDescent="0.25">
      <c r="B56" s="207" t="s">
        <v>136</v>
      </c>
      <c r="C56" s="191" t="s">
        <v>189</v>
      </c>
      <c r="E56" s="59"/>
    </row>
    <row r="57" spans="1:5" x14ac:dyDescent="0.25">
      <c r="B57" s="207" t="s">
        <v>137</v>
      </c>
      <c r="C57" s="191" t="s">
        <v>191</v>
      </c>
      <c r="E57" s="59"/>
    </row>
    <row r="58" spans="1:5" x14ac:dyDescent="0.25">
      <c r="B58" s="207" t="s">
        <v>138</v>
      </c>
      <c r="C58" s="191" t="s">
        <v>588</v>
      </c>
      <c r="E58" s="59"/>
    </row>
    <row r="59" spans="1:5" x14ac:dyDescent="0.25">
      <c r="B59" s="207" t="s">
        <v>148</v>
      </c>
      <c r="C59" s="191" t="s">
        <v>589</v>
      </c>
      <c r="E59" s="59"/>
    </row>
    <row r="60" spans="1:5" x14ac:dyDescent="0.25">
      <c r="B60" s="207" t="s">
        <v>149</v>
      </c>
      <c r="C60" s="191" t="s">
        <v>56</v>
      </c>
      <c r="E60" s="59"/>
    </row>
    <row r="61" spans="1:5" ht="17.25" thickBot="1" x14ac:dyDescent="0.3">
      <c r="B61" s="208" t="s">
        <v>587</v>
      </c>
      <c r="C61" s="192" t="s">
        <v>64</v>
      </c>
      <c r="E61" s="59"/>
    </row>
    <row r="62" spans="1:5" x14ac:dyDescent="0.25">
      <c r="B62" s="56"/>
      <c r="C62" s="67"/>
      <c r="E62" s="59"/>
    </row>
    <row r="63" spans="1:5" x14ac:dyDescent="0.25">
      <c r="A63" s="59"/>
      <c r="B63" s="59"/>
      <c r="C63" s="59"/>
      <c r="D63" s="59"/>
      <c r="E63" s="59"/>
    </row>
  </sheetData>
  <sheetProtection algorithmName="SHA-512" hashValue="/vC/DwYcebbCxDWRT/WluX5sZbESNsZaEoPr6cFepaZwUDcPB5RXMDbDeoiZW+k+xFL3vt0f7CTaN9HtU8uh+g==" saltValue="8xrBOGJxbU2WJEfr7R3sZg==" spinCount="100000" sheet="1" selectLockedCells="1"/>
  <mergeCells count="7">
    <mergeCell ref="B2:C2"/>
    <mergeCell ref="B11:C11"/>
    <mergeCell ref="B40:C42"/>
    <mergeCell ref="B43:C44"/>
    <mergeCell ref="B32:C32"/>
    <mergeCell ref="B34:B37"/>
    <mergeCell ref="B39:C39"/>
  </mergeCells>
  <hyperlinks>
    <hyperlink ref="B11" r:id="rId1" display="10 CFR 430 Subpart B Appendix A1:  Uniform Test Method for Measuring the Energy Consumption of Electric Refrigerators and Electric Refrigerator-Freezers [76 FR 12502, Mar. 7, 2011]" xr:uid="{00000000-0004-0000-0000-000000000000}"/>
    <hyperlink ref="C60" location="Comments!A1" display="Fill in Input Cells on &quot;Comments&quot; tab" xr:uid="{00000000-0004-0000-0000-000001000000}"/>
    <hyperlink ref="C61" location="'Report Sign-Off Block'!A1" display="Fill in Input Cells on &quot;Report Sign-off Block&quot; tab" xr:uid="{00000000-0004-0000-0000-000002000000}"/>
    <hyperlink ref="C57" location="'Cooling Mode Setup &amp; Conditions'!A1" display="Cooling Mode Setup &amp; Conditions" xr:uid="{00000000-0004-0000-0000-000003000000}"/>
    <hyperlink ref="C49" location="Instrumentation!A1" display="Instrumentation" xr:uid="{00000000-0004-0000-0000-000004000000}"/>
    <hyperlink ref="C48" location="'General Info &amp; Test Results'!A1" display="Fill in Input Cells on &quot;General Info &amp; Test Results&quot; tab" xr:uid="{00000000-0004-0000-0000-000005000000}"/>
    <hyperlink ref="C59" location="'Data &amp; Calcs Cooling Mode - VS'!A1" display="Data &amp; Calcs Cooling Mode - VS" xr:uid="{00000000-0004-0000-0000-000006000000}"/>
    <hyperlink ref="C50" location="Photos!A1" display="Fill in Input Cells on &quot;Photos&quot; tab, if applicable" xr:uid="{00000000-0004-0000-0000-000007000000}"/>
    <hyperlink ref="C51" location="'Inactive or Off Mode Settings'!A1" display="Inactive or Off Mode Settings" xr:uid="{00000000-0004-0000-0000-000008000000}"/>
    <hyperlink ref="C52" location="'Setup &amp; Test Cond Inactive-Off'!A1" display="Setup &amp; Test Cond Inactive-Off" xr:uid="{00000000-0004-0000-0000-000009000000}"/>
    <hyperlink ref="C56" location="'Cooling Mode Settings'!A1" display="Cooling Mode Settings" xr:uid="{00000000-0004-0000-0000-00000A000000}"/>
    <hyperlink ref="C55" location="'Data &amp; Calcs Low Power Modes'!A1" display="Data &amp; Calcs Low Power Modes" xr:uid="{00000000-0004-0000-0000-00000B000000}"/>
    <hyperlink ref="C53" location="'Off-Cycle Mode Settings'!A1" display="Off-Cycle Mode Settings" xr:uid="{00000000-0004-0000-0000-00000C000000}"/>
    <hyperlink ref="C54" location="'Setup&amp;Test Cond Off-Cycle Mode'!A1" display="Setup&amp;Test Cond Off-Cycle Mode" xr:uid="{00000000-0004-0000-0000-00000D000000}"/>
    <hyperlink ref="B11:C11" r:id="rId2" display="Appendix CC to Subpart B of Part 430-Uniform Test Method for Measuring the Energy Consumption of Portable Air Conditioners [81 FR 35265, June 1, 2016, as amended at 81 FR 70923, Oct. 14, 2016]" xr:uid="{00000000-0004-0000-0000-00000E000000}"/>
    <hyperlink ref="C58" location="'Data &amp; Calcs Cooling Mode - SS'!A1" display="Data &amp; Calcs Cooling Mode - SS" xr:uid="{BF89B67A-5FD1-47EA-925E-8B4F608FA2D2}"/>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0070C0"/>
    <pageSetUpPr fitToPage="1"/>
  </sheetPr>
  <dimension ref="A1:L25"/>
  <sheetViews>
    <sheetView showGridLines="0" zoomScale="80" zoomScaleNormal="80" zoomScaleSheetLayoutView="85" workbookViewId="0">
      <selection activeCell="C14" sqref="C14:D14"/>
    </sheetView>
  </sheetViews>
  <sheetFormatPr defaultColWidth="9.140625" defaultRowHeight="16.5" x14ac:dyDescent="0.25"/>
  <cols>
    <col min="1" max="1" width="3.5703125" style="42" customWidth="1"/>
    <col min="2" max="2" width="31.7109375" style="42" customWidth="1"/>
    <col min="3" max="3" width="14.28515625" style="42" customWidth="1"/>
    <col min="4" max="4" width="28.5703125" style="42" customWidth="1"/>
    <col min="5" max="5" width="31.42578125" style="42" customWidth="1"/>
    <col min="6" max="6" width="10.28515625" style="42" customWidth="1"/>
    <col min="7" max="7" width="27.28515625" style="42" customWidth="1"/>
    <col min="8" max="8" width="3.42578125" style="42" customWidth="1"/>
    <col min="9" max="9" width="4.140625" style="42" customWidth="1"/>
    <col min="10" max="16384" width="9.140625" style="42"/>
  </cols>
  <sheetData>
    <row r="1" spans="2:12" ht="17.25" thickBot="1" x14ac:dyDescent="0.3">
      <c r="I1" s="43"/>
    </row>
    <row r="2" spans="2:12" ht="17.100000000000001" customHeight="1" thickBot="1" x14ac:dyDescent="0.3">
      <c r="B2" s="474" t="str">
        <f>'Version Control'!$B$2</f>
        <v>Title Block</v>
      </c>
      <c r="C2" s="475"/>
      <c r="D2" s="475"/>
      <c r="E2" s="476"/>
      <c r="I2" s="43"/>
    </row>
    <row r="3" spans="2:12" ht="17.100000000000001" customHeight="1" x14ac:dyDescent="0.25">
      <c r="B3" s="45" t="str">
        <f>'Version Control'!$B$3</f>
        <v>Test Report Template Name:</v>
      </c>
      <c r="C3" s="490" t="str">
        <f>'Version Control'!$C$3</f>
        <v>Portable Air Conditioners</v>
      </c>
      <c r="D3" s="491"/>
      <c r="E3" s="492"/>
      <c r="I3" s="43"/>
    </row>
    <row r="4" spans="2:12" ht="17.100000000000001" customHeight="1" x14ac:dyDescent="0.25">
      <c r="B4" s="46" t="str">
        <f>'Version Control'!$B$4</f>
        <v>Version Number:</v>
      </c>
      <c r="C4" s="494" t="str">
        <f>'Version Control'!$C$4</f>
        <v>v2.1</v>
      </c>
      <c r="D4" s="495"/>
      <c r="E4" s="496"/>
      <c r="G4" s="44" t="s">
        <v>58</v>
      </c>
      <c r="I4" s="43"/>
    </row>
    <row r="5" spans="2:12" ht="17.100000000000001" customHeight="1" x14ac:dyDescent="0.25">
      <c r="B5" s="47" t="str">
        <f>'Version Control'!$B$5</f>
        <v xml:space="preserve">Latest Template Revision: </v>
      </c>
      <c r="C5" s="497">
        <f>'Version Control'!$C$5</f>
        <v>45611</v>
      </c>
      <c r="D5" s="498"/>
      <c r="E5" s="499"/>
      <c r="I5" s="43"/>
    </row>
    <row r="6" spans="2:12" ht="17.100000000000001" customHeight="1" x14ac:dyDescent="0.25">
      <c r="B6" s="47" t="str">
        <f>'Version Control'!$B$6</f>
        <v>Tab Name:</v>
      </c>
      <c r="C6" s="494" t="str">
        <f ca="1">MID(CELL("filename",A1), FIND("]", CELL("filename", A1))+ 1, 255)</f>
        <v>Cooling Mode Settings</v>
      </c>
      <c r="D6" s="495"/>
      <c r="E6" s="496"/>
      <c r="I6" s="43"/>
    </row>
    <row r="7" spans="2:12" ht="17.100000000000001" customHeight="1" x14ac:dyDescent="0.25">
      <c r="B7" s="47" t="str">
        <f>'Version Control'!$B$7</f>
        <v>File Name:</v>
      </c>
      <c r="C7" s="500" t="str">
        <f ca="1">'Version Control'!$C$7</f>
        <v>Portable Air Conditioners - v2.1.xlsx</v>
      </c>
      <c r="D7" s="501"/>
      <c r="E7" s="502"/>
      <c r="I7" s="43"/>
    </row>
    <row r="8" spans="2:12" ht="17.100000000000001" customHeight="1" thickBot="1" x14ac:dyDescent="0.3">
      <c r="B8" s="49" t="str">
        <f>'Version Control'!$B$8</f>
        <v xml:space="preserve">Test Completion Date: </v>
      </c>
      <c r="C8" s="503" t="str">
        <f>'Version Control'!$C$8</f>
        <v>[MM/DD/YYYY]</v>
      </c>
      <c r="D8" s="504"/>
      <c r="E8" s="505"/>
      <c r="I8" s="43"/>
    </row>
    <row r="9" spans="2:12" x14ac:dyDescent="0.25">
      <c r="I9" s="43"/>
    </row>
    <row r="10" spans="2:12" ht="17.25" thickBot="1" x14ac:dyDescent="0.3">
      <c r="I10" s="43"/>
    </row>
    <row r="11" spans="2:12" ht="18" thickBot="1" x14ac:dyDescent="0.3">
      <c r="B11" s="474" t="s">
        <v>4</v>
      </c>
      <c r="C11" s="475"/>
      <c r="D11" s="475"/>
      <c r="E11" s="475"/>
      <c r="F11" s="476"/>
      <c r="I11" s="43"/>
    </row>
    <row r="12" spans="2:12" ht="92.45" customHeight="1" thickBot="1" x14ac:dyDescent="0.3">
      <c r="B12" s="549" t="s">
        <v>201</v>
      </c>
      <c r="C12" s="550"/>
      <c r="D12" s="550"/>
      <c r="E12" s="550"/>
      <c r="F12" s="551"/>
      <c r="I12" s="43"/>
    </row>
    <row r="13" spans="2:12" ht="17.25" x14ac:dyDescent="0.25">
      <c r="B13" s="146" t="s">
        <v>89</v>
      </c>
      <c r="C13" s="489" t="s">
        <v>87</v>
      </c>
      <c r="D13" s="489"/>
      <c r="E13" s="489" t="s">
        <v>88</v>
      </c>
      <c r="F13" s="493"/>
      <c r="I13" s="43"/>
      <c r="K13" s="82"/>
      <c r="L13" s="82"/>
    </row>
    <row r="14" spans="2:12" x14ac:dyDescent="0.25">
      <c r="B14" s="145" t="s">
        <v>59</v>
      </c>
      <c r="C14" s="506"/>
      <c r="D14" s="506"/>
      <c r="E14" s="506"/>
      <c r="F14" s="509"/>
      <c r="I14" s="43"/>
      <c r="K14" s="84"/>
      <c r="L14" s="84"/>
    </row>
    <row r="15" spans="2:12" x14ac:dyDescent="0.25">
      <c r="B15" s="80" t="s">
        <v>60</v>
      </c>
      <c r="C15" s="507"/>
      <c r="D15" s="507"/>
      <c r="E15" s="507"/>
      <c r="F15" s="510"/>
      <c r="I15" s="43"/>
      <c r="K15" s="84"/>
      <c r="L15" s="84"/>
    </row>
    <row r="16" spans="2:12" x14ac:dyDescent="0.25">
      <c r="B16" s="80" t="s">
        <v>61</v>
      </c>
      <c r="C16" s="507"/>
      <c r="D16" s="507"/>
      <c r="E16" s="507"/>
      <c r="F16" s="510"/>
      <c r="G16" s="84"/>
      <c r="H16" s="84"/>
      <c r="I16" s="85"/>
      <c r="K16" s="84"/>
      <c r="L16" s="84"/>
    </row>
    <row r="17" spans="1:9" x14ac:dyDescent="0.25">
      <c r="B17" s="80" t="s">
        <v>62</v>
      </c>
      <c r="C17" s="507"/>
      <c r="D17" s="507"/>
      <c r="E17" s="507"/>
      <c r="F17" s="510"/>
      <c r="I17" s="43"/>
    </row>
    <row r="18" spans="1:9" x14ac:dyDescent="0.25">
      <c r="B18" s="80" t="s">
        <v>63</v>
      </c>
      <c r="C18" s="507"/>
      <c r="D18" s="507"/>
      <c r="E18" s="507"/>
      <c r="F18" s="510"/>
      <c r="I18" s="43"/>
    </row>
    <row r="19" spans="1:9" x14ac:dyDescent="0.25">
      <c r="B19" s="80" t="s">
        <v>90</v>
      </c>
      <c r="C19" s="507"/>
      <c r="D19" s="507"/>
      <c r="E19" s="507"/>
      <c r="F19" s="510"/>
      <c r="I19" s="43"/>
    </row>
    <row r="20" spans="1:9" x14ac:dyDescent="0.25">
      <c r="B20" s="80" t="s">
        <v>91</v>
      </c>
      <c r="C20" s="507"/>
      <c r="D20" s="507"/>
      <c r="E20" s="507"/>
      <c r="F20" s="510"/>
      <c r="I20" s="43"/>
    </row>
    <row r="21" spans="1:9" x14ac:dyDescent="0.25">
      <c r="B21" s="80" t="s">
        <v>92</v>
      </c>
      <c r="C21" s="507"/>
      <c r="D21" s="507"/>
      <c r="E21" s="507"/>
      <c r="F21" s="510"/>
      <c r="I21" s="43"/>
    </row>
    <row r="22" spans="1:9" x14ac:dyDescent="0.25">
      <c r="B22" s="80" t="s">
        <v>93</v>
      </c>
      <c r="C22" s="507"/>
      <c r="D22" s="507"/>
      <c r="E22" s="507"/>
      <c r="F22" s="510"/>
      <c r="I22" s="43"/>
    </row>
    <row r="23" spans="1:9" ht="17.25" thickBot="1" x14ac:dyDescent="0.3">
      <c r="B23" s="86" t="s">
        <v>94</v>
      </c>
      <c r="C23" s="508"/>
      <c r="D23" s="508"/>
      <c r="E23" s="508"/>
      <c r="F23" s="511"/>
      <c r="I23" s="43"/>
    </row>
    <row r="24" spans="1:9" x14ac:dyDescent="0.25">
      <c r="I24" s="43"/>
    </row>
    <row r="25" spans="1:9" ht="17.25" x14ac:dyDescent="0.25">
      <c r="A25" s="43"/>
      <c r="B25" s="87"/>
      <c r="C25" s="43"/>
      <c r="D25" s="43"/>
      <c r="E25" s="43"/>
      <c r="F25" s="43"/>
      <c r="G25" s="43"/>
      <c r="H25" s="43"/>
      <c r="I25" s="43"/>
    </row>
  </sheetData>
  <sheetProtection algorithmName="SHA-512" hashValue="fzbgN3Ct90+pFeWPSsMkCK+tvTbOSV0aF5VyR51sEtVYY5iwUWmDXmi7+tsC4iPlC/IDUdQv0s168llJPT99pw==" saltValue="3D2oK8SDxaZmeGv/TRH08A==" spinCount="100000" sheet="1" selectLockedCells="1"/>
  <mergeCells count="31">
    <mergeCell ref="C14:D14"/>
    <mergeCell ref="E14:F14"/>
    <mergeCell ref="C4:E4"/>
    <mergeCell ref="C5:E5"/>
    <mergeCell ref="C6:E6"/>
    <mergeCell ref="C7:E7"/>
    <mergeCell ref="C8:E8"/>
    <mergeCell ref="B12:F12"/>
    <mergeCell ref="B2:E2"/>
    <mergeCell ref="C3:E3"/>
    <mergeCell ref="B11:F11"/>
    <mergeCell ref="C13:D13"/>
    <mergeCell ref="E13:F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s>
  <hyperlinks>
    <hyperlink ref="G4" location="Instructions!C33" display="Back to Instructions tab" xr:uid="{00000000-0004-0000-0900-000000000000}"/>
  </hyperlinks>
  <printOptions horizontalCentered="1"/>
  <pageMargins left="0.25" right="0.25" top="0.75" bottom="0.25" header="0.3" footer="0.3"/>
  <pageSetup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0070C0"/>
    <pageSetUpPr fitToPage="1"/>
  </sheetPr>
  <dimension ref="A1:P38"/>
  <sheetViews>
    <sheetView showGridLines="0" zoomScale="80" zoomScaleNormal="80" zoomScaleSheetLayoutView="85" workbookViewId="0">
      <selection activeCell="E23" sqref="E23:H23"/>
    </sheetView>
  </sheetViews>
  <sheetFormatPr defaultColWidth="9.140625" defaultRowHeight="16.5" x14ac:dyDescent="0.25"/>
  <cols>
    <col min="1" max="1" width="4.42578125" style="42" customWidth="1"/>
    <col min="2" max="2" width="28.42578125" style="42" bestFit="1" customWidth="1"/>
    <col min="3" max="3" width="18.42578125" style="42" customWidth="1"/>
    <col min="4" max="4" width="40.5703125" style="42" customWidth="1"/>
    <col min="5" max="5" width="24.7109375" style="42" customWidth="1"/>
    <col min="6" max="6" width="13.28515625" style="42" customWidth="1"/>
    <col min="7" max="7" width="10.42578125" style="42" customWidth="1"/>
    <col min="8" max="8" width="12.28515625" style="42" customWidth="1"/>
    <col min="9" max="9" width="20" style="42" customWidth="1"/>
    <col min="10" max="10" width="20.140625" style="42" customWidth="1"/>
    <col min="11" max="11" width="5" style="42" customWidth="1"/>
    <col min="12" max="12" width="2.42578125" style="42" customWidth="1"/>
    <col min="13" max="16384" width="9.140625" style="42"/>
  </cols>
  <sheetData>
    <row r="1" spans="2:16" ht="17.25" thickBot="1" x14ac:dyDescent="0.3">
      <c r="L1" s="43"/>
    </row>
    <row r="2" spans="2:16" ht="17.100000000000001" customHeight="1" thickBot="1" x14ac:dyDescent="0.3">
      <c r="B2" s="474" t="str">
        <f>'Version Control'!$B$2</f>
        <v>Title Block</v>
      </c>
      <c r="C2" s="475"/>
      <c r="D2" s="475"/>
      <c r="E2" s="476"/>
      <c r="L2" s="43"/>
    </row>
    <row r="3" spans="2:16" ht="17.100000000000001" customHeight="1" x14ac:dyDescent="0.25">
      <c r="B3" s="45" t="str">
        <f>'Version Control'!$B$3</f>
        <v>Test Report Template Name:</v>
      </c>
      <c r="C3" s="490" t="str">
        <f>'Version Control'!$C$3</f>
        <v>Portable Air Conditioners</v>
      </c>
      <c r="D3" s="491"/>
      <c r="E3" s="492"/>
      <c r="L3" s="43"/>
    </row>
    <row r="4" spans="2:16" ht="17.100000000000001" customHeight="1" x14ac:dyDescent="0.25">
      <c r="B4" s="46" t="str">
        <f>'Version Control'!$B$4</f>
        <v>Version Number:</v>
      </c>
      <c r="C4" s="494" t="str">
        <f>'Version Control'!$C$4</f>
        <v>v2.1</v>
      </c>
      <c r="D4" s="495"/>
      <c r="E4" s="496"/>
      <c r="G4" s="541" t="s">
        <v>58</v>
      </c>
      <c r="H4" s="541"/>
      <c r="L4" s="43"/>
    </row>
    <row r="5" spans="2:16" ht="17.100000000000001" customHeight="1" x14ac:dyDescent="0.25">
      <c r="B5" s="47" t="str">
        <f>'Version Control'!$B$5</f>
        <v xml:space="preserve">Latest Template Revision: </v>
      </c>
      <c r="C5" s="497">
        <f>'Version Control'!$C$5</f>
        <v>45611</v>
      </c>
      <c r="D5" s="498"/>
      <c r="E5" s="499"/>
      <c r="L5" s="43"/>
    </row>
    <row r="6" spans="2:16" ht="17.100000000000001" customHeight="1" x14ac:dyDescent="0.25">
      <c r="B6" s="47" t="str">
        <f>'Version Control'!$B$6</f>
        <v>Tab Name:</v>
      </c>
      <c r="C6" s="494" t="str">
        <f ca="1">MID(CELL("filename",A1), FIND("]", CELL("filename", A1))+ 1, 255)</f>
        <v>Cooling Mode Setup &amp; Conditions</v>
      </c>
      <c r="D6" s="495"/>
      <c r="E6" s="496"/>
      <c r="L6" s="43"/>
    </row>
    <row r="7" spans="2:16" ht="17.100000000000001" customHeight="1" x14ac:dyDescent="0.25">
      <c r="B7" s="47" t="str">
        <f>'Version Control'!$B$7</f>
        <v>File Name:</v>
      </c>
      <c r="C7" s="500" t="str">
        <f ca="1">'Version Control'!$C$7</f>
        <v>Portable Air Conditioners - v2.1.xlsx</v>
      </c>
      <c r="D7" s="501"/>
      <c r="E7" s="502"/>
      <c r="L7" s="43"/>
    </row>
    <row r="8" spans="2:16" ht="17.100000000000001" customHeight="1" thickBot="1" x14ac:dyDescent="0.3">
      <c r="B8" s="49" t="str">
        <f>'Version Control'!$B$8</f>
        <v xml:space="preserve">Test Completion Date: </v>
      </c>
      <c r="C8" s="503" t="str">
        <f>'Version Control'!$C$8</f>
        <v>[MM/DD/YYYY]</v>
      </c>
      <c r="D8" s="504"/>
      <c r="E8" s="505"/>
      <c r="L8" s="43"/>
    </row>
    <row r="9" spans="2:16" x14ac:dyDescent="0.25">
      <c r="L9" s="43"/>
    </row>
    <row r="10" spans="2:16" ht="17.25" thickBot="1" x14ac:dyDescent="0.3">
      <c r="B10" s="72"/>
      <c r="J10" s="73"/>
      <c r="K10" s="74"/>
      <c r="L10" s="75"/>
      <c r="M10" s="74"/>
      <c r="N10" s="74"/>
      <c r="O10" s="74"/>
      <c r="P10" s="74"/>
    </row>
    <row r="11" spans="2:16" ht="18" thickBot="1" x14ac:dyDescent="0.4">
      <c r="B11" s="544" t="s">
        <v>194</v>
      </c>
      <c r="C11" s="545"/>
      <c r="D11" s="545"/>
      <c r="E11" s="545"/>
      <c r="F11" s="545"/>
      <c r="G11" s="545"/>
      <c r="H11" s="545"/>
      <c r="I11" s="545"/>
      <c r="J11" s="546"/>
      <c r="K11" s="74"/>
      <c r="L11" s="75"/>
      <c r="M11" s="74"/>
      <c r="N11" s="74"/>
      <c r="O11" s="74"/>
      <c r="P11" s="74"/>
    </row>
    <row r="12" spans="2:16" ht="54" customHeight="1" thickBot="1" x14ac:dyDescent="0.3">
      <c r="B12" s="577" t="s">
        <v>302</v>
      </c>
      <c r="C12" s="578"/>
      <c r="D12" s="578"/>
      <c r="E12" s="578"/>
      <c r="F12" s="578"/>
      <c r="G12" s="578"/>
      <c r="H12" s="578"/>
      <c r="I12" s="578"/>
      <c r="J12" s="579"/>
      <c r="K12" s="74"/>
      <c r="L12" s="75"/>
      <c r="M12" s="74"/>
      <c r="N12" s="74"/>
      <c r="O12" s="74"/>
      <c r="P12" s="74"/>
    </row>
    <row r="13" spans="2:16" ht="17.25" thickBot="1" x14ac:dyDescent="0.3">
      <c r="B13" s="72"/>
      <c r="J13" s="73"/>
      <c r="K13" s="74"/>
      <c r="L13" s="75"/>
      <c r="M13" s="74"/>
      <c r="N13" s="74"/>
      <c r="O13" s="74"/>
      <c r="P13" s="74"/>
    </row>
    <row r="14" spans="2:16" ht="18" thickBot="1" x14ac:dyDescent="0.4">
      <c r="B14" s="544" t="s">
        <v>374</v>
      </c>
      <c r="C14" s="545"/>
      <c r="D14" s="545"/>
      <c r="E14" s="545"/>
      <c r="F14" s="545"/>
      <c r="G14" s="545"/>
      <c r="H14" s="545"/>
      <c r="I14" s="545"/>
      <c r="J14" s="546"/>
      <c r="K14" s="74"/>
      <c r="L14" s="75"/>
      <c r="M14" s="74"/>
      <c r="N14" s="74"/>
      <c r="O14" s="74"/>
      <c r="P14" s="74"/>
    </row>
    <row r="15" spans="2:16" ht="75" customHeight="1" thickBot="1" x14ac:dyDescent="0.3">
      <c r="B15" s="577" t="s">
        <v>195</v>
      </c>
      <c r="C15" s="578"/>
      <c r="D15" s="578"/>
      <c r="E15" s="578"/>
      <c r="F15" s="578"/>
      <c r="G15" s="578"/>
      <c r="H15" s="578"/>
      <c r="I15" s="578"/>
      <c r="J15" s="579"/>
      <c r="K15" s="74"/>
      <c r="L15" s="75"/>
      <c r="M15" s="74"/>
      <c r="N15" s="74"/>
      <c r="O15" s="74"/>
      <c r="P15" s="74"/>
    </row>
    <row r="16" spans="2:16" ht="16.5" customHeight="1" thickBot="1" x14ac:dyDescent="0.3">
      <c r="B16" s="176"/>
      <c r="C16" s="176"/>
      <c r="D16" s="176"/>
      <c r="E16" s="176"/>
      <c r="F16" s="176"/>
      <c r="G16" s="176"/>
      <c r="H16" s="176"/>
      <c r="I16" s="176"/>
      <c r="J16" s="176"/>
      <c r="K16" s="74"/>
      <c r="L16" s="75"/>
      <c r="M16" s="74"/>
      <c r="N16" s="74"/>
      <c r="O16" s="74"/>
      <c r="P16" s="74"/>
    </row>
    <row r="17" spans="2:16" ht="15.95" customHeight="1" thickBot="1" x14ac:dyDescent="0.4">
      <c r="B17" s="544" t="s">
        <v>375</v>
      </c>
      <c r="C17" s="545"/>
      <c r="D17" s="545"/>
      <c r="E17" s="545"/>
      <c r="F17" s="545"/>
      <c r="G17" s="545"/>
      <c r="H17" s="545"/>
      <c r="I17" s="545"/>
      <c r="J17" s="546"/>
      <c r="K17" s="74"/>
      <c r="L17" s="75"/>
      <c r="M17" s="74"/>
      <c r="N17" s="74"/>
      <c r="O17" s="74"/>
      <c r="P17" s="74"/>
    </row>
    <row r="18" spans="2:16" ht="139.5" customHeight="1" thickBot="1" x14ac:dyDescent="0.3">
      <c r="B18" s="577" t="s">
        <v>376</v>
      </c>
      <c r="C18" s="578"/>
      <c r="D18" s="578"/>
      <c r="E18" s="578"/>
      <c r="F18" s="578"/>
      <c r="G18" s="578"/>
      <c r="H18" s="578"/>
      <c r="I18" s="578"/>
      <c r="J18" s="579"/>
      <c r="K18" s="74"/>
      <c r="L18" s="75"/>
      <c r="M18" s="74"/>
      <c r="N18" s="74"/>
      <c r="O18" s="74"/>
      <c r="P18" s="74"/>
    </row>
    <row r="19" spans="2:16" ht="15.95" customHeight="1" thickBot="1" x14ac:dyDescent="0.3">
      <c r="B19" s="72"/>
      <c r="J19" s="73"/>
      <c r="K19" s="74"/>
      <c r="L19" s="75"/>
      <c r="M19" s="74"/>
      <c r="N19" s="74"/>
      <c r="O19" s="74"/>
      <c r="P19" s="74"/>
    </row>
    <row r="20" spans="2:16" ht="18" thickBot="1" x14ac:dyDescent="0.3">
      <c r="B20" s="27" t="s">
        <v>196</v>
      </c>
      <c r="C20" s="28"/>
      <c r="D20" s="28"/>
      <c r="E20" s="28"/>
      <c r="F20" s="28"/>
      <c r="G20" s="28"/>
      <c r="H20" s="28"/>
      <c r="I20" s="28"/>
      <c r="J20" s="29"/>
      <c r="K20" s="39"/>
      <c r="L20" s="43"/>
      <c r="M20" s="24"/>
      <c r="N20" s="24"/>
      <c r="O20" s="24"/>
      <c r="P20" s="24"/>
    </row>
    <row r="21" spans="2:16" ht="59.25" customHeight="1" thickBot="1" x14ac:dyDescent="0.3">
      <c r="B21" s="516" t="s">
        <v>197</v>
      </c>
      <c r="C21" s="517"/>
      <c r="D21" s="517"/>
      <c r="E21" s="517"/>
      <c r="F21" s="517"/>
      <c r="G21" s="517"/>
      <c r="H21" s="517"/>
      <c r="I21" s="517"/>
      <c r="J21" s="518"/>
      <c r="K21" s="76"/>
      <c r="L21" s="43"/>
      <c r="M21" s="77"/>
      <c r="N21" s="77"/>
      <c r="O21" s="77"/>
      <c r="P21" s="77"/>
    </row>
    <row r="22" spans="2:16" ht="17.25" x14ac:dyDescent="0.25">
      <c r="B22" s="527" t="s">
        <v>83</v>
      </c>
      <c r="C22" s="528"/>
      <c r="D22" s="528"/>
      <c r="E22" s="539" t="s">
        <v>284</v>
      </c>
      <c r="F22" s="539"/>
      <c r="G22" s="539"/>
      <c r="H22" s="539"/>
      <c r="I22" s="528" t="s">
        <v>84</v>
      </c>
      <c r="J22" s="529"/>
      <c r="K22" s="78"/>
      <c r="L22" s="43"/>
      <c r="M22" s="79"/>
      <c r="N22" s="79"/>
      <c r="O22" s="79"/>
      <c r="P22" s="79"/>
    </row>
    <row r="23" spans="2:16" x14ac:dyDescent="0.25">
      <c r="B23" s="580" t="s">
        <v>198</v>
      </c>
      <c r="C23" s="581"/>
      <c r="D23" s="582"/>
      <c r="E23" s="583"/>
      <c r="F23" s="583"/>
      <c r="G23" s="583"/>
      <c r="H23" s="583"/>
      <c r="I23" s="521" t="s">
        <v>85</v>
      </c>
      <c r="J23" s="522"/>
      <c r="K23" s="53"/>
      <c r="L23" s="43"/>
      <c r="M23" s="81"/>
      <c r="N23" s="81"/>
      <c r="O23" s="81"/>
      <c r="P23" s="81"/>
    </row>
    <row r="24" spans="2:16" ht="17.25" thickBot="1" x14ac:dyDescent="0.3">
      <c r="B24" s="585" t="s">
        <v>290</v>
      </c>
      <c r="C24" s="586"/>
      <c r="D24" s="587"/>
      <c r="E24" s="584"/>
      <c r="F24" s="584"/>
      <c r="G24" s="584"/>
      <c r="H24" s="584"/>
      <c r="I24" s="525" t="s">
        <v>85</v>
      </c>
      <c r="J24" s="526"/>
      <c r="K24" s="53"/>
      <c r="L24" s="43"/>
      <c r="M24" s="81"/>
      <c r="N24" s="81"/>
      <c r="O24" s="81"/>
      <c r="P24" s="81"/>
    </row>
    <row r="25" spans="2:16" ht="17.25" thickBot="1" x14ac:dyDescent="0.3">
      <c r="L25" s="43"/>
    </row>
    <row r="26" spans="2:16" ht="18" thickBot="1" x14ac:dyDescent="0.3">
      <c r="B26" s="27" t="s">
        <v>95</v>
      </c>
      <c r="C26" s="28"/>
      <c r="D26" s="28"/>
      <c r="E26" s="28"/>
      <c r="F26" s="28"/>
      <c r="G26" s="28"/>
      <c r="H26" s="28"/>
      <c r="I26" s="28"/>
      <c r="J26" s="29"/>
      <c r="L26" s="43"/>
    </row>
    <row r="27" spans="2:16" ht="17.25" thickBot="1" x14ac:dyDescent="0.3">
      <c r="B27" s="516" t="s">
        <v>200</v>
      </c>
      <c r="C27" s="517"/>
      <c r="D27" s="517"/>
      <c r="E27" s="517"/>
      <c r="F27" s="517"/>
      <c r="G27" s="517"/>
      <c r="H27" s="517"/>
      <c r="I27" s="517"/>
      <c r="J27" s="518"/>
      <c r="L27" s="43"/>
    </row>
    <row r="28" spans="2:16" ht="17.25" x14ac:dyDescent="0.25">
      <c r="B28" s="527" t="s">
        <v>83</v>
      </c>
      <c r="C28" s="528"/>
      <c r="D28" s="528"/>
      <c r="E28" s="533" t="s">
        <v>287</v>
      </c>
      <c r="F28" s="534"/>
      <c r="G28" s="533" t="s">
        <v>288</v>
      </c>
      <c r="H28" s="534"/>
      <c r="I28" s="528" t="s">
        <v>84</v>
      </c>
      <c r="J28" s="529"/>
      <c r="L28" s="43"/>
    </row>
    <row r="29" spans="2:16" x14ac:dyDescent="0.25">
      <c r="B29" s="519" t="s">
        <v>97</v>
      </c>
      <c r="C29" s="520"/>
      <c r="D29" s="520"/>
      <c r="E29" s="512"/>
      <c r="F29" s="513"/>
      <c r="G29" s="512"/>
      <c r="H29" s="513"/>
      <c r="I29" s="521" t="s">
        <v>96</v>
      </c>
      <c r="J29" s="522"/>
      <c r="L29" s="43"/>
    </row>
    <row r="30" spans="2:16" ht="17.25" thickBot="1" x14ac:dyDescent="0.3">
      <c r="B30" s="523" t="s">
        <v>122</v>
      </c>
      <c r="C30" s="524"/>
      <c r="D30" s="524"/>
      <c r="E30" s="514"/>
      <c r="F30" s="515"/>
      <c r="G30" s="514"/>
      <c r="H30" s="515"/>
      <c r="I30" s="525" t="s">
        <v>123</v>
      </c>
      <c r="J30" s="526"/>
      <c r="L30" s="43"/>
    </row>
    <row r="31" spans="2:16" ht="17.25" thickBot="1" x14ac:dyDescent="0.3">
      <c r="L31" s="43"/>
    </row>
    <row r="32" spans="2:16" ht="18" thickBot="1" x14ac:dyDescent="0.3">
      <c r="B32" s="474" t="s">
        <v>202</v>
      </c>
      <c r="C32" s="475"/>
      <c r="D32" s="475"/>
      <c r="E32" s="475"/>
      <c r="F32" s="475"/>
      <c r="G32" s="475"/>
      <c r="H32" s="475"/>
      <c r="I32" s="475"/>
      <c r="J32" s="476"/>
      <c r="L32" s="43"/>
    </row>
    <row r="33" spans="1:12" ht="93.75" customHeight="1" thickBot="1" x14ac:dyDescent="0.3">
      <c r="B33" s="516" t="s">
        <v>199</v>
      </c>
      <c r="C33" s="517"/>
      <c r="D33" s="517"/>
      <c r="E33" s="517"/>
      <c r="F33" s="517"/>
      <c r="G33" s="517"/>
      <c r="H33" s="517"/>
      <c r="I33" s="517"/>
      <c r="J33" s="518"/>
      <c r="L33" s="43"/>
    </row>
    <row r="34" spans="1:12" x14ac:dyDescent="0.25">
      <c r="B34" s="588" t="s">
        <v>86</v>
      </c>
      <c r="C34" s="589"/>
      <c r="D34" s="594"/>
      <c r="E34" s="594"/>
      <c r="F34" s="594"/>
      <c r="G34" s="594"/>
      <c r="H34" s="594"/>
      <c r="I34" s="594"/>
      <c r="J34" s="595"/>
      <c r="L34" s="43"/>
    </row>
    <row r="35" spans="1:12" x14ac:dyDescent="0.25">
      <c r="B35" s="590"/>
      <c r="C35" s="591"/>
      <c r="D35" s="596"/>
      <c r="E35" s="596"/>
      <c r="F35" s="596"/>
      <c r="G35" s="596"/>
      <c r="H35" s="596"/>
      <c r="I35" s="596"/>
      <c r="J35" s="597"/>
      <c r="L35" s="43"/>
    </row>
    <row r="36" spans="1:12" ht="17.25" thickBot="1" x14ac:dyDescent="0.3">
      <c r="B36" s="592"/>
      <c r="C36" s="593"/>
      <c r="D36" s="598"/>
      <c r="E36" s="598"/>
      <c r="F36" s="598"/>
      <c r="G36" s="598"/>
      <c r="H36" s="598"/>
      <c r="I36" s="598"/>
      <c r="J36" s="599"/>
      <c r="L36" s="43"/>
    </row>
    <row r="37" spans="1:12" x14ac:dyDescent="0.25">
      <c r="L37" s="43"/>
    </row>
    <row r="38" spans="1:12" x14ac:dyDescent="0.25">
      <c r="A38" s="43"/>
      <c r="B38" s="43"/>
      <c r="C38" s="43"/>
      <c r="D38" s="43"/>
      <c r="E38" s="43"/>
      <c r="F38" s="43"/>
      <c r="G38" s="43"/>
      <c r="H38" s="43"/>
      <c r="I38" s="43"/>
      <c r="J38" s="43"/>
      <c r="K38" s="43"/>
      <c r="L38" s="43"/>
    </row>
  </sheetData>
  <sheetProtection algorithmName="SHA-512" hashValue="YZnxsdO5X1xGiccEZKo9cP4eZRJZ6M3uQacomdd931+lWBi4c9+XxF6Fu4mq1R2UqH/jTZF/rdbHGXnyYpWHAA==" saltValue="sZyGohmdYd7kVdjY8fFUEg==" spinCount="100000" sheet="1" selectLockedCells="1"/>
  <mergeCells count="41">
    <mergeCell ref="B32:J32"/>
    <mergeCell ref="B33:J33"/>
    <mergeCell ref="B34:C36"/>
    <mergeCell ref="D34:J36"/>
    <mergeCell ref="B29:D29"/>
    <mergeCell ref="I29:J29"/>
    <mergeCell ref="B27:J27"/>
    <mergeCell ref="B28:D28"/>
    <mergeCell ref="I28:J28"/>
    <mergeCell ref="B30:D30"/>
    <mergeCell ref="I30:J30"/>
    <mergeCell ref="E28:F28"/>
    <mergeCell ref="G28:H28"/>
    <mergeCell ref="E29:F29"/>
    <mergeCell ref="G29:H29"/>
    <mergeCell ref="E30:F30"/>
    <mergeCell ref="G30:H30"/>
    <mergeCell ref="E24:H24"/>
    <mergeCell ref="I23:J23"/>
    <mergeCell ref="I24:J24"/>
    <mergeCell ref="G4:H4"/>
    <mergeCell ref="C4:E4"/>
    <mergeCell ref="C5:E5"/>
    <mergeCell ref="C6:E6"/>
    <mergeCell ref="C7:E7"/>
    <mergeCell ref="C8:E8"/>
    <mergeCell ref="B11:J11"/>
    <mergeCell ref="B12:J12"/>
    <mergeCell ref="B14:J14"/>
    <mergeCell ref="B24:D24"/>
    <mergeCell ref="B22:D22"/>
    <mergeCell ref="E22:H22"/>
    <mergeCell ref="I22:J22"/>
    <mergeCell ref="B15:J15"/>
    <mergeCell ref="B2:E2"/>
    <mergeCell ref="C3:E3"/>
    <mergeCell ref="B21:J21"/>
    <mergeCell ref="B23:D23"/>
    <mergeCell ref="E23:H23"/>
    <mergeCell ref="B17:J17"/>
    <mergeCell ref="B18:J18"/>
  </mergeCells>
  <hyperlinks>
    <hyperlink ref="G4" location="Instructions!C33" display="Back to Instructions tab" xr:uid="{00000000-0004-0000-0A00-000000000000}"/>
  </hyperlinks>
  <printOptions horizontalCentered="1"/>
  <pageMargins left="0.25" right="0.25" top="0.75" bottom="0.25" header="0.3" footer="0.3"/>
  <pageSetup scale="79" orientation="landscape"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0070C0"/>
  </sheetPr>
  <dimension ref="A1:L170"/>
  <sheetViews>
    <sheetView showGridLines="0" zoomScale="80" zoomScaleNormal="80" workbookViewId="0">
      <selection activeCell="G27" sqref="G27"/>
    </sheetView>
  </sheetViews>
  <sheetFormatPr defaultRowHeight="18" x14ac:dyDescent="0.35"/>
  <cols>
    <col min="1" max="1" width="4.42578125" style="144" customWidth="1"/>
    <col min="2" max="2" width="7.85546875" style="144" customWidth="1"/>
    <col min="3" max="4" width="29.85546875" style="144" customWidth="1"/>
    <col min="5" max="5" width="35" style="144" customWidth="1"/>
    <col min="6" max="8" width="29.85546875" style="144" customWidth="1"/>
    <col min="9" max="9" width="14.42578125" style="144" customWidth="1"/>
    <col min="10" max="10" width="7.85546875" style="144" customWidth="1"/>
    <col min="11" max="11" width="4.42578125" style="144" customWidth="1"/>
    <col min="12" max="12" width="3.42578125" customWidth="1"/>
    <col min="13" max="13" width="4" customWidth="1"/>
    <col min="14" max="14" width="6.42578125" customWidth="1"/>
    <col min="15" max="15" width="30" customWidth="1"/>
    <col min="16" max="16" width="28.85546875" customWidth="1"/>
    <col min="17" max="17" width="45.85546875" customWidth="1"/>
    <col min="18" max="18" width="30.140625" customWidth="1"/>
    <col min="19" max="20" width="30.5703125" customWidth="1"/>
  </cols>
  <sheetData>
    <row r="1" spans="1:12" ht="18.75" thickBot="1" x14ac:dyDescent="0.4">
      <c r="A1" s="121"/>
      <c r="B1" s="121"/>
      <c r="C1" s="121"/>
      <c r="D1" s="121"/>
      <c r="E1" s="121"/>
      <c r="F1" s="121"/>
      <c r="G1" s="121"/>
      <c r="H1" s="121"/>
      <c r="I1" s="121"/>
      <c r="J1" s="121"/>
      <c r="K1" s="121"/>
      <c r="L1" s="122"/>
    </row>
    <row r="2" spans="1:12" ht="17.100000000000001" customHeight="1" thickBot="1" x14ac:dyDescent="0.4">
      <c r="A2" s="121"/>
      <c r="B2" s="424" t="str">
        <f>'Version Control'!$B$2</f>
        <v>Title Block</v>
      </c>
      <c r="C2" s="425"/>
      <c r="D2" s="425"/>
      <c r="E2" s="426"/>
      <c r="G2" s="121"/>
      <c r="H2" s="121"/>
      <c r="I2" s="121"/>
      <c r="J2" s="121"/>
      <c r="K2" s="121"/>
      <c r="L2" s="122"/>
    </row>
    <row r="3" spans="1:12" ht="17.100000000000001" customHeight="1" x14ac:dyDescent="0.35">
      <c r="A3" s="121"/>
      <c r="B3" s="427" t="str">
        <f>'Version Control'!$B$3</f>
        <v>Test Report Template Name:</v>
      </c>
      <c r="C3" s="428"/>
      <c r="D3" s="429" t="str">
        <f>'Version Control'!$C$3</f>
        <v>Portable Air Conditioners</v>
      </c>
      <c r="E3" s="430"/>
      <c r="G3" s="121"/>
      <c r="H3" s="121"/>
      <c r="I3" s="121"/>
      <c r="J3" s="121"/>
      <c r="K3" s="121"/>
      <c r="L3" s="122"/>
    </row>
    <row r="4" spans="1:12" ht="17.100000000000001" customHeight="1" x14ac:dyDescent="0.35">
      <c r="A4" s="121"/>
      <c r="B4" s="431" t="str">
        <f>'Version Control'!$B$4</f>
        <v>Version Number:</v>
      </c>
      <c r="C4" s="432"/>
      <c r="D4" s="433" t="str">
        <f>'Version Control'!$C$4</f>
        <v>v2.1</v>
      </c>
      <c r="E4" s="434"/>
      <c r="G4" s="121"/>
      <c r="H4" s="604" t="s">
        <v>58</v>
      </c>
      <c r="I4" s="604"/>
      <c r="J4" s="290"/>
      <c r="K4" s="364"/>
      <c r="L4" s="122"/>
    </row>
    <row r="5" spans="1:12" ht="17.100000000000001" customHeight="1" x14ac:dyDescent="0.35">
      <c r="A5" s="121"/>
      <c r="B5" s="431" t="str">
        <f>'Version Control'!$B$5</f>
        <v xml:space="preserve">Latest Template Revision: </v>
      </c>
      <c r="C5" s="432"/>
      <c r="D5" s="357">
        <f>'Version Control'!$C$5</f>
        <v>45611</v>
      </c>
      <c r="E5" s="436"/>
      <c r="G5" s="121"/>
      <c r="H5" s="121"/>
      <c r="I5" s="121"/>
      <c r="J5" s="121"/>
      <c r="K5" s="121"/>
      <c r="L5" s="122"/>
    </row>
    <row r="6" spans="1:12" ht="17.100000000000001" customHeight="1" x14ac:dyDescent="0.35">
      <c r="A6" s="121"/>
      <c r="B6" s="431" t="str">
        <f>'Version Control'!$B$6</f>
        <v>Tab Name:</v>
      </c>
      <c r="C6" s="432"/>
      <c r="D6" s="433" t="str">
        <f ca="1">MID(CELL("filename",A1), FIND("]", CELL("filename", A1))+ 1, 255)</f>
        <v>Data &amp; Calcs Cooling Mode - SS</v>
      </c>
      <c r="E6" s="434"/>
      <c r="G6" s="121"/>
      <c r="H6" s="121"/>
      <c r="I6" s="121"/>
      <c r="J6" s="121"/>
      <c r="K6" s="121"/>
      <c r="L6" s="122"/>
    </row>
    <row r="7" spans="1:12" ht="17.100000000000001" customHeight="1" x14ac:dyDescent="0.35">
      <c r="A7" s="121"/>
      <c r="B7" s="431" t="str">
        <f>'Version Control'!$B$7</f>
        <v>File Name:</v>
      </c>
      <c r="C7" s="432"/>
      <c r="D7" s="441" t="str">
        <f ca="1">'Version Control'!$C$7</f>
        <v>Portable Air Conditioners - v2.1.xlsx</v>
      </c>
      <c r="E7" s="435"/>
      <c r="G7" s="121"/>
      <c r="H7" s="121"/>
      <c r="I7" s="121"/>
      <c r="J7" s="121"/>
      <c r="K7" s="121"/>
      <c r="L7" s="122"/>
    </row>
    <row r="8" spans="1:12" ht="17.100000000000001" customHeight="1" thickBot="1" x14ac:dyDescent="0.4">
      <c r="A8" s="121"/>
      <c r="B8" s="437" t="str">
        <f>'Version Control'!$B$8</f>
        <v xml:space="preserve">Test Completion Date: </v>
      </c>
      <c r="C8" s="438"/>
      <c r="D8" s="439" t="str">
        <f>'Version Control'!$C$8</f>
        <v>[MM/DD/YYYY]</v>
      </c>
      <c r="E8" s="440"/>
      <c r="G8" s="121"/>
      <c r="H8" s="121"/>
      <c r="I8" s="121"/>
      <c r="J8" s="121"/>
      <c r="K8" s="121"/>
      <c r="L8" s="122"/>
    </row>
    <row r="9" spans="1:12" x14ac:dyDescent="0.35">
      <c r="A9" s="121"/>
      <c r="B9" s="121"/>
      <c r="C9" s="121"/>
      <c r="D9" s="121"/>
      <c r="E9" s="121"/>
      <c r="F9" s="121"/>
      <c r="G9" s="121"/>
      <c r="H9" s="121"/>
      <c r="I9" s="121"/>
      <c r="J9" s="121"/>
      <c r="K9" s="121"/>
      <c r="L9" s="122"/>
    </row>
    <row r="10" spans="1:12" ht="17.100000000000001" customHeight="1" x14ac:dyDescent="0.35">
      <c r="A10" s="121"/>
      <c r="B10" s="600" t="s">
        <v>382</v>
      </c>
      <c r="C10" s="600"/>
      <c r="D10" s="600"/>
      <c r="E10" s="600"/>
      <c r="F10" s="600"/>
      <c r="G10" s="600"/>
      <c r="H10" s="121"/>
      <c r="I10" s="121"/>
      <c r="J10" s="121"/>
      <c r="K10" s="121"/>
      <c r="L10" s="122"/>
    </row>
    <row r="11" spans="1:12" x14ac:dyDescent="0.35">
      <c r="A11" s="121"/>
      <c r="B11" s="600"/>
      <c r="C11" s="600"/>
      <c r="D11" s="600"/>
      <c r="E11" s="600"/>
      <c r="F11" s="600"/>
      <c r="G11" s="600"/>
      <c r="H11" s="121"/>
      <c r="I11" s="121"/>
      <c r="J11" s="121"/>
      <c r="K11" s="121"/>
      <c r="L11" s="122"/>
    </row>
    <row r="12" spans="1:12" ht="18.75" thickBot="1" x14ac:dyDescent="0.4">
      <c r="A12" s="121"/>
      <c r="B12" s="121"/>
      <c r="C12" s="121"/>
      <c r="D12" s="121"/>
      <c r="E12" s="121"/>
      <c r="F12" s="121"/>
      <c r="G12" s="121"/>
      <c r="H12" s="121"/>
      <c r="I12" s="121"/>
      <c r="J12" s="121"/>
      <c r="K12" s="121"/>
      <c r="L12" s="122"/>
    </row>
    <row r="13" spans="1:12" ht="18.75" thickBot="1" x14ac:dyDescent="0.4">
      <c r="A13" s="121"/>
      <c r="B13" s="409" t="s">
        <v>76</v>
      </c>
      <c r="C13" s="402"/>
      <c r="D13" s="402"/>
      <c r="E13" s="402"/>
      <c r="F13" s="402"/>
      <c r="G13" s="402"/>
      <c r="H13" s="402"/>
      <c r="I13" s="402"/>
      <c r="J13" s="403"/>
      <c r="K13"/>
      <c r="L13" s="122"/>
    </row>
    <row r="14" spans="1:12" ht="18.75" thickBot="1" x14ac:dyDescent="0.4">
      <c r="A14" s="121"/>
      <c r="B14" s="123"/>
      <c r="C14" s="124"/>
      <c r="D14" s="124"/>
      <c r="E14" s="124"/>
      <c r="F14" s="124"/>
      <c r="G14" s="124"/>
      <c r="H14" s="124"/>
      <c r="I14" s="124"/>
      <c r="J14" s="125"/>
      <c r="K14" s="124"/>
      <c r="L14" s="122"/>
    </row>
    <row r="15" spans="1:12" ht="18.75" thickBot="1" x14ac:dyDescent="0.4">
      <c r="A15" s="121"/>
      <c r="B15" s="123"/>
      <c r="C15" s="544" t="s">
        <v>318</v>
      </c>
      <c r="D15" s="545"/>
      <c r="E15" s="545"/>
      <c r="F15" s="545"/>
      <c r="G15" s="545"/>
      <c r="H15" s="545"/>
      <c r="I15" s="546"/>
      <c r="J15" s="125"/>
      <c r="K15" s="124"/>
      <c r="L15" s="122"/>
    </row>
    <row r="16" spans="1:12" ht="114" customHeight="1" thickBot="1" x14ac:dyDescent="0.4">
      <c r="A16" s="121"/>
      <c r="B16" s="123"/>
      <c r="C16" s="577" t="s">
        <v>378</v>
      </c>
      <c r="D16" s="578"/>
      <c r="E16" s="578"/>
      <c r="F16" s="578"/>
      <c r="G16" s="578"/>
      <c r="H16" s="578"/>
      <c r="I16" s="579"/>
      <c r="J16" s="125"/>
      <c r="K16" s="124"/>
      <c r="L16" s="122"/>
    </row>
    <row r="17" spans="1:12" ht="18.75" thickBot="1" x14ac:dyDescent="0.4">
      <c r="A17" s="121"/>
      <c r="B17" s="123"/>
      <c r="C17" s="124"/>
      <c r="D17" s="124"/>
      <c r="E17" s="124"/>
      <c r="F17" s="124"/>
      <c r="G17" s="124"/>
      <c r="H17" s="124"/>
      <c r="I17" s="124"/>
      <c r="J17" s="125"/>
      <c r="K17" s="124"/>
      <c r="L17" s="122"/>
    </row>
    <row r="18" spans="1:12" ht="18.75" thickBot="1" x14ac:dyDescent="0.4">
      <c r="A18" s="121"/>
      <c r="B18" s="123"/>
      <c r="C18" s="544" t="s">
        <v>207</v>
      </c>
      <c r="D18" s="545"/>
      <c r="E18" s="545"/>
      <c r="F18" s="545"/>
      <c r="G18" s="546"/>
      <c r="H18" s="275"/>
      <c r="I18" s="124"/>
      <c r="J18" s="125"/>
      <c r="K18" s="124"/>
      <c r="L18" s="122"/>
    </row>
    <row r="19" spans="1:12" x14ac:dyDescent="0.35">
      <c r="A19" s="121"/>
      <c r="B19" s="123"/>
      <c r="C19" s="387"/>
      <c r="D19" s="601" t="s">
        <v>205</v>
      </c>
      <c r="E19" s="602"/>
      <c r="F19" s="601" t="s">
        <v>206</v>
      </c>
      <c r="G19" s="603"/>
      <c r="H19" s="275"/>
      <c r="I19" s="124"/>
      <c r="J19" s="125"/>
      <c r="K19" s="124"/>
      <c r="L19" s="122"/>
    </row>
    <row r="20" spans="1:12" x14ac:dyDescent="0.35">
      <c r="A20" s="121"/>
      <c r="B20" s="123"/>
      <c r="C20" s="229" t="s">
        <v>83</v>
      </c>
      <c r="D20" s="228" t="s">
        <v>203</v>
      </c>
      <c r="E20" s="228" t="s">
        <v>204</v>
      </c>
      <c r="F20" s="228" t="s">
        <v>203</v>
      </c>
      <c r="G20" s="230" t="s">
        <v>204</v>
      </c>
      <c r="H20" s="282"/>
      <c r="I20" s="124"/>
      <c r="J20" s="125"/>
      <c r="K20" s="124"/>
      <c r="L20" s="122"/>
    </row>
    <row r="21" spans="1:12" x14ac:dyDescent="0.35">
      <c r="A21" s="121"/>
      <c r="B21" s="123"/>
      <c r="C21" s="345" t="s">
        <v>303</v>
      </c>
      <c r="D21" s="227" t="s">
        <v>208</v>
      </c>
      <c r="E21" s="227" t="s">
        <v>209</v>
      </c>
      <c r="F21" s="227" t="s">
        <v>210</v>
      </c>
      <c r="G21" s="231" t="s">
        <v>212</v>
      </c>
      <c r="H21" s="282"/>
      <c r="I21" s="124"/>
      <c r="J21" s="125"/>
      <c r="K21" s="124"/>
      <c r="L21" s="122"/>
    </row>
    <row r="22" spans="1:12" x14ac:dyDescent="0.35">
      <c r="A22" s="121"/>
      <c r="B22" s="123"/>
      <c r="C22" s="345" t="s">
        <v>309</v>
      </c>
      <c r="D22" s="227" t="s">
        <v>208</v>
      </c>
      <c r="E22" s="227" t="s">
        <v>209</v>
      </c>
      <c r="F22" s="227" t="s">
        <v>211</v>
      </c>
      <c r="G22" s="231" t="s">
        <v>213</v>
      </c>
      <c r="H22" s="282"/>
      <c r="I22" s="124"/>
      <c r="J22" s="125"/>
      <c r="K22" s="124"/>
      <c r="L22" s="122"/>
    </row>
    <row r="23" spans="1:12" ht="18.75" thickBot="1" x14ac:dyDescent="0.4">
      <c r="A23" s="121"/>
      <c r="B23" s="123"/>
      <c r="C23" s="341" t="s">
        <v>310</v>
      </c>
      <c r="D23" s="232" t="s">
        <v>208</v>
      </c>
      <c r="E23" s="232" t="s">
        <v>209</v>
      </c>
      <c r="F23" s="232" t="s">
        <v>208</v>
      </c>
      <c r="G23" s="233" t="s">
        <v>209</v>
      </c>
      <c r="H23" s="282"/>
      <c r="I23" s="124"/>
      <c r="J23" s="125"/>
      <c r="K23" s="124"/>
      <c r="L23" s="122"/>
    </row>
    <row r="24" spans="1:12" ht="18.75" thickBot="1" x14ac:dyDescent="0.4">
      <c r="A24" s="121"/>
      <c r="B24" s="123"/>
      <c r="C24" s="124"/>
      <c r="D24" s="124"/>
      <c r="E24" s="124"/>
      <c r="F24" s="124"/>
      <c r="G24" s="124"/>
      <c r="H24" s="124"/>
      <c r="I24" s="124"/>
      <c r="J24" s="125"/>
      <c r="K24" s="124"/>
      <c r="L24" s="122"/>
    </row>
    <row r="25" spans="1:12" ht="18.75" thickBot="1" x14ac:dyDescent="0.4">
      <c r="A25" s="126"/>
      <c r="B25" s="127"/>
      <c r="C25" s="544" t="s">
        <v>222</v>
      </c>
      <c r="D25" s="545"/>
      <c r="E25" s="545"/>
      <c r="F25" s="545"/>
      <c r="G25" s="545"/>
      <c r="H25" s="546"/>
      <c r="I25" s="149"/>
      <c r="J25" s="128"/>
      <c r="K25" s="149"/>
      <c r="L25" s="129"/>
    </row>
    <row r="26" spans="1:12" x14ac:dyDescent="0.35">
      <c r="A26" s="126"/>
      <c r="B26" s="127"/>
      <c r="C26" s="391"/>
      <c r="D26" s="392"/>
      <c r="E26" s="377"/>
      <c r="F26" s="377" t="s">
        <v>384</v>
      </c>
      <c r="G26" s="400" t="s">
        <v>77</v>
      </c>
      <c r="H26" s="180"/>
      <c r="I26" s="150"/>
      <c r="J26" s="131"/>
      <c r="K26" s="150"/>
      <c r="L26" s="129"/>
    </row>
    <row r="27" spans="1:12" ht="17.100000000000001" customHeight="1" x14ac:dyDescent="0.35">
      <c r="A27" s="121"/>
      <c r="B27" s="123"/>
      <c r="C27" s="388" t="s">
        <v>265</v>
      </c>
      <c r="D27" s="389"/>
      <c r="E27" s="374"/>
      <c r="F27" s="321" t="s">
        <v>477</v>
      </c>
      <c r="G27" s="159"/>
      <c r="H27" s="138" t="s">
        <v>85</v>
      </c>
      <c r="I27" s="139"/>
      <c r="J27" s="303"/>
      <c r="K27" s="139"/>
      <c r="L27" s="122"/>
    </row>
    <row r="28" spans="1:12" ht="17.100000000000001" customHeight="1" x14ac:dyDescent="0.35">
      <c r="A28" s="121"/>
      <c r="B28" s="123"/>
      <c r="C28" s="313" t="s">
        <v>266</v>
      </c>
      <c r="D28" s="314"/>
      <c r="E28" s="321"/>
      <c r="F28" s="321" t="s">
        <v>478</v>
      </c>
      <c r="G28" s="159"/>
      <c r="H28" s="138" t="s">
        <v>85</v>
      </c>
      <c r="I28" s="139"/>
      <c r="J28" s="303"/>
      <c r="K28" s="139"/>
      <c r="L28" s="122"/>
    </row>
    <row r="29" spans="1:12" ht="17.100000000000001" customHeight="1" x14ac:dyDescent="0.35">
      <c r="A29" s="121"/>
      <c r="B29" s="123"/>
      <c r="C29" s="388" t="s">
        <v>285</v>
      </c>
      <c r="D29" s="390"/>
      <c r="E29" s="374"/>
      <c r="F29" s="321" t="s">
        <v>479</v>
      </c>
      <c r="G29" s="159"/>
      <c r="H29" s="138" t="s">
        <v>85</v>
      </c>
      <c r="I29" s="139"/>
      <c r="J29" s="303"/>
      <c r="K29" s="139"/>
      <c r="L29" s="122"/>
    </row>
    <row r="30" spans="1:12" ht="17.100000000000001" customHeight="1" thickBot="1" x14ac:dyDescent="0.4">
      <c r="A30" s="121"/>
      <c r="B30" s="123"/>
      <c r="C30" s="318" t="s">
        <v>286</v>
      </c>
      <c r="D30" s="322"/>
      <c r="E30" s="317"/>
      <c r="F30" s="317" t="s">
        <v>480</v>
      </c>
      <c r="G30" s="236"/>
      <c r="H30" s="162" t="s">
        <v>85</v>
      </c>
      <c r="I30" s="139"/>
      <c r="J30" s="303"/>
      <c r="K30" s="139"/>
      <c r="L30" s="122"/>
    </row>
    <row r="31" spans="1:12" ht="18.75" thickBot="1" x14ac:dyDescent="0.4">
      <c r="A31" s="121"/>
      <c r="B31" s="123"/>
      <c r="C31" s="275"/>
      <c r="D31" s="124"/>
      <c r="E31" s="124"/>
      <c r="F31" s="124"/>
      <c r="G31" s="124"/>
      <c r="H31" s="124"/>
      <c r="I31" s="124"/>
      <c r="J31" s="125"/>
      <c r="K31" s="124"/>
      <c r="L31" s="122"/>
    </row>
    <row r="32" spans="1:12" ht="17.100000000000001" customHeight="1" thickBot="1" x14ac:dyDescent="0.4">
      <c r="A32" s="126"/>
      <c r="B32" s="127"/>
      <c r="C32" s="544" t="s">
        <v>317</v>
      </c>
      <c r="D32" s="545"/>
      <c r="E32" s="545"/>
      <c r="F32" s="545"/>
      <c r="G32" s="545"/>
      <c r="H32" s="546"/>
      <c r="I32" s="149"/>
      <c r="J32" s="128"/>
      <c r="K32" s="149"/>
      <c r="L32" s="129"/>
    </row>
    <row r="33" spans="1:12" ht="17.100000000000001" customHeight="1" x14ac:dyDescent="0.35">
      <c r="A33" s="126"/>
      <c r="B33" s="127"/>
      <c r="C33" s="391"/>
      <c r="D33" s="392"/>
      <c r="E33" s="377"/>
      <c r="F33" s="377" t="s">
        <v>384</v>
      </c>
      <c r="G33" s="400" t="s">
        <v>77</v>
      </c>
      <c r="H33" s="147"/>
      <c r="I33" s="150"/>
      <c r="J33" s="131"/>
      <c r="K33" s="150"/>
      <c r="L33" s="129"/>
    </row>
    <row r="34" spans="1:12" ht="17.100000000000001" customHeight="1" x14ac:dyDescent="0.35">
      <c r="A34" s="121"/>
      <c r="B34" s="123"/>
      <c r="C34" s="313" t="s">
        <v>99</v>
      </c>
      <c r="D34" s="314"/>
      <c r="E34" s="321"/>
      <c r="F34" s="315"/>
      <c r="G34" s="159"/>
      <c r="H34" s="138" t="s">
        <v>214</v>
      </c>
      <c r="I34" s="139"/>
      <c r="J34" s="303"/>
      <c r="K34" s="139"/>
      <c r="L34" s="122"/>
    </row>
    <row r="35" spans="1:12" ht="17.100000000000001" customHeight="1" x14ac:dyDescent="0.35">
      <c r="A35" s="121"/>
      <c r="B35" s="123"/>
      <c r="C35" s="313" t="s">
        <v>216</v>
      </c>
      <c r="D35" s="314"/>
      <c r="E35" s="321"/>
      <c r="F35" s="315"/>
      <c r="G35" s="159"/>
      <c r="H35" s="138" t="s">
        <v>78</v>
      </c>
      <c r="I35" s="139"/>
      <c r="J35" s="303"/>
      <c r="K35" s="139"/>
      <c r="L35" s="122"/>
    </row>
    <row r="36" spans="1:12" ht="17.100000000000001" customHeight="1" x14ac:dyDescent="0.35">
      <c r="A36" s="121"/>
      <c r="B36" s="123"/>
      <c r="C36" s="313" t="s">
        <v>215</v>
      </c>
      <c r="D36" s="314"/>
      <c r="E36" s="321"/>
      <c r="F36" s="315"/>
      <c r="G36" s="159"/>
      <c r="H36" s="138" t="s">
        <v>78</v>
      </c>
      <c r="I36" s="139"/>
      <c r="J36" s="303"/>
      <c r="K36" s="139"/>
      <c r="L36" s="122"/>
    </row>
    <row r="37" spans="1:12" ht="17.100000000000001" customHeight="1" x14ac:dyDescent="0.35">
      <c r="A37" s="121"/>
      <c r="B37" s="123"/>
      <c r="C37" s="313" t="s">
        <v>217</v>
      </c>
      <c r="D37" s="314"/>
      <c r="E37" s="321"/>
      <c r="F37" s="315" t="s">
        <v>491</v>
      </c>
      <c r="G37" s="159"/>
      <c r="H37" s="138" t="s">
        <v>78</v>
      </c>
      <c r="I37" s="139"/>
      <c r="J37" s="303"/>
      <c r="K37" s="139"/>
      <c r="L37" s="122"/>
    </row>
    <row r="38" spans="1:12" ht="17.100000000000001" customHeight="1" x14ac:dyDescent="0.35">
      <c r="A38" s="121"/>
      <c r="B38" s="123"/>
      <c r="C38" s="313" t="s">
        <v>218</v>
      </c>
      <c r="D38" s="314"/>
      <c r="E38" s="321"/>
      <c r="F38" s="315"/>
      <c r="G38" s="159"/>
      <c r="H38" s="138" t="s">
        <v>78</v>
      </c>
      <c r="I38" s="139"/>
      <c r="J38" s="303"/>
      <c r="K38" s="139"/>
      <c r="L38" s="122"/>
    </row>
    <row r="39" spans="1:12" ht="17.100000000000001" customHeight="1" x14ac:dyDescent="0.35">
      <c r="A39" s="121"/>
      <c r="B39" s="123"/>
      <c r="C39" s="313" t="s">
        <v>225</v>
      </c>
      <c r="D39" s="314"/>
      <c r="E39" s="315"/>
      <c r="F39" s="315" t="s">
        <v>486</v>
      </c>
      <c r="G39" s="159"/>
      <c r="H39" s="138" t="s">
        <v>78</v>
      </c>
      <c r="I39" s="139"/>
      <c r="J39" s="303"/>
      <c r="K39" s="139"/>
      <c r="L39" s="122"/>
    </row>
    <row r="40" spans="1:12" ht="17.100000000000001" customHeight="1" x14ac:dyDescent="0.35">
      <c r="A40" s="121"/>
      <c r="B40" s="123"/>
      <c r="C40" s="313" t="s">
        <v>224</v>
      </c>
      <c r="D40" s="314"/>
      <c r="E40" s="315"/>
      <c r="F40" s="315" t="s">
        <v>487</v>
      </c>
      <c r="G40" s="159"/>
      <c r="H40" s="138" t="s">
        <v>78</v>
      </c>
      <c r="I40" s="139"/>
      <c r="J40" s="303"/>
      <c r="K40" s="139"/>
      <c r="L40" s="122"/>
    </row>
    <row r="41" spans="1:12" ht="17.100000000000001" customHeight="1" x14ac:dyDescent="0.35">
      <c r="A41" s="121"/>
      <c r="B41" s="123"/>
      <c r="C41" s="319" t="s">
        <v>231</v>
      </c>
      <c r="D41" s="323"/>
      <c r="E41" s="321"/>
      <c r="F41" s="321" t="s">
        <v>494</v>
      </c>
      <c r="G41" s="235"/>
      <c r="H41" s="138" t="s">
        <v>227</v>
      </c>
      <c r="I41" s="139"/>
      <c r="J41" s="303"/>
      <c r="K41" s="139"/>
      <c r="L41" s="122"/>
    </row>
    <row r="42" spans="1:12" ht="17.100000000000001" customHeight="1" x14ac:dyDescent="0.35">
      <c r="A42" s="121"/>
      <c r="B42" s="123"/>
      <c r="C42" s="313" t="s">
        <v>226</v>
      </c>
      <c r="D42" s="314"/>
      <c r="E42" s="315"/>
      <c r="F42" s="321" t="s">
        <v>495</v>
      </c>
      <c r="G42" s="235"/>
      <c r="H42" s="138" t="s">
        <v>227</v>
      </c>
      <c r="I42" s="139"/>
      <c r="J42" s="303"/>
      <c r="K42" s="139"/>
      <c r="L42" s="122"/>
    </row>
    <row r="43" spans="1:12" ht="17.100000000000001" customHeight="1" x14ac:dyDescent="0.35">
      <c r="A43" s="121"/>
      <c r="B43" s="123"/>
      <c r="C43" s="319" t="s">
        <v>228</v>
      </c>
      <c r="D43" s="323"/>
      <c r="E43" s="321"/>
      <c r="F43" s="336" t="s">
        <v>496</v>
      </c>
      <c r="G43" s="235"/>
      <c r="H43" s="138" t="s">
        <v>229</v>
      </c>
      <c r="I43" s="139"/>
      <c r="J43" s="303"/>
      <c r="K43" s="139"/>
      <c r="L43" s="122"/>
    </row>
    <row r="44" spans="1:12" ht="17.100000000000001" customHeight="1" x14ac:dyDescent="0.35">
      <c r="A44" s="121"/>
      <c r="B44" s="123"/>
      <c r="C44" s="313" t="s">
        <v>232</v>
      </c>
      <c r="D44" s="314"/>
      <c r="E44" s="315"/>
      <c r="F44" s="336" t="s">
        <v>497</v>
      </c>
      <c r="G44" s="235"/>
      <c r="H44" s="138" t="s">
        <v>229</v>
      </c>
      <c r="I44" s="139"/>
      <c r="J44" s="303"/>
      <c r="K44" s="139"/>
      <c r="L44" s="122"/>
    </row>
    <row r="45" spans="1:12" ht="17.100000000000001" customHeight="1" x14ac:dyDescent="0.35">
      <c r="A45" s="121"/>
      <c r="B45" s="123"/>
      <c r="C45" s="313" t="s">
        <v>234</v>
      </c>
      <c r="D45" s="314"/>
      <c r="E45" s="315"/>
      <c r="F45" s="336" t="s">
        <v>498</v>
      </c>
      <c r="G45" s="235"/>
      <c r="H45" s="138" t="s">
        <v>230</v>
      </c>
      <c r="I45" s="139"/>
      <c r="J45" s="303"/>
      <c r="K45" s="139"/>
      <c r="L45" s="122"/>
    </row>
    <row r="46" spans="1:12" ht="17.100000000000001" customHeight="1" x14ac:dyDescent="0.35">
      <c r="A46" s="121"/>
      <c r="B46" s="123"/>
      <c r="C46" s="313" t="s">
        <v>233</v>
      </c>
      <c r="D46" s="314"/>
      <c r="E46" s="315"/>
      <c r="F46" s="336" t="s">
        <v>499</v>
      </c>
      <c r="G46" s="235"/>
      <c r="H46" s="138" t="s">
        <v>230</v>
      </c>
      <c r="I46" s="139"/>
      <c r="J46" s="303"/>
      <c r="K46" s="139"/>
      <c r="L46" s="122"/>
    </row>
    <row r="47" spans="1:12" ht="17.100000000000001" customHeight="1" x14ac:dyDescent="0.35">
      <c r="A47" s="121"/>
      <c r="B47" s="123"/>
      <c r="C47" s="319" t="s">
        <v>219</v>
      </c>
      <c r="D47" s="323"/>
      <c r="E47" s="321"/>
      <c r="F47" s="321" t="s">
        <v>529</v>
      </c>
      <c r="G47" s="223"/>
      <c r="H47" s="138" t="s">
        <v>130</v>
      </c>
      <c r="I47" s="139"/>
      <c r="J47" s="303"/>
      <c r="K47" s="139"/>
      <c r="L47" s="122"/>
    </row>
    <row r="48" spans="1:12" ht="17.100000000000001" customHeight="1" thickBot="1" x14ac:dyDescent="0.4">
      <c r="A48" s="121"/>
      <c r="B48" s="123"/>
      <c r="C48" s="161" t="s">
        <v>220</v>
      </c>
      <c r="D48" s="163"/>
      <c r="E48" s="317"/>
      <c r="F48" s="163" t="s">
        <v>525</v>
      </c>
      <c r="G48" s="224"/>
      <c r="H48" s="162" t="s">
        <v>221</v>
      </c>
      <c r="I48" s="139"/>
      <c r="J48" s="303"/>
      <c r="K48" s="139"/>
      <c r="L48" s="122"/>
    </row>
    <row r="49" spans="1:12" ht="17.100000000000001" customHeight="1" thickBot="1" x14ac:dyDescent="0.4">
      <c r="A49" s="121"/>
      <c r="B49" s="123"/>
      <c r="C49" s="275"/>
      <c r="D49" s="124"/>
      <c r="E49" s="124"/>
      <c r="F49" s="124"/>
      <c r="G49" s="124"/>
      <c r="H49" s="124"/>
      <c r="I49" s="124"/>
      <c r="J49" s="125"/>
      <c r="K49" s="124"/>
      <c r="L49" s="122"/>
    </row>
    <row r="50" spans="1:12" ht="17.100000000000001" customHeight="1" thickBot="1" x14ac:dyDescent="0.4">
      <c r="A50" s="126"/>
      <c r="B50" s="127"/>
      <c r="C50" s="544" t="s">
        <v>316</v>
      </c>
      <c r="D50" s="545"/>
      <c r="E50" s="545"/>
      <c r="F50" s="545"/>
      <c r="G50" s="545"/>
      <c r="H50" s="546"/>
      <c r="I50" s="149"/>
      <c r="J50" s="128"/>
      <c r="K50" s="149"/>
      <c r="L50" s="129"/>
    </row>
    <row r="51" spans="1:12" ht="17.100000000000001" customHeight="1" x14ac:dyDescent="0.35">
      <c r="A51" s="126"/>
      <c r="B51" s="127"/>
      <c r="C51" s="123"/>
      <c r="D51" s="124"/>
      <c r="E51" s="395"/>
      <c r="F51" s="375" t="s">
        <v>384</v>
      </c>
      <c r="G51" s="400" t="s">
        <v>77</v>
      </c>
      <c r="H51" s="147"/>
      <c r="I51" s="150"/>
      <c r="J51" s="131"/>
      <c r="K51" s="150"/>
      <c r="L51" s="129"/>
    </row>
    <row r="52" spans="1:12" ht="17.100000000000001" customHeight="1" x14ac:dyDescent="0.35">
      <c r="A52" s="121"/>
      <c r="B52" s="123"/>
      <c r="C52" s="313" t="s">
        <v>99</v>
      </c>
      <c r="D52" s="314"/>
      <c r="E52" s="315"/>
      <c r="F52" s="315"/>
      <c r="G52" s="159"/>
      <c r="H52" s="138" t="s">
        <v>214</v>
      </c>
      <c r="I52" s="139"/>
      <c r="J52" s="303"/>
      <c r="K52" s="139"/>
      <c r="L52" s="122"/>
    </row>
    <row r="53" spans="1:12" ht="17.100000000000001" customHeight="1" x14ac:dyDescent="0.35">
      <c r="A53" s="121"/>
      <c r="B53" s="123"/>
      <c r="C53" s="313" t="s">
        <v>216</v>
      </c>
      <c r="D53" s="314"/>
      <c r="E53" s="315"/>
      <c r="F53" s="315"/>
      <c r="G53" s="159"/>
      <c r="H53" s="138" t="s">
        <v>78</v>
      </c>
      <c r="I53" s="139"/>
      <c r="J53" s="303"/>
      <c r="K53" s="139"/>
      <c r="L53" s="122"/>
    </row>
    <row r="54" spans="1:12" ht="17.100000000000001" customHeight="1" x14ac:dyDescent="0.35">
      <c r="A54" s="121"/>
      <c r="B54" s="123"/>
      <c r="C54" s="313" t="s">
        <v>215</v>
      </c>
      <c r="D54" s="314"/>
      <c r="E54" s="315"/>
      <c r="F54" s="315"/>
      <c r="G54" s="159"/>
      <c r="H54" s="138" t="s">
        <v>78</v>
      </c>
      <c r="I54" s="139"/>
      <c r="J54" s="303"/>
      <c r="K54" s="139"/>
      <c r="L54" s="122"/>
    </row>
    <row r="55" spans="1:12" ht="17.100000000000001" customHeight="1" x14ac:dyDescent="0.35">
      <c r="A55" s="121"/>
      <c r="B55" s="123"/>
      <c r="C55" s="313" t="s">
        <v>217</v>
      </c>
      <c r="D55" s="314"/>
      <c r="E55" s="315"/>
      <c r="F55" s="315" t="s">
        <v>491</v>
      </c>
      <c r="G55" s="159"/>
      <c r="H55" s="138" t="s">
        <v>78</v>
      </c>
      <c r="I55" s="139"/>
      <c r="J55" s="303"/>
      <c r="K55" s="139"/>
      <c r="L55" s="122"/>
    </row>
    <row r="56" spans="1:12" ht="17.100000000000001" customHeight="1" x14ac:dyDescent="0.35">
      <c r="A56" s="121"/>
      <c r="B56" s="123"/>
      <c r="C56" s="313" t="s">
        <v>218</v>
      </c>
      <c r="D56" s="314"/>
      <c r="E56" s="315"/>
      <c r="F56" s="315"/>
      <c r="G56" s="159"/>
      <c r="H56" s="138" t="s">
        <v>78</v>
      </c>
      <c r="I56" s="139"/>
      <c r="J56" s="303"/>
      <c r="K56" s="139"/>
      <c r="L56" s="122"/>
    </row>
    <row r="57" spans="1:12" ht="17.100000000000001" customHeight="1" x14ac:dyDescent="0.35">
      <c r="A57" s="121"/>
      <c r="B57" s="123"/>
      <c r="C57" s="313" t="s">
        <v>225</v>
      </c>
      <c r="D57" s="314"/>
      <c r="E57" s="315"/>
      <c r="F57" s="315" t="s">
        <v>488</v>
      </c>
      <c r="G57" s="159"/>
      <c r="H57" s="138" t="s">
        <v>78</v>
      </c>
      <c r="I57" s="139"/>
      <c r="J57" s="303"/>
      <c r="K57" s="139"/>
      <c r="L57" s="122"/>
    </row>
    <row r="58" spans="1:12" ht="17.100000000000001" customHeight="1" x14ac:dyDescent="0.35">
      <c r="A58" s="121"/>
      <c r="B58" s="123"/>
      <c r="C58" s="313" t="s">
        <v>224</v>
      </c>
      <c r="D58" s="314"/>
      <c r="E58" s="315"/>
      <c r="F58" s="315" t="s">
        <v>489</v>
      </c>
      <c r="G58" s="159"/>
      <c r="H58" s="138" t="s">
        <v>78</v>
      </c>
      <c r="I58" s="139"/>
      <c r="J58" s="303"/>
      <c r="K58" s="139"/>
      <c r="L58" s="122"/>
    </row>
    <row r="59" spans="1:12" ht="17.100000000000001" customHeight="1" x14ac:dyDescent="0.35">
      <c r="A59" s="121"/>
      <c r="B59" s="123"/>
      <c r="C59" s="319" t="s">
        <v>231</v>
      </c>
      <c r="D59" s="323"/>
      <c r="E59" s="321"/>
      <c r="F59" s="321" t="s">
        <v>500</v>
      </c>
      <c r="G59" s="235"/>
      <c r="H59" s="138" t="s">
        <v>227</v>
      </c>
      <c r="I59" s="139"/>
      <c r="J59" s="303"/>
      <c r="K59" s="139"/>
      <c r="L59" s="122"/>
    </row>
    <row r="60" spans="1:12" ht="17.100000000000001" customHeight="1" x14ac:dyDescent="0.35">
      <c r="A60" s="121"/>
      <c r="B60" s="123"/>
      <c r="C60" s="313" t="s">
        <v>226</v>
      </c>
      <c r="D60" s="314"/>
      <c r="E60" s="315"/>
      <c r="F60" s="321" t="s">
        <v>501</v>
      </c>
      <c r="G60" s="235"/>
      <c r="H60" s="138" t="s">
        <v>227</v>
      </c>
      <c r="I60" s="139"/>
      <c r="J60" s="303"/>
      <c r="K60" s="139"/>
      <c r="L60" s="122"/>
    </row>
    <row r="61" spans="1:12" ht="17.100000000000001" customHeight="1" x14ac:dyDescent="0.35">
      <c r="A61" s="121"/>
      <c r="B61" s="123"/>
      <c r="C61" s="319" t="s">
        <v>228</v>
      </c>
      <c r="D61" s="323"/>
      <c r="E61" s="321"/>
      <c r="F61" s="336" t="s">
        <v>502</v>
      </c>
      <c r="G61" s="235"/>
      <c r="H61" s="138" t="s">
        <v>229</v>
      </c>
      <c r="I61" s="139"/>
      <c r="J61" s="303"/>
      <c r="K61" s="139"/>
      <c r="L61" s="122"/>
    </row>
    <row r="62" spans="1:12" ht="17.100000000000001" customHeight="1" x14ac:dyDescent="0.35">
      <c r="A62" s="121"/>
      <c r="B62" s="123"/>
      <c r="C62" s="313" t="s">
        <v>232</v>
      </c>
      <c r="D62" s="314"/>
      <c r="E62" s="315"/>
      <c r="F62" s="336" t="s">
        <v>503</v>
      </c>
      <c r="G62" s="235"/>
      <c r="H62" s="138" t="s">
        <v>229</v>
      </c>
      <c r="I62" s="139"/>
      <c r="J62" s="303"/>
      <c r="K62" s="139"/>
      <c r="L62" s="122"/>
    </row>
    <row r="63" spans="1:12" ht="17.100000000000001" customHeight="1" x14ac:dyDescent="0.35">
      <c r="A63" s="121"/>
      <c r="B63" s="123"/>
      <c r="C63" s="313" t="s">
        <v>234</v>
      </c>
      <c r="D63" s="314"/>
      <c r="E63" s="315"/>
      <c r="F63" s="336" t="s">
        <v>504</v>
      </c>
      <c r="G63" s="235"/>
      <c r="H63" s="138" t="s">
        <v>230</v>
      </c>
      <c r="I63" s="139"/>
      <c r="J63" s="303"/>
      <c r="K63" s="139"/>
      <c r="L63" s="122"/>
    </row>
    <row r="64" spans="1:12" ht="17.100000000000001" customHeight="1" x14ac:dyDescent="0.35">
      <c r="A64" s="121"/>
      <c r="B64" s="123"/>
      <c r="C64" s="313" t="s">
        <v>233</v>
      </c>
      <c r="D64" s="314"/>
      <c r="E64" s="315"/>
      <c r="F64" s="336" t="s">
        <v>505</v>
      </c>
      <c r="G64" s="235"/>
      <c r="H64" s="138" t="s">
        <v>230</v>
      </c>
      <c r="I64" s="139"/>
      <c r="J64" s="303"/>
      <c r="K64" s="139"/>
      <c r="L64" s="122"/>
    </row>
    <row r="65" spans="1:12" ht="17.100000000000001" customHeight="1" x14ac:dyDescent="0.35">
      <c r="A65" s="121"/>
      <c r="B65" s="123"/>
      <c r="C65" s="319" t="s">
        <v>219</v>
      </c>
      <c r="D65" s="323"/>
      <c r="E65" s="321"/>
      <c r="F65" s="321" t="s">
        <v>530</v>
      </c>
      <c r="G65" s="223"/>
      <c r="H65" s="138" t="s">
        <v>130</v>
      </c>
      <c r="I65" s="139"/>
      <c r="J65" s="303"/>
      <c r="K65" s="139"/>
      <c r="L65" s="122"/>
    </row>
    <row r="66" spans="1:12" ht="17.100000000000001" customHeight="1" thickBot="1" x14ac:dyDescent="0.4">
      <c r="A66" s="121"/>
      <c r="B66" s="123"/>
      <c r="C66" s="318" t="s">
        <v>220</v>
      </c>
      <c r="D66" s="322"/>
      <c r="E66" s="320"/>
      <c r="F66" s="322" t="s">
        <v>524</v>
      </c>
      <c r="G66" s="224"/>
      <c r="H66" s="162" t="s">
        <v>221</v>
      </c>
      <c r="I66" s="139"/>
      <c r="J66" s="303"/>
      <c r="K66" s="139"/>
      <c r="L66" s="122"/>
    </row>
    <row r="67" spans="1:12" ht="17.100000000000001" customHeight="1" thickBot="1" x14ac:dyDescent="0.4">
      <c r="A67" s="121"/>
      <c r="B67" s="123"/>
      <c r="C67" s="275"/>
      <c r="D67" s="124"/>
      <c r="E67" s="124"/>
      <c r="F67" s="124"/>
      <c r="G67" s="124"/>
      <c r="H67" s="124"/>
      <c r="I67" s="124"/>
      <c r="J67" s="125"/>
      <c r="K67" s="124"/>
      <c r="L67" s="122"/>
    </row>
    <row r="68" spans="1:12" ht="17.100000000000001" customHeight="1" thickBot="1" x14ac:dyDescent="0.4">
      <c r="A68" s="126"/>
      <c r="B68" s="127"/>
      <c r="C68" s="544" t="s">
        <v>322</v>
      </c>
      <c r="D68" s="545"/>
      <c r="E68" s="545"/>
      <c r="F68" s="545"/>
      <c r="G68" s="545"/>
      <c r="H68" s="546"/>
      <c r="I68" s="149"/>
      <c r="J68" s="128"/>
      <c r="K68" s="149"/>
      <c r="L68" s="129"/>
    </row>
    <row r="69" spans="1:12" ht="17.100000000000001" customHeight="1" x14ac:dyDescent="0.35">
      <c r="A69" s="126"/>
      <c r="B69" s="127"/>
      <c r="C69" s="123"/>
      <c r="D69" s="124"/>
      <c r="E69" s="395"/>
      <c r="F69" s="375" t="s">
        <v>384</v>
      </c>
      <c r="G69" s="400" t="s">
        <v>77</v>
      </c>
      <c r="H69" s="147"/>
      <c r="I69" s="150"/>
      <c r="J69" s="131"/>
      <c r="K69" s="150"/>
      <c r="L69" s="129"/>
    </row>
    <row r="70" spans="1:12" ht="17.100000000000001" customHeight="1" x14ac:dyDescent="0.35">
      <c r="A70" s="121"/>
      <c r="B70" s="123"/>
      <c r="C70" s="313" t="s">
        <v>99</v>
      </c>
      <c r="D70" s="314"/>
      <c r="E70" s="315"/>
      <c r="F70" s="315"/>
      <c r="G70" s="159"/>
      <c r="H70" s="138" t="s">
        <v>214</v>
      </c>
      <c r="I70" s="139"/>
      <c r="J70" s="303"/>
      <c r="K70" s="139"/>
      <c r="L70" s="122"/>
    </row>
    <row r="71" spans="1:12" ht="17.100000000000001" customHeight="1" x14ac:dyDescent="0.35">
      <c r="A71" s="121"/>
      <c r="B71" s="123"/>
      <c r="C71" s="313" t="s">
        <v>216</v>
      </c>
      <c r="D71" s="314"/>
      <c r="E71" s="315"/>
      <c r="F71" s="315"/>
      <c r="G71" s="159"/>
      <c r="H71" s="138" t="s">
        <v>78</v>
      </c>
      <c r="I71" s="139"/>
      <c r="J71" s="303"/>
      <c r="K71" s="139"/>
      <c r="L71" s="122"/>
    </row>
    <row r="72" spans="1:12" ht="17.100000000000001" customHeight="1" x14ac:dyDescent="0.35">
      <c r="A72" s="121"/>
      <c r="B72" s="123"/>
      <c r="C72" s="313" t="s">
        <v>215</v>
      </c>
      <c r="D72" s="314"/>
      <c r="E72" s="315"/>
      <c r="F72" s="315"/>
      <c r="G72" s="159"/>
      <c r="H72" s="138" t="s">
        <v>78</v>
      </c>
      <c r="I72" s="139"/>
      <c r="J72" s="303"/>
      <c r="K72" s="139"/>
      <c r="L72" s="122"/>
    </row>
    <row r="73" spans="1:12" ht="17.100000000000001" customHeight="1" x14ac:dyDescent="0.35">
      <c r="A73" s="121"/>
      <c r="B73" s="123"/>
      <c r="C73" s="313" t="s">
        <v>217</v>
      </c>
      <c r="D73" s="314"/>
      <c r="E73" s="315"/>
      <c r="F73" s="315" t="s">
        <v>491</v>
      </c>
      <c r="G73" s="159"/>
      <c r="H73" s="138" t="s">
        <v>78</v>
      </c>
      <c r="I73" s="139"/>
      <c r="J73" s="303"/>
      <c r="K73" s="139"/>
      <c r="L73" s="122"/>
    </row>
    <row r="74" spans="1:12" ht="17.100000000000001" customHeight="1" x14ac:dyDescent="0.35">
      <c r="A74" s="121"/>
      <c r="B74" s="123"/>
      <c r="C74" s="313" t="s">
        <v>218</v>
      </c>
      <c r="D74" s="314"/>
      <c r="E74" s="315"/>
      <c r="F74" s="315"/>
      <c r="G74" s="159"/>
      <c r="H74" s="138" t="s">
        <v>78</v>
      </c>
      <c r="I74" s="139"/>
      <c r="J74" s="303"/>
      <c r="K74" s="139"/>
      <c r="L74" s="122"/>
    </row>
    <row r="75" spans="1:12" ht="17.100000000000001" customHeight="1" x14ac:dyDescent="0.35">
      <c r="A75" s="121"/>
      <c r="B75" s="123"/>
      <c r="C75" s="313" t="s">
        <v>225</v>
      </c>
      <c r="D75" s="314"/>
      <c r="E75" s="315"/>
      <c r="F75" s="315" t="s">
        <v>490</v>
      </c>
      <c r="G75" s="159"/>
      <c r="H75" s="138" t="s">
        <v>78</v>
      </c>
      <c r="I75" s="139"/>
      <c r="J75" s="303"/>
      <c r="K75" s="139"/>
      <c r="L75" s="122"/>
    </row>
    <row r="76" spans="1:12" ht="17.100000000000001" customHeight="1" x14ac:dyDescent="0.35">
      <c r="A76" s="121"/>
      <c r="B76" s="123"/>
      <c r="C76" s="313" t="s">
        <v>231</v>
      </c>
      <c r="D76" s="314"/>
      <c r="E76" s="315"/>
      <c r="F76" s="321" t="s">
        <v>506</v>
      </c>
      <c r="G76" s="235"/>
      <c r="H76" s="138" t="s">
        <v>227</v>
      </c>
      <c r="I76" s="139"/>
      <c r="J76" s="303"/>
      <c r="K76" s="139"/>
      <c r="L76" s="122"/>
    </row>
    <row r="77" spans="1:12" ht="17.100000000000001" customHeight="1" x14ac:dyDescent="0.35">
      <c r="A77" s="121"/>
      <c r="B77" s="123"/>
      <c r="C77" s="319" t="s">
        <v>228</v>
      </c>
      <c r="D77" s="323"/>
      <c r="E77" s="321"/>
      <c r="F77" s="336" t="s">
        <v>507</v>
      </c>
      <c r="G77" s="235"/>
      <c r="H77" s="138" t="s">
        <v>229</v>
      </c>
      <c r="I77" s="139"/>
      <c r="J77" s="303"/>
      <c r="K77" s="139"/>
      <c r="L77" s="122"/>
    </row>
    <row r="78" spans="1:12" ht="17.100000000000001" customHeight="1" x14ac:dyDescent="0.35">
      <c r="A78" s="121"/>
      <c r="B78" s="123"/>
      <c r="C78" s="313" t="s">
        <v>234</v>
      </c>
      <c r="D78" s="314"/>
      <c r="E78" s="315"/>
      <c r="F78" s="336" t="s">
        <v>508</v>
      </c>
      <c r="G78" s="235"/>
      <c r="H78" s="138" t="s">
        <v>230</v>
      </c>
      <c r="I78" s="139"/>
      <c r="J78" s="303"/>
      <c r="K78" s="139"/>
      <c r="L78" s="122"/>
    </row>
    <row r="79" spans="1:12" ht="17.100000000000001" customHeight="1" x14ac:dyDescent="0.35">
      <c r="A79" s="121"/>
      <c r="B79" s="123"/>
      <c r="C79" s="319" t="s">
        <v>219</v>
      </c>
      <c r="D79" s="323"/>
      <c r="E79" s="321"/>
      <c r="F79" s="321" t="s">
        <v>531</v>
      </c>
      <c r="G79" s="223"/>
      <c r="H79" s="138" t="s">
        <v>130</v>
      </c>
      <c r="I79" s="139"/>
      <c r="J79" s="303"/>
      <c r="K79" s="139"/>
      <c r="L79" s="122"/>
    </row>
    <row r="80" spans="1:12" ht="17.100000000000001" customHeight="1" thickBot="1" x14ac:dyDescent="0.4">
      <c r="A80" s="121"/>
      <c r="B80" s="123"/>
      <c r="C80" s="318" t="s">
        <v>220</v>
      </c>
      <c r="D80" s="322"/>
      <c r="E80" s="320"/>
      <c r="F80" s="322" t="s">
        <v>523</v>
      </c>
      <c r="G80" s="224"/>
      <c r="H80" s="162" t="s">
        <v>221</v>
      </c>
      <c r="I80" s="139"/>
      <c r="J80" s="303"/>
      <c r="K80" s="139"/>
      <c r="L80" s="122"/>
    </row>
    <row r="81" spans="1:12" ht="18.75" thickBot="1" x14ac:dyDescent="0.4">
      <c r="A81" s="121"/>
      <c r="B81" s="135"/>
      <c r="C81" s="283"/>
      <c r="D81" s="283"/>
      <c r="E81" s="283"/>
      <c r="F81" s="283"/>
      <c r="G81" s="283"/>
      <c r="H81" s="283"/>
      <c r="I81" s="283"/>
      <c r="J81" s="300"/>
      <c r="K81" s="282"/>
      <c r="L81" s="122"/>
    </row>
    <row r="82" spans="1:12" ht="18.75" thickBot="1" x14ac:dyDescent="0.4">
      <c r="A82" s="121"/>
      <c r="B82" s="282"/>
      <c r="C82" s="282"/>
      <c r="D82" s="282"/>
      <c r="E82" s="282"/>
      <c r="F82" s="282"/>
      <c r="G82" s="282"/>
      <c r="H82" s="282"/>
      <c r="I82" s="282"/>
      <c r="J82" s="275"/>
      <c r="K82" s="275"/>
      <c r="L82" s="122"/>
    </row>
    <row r="83" spans="1:12" ht="18.75" thickBot="1" x14ac:dyDescent="0.4">
      <c r="A83" s="121"/>
      <c r="B83" s="611" t="s">
        <v>79</v>
      </c>
      <c r="C83" s="612"/>
      <c r="D83" s="612"/>
      <c r="E83" s="612"/>
      <c r="F83" s="612"/>
      <c r="G83" s="612"/>
      <c r="H83" s="612"/>
      <c r="I83" s="612"/>
      <c r="J83" s="613"/>
      <c r="K83" s="153"/>
      <c r="L83" s="122"/>
    </row>
    <row r="84" spans="1:12" x14ac:dyDescent="0.35">
      <c r="A84" s="121"/>
      <c r="B84" s="614"/>
      <c r="C84" s="615"/>
      <c r="D84" s="615"/>
      <c r="E84" s="615"/>
      <c r="F84" s="615"/>
      <c r="G84" s="615"/>
      <c r="H84" s="615"/>
      <c r="I84" s="615"/>
      <c r="J84" s="616"/>
      <c r="K84" s="291"/>
      <c r="L84" s="122"/>
    </row>
    <row r="85" spans="1:12" x14ac:dyDescent="0.35">
      <c r="A85" s="121"/>
      <c r="B85" s="617"/>
      <c r="C85" s="618"/>
      <c r="D85" s="618"/>
      <c r="E85" s="618"/>
      <c r="F85" s="618"/>
      <c r="G85" s="618"/>
      <c r="H85" s="618"/>
      <c r="I85" s="618"/>
      <c r="J85" s="619"/>
      <c r="K85" s="291"/>
      <c r="L85" s="122"/>
    </row>
    <row r="86" spans="1:12" x14ac:dyDescent="0.35">
      <c r="A86" s="121"/>
      <c r="B86" s="617"/>
      <c r="C86" s="618"/>
      <c r="D86" s="618"/>
      <c r="E86" s="618"/>
      <c r="F86" s="618"/>
      <c r="G86" s="618"/>
      <c r="H86" s="618"/>
      <c r="I86" s="618"/>
      <c r="J86" s="619"/>
      <c r="K86" s="291"/>
      <c r="L86" s="122"/>
    </row>
    <row r="87" spans="1:12" x14ac:dyDescent="0.35">
      <c r="A87" s="121"/>
      <c r="B87" s="617"/>
      <c r="C87" s="618"/>
      <c r="D87" s="618"/>
      <c r="E87" s="618"/>
      <c r="F87" s="618"/>
      <c r="G87" s="618"/>
      <c r="H87" s="618"/>
      <c r="I87" s="618"/>
      <c r="J87" s="619"/>
      <c r="K87" s="291"/>
      <c r="L87" s="122"/>
    </row>
    <row r="88" spans="1:12" ht="18.75" thickBot="1" x14ac:dyDescent="0.4">
      <c r="A88" s="225"/>
      <c r="B88" s="620"/>
      <c r="C88" s="621"/>
      <c r="D88" s="621"/>
      <c r="E88" s="621"/>
      <c r="F88" s="621"/>
      <c r="G88" s="621"/>
      <c r="H88" s="621"/>
      <c r="I88" s="621"/>
      <c r="J88" s="622"/>
      <c r="K88" s="291"/>
      <c r="L88" s="122"/>
    </row>
    <row r="89" spans="1:12" ht="18.75" thickBot="1" x14ac:dyDescent="0.4">
      <c r="A89" s="121"/>
      <c r="B89" s="282"/>
      <c r="C89" s="282"/>
      <c r="D89" s="282"/>
      <c r="E89" s="282"/>
      <c r="F89" s="282"/>
      <c r="G89" s="282"/>
      <c r="H89" s="282"/>
      <c r="I89" s="282"/>
      <c r="J89" s="304"/>
      <c r="K89" s="304"/>
      <c r="L89" s="122"/>
    </row>
    <row r="90" spans="1:12" ht="18.75" thickBot="1" x14ac:dyDescent="0.4">
      <c r="A90" s="121"/>
      <c r="B90" s="342" t="s">
        <v>80</v>
      </c>
      <c r="C90" s="343"/>
      <c r="D90" s="343"/>
      <c r="E90" s="343"/>
      <c r="F90" s="343"/>
      <c r="G90" s="343"/>
      <c r="H90" s="343"/>
      <c r="I90" s="343"/>
      <c r="J90" s="344"/>
      <c r="K90"/>
      <c r="L90" s="122"/>
    </row>
    <row r="91" spans="1:12" ht="18.75" thickBot="1" x14ac:dyDescent="0.4">
      <c r="A91" s="121"/>
      <c r="B91" s="123"/>
      <c r="C91" s="124"/>
      <c r="D91" s="124"/>
      <c r="E91" s="124"/>
      <c r="F91" s="124"/>
      <c r="G91" s="124"/>
      <c r="H91" s="124"/>
      <c r="I91" s="124"/>
      <c r="J91" s="128"/>
      <c r="K91" s="149"/>
      <c r="L91" s="122"/>
    </row>
    <row r="92" spans="1:12" ht="18.75" thickBot="1" x14ac:dyDescent="0.4">
      <c r="A92" s="121"/>
      <c r="B92" s="123"/>
      <c r="C92" s="342" t="s">
        <v>81</v>
      </c>
      <c r="D92" s="343"/>
      <c r="E92" s="343"/>
      <c r="F92" s="343"/>
      <c r="G92" s="343"/>
      <c r="H92" s="343"/>
      <c r="I92" s="344"/>
      <c r="J92" s="297"/>
      <c r="K92" s="153"/>
      <c r="L92" s="122"/>
    </row>
    <row r="93" spans="1:12" x14ac:dyDescent="0.35">
      <c r="A93" s="121"/>
      <c r="B93" s="123"/>
      <c r="C93" s="237"/>
      <c r="D93" s="178"/>
      <c r="E93" s="397"/>
      <c r="F93" s="375" t="s">
        <v>384</v>
      </c>
      <c r="G93" s="631" t="s">
        <v>98</v>
      </c>
      <c r="H93" s="632"/>
      <c r="I93" s="238"/>
      <c r="J93" s="125"/>
      <c r="K93" s="124"/>
      <c r="L93" s="122"/>
    </row>
    <row r="94" spans="1:12" x14ac:dyDescent="0.35">
      <c r="A94" s="121"/>
      <c r="B94" s="123"/>
      <c r="C94" s="313" t="s">
        <v>573</v>
      </c>
      <c r="D94" s="314"/>
      <c r="E94" s="315"/>
      <c r="F94" s="315"/>
      <c r="G94" s="625">
        <v>3</v>
      </c>
      <c r="H94" s="626"/>
      <c r="I94" s="125" t="s">
        <v>240</v>
      </c>
      <c r="J94" s="125"/>
      <c r="K94" s="124"/>
      <c r="L94" s="122"/>
    </row>
    <row r="95" spans="1:12" x14ac:dyDescent="0.35">
      <c r="A95" s="225"/>
      <c r="B95" s="123"/>
      <c r="C95" s="313" t="s">
        <v>574</v>
      </c>
      <c r="D95" s="314"/>
      <c r="E95" s="315"/>
      <c r="F95" s="315" t="s">
        <v>534</v>
      </c>
      <c r="G95" s="633">
        <v>0.24</v>
      </c>
      <c r="H95" s="634"/>
      <c r="I95" s="125" t="s">
        <v>241</v>
      </c>
      <c r="J95" s="125"/>
      <c r="K95" s="124"/>
      <c r="L95" s="122"/>
    </row>
    <row r="96" spans="1:12" x14ac:dyDescent="0.35">
      <c r="A96" s="225"/>
      <c r="B96" s="123"/>
      <c r="C96" s="313" t="s">
        <v>575</v>
      </c>
      <c r="D96" s="314"/>
      <c r="E96" s="315"/>
      <c r="F96" s="315" t="s">
        <v>535</v>
      </c>
      <c r="G96" s="635">
        <v>0.44400000000000001</v>
      </c>
      <c r="H96" s="636"/>
      <c r="I96" s="125" t="s">
        <v>241</v>
      </c>
      <c r="J96" s="125"/>
      <c r="K96" s="124"/>
      <c r="L96" s="122"/>
    </row>
    <row r="97" spans="1:12" x14ac:dyDescent="0.35">
      <c r="A97" s="225"/>
      <c r="B97" s="123"/>
      <c r="C97" s="313" t="s">
        <v>576</v>
      </c>
      <c r="D97" s="314"/>
      <c r="E97" s="315"/>
      <c r="F97" s="315"/>
      <c r="G97" s="627">
        <v>1061</v>
      </c>
      <c r="H97" s="628"/>
      <c r="I97" s="125" t="s">
        <v>241</v>
      </c>
      <c r="J97" s="125"/>
      <c r="K97" s="124"/>
      <c r="L97" s="122"/>
    </row>
    <row r="98" spans="1:12" x14ac:dyDescent="0.35">
      <c r="A98" s="225"/>
      <c r="B98" s="123"/>
      <c r="C98" s="313" t="s">
        <v>577</v>
      </c>
      <c r="D98" s="314"/>
      <c r="E98" s="315"/>
      <c r="F98" s="315"/>
      <c r="G98" s="627">
        <v>80</v>
      </c>
      <c r="H98" s="628"/>
      <c r="I98" s="125" t="s">
        <v>147</v>
      </c>
      <c r="J98" s="125"/>
      <c r="K98" s="124"/>
      <c r="L98" s="122"/>
    </row>
    <row r="99" spans="1:12" x14ac:dyDescent="0.35">
      <c r="A99" s="225"/>
      <c r="B99" s="123"/>
      <c r="C99" s="313" t="s">
        <v>242</v>
      </c>
      <c r="D99" s="314"/>
      <c r="E99" s="315"/>
      <c r="F99" s="315"/>
      <c r="G99" s="627">
        <v>95</v>
      </c>
      <c r="H99" s="628"/>
      <c r="I99" s="125" t="s">
        <v>147</v>
      </c>
      <c r="J99" s="125"/>
      <c r="K99" s="124"/>
      <c r="L99" s="122"/>
    </row>
    <row r="100" spans="1:12" x14ac:dyDescent="0.35">
      <c r="A100" s="225"/>
      <c r="B100" s="123"/>
      <c r="C100" s="313" t="s">
        <v>243</v>
      </c>
      <c r="D100" s="314"/>
      <c r="E100" s="315"/>
      <c r="F100" s="315"/>
      <c r="G100" s="627">
        <v>83</v>
      </c>
      <c r="H100" s="628"/>
      <c r="I100" s="125" t="s">
        <v>147</v>
      </c>
      <c r="J100" s="125"/>
      <c r="K100" s="124"/>
      <c r="L100" s="122"/>
    </row>
    <row r="101" spans="1:12" x14ac:dyDescent="0.35">
      <c r="A101" s="225"/>
      <c r="B101" s="123"/>
      <c r="C101" s="319" t="s">
        <v>244</v>
      </c>
      <c r="D101" s="323"/>
      <c r="E101" s="321"/>
      <c r="F101" s="321"/>
      <c r="G101" s="623">
        <v>1.41E-2</v>
      </c>
      <c r="H101" s="624"/>
      <c r="I101" s="125" t="s">
        <v>230</v>
      </c>
      <c r="J101" s="125"/>
      <c r="K101" s="124"/>
      <c r="L101" s="122"/>
    </row>
    <row r="102" spans="1:12" x14ac:dyDescent="0.35">
      <c r="A102" s="225"/>
      <c r="B102" s="123"/>
      <c r="C102" s="313" t="s">
        <v>245</v>
      </c>
      <c r="D102" s="314"/>
      <c r="E102" s="315"/>
      <c r="F102" s="315"/>
      <c r="G102" s="629">
        <v>1.086E-2</v>
      </c>
      <c r="H102" s="630"/>
      <c r="I102" s="125" t="s">
        <v>230</v>
      </c>
      <c r="J102" s="125"/>
      <c r="K102" s="124"/>
      <c r="L102" s="122"/>
    </row>
    <row r="103" spans="1:12" x14ac:dyDescent="0.35">
      <c r="A103" s="225"/>
      <c r="B103" s="123"/>
      <c r="C103" s="313" t="s">
        <v>246</v>
      </c>
      <c r="D103" s="314"/>
      <c r="E103" s="315"/>
      <c r="F103" s="315"/>
      <c r="G103" s="623">
        <v>1.12E-2</v>
      </c>
      <c r="H103" s="624"/>
      <c r="I103" s="125" t="s">
        <v>230</v>
      </c>
      <c r="J103" s="125"/>
      <c r="K103" s="124"/>
      <c r="L103" s="122"/>
    </row>
    <row r="104" spans="1:12" x14ac:dyDescent="0.35">
      <c r="A104" s="225"/>
      <c r="B104" s="123"/>
      <c r="C104" s="313" t="s">
        <v>252</v>
      </c>
      <c r="D104" s="314"/>
      <c r="E104" s="315"/>
      <c r="F104" s="315"/>
      <c r="G104" s="625">
        <v>0.2</v>
      </c>
      <c r="H104" s="626"/>
      <c r="I104" s="125"/>
      <c r="J104" s="125"/>
      <c r="K104" s="124"/>
      <c r="L104" s="122"/>
    </row>
    <row r="105" spans="1:12" x14ac:dyDescent="0.35">
      <c r="A105" s="225"/>
      <c r="B105" s="123"/>
      <c r="C105" s="313" t="s">
        <v>251</v>
      </c>
      <c r="D105" s="314"/>
      <c r="E105" s="315"/>
      <c r="F105" s="315"/>
      <c r="G105" s="625">
        <v>0.8</v>
      </c>
      <c r="H105" s="626"/>
      <c r="I105" s="125"/>
      <c r="J105" s="125"/>
      <c r="K105" s="124"/>
      <c r="L105" s="122"/>
    </row>
    <row r="106" spans="1:12" x14ac:dyDescent="0.35">
      <c r="A106" s="225"/>
      <c r="B106" s="123"/>
      <c r="C106" s="313" t="s">
        <v>283</v>
      </c>
      <c r="D106" s="314"/>
      <c r="E106" s="315"/>
      <c r="F106" s="315"/>
      <c r="G106" s="627">
        <v>750</v>
      </c>
      <c r="H106" s="628"/>
      <c r="I106" s="125" t="s">
        <v>132</v>
      </c>
      <c r="J106" s="125"/>
      <c r="K106" s="124"/>
      <c r="L106" s="122"/>
    </row>
    <row r="107" spans="1:12" x14ac:dyDescent="0.35">
      <c r="A107" s="225"/>
      <c r="B107" s="123"/>
      <c r="C107" s="319" t="s">
        <v>253</v>
      </c>
      <c r="D107" s="323"/>
      <c r="E107" s="321"/>
      <c r="F107" s="321"/>
      <c r="G107" s="651">
        <v>1E-3</v>
      </c>
      <c r="H107" s="652"/>
      <c r="I107" s="125" t="s">
        <v>134</v>
      </c>
      <c r="J107" s="125"/>
      <c r="K107" s="124"/>
      <c r="L107" s="122"/>
    </row>
    <row r="108" spans="1:12" ht="18.75" thickBot="1" x14ac:dyDescent="0.4">
      <c r="A108" s="225"/>
      <c r="B108" s="123"/>
      <c r="C108" s="318" t="s">
        <v>247</v>
      </c>
      <c r="D108" s="322"/>
      <c r="E108" s="320"/>
      <c r="F108" s="322"/>
      <c r="G108" s="653">
        <v>60</v>
      </c>
      <c r="H108" s="654"/>
      <c r="I108" s="137" t="s">
        <v>248</v>
      </c>
      <c r="J108" s="125"/>
      <c r="K108" s="124"/>
      <c r="L108" s="122"/>
    </row>
    <row r="109" spans="1:12" ht="18.75" thickBot="1" x14ac:dyDescent="0.4">
      <c r="A109" s="225"/>
      <c r="B109" s="298"/>
      <c r="C109" s="282"/>
      <c r="D109" s="282"/>
      <c r="E109" s="282"/>
      <c r="F109" s="282"/>
      <c r="G109" s="282"/>
      <c r="H109" s="282"/>
      <c r="I109" s="282"/>
      <c r="J109" s="299"/>
      <c r="K109" s="282"/>
      <c r="L109" s="122"/>
    </row>
    <row r="110" spans="1:12" ht="17.100000000000001" customHeight="1" thickBot="1" x14ac:dyDescent="0.4">
      <c r="A110" s="225"/>
      <c r="B110" s="298"/>
      <c r="C110" s="365" t="s">
        <v>353</v>
      </c>
      <c r="D110" s="366"/>
      <c r="E110" s="366"/>
      <c r="F110" s="366"/>
      <c r="G110" s="366"/>
      <c r="H110" s="366"/>
      <c r="I110" s="372"/>
      <c r="J110" s="299"/>
      <c r="K110" s="282"/>
      <c r="L110" s="122"/>
    </row>
    <row r="111" spans="1:12" x14ac:dyDescent="0.35">
      <c r="A111" s="225"/>
      <c r="B111" s="298"/>
      <c r="C111" s="332"/>
      <c r="D111" s="333"/>
      <c r="E111" s="394"/>
      <c r="F111" s="375" t="s">
        <v>384</v>
      </c>
      <c r="G111" s="609" t="s">
        <v>145</v>
      </c>
      <c r="H111" s="610"/>
      <c r="I111" s="180"/>
      <c r="J111" s="299"/>
      <c r="K111" s="282"/>
      <c r="L111" s="122"/>
    </row>
    <row r="112" spans="1:12" ht="17.100000000000001" customHeight="1" x14ac:dyDescent="0.35">
      <c r="A112" s="225"/>
      <c r="B112" s="298"/>
      <c r="C112" s="313" t="s">
        <v>545</v>
      </c>
      <c r="D112" s="314"/>
      <c r="E112" s="315"/>
      <c r="F112" s="315" t="s">
        <v>481</v>
      </c>
      <c r="G112" s="605">
        <f>PI()*Ode_ss*Le_ss</f>
        <v>0</v>
      </c>
      <c r="H112" s="606"/>
      <c r="I112" s="148" t="s">
        <v>249</v>
      </c>
      <c r="J112" s="299"/>
      <c r="K112" s="282"/>
      <c r="L112" s="122"/>
    </row>
    <row r="113" spans="1:12" ht="17.100000000000001" customHeight="1" x14ac:dyDescent="0.35">
      <c r="A113" s="225"/>
      <c r="B113" s="298"/>
      <c r="C113" s="313" t="s">
        <v>546</v>
      </c>
      <c r="D113" s="314"/>
      <c r="E113" s="315"/>
      <c r="F113" s="315" t="s">
        <v>482</v>
      </c>
      <c r="G113" s="605">
        <f>PI()*Odi_ss*Li_ss</f>
        <v>0</v>
      </c>
      <c r="H113" s="606"/>
      <c r="I113" s="148" t="s">
        <v>249</v>
      </c>
      <c r="J113" s="299"/>
      <c r="K113" s="282"/>
      <c r="L113" s="122"/>
    </row>
    <row r="114" spans="1:12" x14ac:dyDescent="0.35">
      <c r="A114" s="225"/>
      <c r="B114" s="298"/>
      <c r="C114" s="313" t="s">
        <v>578</v>
      </c>
      <c r="D114" s="314"/>
      <c r="E114" s="315"/>
      <c r="F114" s="315"/>
      <c r="G114" s="605">
        <f>d*Aduct_e_ss*(Tduct_95_e-Tei_a_ss)</f>
        <v>0</v>
      </c>
      <c r="H114" s="606"/>
      <c r="I114" s="148" t="s">
        <v>221</v>
      </c>
      <c r="J114" s="299"/>
      <c r="K114" s="282"/>
      <c r="L114" s="122"/>
    </row>
    <row r="115" spans="1:12" x14ac:dyDescent="0.35">
      <c r="A115" s="225"/>
      <c r="B115" s="298"/>
      <c r="C115" s="313" t="s">
        <v>579</v>
      </c>
      <c r="D115" s="314"/>
      <c r="E115" s="315"/>
      <c r="F115" s="315"/>
      <c r="G115" s="605">
        <f>d*Aduct_i_ss*(Tduct_95_i-Tei_a_ss)</f>
        <v>0</v>
      </c>
      <c r="H115" s="606"/>
      <c r="I115" s="148" t="s">
        <v>221</v>
      </c>
      <c r="J115" s="299"/>
      <c r="K115" s="282"/>
      <c r="L115" s="122"/>
    </row>
    <row r="116" spans="1:12" x14ac:dyDescent="0.35">
      <c r="A116" s="225"/>
      <c r="B116" s="298"/>
      <c r="C116" s="313" t="s">
        <v>580</v>
      </c>
      <c r="D116" s="314"/>
      <c r="E116" s="315"/>
      <c r="F116" s="315"/>
      <c r="G116" s="605">
        <f>d*Aduct_e_ss*(Tduct_83_e-Tei_b_ss)</f>
        <v>0</v>
      </c>
      <c r="H116" s="606"/>
      <c r="I116" s="148" t="s">
        <v>221</v>
      </c>
      <c r="J116" s="299"/>
      <c r="K116" s="282"/>
      <c r="L116" s="122"/>
    </row>
    <row r="117" spans="1:12" x14ac:dyDescent="0.35">
      <c r="A117" s="225"/>
      <c r="B117" s="298"/>
      <c r="C117" s="313" t="s">
        <v>581</v>
      </c>
      <c r="D117" s="314"/>
      <c r="E117" s="315"/>
      <c r="F117" s="315"/>
      <c r="G117" s="605">
        <f>d*Aduct_i_ss*(Tduct_83_i-Tei_b_ss)</f>
        <v>0</v>
      </c>
      <c r="H117" s="606"/>
      <c r="I117" s="148" t="s">
        <v>221</v>
      </c>
      <c r="J117" s="299"/>
      <c r="K117" s="282"/>
      <c r="L117" s="122"/>
    </row>
    <row r="118" spans="1:12" ht="17.100000000000001" customHeight="1" x14ac:dyDescent="0.35">
      <c r="A118" s="225"/>
      <c r="B118" s="298"/>
      <c r="C118" s="313" t="s">
        <v>582</v>
      </c>
      <c r="D118" s="314"/>
      <c r="E118" s="315"/>
      <c r="F118" s="315" t="s">
        <v>483</v>
      </c>
      <c r="G118" s="605">
        <f>G114+G115</f>
        <v>0</v>
      </c>
      <c r="H118" s="606"/>
      <c r="I118" s="148" t="s">
        <v>221</v>
      </c>
      <c r="J118" s="299"/>
      <c r="K118" s="282"/>
      <c r="L118" s="122"/>
    </row>
    <row r="119" spans="1:12" ht="17.100000000000001" customHeight="1" x14ac:dyDescent="0.35">
      <c r="A119" s="225"/>
      <c r="B119" s="298"/>
      <c r="C119" s="319" t="s">
        <v>583</v>
      </c>
      <c r="D119" s="323"/>
      <c r="E119" s="321"/>
      <c r="F119" s="321" t="s">
        <v>484</v>
      </c>
      <c r="G119" s="605">
        <f>G116+G117</f>
        <v>0</v>
      </c>
      <c r="H119" s="606"/>
      <c r="I119" s="148" t="s">
        <v>221</v>
      </c>
      <c r="J119" s="299"/>
      <c r="K119" s="282"/>
      <c r="L119" s="122"/>
    </row>
    <row r="120" spans="1:12" ht="17.100000000000001" customHeight="1" thickBot="1" x14ac:dyDescent="0.4">
      <c r="A120" s="225"/>
      <c r="B120" s="298"/>
      <c r="C120" s="318" t="s">
        <v>584</v>
      </c>
      <c r="D120" s="322"/>
      <c r="E120" s="317"/>
      <c r="F120" s="322" t="s">
        <v>485</v>
      </c>
      <c r="G120" s="607">
        <f>d*Aduct_e_ss*(Tduct_e-Tei_c_ss)</f>
        <v>0</v>
      </c>
      <c r="H120" s="608"/>
      <c r="I120" s="164" t="s">
        <v>221</v>
      </c>
      <c r="J120" s="299"/>
      <c r="K120" s="282"/>
      <c r="L120" s="122"/>
    </row>
    <row r="121" spans="1:12" ht="18.75" thickBot="1" x14ac:dyDescent="0.4">
      <c r="A121" s="225"/>
      <c r="B121" s="298"/>
      <c r="C121" s="124"/>
      <c r="D121" s="124"/>
      <c r="E121" s="124"/>
      <c r="F121" s="124"/>
      <c r="G121" s="124"/>
      <c r="H121" s="124"/>
      <c r="I121" s="124"/>
      <c r="J121" s="299"/>
      <c r="K121" s="282"/>
      <c r="L121" s="122"/>
    </row>
    <row r="122" spans="1:12" ht="17.100000000000001" customHeight="1" thickBot="1" x14ac:dyDescent="0.4">
      <c r="A122" s="225"/>
      <c r="B122" s="123"/>
      <c r="C122" s="342" t="s">
        <v>354</v>
      </c>
      <c r="D122" s="343"/>
      <c r="E122" s="343"/>
      <c r="F122" s="343"/>
      <c r="G122" s="343"/>
      <c r="H122" s="343"/>
      <c r="I122" s="344"/>
      <c r="J122" s="306"/>
      <c r="K122" s="282"/>
      <c r="L122" s="122"/>
    </row>
    <row r="123" spans="1:12" ht="17.100000000000001" customHeight="1" x14ac:dyDescent="0.35">
      <c r="A123" s="225"/>
      <c r="B123" s="123"/>
      <c r="C123" s="332"/>
      <c r="D123" s="333"/>
      <c r="E123" s="394"/>
      <c r="F123" s="270" t="s">
        <v>384</v>
      </c>
      <c r="G123" s="609" t="s">
        <v>145</v>
      </c>
      <c r="H123" s="610"/>
      <c r="I123" s="180"/>
      <c r="J123" s="306"/>
      <c r="K123" s="282"/>
      <c r="L123" s="122"/>
    </row>
    <row r="124" spans="1:12" ht="17.100000000000001" customHeight="1" x14ac:dyDescent="0.35">
      <c r="A124" s="225"/>
      <c r="B124" s="123"/>
      <c r="C124" s="313" t="s">
        <v>267</v>
      </c>
      <c r="D124" s="314"/>
      <c r="E124" s="315"/>
      <c r="F124" s="336" t="s">
        <v>492</v>
      </c>
      <c r="G124" s="605">
        <f>((Vco_95*ρco_95)/(1+ωco_95))-((Vci_95*ρci_95)/(1+ωci_95))</f>
        <v>0</v>
      </c>
      <c r="H124" s="606"/>
      <c r="I124" s="148" t="s">
        <v>236</v>
      </c>
      <c r="J124" s="299"/>
      <c r="K124" s="282"/>
      <c r="L124" s="122"/>
    </row>
    <row r="125" spans="1:12" ht="17.100000000000001" customHeight="1" x14ac:dyDescent="0.35">
      <c r="B125" s="298"/>
      <c r="C125" s="313" t="s">
        <v>268</v>
      </c>
      <c r="D125" s="314"/>
      <c r="E125" s="315"/>
      <c r="F125" s="380" t="s">
        <v>493</v>
      </c>
      <c r="G125" s="605">
        <f>((Vco_83*ρco_83)/(1+ωco_83))-((Vci_83*ρci_83)/(1+ωci_83))</f>
        <v>0</v>
      </c>
      <c r="H125" s="606"/>
      <c r="I125" s="148" t="s">
        <v>236</v>
      </c>
      <c r="J125" s="299"/>
      <c r="K125" s="282"/>
      <c r="L125" s="122"/>
    </row>
    <row r="126" spans="1:12" ht="17.100000000000001" customHeight="1" x14ac:dyDescent="0.35">
      <c r="B126" s="393"/>
      <c r="C126" s="313" t="s">
        <v>235</v>
      </c>
      <c r="D126" s="314"/>
      <c r="E126" s="315"/>
      <c r="F126" s="336" t="s">
        <v>533</v>
      </c>
      <c r="G126" s="605">
        <f>(Vco_SD*ρco_SD)/(1+ωco_SD)</f>
        <v>0</v>
      </c>
      <c r="H126" s="606"/>
      <c r="I126" s="148" t="s">
        <v>236</v>
      </c>
      <c r="J126" s="297"/>
      <c r="K126" s="153"/>
      <c r="L126" s="122"/>
    </row>
    <row r="127" spans="1:12" ht="17.100000000000001" customHeight="1" x14ac:dyDescent="0.35">
      <c r="B127" s="123"/>
      <c r="C127" s="313" t="s">
        <v>269</v>
      </c>
      <c r="D127" s="314"/>
      <c r="E127" s="315"/>
      <c r="F127" s="315" t="s">
        <v>509</v>
      </c>
      <c r="G127" s="605">
        <f>ṁ95*minutes_to_hours*((cp_da*(G99-G98))+(cp_wv*(G101*G99-G103*G98)))</f>
        <v>0</v>
      </c>
      <c r="H127" s="606"/>
      <c r="I127" s="148" t="s">
        <v>221</v>
      </c>
      <c r="J127" s="125"/>
      <c r="K127" s="124"/>
      <c r="L127" s="122"/>
    </row>
    <row r="128" spans="1:12" ht="17.100000000000001" customHeight="1" x14ac:dyDescent="0.35">
      <c r="B128" s="123"/>
      <c r="C128" s="313" t="s">
        <v>270</v>
      </c>
      <c r="D128" s="314"/>
      <c r="E128" s="315"/>
      <c r="F128" s="315" t="s">
        <v>510</v>
      </c>
      <c r="G128" s="605">
        <f>ṁ83*minutes_to_hours*((cp_da*(G100-G98))+(cp_wv*(G102*G100-G103*G98)))</f>
        <v>0</v>
      </c>
      <c r="H128" s="606"/>
      <c r="I128" s="148" t="s">
        <v>221</v>
      </c>
      <c r="J128" s="297"/>
      <c r="K128" s="153"/>
      <c r="L128" s="122"/>
    </row>
    <row r="129" spans="2:12" ht="17.100000000000001" customHeight="1" x14ac:dyDescent="0.35">
      <c r="B129" s="123"/>
      <c r="C129" s="313" t="s">
        <v>271</v>
      </c>
      <c r="D129" s="314"/>
      <c r="E129" s="315"/>
      <c r="F129" s="315" t="s">
        <v>511</v>
      </c>
      <c r="G129" s="605">
        <f>ṁ95*minutes_to_hours*G97*(G101-G103)</f>
        <v>0</v>
      </c>
      <c r="H129" s="606"/>
      <c r="I129" s="148" t="s">
        <v>221</v>
      </c>
      <c r="J129" s="125"/>
      <c r="K129" s="124"/>
      <c r="L129" s="122"/>
    </row>
    <row r="130" spans="2:12" ht="17.100000000000001" customHeight="1" x14ac:dyDescent="0.35">
      <c r="B130" s="123"/>
      <c r="C130" s="313" t="s">
        <v>272</v>
      </c>
      <c r="D130" s="314"/>
      <c r="E130" s="315"/>
      <c r="F130" s="315" t="s">
        <v>512</v>
      </c>
      <c r="G130" s="605">
        <f>ṁ83*minutes_to_hours*G97*(G102-G103)</f>
        <v>0</v>
      </c>
      <c r="H130" s="606"/>
      <c r="I130" s="148" t="s">
        <v>221</v>
      </c>
      <c r="J130" s="125"/>
      <c r="K130" s="124"/>
      <c r="L130" s="122"/>
    </row>
    <row r="131" spans="2:12" ht="17.100000000000001" customHeight="1" x14ac:dyDescent="0.35">
      <c r="B131" s="123"/>
      <c r="C131" s="313" t="s">
        <v>273</v>
      </c>
      <c r="D131" s="314"/>
      <c r="E131" s="315"/>
      <c r="F131" s="321" t="s">
        <v>517</v>
      </c>
      <c r="G131" s="605">
        <f>Qs_DD_95+Ql_DD_95</f>
        <v>0</v>
      </c>
      <c r="H131" s="606"/>
      <c r="I131" s="148" t="s">
        <v>221</v>
      </c>
      <c r="J131" s="125"/>
      <c r="K131" s="124"/>
      <c r="L131" s="122"/>
    </row>
    <row r="132" spans="2:12" ht="17.100000000000001" customHeight="1" x14ac:dyDescent="0.35">
      <c r="B132" s="123"/>
      <c r="C132" s="313" t="s">
        <v>274</v>
      </c>
      <c r="D132" s="314"/>
      <c r="E132" s="315"/>
      <c r="F132" s="321" t="s">
        <v>518</v>
      </c>
      <c r="G132" s="605">
        <f>Qs_DD_83+Ql_DD_83</f>
        <v>0</v>
      </c>
      <c r="H132" s="606"/>
      <c r="I132" s="148" t="s">
        <v>221</v>
      </c>
      <c r="J132" s="125"/>
      <c r="K132" s="124"/>
      <c r="L132" s="122"/>
    </row>
    <row r="133" spans="2:12" ht="17.100000000000001" customHeight="1" x14ac:dyDescent="0.35">
      <c r="B133" s="123"/>
      <c r="C133" s="313" t="s">
        <v>275</v>
      </c>
      <c r="D133" s="314"/>
      <c r="E133" s="315"/>
      <c r="F133" s="315" t="s">
        <v>513</v>
      </c>
      <c r="G133" s="605">
        <f>ṁSD*minutes_to_hours*((cp_da*(G99-G98))+(cp_wv*(G101*G99-G103*G98)))</f>
        <v>0</v>
      </c>
      <c r="H133" s="606"/>
      <c r="I133" s="148" t="s">
        <v>221</v>
      </c>
      <c r="J133" s="125"/>
      <c r="K133" s="124"/>
      <c r="L133" s="122"/>
    </row>
    <row r="134" spans="2:12" ht="17.100000000000001" customHeight="1" x14ac:dyDescent="0.35">
      <c r="B134" s="123"/>
      <c r="C134" s="313" t="s">
        <v>276</v>
      </c>
      <c r="D134" s="314"/>
      <c r="E134" s="315"/>
      <c r="F134" s="315" t="s">
        <v>514</v>
      </c>
      <c r="G134" s="605">
        <f>ṁSD*minutes_to_hours*((cp_da*(G100-G98))+(cp_wv*(G102*G100-G103*G98)))</f>
        <v>0</v>
      </c>
      <c r="H134" s="606"/>
      <c r="I134" s="148" t="s">
        <v>221</v>
      </c>
      <c r="J134" s="125"/>
      <c r="K134" s="124"/>
      <c r="L134" s="122"/>
    </row>
    <row r="135" spans="2:12" ht="17.100000000000001" customHeight="1" x14ac:dyDescent="0.35">
      <c r="B135" s="123"/>
      <c r="C135" s="313" t="s">
        <v>277</v>
      </c>
      <c r="D135" s="314"/>
      <c r="E135" s="315"/>
      <c r="F135" s="315" t="s">
        <v>515</v>
      </c>
      <c r="G135" s="605">
        <f>ṁSD*minutes_to_hours*G97*(G101-G103)</f>
        <v>0</v>
      </c>
      <c r="H135" s="606"/>
      <c r="I135" s="148" t="s">
        <v>221</v>
      </c>
      <c r="J135" s="125"/>
      <c r="K135" s="124"/>
      <c r="L135" s="122"/>
    </row>
    <row r="136" spans="2:12" ht="17.100000000000001" customHeight="1" x14ac:dyDescent="0.35">
      <c r="B136" s="123"/>
      <c r="C136" s="313" t="s">
        <v>278</v>
      </c>
      <c r="D136" s="314"/>
      <c r="E136" s="315"/>
      <c r="F136" s="315" t="s">
        <v>516</v>
      </c>
      <c r="G136" s="605">
        <f>ṁSD*minutes_to_hours*G97*(G102-G103)</f>
        <v>0</v>
      </c>
      <c r="H136" s="606"/>
      <c r="I136" s="148" t="s">
        <v>221</v>
      </c>
      <c r="J136" s="125"/>
      <c r="K136" s="124"/>
      <c r="L136" s="122"/>
    </row>
    <row r="137" spans="2:12" ht="17.100000000000001" customHeight="1" x14ac:dyDescent="0.35">
      <c r="B137" s="123"/>
      <c r="C137" s="319" t="s">
        <v>279</v>
      </c>
      <c r="D137" s="323"/>
      <c r="E137" s="321"/>
      <c r="F137" s="321" t="s">
        <v>519</v>
      </c>
      <c r="G137" s="605">
        <f>Qs_SD_95+Ql_SD_95</f>
        <v>0</v>
      </c>
      <c r="H137" s="606"/>
      <c r="I137" s="148" t="s">
        <v>221</v>
      </c>
      <c r="J137" s="125"/>
      <c r="K137" s="124"/>
      <c r="L137" s="122"/>
    </row>
    <row r="138" spans="2:12" ht="17.100000000000001" customHeight="1" thickBot="1" x14ac:dyDescent="0.4">
      <c r="B138" s="123"/>
      <c r="C138" s="318" t="s">
        <v>280</v>
      </c>
      <c r="D138" s="322"/>
      <c r="E138" s="320"/>
      <c r="F138" s="317" t="s">
        <v>520</v>
      </c>
      <c r="G138" s="607">
        <f>Qs_SD_83+Ql_SD_83</f>
        <v>0</v>
      </c>
      <c r="H138" s="608"/>
      <c r="I138" s="164" t="s">
        <v>221</v>
      </c>
      <c r="J138" s="125"/>
      <c r="K138" s="124"/>
      <c r="L138" s="122"/>
    </row>
    <row r="139" spans="2:12" ht="18.75" thickBot="1" x14ac:dyDescent="0.4">
      <c r="B139" s="123"/>
      <c r="C139" s="124"/>
      <c r="D139" s="124"/>
      <c r="E139" s="124"/>
      <c r="F139" s="124"/>
      <c r="G139" s="124"/>
      <c r="H139" s="124"/>
      <c r="I139" s="124"/>
      <c r="J139" s="125"/>
      <c r="K139" s="124"/>
      <c r="L139" s="122"/>
    </row>
    <row r="140" spans="2:12" ht="18.75" thickBot="1" x14ac:dyDescent="0.4">
      <c r="B140" s="123"/>
      <c r="C140" s="342" t="s">
        <v>355</v>
      </c>
      <c r="D140" s="343"/>
      <c r="E140" s="343"/>
      <c r="F140" s="343"/>
      <c r="G140" s="343"/>
      <c r="H140" s="343"/>
      <c r="I140" s="344"/>
      <c r="J140" s="125"/>
      <c r="K140" s="124"/>
      <c r="L140" s="122"/>
    </row>
    <row r="141" spans="2:12" x14ac:dyDescent="0.35">
      <c r="B141" s="123"/>
      <c r="C141" s="332"/>
      <c r="D141" s="333"/>
      <c r="E141" s="394"/>
      <c r="F141" s="375" t="s">
        <v>384</v>
      </c>
      <c r="G141" s="609" t="s">
        <v>145</v>
      </c>
      <c r="H141" s="610"/>
      <c r="I141" s="180"/>
      <c r="J141" s="125"/>
      <c r="K141" s="124"/>
      <c r="L141" s="122"/>
    </row>
    <row r="142" spans="2:12" x14ac:dyDescent="0.35">
      <c r="B142" s="123"/>
      <c r="C142" s="313" t="s">
        <v>254</v>
      </c>
      <c r="D142" s="314"/>
      <c r="E142" s="315"/>
      <c r="F142" s="315" t="s">
        <v>521</v>
      </c>
      <c r="G142" s="605">
        <f>CapacitySD-Qduct_SD-Qinfiltration_SD_95</f>
        <v>0</v>
      </c>
      <c r="H142" s="606"/>
      <c r="I142" s="148" t="s">
        <v>221</v>
      </c>
      <c r="J142" s="125"/>
      <c r="K142" s="124"/>
      <c r="L142" s="122"/>
    </row>
    <row r="143" spans="2:12" x14ac:dyDescent="0.35">
      <c r="B143" s="123"/>
      <c r="C143" s="313" t="s">
        <v>255</v>
      </c>
      <c r="D143" s="314"/>
      <c r="E143" s="315"/>
      <c r="F143" s="315" t="s">
        <v>463</v>
      </c>
      <c r="G143" s="605">
        <f>CapacitySD-Qduct_SD-Qinfiltration_SD_83</f>
        <v>0</v>
      </c>
      <c r="H143" s="606"/>
      <c r="I143" s="148" t="s">
        <v>221</v>
      </c>
      <c r="J143" s="125"/>
      <c r="K143" s="124"/>
      <c r="L143" s="122"/>
    </row>
    <row r="144" spans="2:12" x14ac:dyDescent="0.35">
      <c r="B144" s="123"/>
      <c r="C144" s="319" t="s">
        <v>257</v>
      </c>
      <c r="D144" s="323"/>
      <c r="E144" s="321"/>
      <c r="F144" s="315" t="s">
        <v>522</v>
      </c>
      <c r="G144" s="605">
        <f>Capacity95-Qduct_DD_95-Qinfiltration_DD_95</f>
        <v>0</v>
      </c>
      <c r="H144" s="606"/>
      <c r="I144" s="148" t="s">
        <v>221</v>
      </c>
      <c r="J144" s="125"/>
      <c r="K144" s="124"/>
      <c r="L144" s="122"/>
    </row>
    <row r="145" spans="2:12" ht="18.75" thickBot="1" x14ac:dyDescent="0.4">
      <c r="B145" s="123"/>
      <c r="C145" s="318" t="s">
        <v>256</v>
      </c>
      <c r="D145" s="322"/>
      <c r="E145" s="320"/>
      <c r="F145" s="317" t="s">
        <v>465</v>
      </c>
      <c r="G145" s="607">
        <f>Capacity83-Qduct_DD_83-Qinfiltration_DD_83</f>
        <v>0</v>
      </c>
      <c r="H145" s="608"/>
      <c r="I145" s="164" t="s">
        <v>221</v>
      </c>
      <c r="J145" s="125"/>
      <c r="K145" s="124"/>
      <c r="L145" s="122"/>
    </row>
    <row r="146" spans="2:12" ht="18.75" thickBot="1" x14ac:dyDescent="0.4">
      <c r="B146" s="123"/>
      <c r="C146" s="124"/>
      <c r="D146" s="124"/>
      <c r="E146" s="124"/>
      <c r="F146" s="124"/>
      <c r="G146" s="124"/>
      <c r="H146" s="124"/>
      <c r="I146" s="124"/>
      <c r="J146" s="297"/>
      <c r="K146" s="153"/>
      <c r="L146" s="122"/>
    </row>
    <row r="147" spans="2:12" ht="18.75" thickBot="1" x14ac:dyDescent="0.4">
      <c r="B147" s="123"/>
      <c r="C147" s="544" t="s">
        <v>356</v>
      </c>
      <c r="D147" s="545"/>
      <c r="E147" s="545"/>
      <c r="F147" s="545"/>
      <c r="G147" s="545"/>
      <c r="H147" s="545"/>
      <c r="I147" s="546"/>
      <c r="J147" s="147"/>
      <c r="K147" s="277"/>
      <c r="L147" s="122"/>
    </row>
    <row r="148" spans="2:12" ht="17.100000000000001" customHeight="1" x14ac:dyDescent="0.35">
      <c r="B148" s="123"/>
      <c r="C148" s="640"/>
      <c r="D148" s="641"/>
      <c r="E148" s="646"/>
      <c r="F148" s="637" t="s">
        <v>384</v>
      </c>
      <c r="G148" s="655" t="s">
        <v>146</v>
      </c>
      <c r="H148" s="655" t="s">
        <v>299</v>
      </c>
      <c r="I148" s="180"/>
      <c r="J148" s="148"/>
      <c r="K148" s="278"/>
      <c r="L148" s="122"/>
    </row>
    <row r="149" spans="2:12" x14ac:dyDescent="0.35">
      <c r="B149" s="123"/>
      <c r="C149" s="642"/>
      <c r="D149" s="643"/>
      <c r="E149" s="647"/>
      <c r="F149" s="638"/>
      <c r="G149" s="656"/>
      <c r="H149" s="656"/>
      <c r="I149" s="299"/>
      <c r="J149" s="148"/>
      <c r="K149" s="278"/>
      <c r="L149" s="122"/>
    </row>
    <row r="150" spans="2:12" x14ac:dyDescent="0.35">
      <c r="B150" s="123"/>
      <c r="C150" s="644"/>
      <c r="D150" s="645"/>
      <c r="E150" s="648"/>
      <c r="F150" s="639"/>
      <c r="G150" s="657"/>
      <c r="H150" s="657"/>
      <c r="I150" s="299"/>
      <c r="J150" s="148"/>
      <c r="K150" s="278"/>
      <c r="L150" s="122"/>
    </row>
    <row r="151" spans="2:12" x14ac:dyDescent="0.35">
      <c r="B151" s="123"/>
      <c r="C151" s="319" t="s">
        <v>281</v>
      </c>
      <c r="D151" s="323"/>
      <c r="E151" s="321"/>
      <c r="F151" s="321" t="s">
        <v>447</v>
      </c>
      <c r="G151" s="221">
        <f>ACCSD_95_SS*G104+ACCSD_83_SS*G105</f>
        <v>0</v>
      </c>
      <c r="H151" s="368">
        <f>IF(G151&lt;=10000,MROUND(G151,50),IF(G151&lt;=20000,MROUND(G151,100),IF(G151&lt;=38000,MROUND(G151,200),IF(G151&lt;=65000,MROUND(G151,500),G151))))</f>
        <v>0</v>
      </c>
      <c r="I151" s="148" t="s">
        <v>221</v>
      </c>
      <c r="J151" s="148"/>
      <c r="K151" s="278"/>
      <c r="L151" s="122"/>
    </row>
    <row r="152" spans="2:12" ht="18.75" thickBot="1" x14ac:dyDescent="0.4">
      <c r="B152" s="123"/>
      <c r="C152" s="318" t="s">
        <v>282</v>
      </c>
      <c r="D152" s="322"/>
      <c r="E152" s="320"/>
      <c r="F152" s="320" t="s">
        <v>448</v>
      </c>
      <c r="G152" s="222">
        <f>ACCDD_95_SS*G104+ACCDD_83_SS*G105</f>
        <v>0</v>
      </c>
      <c r="H152" s="370">
        <f>IF(G152&lt;=10000,MROUND(G152,50),IF(G152&lt;=20000,MROUND(G152,100),IF(G152&lt;=38000,MROUND(G152,200),IF(G152&lt;=65000,MROUND(G152,500),G152))))</f>
        <v>0</v>
      </c>
      <c r="I152" s="164" t="s">
        <v>221</v>
      </c>
      <c r="J152" s="148"/>
      <c r="K152" s="278"/>
      <c r="L152" s="122"/>
    </row>
    <row r="153" spans="2:12" ht="18.75" thickBot="1" x14ac:dyDescent="0.4">
      <c r="B153" s="123"/>
      <c r="C153" s="124"/>
      <c r="D153" s="124"/>
      <c r="E153" s="124"/>
      <c r="F153" s="124"/>
      <c r="G153" s="124"/>
      <c r="H153" s="124"/>
      <c r="I153" s="124"/>
      <c r="J153" s="148"/>
      <c r="K153" s="278"/>
      <c r="L153" s="122"/>
    </row>
    <row r="154" spans="2:12" ht="18.75" thickBot="1" x14ac:dyDescent="0.4">
      <c r="B154" s="123"/>
      <c r="C154" s="342" t="s">
        <v>357</v>
      </c>
      <c r="D154" s="343"/>
      <c r="E154" s="343"/>
      <c r="F154" s="343"/>
      <c r="G154" s="343"/>
      <c r="H154" s="343"/>
      <c r="I154" s="344"/>
      <c r="J154" s="148"/>
      <c r="K154" s="278"/>
      <c r="L154" s="122"/>
    </row>
    <row r="155" spans="2:12" x14ac:dyDescent="0.35">
      <c r="B155" s="123"/>
      <c r="C155" s="640"/>
      <c r="D155" s="641"/>
      <c r="E155" s="381"/>
      <c r="F155" s="646" t="s">
        <v>384</v>
      </c>
      <c r="G155" s="658" t="s">
        <v>146</v>
      </c>
      <c r="H155" s="658" t="s">
        <v>299</v>
      </c>
      <c r="I155" s="180"/>
      <c r="J155" s="148"/>
      <c r="K155" s="278"/>
      <c r="L155" s="122"/>
    </row>
    <row r="156" spans="2:12" x14ac:dyDescent="0.35">
      <c r="B156" s="123"/>
      <c r="C156" s="642"/>
      <c r="D156" s="643"/>
      <c r="E156" s="382"/>
      <c r="F156" s="647"/>
      <c r="G156" s="659"/>
      <c r="H156" s="659"/>
      <c r="I156" s="299"/>
      <c r="J156" s="148"/>
      <c r="K156" s="278"/>
      <c r="L156" s="122"/>
    </row>
    <row r="157" spans="2:12" x14ac:dyDescent="0.35">
      <c r="B157" s="123"/>
      <c r="C157" s="644"/>
      <c r="D157" s="645"/>
      <c r="E157" s="383"/>
      <c r="F157" s="648"/>
      <c r="G157" s="660"/>
      <c r="H157" s="660"/>
      <c r="I157" s="299"/>
      <c r="J157" s="125"/>
      <c r="K157" s="124"/>
      <c r="L157" s="122"/>
    </row>
    <row r="158" spans="2:12" x14ac:dyDescent="0.35">
      <c r="B158" s="123"/>
      <c r="C158" s="313" t="s">
        <v>262</v>
      </c>
      <c r="D158" s="314"/>
      <c r="E158" s="315"/>
      <c r="F158" s="315" t="s">
        <v>528</v>
      </c>
      <c r="G158" s="221">
        <f>PSD*tcm*$G$107</f>
        <v>0</v>
      </c>
      <c r="H158" s="309">
        <f>ROUND(G158,1)</f>
        <v>0</v>
      </c>
      <c r="I158" s="148" t="s">
        <v>263</v>
      </c>
      <c r="J158" s="297"/>
      <c r="K158" s="153"/>
      <c r="L158" s="122"/>
    </row>
    <row r="159" spans="2:12" x14ac:dyDescent="0.35">
      <c r="B159" s="123"/>
      <c r="C159" s="319" t="s">
        <v>258</v>
      </c>
      <c r="D159" s="314"/>
      <c r="E159" s="321"/>
      <c r="F159" s="321" t="s">
        <v>526</v>
      </c>
      <c r="G159" s="221">
        <f>PDD_95*tcm*$G$107</f>
        <v>0</v>
      </c>
      <c r="H159" s="309">
        <f>ROUND(G159,1)</f>
        <v>0</v>
      </c>
      <c r="I159" s="148" t="s">
        <v>263</v>
      </c>
      <c r="J159" s="147"/>
      <c r="K159" s="277"/>
      <c r="L159" s="122"/>
    </row>
    <row r="160" spans="2:12" ht="18.75" thickBot="1" x14ac:dyDescent="0.4">
      <c r="B160" s="123"/>
      <c r="C160" s="318" t="s">
        <v>259</v>
      </c>
      <c r="D160" s="316"/>
      <c r="E160" s="320"/>
      <c r="F160" s="320" t="s">
        <v>527</v>
      </c>
      <c r="G160" s="222">
        <f>PDD_83*tcm*$G$107</f>
        <v>0</v>
      </c>
      <c r="H160" s="310">
        <f>ROUND(G160,1)</f>
        <v>0</v>
      </c>
      <c r="I160" s="164" t="s">
        <v>263</v>
      </c>
      <c r="J160" s="148"/>
      <c r="K160" s="278"/>
      <c r="L160" s="122"/>
    </row>
    <row r="161" spans="1:12" ht="18.75" thickBot="1" x14ac:dyDescent="0.4">
      <c r="B161" s="123"/>
      <c r="C161" s="124"/>
      <c r="D161" s="124"/>
      <c r="E161" s="124"/>
      <c r="F161" s="124"/>
      <c r="G161" s="124"/>
      <c r="H161" s="124"/>
      <c r="I161" s="124"/>
      <c r="J161" s="148"/>
      <c r="K161" s="278"/>
      <c r="L161" s="122"/>
    </row>
    <row r="162" spans="1:12" ht="18.75" thickBot="1" x14ac:dyDescent="0.4">
      <c r="B162" s="123"/>
      <c r="C162" s="342" t="s">
        <v>358</v>
      </c>
      <c r="D162" s="343"/>
      <c r="E162" s="343"/>
      <c r="F162" s="343"/>
      <c r="G162" s="343"/>
      <c r="H162" s="343"/>
      <c r="I162" s="344"/>
      <c r="J162" s="148"/>
      <c r="K162" s="278"/>
      <c r="L162" s="122"/>
    </row>
    <row r="163" spans="1:12" ht="51.75" x14ac:dyDescent="0.35">
      <c r="B163" s="123"/>
      <c r="C163" s="649"/>
      <c r="D163" s="650"/>
      <c r="E163" s="375"/>
      <c r="F163" s="270" t="s">
        <v>384</v>
      </c>
      <c r="G163" s="373" t="s">
        <v>146</v>
      </c>
      <c r="H163" s="371" t="s">
        <v>299</v>
      </c>
      <c r="I163" s="147"/>
      <c r="J163" s="148"/>
      <c r="K163" s="278"/>
      <c r="L163" s="122"/>
    </row>
    <row r="164" spans="1:12" x14ac:dyDescent="0.35">
      <c r="B164" s="123"/>
      <c r="C164" s="313" t="s">
        <v>260</v>
      </c>
      <c r="D164" s="314"/>
      <c r="E164" s="315"/>
      <c r="F164" s="315" t="s">
        <v>475</v>
      </c>
      <c r="G164" s="367" t="str">
        <f>IFERROR(((ACCSD_95_SS*$G$104+ACCSD_83_SS*$G$105)/((AECSD+AECT)/(G107*G106))),"0")</f>
        <v>0</v>
      </c>
      <c r="H164" s="309">
        <f>ROUND(G164,1)</f>
        <v>0</v>
      </c>
      <c r="I164" s="148" t="s">
        <v>264</v>
      </c>
      <c r="J164" s="148"/>
      <c r="K164" s="278"/>
      <c r="L164" s="122"/>
    </row>
    <row r="165" spans="1:12" ht="18.75" thickBot="1" x14ac:dyDescent="0.4">
      <c r="B165" s="123"/>
      <c r="C165" s="316" t="s">
        <v>261</v>
      </c>
      <c r="D165" s="396"/>
      <c r="E165" s="317"/>
      <c r="F165" s="317" t="s">
        <v>532</v>
      </c>
      <c r="G165" s="369" t="str">
        <f>IFERROR((ACCDD_95_SS/((AECDD_95+AECT)/(G107*G106)))*G104+(ACCDD_83_SS/((AECDD_83+AECT)/(G107*G106)))*G105,"0")</f>
        <v>0</v>
      </c>
      <c r="H165" s="310">
        <f>ROUND(G165,1)</f>
        <v>0</v>
      </c>
      <c r="I165" s="164" t="s">
        <v>264</v>
      </c>
      <c r="J165" s="148"/>
      <c r="K165" s="278"/>
      <c r="L165" s="122"/>
    </row>
    <row r="166" spans="1:12" x14ac:dyDescent="0.35">
      <c r="B166" s="123"/>
      <c r="C166" s="282"/>
      <c r="D166" s="282"/>
      <c r="E166" s="282"/>
      <c r="F166" s="282"/>
      <c r="G166" s="282"/>
      <c r="H166" s="282"/>
      <c r="I166" s="282"/>
      <c r="J166" s="148"/>
      <c r="K166" s="278"/>
      <c r="L166" s="122"/>
    </row>
    <row r="167" spans="1:12" ht="18.75" thickBot="1" x14ac:dyDescent="0.4">
      <c r="B167" s="135"/>
      <c r="C167" s="283"/>
      <c r="D167" s="283"/>
      <c r="E167" s="283"/>
      <c r="F167" s="283"/>
      <c r="G167" s="283"/>
      <c r="H167" s="283"/>
      <c r="I167" s="283"/>
      <c r="J167" s="164"/>
      <c r="K167" s="278"/>
      <c r="L167" s="122"/>
    </row>
    <row r="168" spans="1:12" x14ac:dyDescent="0.35">
      <c r="A168" s="282"/>
      <c r="B168" s="124"/>
      <c r="J168" s="124"/>
      <c r="K168" s="124"/>
      <c r="L168" s="122"/>
    </row>
    <row r="169" spans="1:12" x14ac:dyDescent="0.35">
      <c r="L169" s="122"/>
    </row>
    <row r="170" spans="1:12" x14ac:dyDescent="0.35">
      <c r="A170" s="284"/>
      <c r="B170" s="284"/>
      <c r="C170" s="284"/>
      <c r="D170" s="284"/>
      <c r="E170" s="284"/>
      <c r="F170" s="284"/>
      <c r="G170" s="284"/>
      <c r="H170" s="284"/>
      <c r="I170" s="284"/>
      <c r="J170" s="284"/>
      <c r="K170" s="284"/>
      <c r="L170" s="122"/>
    </row>
  </sheetData>
  <sheetProtection algorithmName="SHA-512" hashValue="6RktAhXnOmVZYqnJEze1NaiuIYvuU6gEIDoTt4YiHRbx1fqOAKOZS1D8A5L3wS7MEYF7dpQZZYfaO7Z0LDpyEQ==" saltValue="JdWKOjdA5T2OwMPDRwXPwQ==" spinCount="100000" sheet="1" selectLockedCells="1"/>
  <mergeCells count="70">
    <mergeCell ref="F148:F150"/>
    <mergeCell ref="C155:D157"/>
    <mergeCell ref="F155:F157"/>
    <mergeCell ref="C163:D163"/>
    <mergeCell ref="G106:H106"/>
    <mergeCell ref="G107:H107"/>
    <mergeCell ref="G108:H108"/>
    <mergeCell ref="G148:G150"/>
    <mergeCell ref="H148:H150"/>
    <mergeCell ref="C147:I147"/>
    <mergeCell ref="G144:H144"/>
    <mergeCell ref="G155:G157"/>
    <mergeCell ref="H155:H157"/>
    <mergeCell ref="G132:H132"/>
    <mergeCell ref="G142:H142"/>
    <mergeCell ref="C148:E150"/>
    <mergeCell ref="G119:H119"/>
    <mergeCell ref="G120:H120"/>
    <mergeCell ref="G111:H111"/>
    <mergeCell ref="G112:H112"/>
    <mergeCell ref="G113:H113"/>
    <mergeCell ref="G114:H114"/>
    <mergeCell ref="G115:H115"/>
    <mergeCell ref="B83:J83"/>
    <mergeCell ref="B84:J88"/>
    <mergeCell ref="G103:H103"/>
    <mergeCell ref="G104:H104"/>
    <mergeCell ref="G105:H105"/>
    <mergeCell ref="G98:H98"/>
    <mergeCell ref="G99:H99"/>
    <mergeCell ref="G100:H100"/>
    <mergeCell ref="G101:H101"/>
    <mergeCell ref="G102:H102"/>
    <mergeCell ref="G93:H93"/>
    <mergeCell ref="G94:H94"/>
    <mergeCell ref="G95:H95"/>
    <mergeCell ref="G96:H96"/>
    <mergeCell ref="G97:H97"/>
    <mergeCell ref="G131:H131"/>
    <mergeCell ref="G124:H124"/>
    <mergeCell ref="G125:H125"/>
    <mergeCell ref="G126:H126"/>
    <mergeCell ref="G127:H127"/>
    <mergeCell ref="G128:H128"/>
    <mergeCell ref="H4:I4"/>
    <mergeCell ref="G143:H143"/>
    <mergeCell ref="G145:H145"/>
    <mergeCell ref="G133:H133"/>
    <mergeCell ref="G134:H134"/>
    <mergeCell ref="G135:H135"/>
    <mergeCell ref="G136:H136"/>
    <mergeCell ref="G137:H137"/>
    <mergeCell ref="G138:H138"/>
    <mergeCell ref="G141:H141"/>
    <mergeCell ref="G116:H116"/>
    <mergeCell ref="G117:H117"/>
    <mergeCell ref="G118:H118"/>
    <mergeCell ref="G123:H123"/>
    <mergeCell ref="G129:H129"/>
    <mergeCell ref="G130:H130"/>
    <mergeCell ref="B10:G11"/>
    <mergeCell ref="C50:H50"/>
    <mergeCell ref="C68:H68"/>
    <mergeCell ref="C25:H25"/>
    <mergeCell ref="C32:H32"/>
    <mergeCell ref="D19:E19"/>
    <mergeCell ref="F19:G19"/>
    <mergeCell ref="C18:G18"/>
    <mergeCell ref="C15:I15"/>
    <mergeCell ref="C16:I16"/>
  </mergeCells>
  <hyperlinks>
    <hyperlink ref="H4" location="Instructions!C35" display="Back to Instructions tab" xr:uid="{00000000-0004-0000-0B00-000000000000}"/>
    <hyperlink ref="B10:G11" location="'Data &amp; Calcs Cooling Mode - SS'!A1" display="You have indicated that this unit is a single-speed portable AC. Please use the &quot;Data &amp; Calcs Cooling Mode - SS&quot; sheet to enter test data. " xr:uid="{123E3240-4E69-4858-A496-95249D4500D5}"/>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39" id="{CF13B12D-B377-49D2-B011-2EA67A847BDC}">
            <xm:f>'General Info &amp; Test Results'!$C$28="Variable-Speed"</xm:f>
            <x14:dxf>
              <font>
                <color theme="1"/>
              </font>
              <fill>
                <patternFill>
                  <bgColor theme="1"/>
                </patternFill>
              </fill>
            </x14:dxf>
          </x14:cfRule>
          <xm:sqref>B13:J167</xm:sqref>
        </x14:conditionalFormatting>
        <x14:conditionalFormatting xmlns:xm="http://schemas.microsoft.com/office/excel/2006/main">
          <x14:cfRule type="expression" priority="81" id="{FB38B1A5-9E11-4241-B249-E02F3D8D89EE}">
            <xm:f>'General Info &amp; Test Results'!$C$27="Single-Duct"</xm:f>
            <x14:dxf>
              <font>
                <color theme="1"/>
              </font>
              <fill>
                <patternFill patternType="lightGray">
                  <fgColor theme="1"/>
                  <bgColor theme="1"/>
                </patternFill>
              </fill>
            </x14:dxf>
          </x14:cfRule>
          <xm:sqref>C21:G21 C22:G22 C29:H29 C30:H30 C33:H48 C51:H66 C159:I160 C165:I165 C113:I119 C124:I125 C127:I132 C144:I145 C152:I152</xm:sqref>
        </x14:conditionalFormatting>
        <x14:conditionalFormatting xmlns:xm="http://schemas.microsoft.com/office/excel/2006/main">
          <x14:cfRule type="expression" priority="40" id="{6A610878-D6F6-4803-BEFA-D85F2DA518ED}">
            <xm:f>'General Info &amp; Test Results'!$C$27="Dual-Duct"</xm:f>
            <x14:dxf>
              <font>
                <color theme="1"/>
              </font>
              <fill>
                <patternFill patternType="lightGray">
                  <fgColor theme="1"/>
                  <bgColor theme="1"/>
                </patternFill>
              </fill>
            </x14:dxf>
          </x14:cfRule>
          <xm:sqref>C23:G23 C69:H80 C120:I120 C126:I126 C133:I138 C142:I143 C151:I151 C158:I158 C164:I164</xm:sqref>
        </x14:conditionalFormatting>
        <x14:conditionalFormatting xmlns:xm="http://schemas.microsoft.com/office/excel/2006/main">
          <x14:cfRule type="expression" priority="37" id="{6BA4BF6A-10DE-4D02-AEE5-3685F2435235}">
            <xm:f>'General Info &amp; Test Results'!$C$28="Variable-Speed"</xm:f>
            <x14:dxf>
              <font>
                <u/>
                <color rgb="FF0066CC"/>
              </font>
              <fill>
                <patternFill>
                  <bgColor theme="9"/>
                </patternFill>
              </fill>
              <border>
                <left/>
                <right/>
                <top/>
                <bottom/>
              </border>
            </x14:dxf>
          </x14:cfRule>
          <xm:sqref>B10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428F9-AE7D-45B0-A0C1-2BD7A5248996}">
  <sheetPr codeName="Sheet16">
    <tabColor rgb="FF0070C0"/>
  </sheetPr>
  <dimension ref="A1:L235"/>
  <sheetViews>
    <sheetView showGridLines="0" zoomScale="80" zoomScaleNormal="80" workbookViewId="0">
      <selection activeCell="G29" sqref="G29"/>
    </sheetView>
  </sheetViews>
  <sheetFormatPr defaultRowHeight="18" x14ac:dyDescent="0.35"/>
  <cols>
    <col min="1" max="1" width="4.42578125" style="144" customWidth="1"/>
    <col min="2" max="2" width="7.85546875" style="144" customWidth="1"/>
    <col min="3" max="4" width="29.85546875" style="144" customWidth="1"/>
    <col min="5" max="5" width="37.5703125" style="144" customWidth="1"/>
    <col min="6" max="9" width="29.85546875" style="144" customWidth="1"/>
    <col min="10" max="10" width="7.85546875" style="156" customWidth="1"/>
    <col min="11" max="11" width="4.42578125" customWidth="1"/>
    <col min="12" max="12" width="3.42578125" customWidth="1"/>
    <col min="13" max="13" width="4" customWidth="1"/>
    <col min="14" max="14" width="6.42578125" customWidth="1"/>
    <col min="15" max="15" width="30" customWidth="1"/>
    <col min="16" max="16" width="28.85546875" customWidth="1"/>
    <col min="17" max="17" width="45.85546875" customWidth="1"/>
    <col min="18" max="18" width="30.140625" customWidth="1"/>
    <col min="19" max="20" width="30.5703125" customWidth="1"/>
  </cols>
  <sheetData>
    <row r="1" spans="1:12" ht="18.75" thickBot="1" x14ac:dyDescent="0.4">
      <c r="A1" s="121"/>
      <c r="B1" s="121"/>
      <c r="C1" s="121"/>
      <c r="D1" s="121"/>
      <c r="E1" s="121"/>
      <c r="F1" s="121"/>
      <c r="G1" s="121"/>
      <c r="H1" s="121"/>
      <c r="I1" s="121"/>
      <c r="J1" s="152"/>
      <c r="L1" s="122"/>
    </row>
    <row r="2" spans="1:12" ht="17.100000000000001" customHeight="1" thickBot="1" x14ac:dyDescent="0.4">
      <c r="A2" s="121"/>
      <c r="B2" s="346" t="str">
        <f>'Version Control'!$B$2</f>
        <v>Title Block</v>
      </c>
      <c r="C2" s="347"/>
      <c r="D2" s="347"/>
      <c r="E2" s="348"/>
      <c r="H2" s="121"/>
      <c r="I2" s="121"/>
      <c r="J2" s="152"/>
      <c r="L2" s="122"/>
    </row>
    <row r="3" spans="1:12" ht="17.100000000000001" customHeight="1" x14ac:dyDescent="0.35">
      <c r="A3" s="121"/>
      <c r="B3" s="349" t="str">
        <f>'Version Control'!$B$3</f>
        <v>Test Report Template Name:</v>
      </c>
      <c r="C3" s="350"/>
      <c r="D3" s="353" t="str">
        <f>'Version Control'!$C$3</f>
        <v>Portable Air Conditioners</v>
      </c>
      <c r="E3" s="354"/>
      <c r="H3" s="121"/>
      <c r="I3" s="121"/>
      <c r="J3" s="152"/>
      <c r="L3" s="122"/>
    </row>
    <row r="4" spans="1:12" ht="17.100000000000001" customHeight="1" x14ac:dyDescent="0.35">
      <c r="A4" s="121"/>
      <c r="B4" s="351" t="str">
        <f>'Version Control'!$B$4</f>
        <v>Version Number:</v>
      </c>
      <c r="C4" s="352"/>
      <c r="D4" s="355" t="str">
        <f>'Version Control'!$C$4</f>
        <v>v2.1</v>
      </c>
      <c r="E4" s="356"/>
      <c r="H4" s="295"/>
      <c r="I4" s="364" t="s">
        <v>58</v>
      </c>
      <c r="J4" s="152"/>
      <c r="L4" s="122"/>
    </row>
    <row r="5" spans="1:12" ht="17.100000000000001" customHeight="1" x14ac:dyDescent="0.35">
      <c r="A5" s="121"/>
      <c r="B5" s="351" t="str">
        <f>'Version Control'!$B$5</f>
        <v xml:space="preserve">Latest Template Revision: </v>
      </c>
      <c r="C5" s="352"/>
      <c r="D5" s="357">
        <f>'Version Control'!$C$5</f>
        <v>45611</v>
      </c>
      <c r="E5" s="358"/>
      <c r="H5" s="121"/>
      <c r="I5" s="121"/>
      <c r="J5" s="152"/>
      <c r="L5" s="122"/>
    </row>
    <row r="6" spans="1:12" ht="17.100000000000001" customHeight="1" x14ac:dyDescent="0.35">
      <c r="A6" s="121"/>
      <c r="B6" s="351" t="str">
        <f>'Version Control'!$B$6</f>
        <v>Tab Name:</v>
      </c>
      <c r="C6" s="352"/>
      <c r="D6" s="355" t="str">
        <f ca="1">MID(CELL("filename",A1), FIND("]", CELL("filename", A1))+ 1, 255)</f>
        <v>Data &amp; Calcs Cooling Mode - VS</v>
      </c>
      <c r="E6" s="356"/>
      <c r="H6" s="121"/>
      <c r="I6" s="121"/>
      <c r="J6" s="152"/>
      <c r="L6" s="122"/>
    </row>
    <row r="7" spans="1:12" ht="17.100000000000001" customHeight="1" x14ac:dyDescent="0.35">
      <c r="A7" s="121"/>
      <c r="B7" s="351" t="str">
        <f>'Version Control'!$B$7</f>
        <v>File Name:</v>
      </c>
      <c r="C7" s="352"/>
      <c r="D7" s="423" t="str">
        <f ca="1">'Version Control'!$C$7</f>
        <v>Portable Air Conditioners - v2.1.xlsx</v>
      </c>
      <c r="E7" s="361"/>
      <c r="H7" s="121"/>
      <c r="I7" s="121"/>
      <c r="J7" s="152"/>
      <c r="L7" s="122"/>
    </row>
    <row r="8" spans="1:12" ht="17.100000000000001" customHeight="1" thickBot="1" x14ac:dyDescent="0.4">
      <c r="A8" s="121"/>
      <c r="B8" s="359" t="str">
        <f>'Version Control'!$B$8</f>
        <v xml:space="preserve">Test Completion Date: </v>
      </c>
      <c r="C8" s="360"/>
      <c r="D8" s="362" t="str">
        <f>'Version Control'!$C$8</f>
        <v>[MM/DD/YYYY]</v>
      </c>
      <c r="E8" s="363"/>
      <c r="H8" s="121"/>
      <c r="I8" s="121"/>
      <c r="J8" s="152"/>
      <c r="L8" s="122"/>
    </row>
    <row r="9" spans="1:12" x14ac:dyDescent="0.35">
      <c r="A9" s="121"/>
      <c r="B9" s="121"/>
      <c r="C9" s="121"/>
      <c r="D9" s="121"/>
      <c r="E9" s="121"/>
      <c r="F9" s="121"/>
      <c r="G9" s="121"/>
      <c r="H9" s="121"/>
      <c r="I9" s="121"/>
      <c r="J9" s="152"/>
      <c r="L9" s="122"/>
    </row>
    <row r="10" spans="1:12" ht="19.5" customHeight="1" x14ac:dyDescent="0.35">
      <c r="A10" s="121"/>
      <c r="B10" s="600" t="s">
        <v>381</v>
      </c>
      <c r="C10" s="600"/>
      <c r="D10" s="600"/>
      <c r="E10" s="600"/>
      <c r="F10" s="600"/>
      <c r="G10" s="600"/>
      <c r="I10" s="121"/>
      <c r="J10" s="152"/>
      <c r="L10" s="122"/>
    </row>
    <row r="11" spans="1:12" x14ac:dyDescent="0.35">
      <c r="A11" s="121"/>
      <c r="B11" s="600"/>
      <c r="C11" s="600"/>
      <c r="D11" s="600"/>
      <c r="E11" s="600"/>
      <c r="F11" s="600"/>
      <c r="G11" s="600"/>
      <c r="I11" s="121"/>
      <c r="J11" s="152"/>
      <c r="L11" s="122"/>
    </row>
    <row r="12" spans="1:12" ht="18.75" thickBot="1" x14ac:dyDescent="0.4">
      <c r="A12" s="121"/>
      <c r="B12" s="121"/>
      <c r="C12" s="121"/>
      <c r="D12" s="121"/>
      <c r="E12" s="121"/>
      <c r="F12" s="121"/>
      <c r="G12" s="121"/>
      <c r="H12" s="121"/>
      <c r="I12" s="121"/>
      <c r="J12" s="152"/>
      <c r="L12" s="122"/>
    </row>
    <row r="13" spans="1:12" x14ac:dyDescent="0.35">
      <c r="A13" s="121"/>
      <c r="B13" s="384" t="s">
        <v>76</v>
      </c>
      <c r="C13" s="385"/>
      <c r="D13" s="385"/>
      <c r="E13" s="385"/>
      <c r="F13" s="385"/>
      <c r="G13" s="385"/>
      <c r="H13" s="385"/>
      <c r="I13" s="385"/>
      <c r="J13" s="386"/>
      <c r="L13" s="122"/>
    </row>
    <row r="14" spans="1:12" ht="18.75" thickBot="1" x14ac:dyDescent="0.4">
      <c r="A14" s="121"/>
      <c r="B14" s="123"/>
      <c r="C14" s="124"/>
      <c r="D14" s="124"/>
      <c r="E14" s="124"/>
      <c r="F14" s="124"/>
      <c r="G14" s="124"/>
      <c r="H14" s="124"/>
      <c r="I14" s="124"/>
      <c r="J14" s="125"/>
      <c r="L14" s="122"/>
    </row>
    <row r="15" spans="1:12" ht="18.75" thickBot="1" x14ac:dyDescent="0.4">
      <c r="A15" s="121"/>
      <c r="B15" s="398"/>
      <c r="C15" s="544" t="s">
        <v>319</v>
      </c>
      <c r="D15" s="545"/>
      <c r="E15" s="545"/>
      <c r="F15" s="545"/>
      <c r="G15" s="545"/>
      <c r="H15" s="545"/>
      <c r="I15" s="546"/>
      <c r="J15" s="125"/>
      <c r="L15" s="122"/>
    </row>
    <row r="16" spans="1:12" ht="109.5" customHeight="1" thickBot="1" x14ac:dyDescent="0.4">
      <c r="A16" s="121"/>
      <c r="B16" s="398"/>
      <c r="C16" s="577" t="s">
        <v>377</v>
      </c>
      <c r="D16" s="578"/>
      <c r="E16" s="578"/>
      <c r="F16" s="578"/>
      <c r="G16" s="578"/>
      <c r="H16" s="578"/>
      <c r="I16" s="579"/>
      <c r="J16" s="125"/>
      <c r="L16" s="122"/>
    </row>
    <row r="17" spans="1:12" ht="18.75" thickBot="1" x14ac:dyDescent="0.4">
      <c r="A17" s="121"/>
      <c r="B17" s="398"/>
      <c r="C17" s="124"/>
      <c r="D17" s="124"/>
      <c r="E17" s="124"/>
      <c r="F17" s="124"/>
      <c r="G17" s="124"/>
      <c r="H17" s="124"/>
      <c r="I17" s="124"/>
      <c r="J17" s="125"/>
      <c r="L17" s="122"/>
    </row>
    <row r="18" spans="1:12" ht="17.100000000000001" customHeight="1" thickBot="1" x14ac:dyDescent="0.4">
      <c r="A18" s="121"/>
      <c r="B18" s="398"/>
      <c r="C18" s="409" t="s">
        <v>312</v>
      </c>
      <c r="D18" s="402"/>
      <c r="E18" s="402"/>
      <c r="F18" s="402"/>
      <c r="G18" s="402"/>
      <c r="H18" s="403"/>
      <c r="I18" s="275"/>
      <c r="J18" s="125"/>
      <c r="L18" s="122"/>
    </row>
    <row r="19" spans="1:12" ht="17.100000000000001" customHeight="1" x14ac:dyDescent="0.35">
      <c r="A19" s="121"/>
      <c r="B19" s="398"/>
      <c r="C19" s="234"/>
      <c r="D19" s="664" t="s">
        <v>205</v>
      </c>
      <c r="E19" s="665"/>
      <c r="F19" s="664" t="s">
        <v>206</v>
      </c>
      <c r="G19" s="665"/>
      <c r="H19" s="679" t="s">
        <v>311</v>
      </c>
      <c r="I19" s="282"/>
      <c r="J19" s="125"/>
      <c r="L19" s="122"/>
    </row>
    <row r="20" spans="1:12" ht="17.100000000000001" customHeight="1" x14ac:dyDescent="0.35">
      <c r="A20" s="121"/>
      <c r="B20" s="398"/>
      <c r="C20" s="229" t="s">
        <v>83</v>
      </c>
      <c r="D20" s="228" t="s">
        <v>203</v>
      </c>
      <c r="E20" s="228" t="s">
        <v>204</v>
      </c>
      <c r="F20" s="228" t="s">
        <v>203</v>
      </c>
      <c r="G20" s="228" t="s">
        <v>204</v>
      </c>
      <c r="H20" s="680"/>
      <c r="I20" s="282"/>
      <c r="J20" s="125"/>
      <c r="L20" s="122"/>
    </row>
    <row r="21" spans="1:12" ht="17.100000000000001" customHeight="1" x14ac:dyDescent="0.35">
      <c r="A21" s="121"/>
      <c r="B21" s="398"/>
      <c r="C21" s="345" t="s">
        <v>306</v>
      </c>
      <c r="D21" s="227" t="s">
        <v>208</v>
      </c>
      <c r="E21" s="227" t="s">
        <v>209</v>
      </c>
      <c r="F21" s="227" t="s">
        <v>210</v>
      </c>
      <c r="G21" s="227" t="s">
        <v>212</v>
      </c>
      <c r="H21" s="231" t="s">
        <v>313</v>
      </c>
      <c r="I21" s="282"/>
      <c r="J21" s="125"/>
      <c r="L21" s="122"/>
    </row>
    <row r="22" spans="1:12" ht="17.100000000000001" customHeight="1" x14ac:dyDescent="0.35">
      <c r="A22" s="121"/>
      <c r="B22" s="398"/>
      <c r="C22" s="345" t="s">
        <v>304</v>
      </c>
      <c r="D22" s="227" t="s">
        <v>208</v>
      </c>
      <c r="E22" s="227" t="s">
        <v>209</v>
      </c>
      <c r="F22" s="227" t="s">
        <v>211</v>
      </c>
      <c r="G22" s="227" t="s">
        <v>213</v>
      </c>
      <c r="H22" s="231" t="s">
        <v>313</v>
      </c>
      <c r="I22" s="282"/>
      <c r="J22" s="125"/>
      <c r="L22" s="122"/>
    </row>
    <row r="23" spans="1:12" ht="17.100000000000001" customHeight="1" x14ac:dyDescent="0.35">
      <c r="A23" s="121"/>
      <c r="B23" s="398"/>
      <c r="C23" s="271" t="s">
        <v>307</v>
      </c>
      <c r="D23" s="227" t="s">
        <v>208</v>
      </c>
      <c r="E23" s="227" t="s">
        <v>209</v>
      </c>
      <c r="F23" s="227" t="s">
        <v>211</v>
      </c>
      <c r="G23" s="227" t="s">
        <v>213</v>
      </c>
      <c r="H23" s="231" t="s">
        <v>314</v>
      </c>
      <c r="I23" s="282"/>
      <c r="J23" s="125"/>
      <c r="L23" s="122"/>
    </row>
    <row r="24" spans="1:12" ht="17.100000000000001" customHeight="1" x14ac:dyDescent="0.35">
      <c r="A24" s="121"/>
      <c r="B24" s="398"/>
      <c r="C24" s="345" t="s">
        <v>305</v>
      </c>
      <c r="D24" s="272" t="s">
        <v>208</v>
      </c>
      <c r="E24" s="272" t="s">
        <v>209</v>
      </c>
      <c r="F24" s="272" t="s">
        <v>208</v>
      </c>
      <c r="G24" s="272" t="s">
        <v>209</v>
      </c>
      <c r="H24" s="231" t="s">
        <v>313</v>
      </c>
      <c r="I24" s="282"/>
      <c r="J24" s="125"/>
      <c r="L24" s="122"/>
    </row>
    <row r="25" spans="1:12" ht="17.100000000000001" customHeight="1" thickBot="1" x14ac:dyDescent="0.4">
      <c r="A25" s="126"/>
      <c r="B25" s="398"/>
      <c r="C25" s="341" t="s">
        <v>308</v>
      </c>
      <c r="D25" s="232" t="s">
        <v>208</v>
      </c>
      <c r="E25" s="232" t="s">
        <v>209</v>
      </c>
      <c r="F25" s="232" t="s">
        <v>208</v>
      </c>
      <c r="G25" s="232" t="s">
        <v>209</v>
      </c>
      <c r="H25" s="233" t="s">
        <v>314</v>
      </c>
      <c r="I25" s="282"/>
      <c r="J25" s="128"/>
      <c r="L25" s="129"/>
    </row>
    <row r="26" spans="1:12" ht="18.75" thickBot="1" x14ac:dyDescent="0.4">
      <c r="A26" s="126"/>
      <c r="B26" s="398"/>
      <c r="C26" s="275"/>
      <c r="D26" s="275"/>
      <c r="E26" s="275"/>
      <c r="F26" s="275"/>
      <c r="G26" s="275"/>
      <c r="H26" s="275"/>
      <c r="I26" s="275"/>
      <c r="J26" s="131"/>
      <c r="L26" s="129"/>
    </row>
    <row r="27" spans="1:12" ht="17.100000000000001" customHeight="1" thickBot="1" x14ac:dyDescent="0.4">
      <c r="A27" s="121"/>
      <c r="B27" s="398"/>
      <c r="C27" s="342" t="s">
        <v>222</v>
      </c>
      <c r="D27" s="343"/>
      <c r="E27" s="343"/>
      <c r="F27" s="343"/>
      <c r="G27" s="343"/>
      <c r="H27" s="344"/>
      <c r="I27" s="282"/>
      <c r="J27" s="303"/>
      <c r="L27" s="122"/>
    </row>
    <row r="28" spans="1:12" ht="17.100000000000001" customHeight="1" x14ac:dyDescent="0.35">
      <c r="A28" s="121"/>
      <c r="B28" s="398"/>
      <c r="C28" s="669"/>
      <c r="D28" s="670"/>
      <c r="E28" s="377"/>
      <c r="F28" s="377" t="s">
        <v>384</v>
      </c>
      <c r="G28" s="400" t="s">
        <v>77</v>
      </c>
      <c r="H28" s="180"/>
      <c r="I28" s="282"/>
      <c r="J28" s="303"/>
      <c r="L28" s="122"/>
    </row>
    <row r="29" spans="1:12" ht="17.100000000000001" customHeight="1" x14ac:dyDescent="0.35">
      <c r="A29" s="121"/>
      <c r="B29" s="398"/>
      <c r="C29" s="388" t="s">
        <v>265</v>
      </c>
      <c r="D29" s="401"/>
      <c r="E29" s="389"/>
      <c r="F29" s="321" t="s">
        <v>477</v>
      </c>
      <c r="G29" s="159"/>
      <c r="H29" s="138" t="s">
        <v>85</v>
      </c>
      <c r="I29" s="282"/>
      <c r="J29" s="303"/>
      <c r="L29" s="122"/>
    </row>
    <row r="30" spans="1:12" ht="17.100000000000001" customHeight="1" x14ac:dyDescent="0.35">
      <c r="A30" s="121"/>
      <c r="B30" s="398"/>
      <c r="C30" s="319" t="s">
        <v>266</v>
      </c>
      <c r="D30" s="323"/>
      <c r="E30" s="321"/>
      <c r="F30" s="321" t="s">
        <v>478</v>
      </c>
      <c r="G30" s="159"/>
      <c r="H30" s="138" t="s">
        <v>85</v>
      </c>
      <c r="I30" s="282"/>
      <c r="J30" s="303"/>
      <c r="L30" s="122"/>
    </row>
    <row r="31" spans="1:12" ht="17.100000000000001" customHeight="1" x14ac:dyDescent="0.35">
      <c r="A31" s="121"/>
      <c r="B31" s="398"/>
      <c r="C31" s="388" t="s">
        <v>285</v>
      </c>
      <c r="D31" s="401"/>
      <c r="E31" s="389"/>
      <c r="F31" s="321" t="s">
        <v>479</v>
      </c>
      <c r="G31" s="159"/>
      <c r="H31" s="138" t="s">
        <v>85</v>
      </c>
      <c r="I31" s="282"/>
      <c r="J31" s="125"/>
      <c r="L31" s="122"/>
    </row>
    <row r="32" spans="1:12" ht="17.100000000000001" customHeight="1" thickBot="1" x14ac:dyDescent="0.4">
      <c r="A32" s="126"/>
      <c r="B32" s="398"/>
      <c r="C32" s="318" t="s">
        <v>286</v>
      </c>
      <c r="D32" s="322"/>
      <c r="E32" s="320"/>
      <c r="F32" s="317" t="s">
        <v>480</v>
      </c>
      <c r="G32" s="236"/>
      <c r="H32" s="162" t="s">
        <v>85</v>
      </c>
      <c r="I32" s="282"/>
      <c r="J32" s="128"/>
      <c r="L32" s="129"/>
    </row>
    <row r="33" spans="1:12" ht="18.75" thickBot="1" x14ac:dyDescent="0.4">
      <c r="A33" s="126"/>
      <c r="B33" s="398"/>
      <c r="C33" s="275"/>
      <c r="D33" s="275"/>
      <c r="E33" s="275"/>
      <c r="F33" s="275"/>
      <c r="G33" s="275"/>
      <c r="H33" s="275"/>
      <c r="I33" s="276"/>
      <c r="J33" s="131"/>
      <c r="L33" s="129"/>
    </row>
    <row r="34" spans="1:12" ht="18.75" thickBot="1" x14ac:dyDescent="0.4">
      <c r="A34" s="121"/>
      <c r="B34" s="398"/>
      <c r="C34" s="342" t="s">
        <v>315</v>
      </c>
      <c r="D34" s="343"/>
      <c r="E34" s="343"/>
      <c r="F34" s="343"/>
      <c r="G34" s="343"/>
      <c r="H34" s="344"/>
      <c r="I34" s="282"/>
      <c r="J34" s="303"/>
      <c r="L34" s="122"/>
    </row>
    <row r="35" spans="1:12" x14ac:dyDescent="0.35">
      <c r="A35" s="121"/>
      <c r="B35" s="398"/>
      <c r="C35" s="669"/>
      <c r="D35" s="670"/>
      <c r="E35" s="377"/>
      <c r="F35" s="377" t="s">
        <v>384</v>
      </c>
      <c r="G35" s="400" t="s">
        <v>77</v>
      </c>
      <c r="H35" s="147"/>
      <c r="I35" s="282"/>
      <c r="J35" s="303"/>
      <c r="L35" s="122"/>
    </row>
    <row r="36" spans="1:12" x14ac:dyDescent="0.35">
      <c r="A36" s="121"/>
      <c r="B36" s="398"/>
      <c r="C36" s="319" t="s">
        <v>99</v>
      </c>
      <c r="D36" s="323"/>
      <c r="E36" s="321"/>
      <c r="F36" s="321"/>
      <c r="G36" s="159"/>
      <c r="H36" s="138" t="s">
        <v>214</v>
      </c>
      <c r="I36" s="282"/>
      <c r="J36" s="303"/>
      <c r="L36" s="122"/>
    </row>
    <row r="37" spans="1:12" x14ac:dyDescent="0.35">
      <c r="A37" s="121"/>
      <c r="B37" s="398"/>
      <c r="C37" s="319" t="s">
        <v>216</v>
      </c>
      <c r="D37" s="323"/>
      <c r="E37" s="321"/>
      <c r="F37" s="321"/>
      <c r="G37" s="159"/>
      <c r="H37" s="138" t="s">
        <v>78</v>
      </c>
      <c r="I37" s="282"/>
      <c r="J37" s="303"/>
      <c r="L37" s="122"/>
    </row>
    <row r="38" spans="1:12" x14ac:dyDescent="0.35">
      <c r="A38" s="121"/>
      <c r="B38" s="398"/>
      <c r="C38" s="319" t="s">
        <v>215</v>
      </c>
      <c r="D38" s="323"/>
      <c r="E38" s="321"/>
      <c r="F38" s="321"/>
      <c r="G38" s="159"/>
      <c r="H38" s="138" t="s">
        <v>78</v>
      </c>
      <c r="I38" s="282"/>
      <c r="J38" s="303"/>
      <c r="L38" s="122"/>
    </row>
    <row r="39" spans="1:12" x14ac:dyDescent="0.35">
      <c r="A39" s="121"/>
      <c r="B39" s="398"/>
      <c r="C39" s="319" t="s">
        <v>217</v>
      </c>
      <c r="D39" s="323"/>
      <c r="E39" s="321"/>
      <c r="F39" s="321" t="s">
        <v>491</v>
      </c>
      <c r="G39" s="159"/>
      <c r="H39" s="138" t="s">
        <v>78</v>
      </c>
      <c r="I39" s="282"/>
      <c r="J39" s="303"/>
      <c r="L39" s="122"/>
    </row>
    <row r="40" spans="1:12" x14ac:dyDescent="0.35">
      <c r="A40" s="121"/>
      <c r="B40" s="398"/>
      <c r="C40" s="319" t="s">
        <v>218</v>
      </c>
      <c r="D40" s="323"/>
      <c r="E40" s="321"/>
      <c r="F40" s="321"/>
      <c r="G40" s="159"/>
      <c r="H40" s="138" t="s">
        <v>78</v>
      </c>
      <c r="I40" s="282"/>
      <c r="J40" s="303"/>
      <c r="L40" s="122"/>
    </row>
    <row r="41" spans="1:12" x14ac:dyDescent="0.35">
      <c r="A41" s="121"/>
      <c r="B41" s="398"/>
      <c r="C41" s="319" t="s">
        <v>225</v>
      </c>
      <c r="D41" s="323"/>
      <c r="E41" s="321"/>
      <c r="F41" s="321" t="s">
        <v>385</v>
      </c>
      <c r="G41" s="159"/>
      <c r="H41" s="138" t="s">
        <v>78</v>
      </c>
      <c r="I41" s="282"/>
      <c r="J41" s="303"/>
      <c r="L41" s="122"/>
    </row>
    <row r="42" spans="1:12" x14ac:dyDescent="0.35">
      <c r="A42" s="121"/>
      <c r="B42" s="398"/>
      <c r="C42" s="319" t="s">
        <v>224</v>
      </c>
      <c r="D42" s="323"/>
      <c r="E42" s="321"/>
      <c r="F42" s="321" t="s">
        <v>386</v>
      </c>
      <c r="G42" s="159"/>
      <c r="H42" s="138" t="s">
        <v>78</v>
      </c>
      <c r="I42" s="282"/>
      <c r="J42" s="303"/>
      <c r="L42" s="122"/>
    </row>
    <row r="43" spans="1:12" x14ac:dyDescent="0.35">
      <c r="A43" s="121"/>
      <c r="B43" s="398"/>
      <c r="C43" s="319" t="s">
        <v>231</v>
      </c>
      <c r="D43" s="323"/>
      <c r="E43" s="321"/>
      <c r="F43" s="321" t="s">
        <v>393</v>
      </c>
      <c r="G43" s="235"/>
      <c r="H43" s="138" t="s">
        <v>227</v>
      </c>
      <c r="I43" s="282"/>
      <c r="J43" s="303"/>
      <c r="L43" s="122"/>
    </row>
    <row r="44" spans="1:12" x14ac:dyDescent="0.35">
      <c r="A44" s="121"/>
      <c r="B44" s="398"/>
      <c r="C44" s="319" t="s">
        <v>226</v>
      </c>
      <c r="D44" s="323"/>
      <c r="E44" s="321"/>
      <c r="F44" s="321" t="s">
        <v>394</v>
      </c>
      <c r="G44" s="235"/>
      <c r="H44" s="138" t="s">
        <v>227</v>
      </c>
      <c r="I44" s="282"/>
      <c r="J44" s="303"/>
      <c r="L44" s="122"/>
    </row>
    <row r="45" spans="1:12" x14ac:dyDescent="0.35">
      <c r="A45" s="121"/>
      <c r="B45" s="398"/>
      <c r="C45" s="319" t="s">
        <v>228</v>
      </c>
      <c r="D45" s="323"/>
      <c r="E45" s="321"/>
      <c r="F45" s="336" t="s">
        <v>401</v>
      </c>
      <c r="G45" s="235"/>
      <c r="H45" s="138" t="s">
        <v>229</v>
      </c>
      <c r="I45" s="282"/>
      <c r="J45" s="303"/>
      <c r="L45" s="122"/>
    </row>
    <row r="46" spans="1:12" x14ac:dyDescent="0.35">
      <c r="A46" s="121"/>
      <c r="B46" s="398"/>
      <c r="C46" s="319" t="s">
        <v>232</v>
      </c>
      <c r="D46" s="323"/>
      <c r="E46" s="321"/>
      <c r="F46" s="336" t="s">
        <v>404</v>
      </c>
      <c r="G46" s="235"/>
      <c r="H46" s="138" t="s">
        <v>229</v>
      </c>
      <c r="I46" s="282"/>
      <c r="J46" s="303"/>
      <c r="L46" s="122"/>
    </row>
    <row r="47" spans="1:12" x14ac:dyDescent="0.35">
      <c r="A47" s="121"/>
      <c r="B47" s="398"/>
      <c r="C47" s="319" t="s">
        <v>234</v>
      </c>
      <c r="D47" s="323"/>
      <c r="E47" s="321"/>
      <c r="F47" s="336" t="s">
        <v>409</v>
      </c>
      <c r="G47" s="235"/>
      <c r="H47" s="138" t="s">
        <v>230</v>
      </c>
      <c r="I47" s="282"/>
      <c r="J47" s="303"/>
      <c r="L47" s="122"/>
    </row>
    <row r="48" spans="1:12" x14ac:dyDescent="0.35">
      <c r="A48" s="121"/>
      <c r="B48" s="398"/>
      <c r="C48" s="319" t="s">
        <v>233</v>
      </c>
      <c r="D48" s="323"/>
      <c r="E48" s="321"/>
      <c r="F48" s="336" t="s">
        <v>410</v>
      </c>
      <c r="G48" s="235"/>
      <c r="H48" s="138" t="s">
        <v>230</v>
      </c>
      <c r="I48" s="282"/>
      <c r="J48" s="303"/>
      <c r="L48" s="122"/>
    </row>
    <row r="49" spans="1:12" x14ac:dyDescent="0.35">
      <c r="A49" s="121"/>
      <c r="B49" s="398"/>
      <c r="C49" s="319" t="s">
        <v>219</v>
      </c>
      <c r="D49" s="323"/>
      <c r="E49" s="321"/>
      <c r="F49" s="321" t="s">
        <v>456</v>
      </c>
      <c r="G49" s="223"/>
      <c r="H49" s="138" t="s">
        <v>130</v>
      </c>
      <c r="I49" s="282"/>
      <c r="J49" s="125"/>
      <c r="L49" s="122"/>
    </row>
    <row r="50" spans="1:12" ht="18.75" thickBot="1" x14ac:dyDescent="0.4">
      <c r="A50" s="126"/>
      <c r="B50" s="398"/>
      <c r="C50" s="161" t="s">
        <v>220</v>
      </c>
      <c r="D50" s="163"/>
      <c r="E50" s="337"/>
      <c r="F50" s="322" t="s">
        <v>442</v>
      </c>
      <c r="G50" s="224"/>
      <c r="H50" s="162" t="s">
        <v>221</v>
      </c>
      <c r="I50" s="282"/>
      <c r="J50" s="128"/>
      <c r="L50" s="129"/>
    </row>
    <row r="51" spans="1:12" ht="18.75" thickBot="1" x14ac:dyDescent="0.4">
      <c r="A51" s="126"/>
      <c r="B51" s="398"/>
      <c r="C51" s="275"/>
      <c r="D51" s="275"/>
      <c r="E51" s="275"/>
      <c r="F51" s="275"/>
      <c r="G51" s="275"/>
      <c r="H51" s="275"/>
      <c r="I51" s="277"/>
      <c r="J51" s="131"/>
      <c r="L51" s="129"/>
    </row>
    <row r="52" spans="1:12" ht="18.75" thickBot="1" x14ac:dyDescent="0.4">
      <c r="A52" s="121"/>
      <c r="B52" s="398"/>
      <c r="C52" s="342" t="s">
        <v>320</v>
      </c>
      <c r="D52" s="343"/>
      <c r="E52" s="343"/>
      <c r="F52" s="343"/>
      <c r="G52" s="343"/>
      <c r="H52" s="344"/>
      <c r="I52" s="282"/>
      <c r="J52" s="303"/>
      <c r="L52" s="122"/>
    </row>
    <row r="53" spans="1:12" x14ac:dyDescent="0.35">
      <c r="A53" s="121"/>
      <c r="B53" s="398"/>
      <c r="C53" s="669"/>
      <c r="D53" s="670"/>
      <c r="E53" s="377"/>
      <c r="F53" s="377" t="s">
        <v>384</v>
      </c>
      <c r="G53" s="400" t="s">
        <v>77</v>
      </c>
      <c r="H53" s="147"/>
      <c r="I53" s="282"/>
      <c r="J53" s="303"/>
      <c r="L53" s="122"/>
    </row>
    <row r="54" spans="1:12" x14ac:dyDescent="0.35">
      <c r="A54" s="121"/>
      <c r="B54" s="398"/>
      <c r="C54" s="319" t="s">
        <v>99</v>
      </c>
      <c r="D54" s="323"/>
      <c r="E54" s="321"/>
      <c r="F54" s="321"/>
      <c r="G54" s="159"/>
      <c r="H54" s="138" t="s">
        <v>214</v>
      </c>
      <c r="I54" s="282"/>
      <c r="J54" s="303"/>
      <c r="L54" s="122"/>
    </row>
    <row r="55" spans="1:12" x14ac:dyDescent="0.35">
      <c r="A55" s="121"/>
      <c r="B55" s="398"/>
      <c r="C55" s="319" t="s">
        <v>216</v>
      </c>
      <c r="D55" s="323"/>
      <c r="E55" s="321"/>
      <c r="F55" s="321"/>
      <c r="G55" s="159"/>
      <c r="H55" s="138" t="s">
        <v>78</v>
      </c>
      <c r="I55" s="282"/>
      <c r="J55" s="303"/>
      <c r="L55" s="122"/>
    </row>
    <row r="56" spans="1:12" x14ac:dyDescent="0.35">
      <c r="A56" s="121"/>
      <c r="B56" s="398"/>
      <c r="C56" s="319" t="s">
        <v>215</v>
      </c>
      <c r="D56" s="323"/>
      <c r="E56" s="321"/>
      <c r="F56" s="321"/>
      <c r="G56" s="159"/>
      <c r="H56" s="138" t="s">
        <v>78</v>
      </c>
      <c r="I56" s="282"/>
      <c r="J56" s="303"/>
      <c r="L56" s="122"/>
    </row>
    <row r="57" spans="1:12" x14ac:dyDescent="0.35">
      <c r="A57" s="121"/>
      <c r="B57" s="398"/>
      <c r="C57" s="319" t="s">
        <v>217</v>
      </c>
      <c r="D57" s="323"/>
      <c r="E57" s="321"/>
      <c r="F57" s="321" t="s">
        <v>491</v>
      </c>
      <c r="G57" s="159"/>
      <c r="H57" s="138" t="s">
        <v>78</v>
      </c>
      <c r="I57" s="282"/>
      <c r="J57" s="303"/>
      <c r="L57" s="122"/>
    </row>
    <row r="58" spans="1:12" x14ac:dyDescent="0.35">
      <c r="A58" s="121"/>
      <c r="B58" s="398"/>
      <c r="C58" s="319" t="s">
        <v>218</v>
      </c>
      <c r="D58" s="323"/>
      <c r="E58" s="321"/>
      <c r="F58" s="321"/>
      <c r="G58" s="159"/>
      <c r="H58" s="138" t="s">
        <v>78</v>
      </c>
      <c r="I58" s="282"/>
      <c r="J58" s="303"/>
      <c r="L58" s="122"/>
    </row>
    <row r="59" spans="1:12" x14ac:dyDescent="0.35">
      <c r="A59" s="121"/>
      <c r="B59" s="398"/>
      <c r="C59" s="319" t="s">
        <v>225</v>
      </c>
      <c r="D59" s="323"/>
      <c r="E59" s="321"/>
      <c r="F59" s="321" t="s">
        <v>387</v>
      </c>
      <c r="G59" s="159"/>
      <c r="H59" s="138" t="s">
        <v>78</v>
      </c>
      <c r="I59" s="282"/>
      <c r="J59" s="303"/>
      <c r="L59" s="122"/>
    </row>
    <row r="60" spans="1:12" x14ac:dyDescent="0.35">
      <c r="A60" s="121"/>
      <c r="B60" s="398"/>
      <c r="C60" s="319" t="s">
        <v>224</v>
      </c>
      <c r="D60" s="323"/>
      <c r="E60" s="321"/>
      <c r="F60" s="321" t="s">
        <v>388</v>
      </c>
      <c r="G60" s="159"/>
      <c r="H60" s="138" t="s">
        <v>78</v>
      </c>
      <c r="I60" s="282"/>
      <c r="J60" s="303"/>
      <c r="L60" s="122"/>
    </row>
    <row r="61" spans="1:12" x14ac:dyDescent="0.35">
      <c r="A61" s="121"/>
      <c r="B61" s="398"/>
      <c r="C61" s="319" t="s">
        <v>231</v>
      </c>
      <c r="D61" s="323"/>
      <c r="E61" s="321"/>
      <c r="F61" s="321" t="s">
        <v>395</v>
      </c>
      <c r="G61" s="235"/>
      <c r="H61" s="138" t="s">
        <v>227</v>
      </c>
      <c r="I61" s="282"/>
      <c r="J61" s="303"/>
      <c r="L61" s="122"/>
    </row>
    <row r="62" spans="1:12" x14ac:dyDescent="0.35">
      <c r="A62" s="121"/>
      <c r="B62" s="398"/>
      <c r="C62" s="319" t="s">
        <v>226</v>
      </c>
      <c r="D62" s="323"/>
      <c r="E62" s="321"/>
      <c r="F62" s="321" t="s">
        <v>396</v>
      </c>
      <c r="G62" s="235"/>
      <c r="H62" s="138" t="s">
        <v>227</v>
      </c>
      <c r="I62" s="282"/>
      <c r="J62" s="303"/>
      <c r="L62" s="122"/>
    </row>
    <row r="63" spans="1:12" x14ac:dyDescent="0.35">
      <c r="A63" s="121"/>
      <c r="B63" s="398"/>
      <c r="C63" s="319" t="s">
        <v>228</v>
      </c>
      <c r="D63" s="323"/>
      <c r="E63" s="321"/>
      <c r="F63" s="336" t="s">
        <v>402</v>
      </c>
      <c r="G63" s="235"/>
      <c r="H63" s="138" t="s">
        <v>229</v>
      </c>
      <c r="I63" s="282"/>
      <c r="J63" s="303"/>
      <c r="L63" s="122"/>
    </row>
    <row r="64" spans="1:12" x14ac:dyDescent="0.35">
      <c r="A64" s="121"/>
      <c r="B64" s="398"/>
      <c r="C64" s="319" t="s">
        <v>232</v>
      </c>
      <c r="D64" s="323"/>
      <c r="E64" s="321"/>
      <c r="F64" s="336" t="s">
        <v>403</v>
      </c>
      <c r="G64" s="235"/>
      <c r="H64" s="138" t="s">
        <v>229</v>
      </c>
      <c r="I64" s="282"/>
      <c r="J64" s="303"/>
      <c r="L64" s="122"/>
    </row>
    <row r="65" spans="1:12" x14ac:dyDescent="0.35">
      <c r="A65" s="121"/>
      <c r="B65" s="398"/>
      <c r="C65" s="319" t="s">
        <v>234</v>
      </c>
      <c r="D65" s="323"/>
      <c r="E65" s="321"/>
      <c r="F65" s="336" t="s">
        <v>411</v>
      </c>
      <c r="G65" s="235"/>
      <c r="H65" s="138" t="s">
        <v>230</v>
      </c>
      <c r="I65" s="282"/>
      <c r="J65" s="303"/>
      <c r="L65" s="122"/>
    </row>
    <row r="66" spans="1:12" x14ac:dyDescent="0.35">
      <c r="A66" s="121"/>
      <c r="B66" s="398"/>
      <c r="C66" s="319" t="s">
        <v>233</v>
      </c>
      <c r="D66" s="323"/>
      <c r="E66" s="321"/>
      <c r="F66" s="336" t="s">
        <v>412</v>
      </c>
      <c r="G66" s="235"/>
      <c r="H66" s="138" t="s">
        <v>230</v>
      </c>
      <c r="I66" s="282"/>
      <c r="J66" s="303"/>
      <c r="L66" s="122"/>
    </row>
    <row r="67" spans="1:12" x14ac:dyDescent="0.35">
      <c r="A67" s="121"/>
      <c r="B67" s="398"/>
      <c r="C67" s="319" t="s">
        <v>219</v>
      </c>
      <c r="D67" s="323"/>
      <c r="E67" s="321"/>
      <c r="F67" s="321" t="s">
        <v>457</v>
      </c>
      <c r="G67" s="223"/>
      <c r="H67" s="138" t="s">
        <v>130</v>
      </c>
      <c r="I67" s="282"/>
      <c r="J67" s="125"/>
      <c r="L67" s="122"/>
    </row>
    <row r="68" spans="1:12" ht="18.75" thickBot="1" x14ac:dyDescent="0.4">
      <c r="A68" s="126"/>
      <c r="B68" s="398"/>
      <c r="C68" s="161" t="s">
        <v>220</v>
      </c>
      <c r="D68" s="163"/>
      <c r="E68" s="320"/>
      <c r="F68" s="163" t="s">
        <v>443</v>
      </c>
      <c r="G68" s="224"/>
      <c r="H68" s="162" t="s">
        <v>221</v>
      </c>
      <c r="I68" s="282"/>
      <c r="J68" s="128"/>
      <c r="L68" s="129"/>
    </row>
    <row r="69" spans="1:12" ht="18.75" thickBot="1" x14ac:dyDescent="0.4">
      <c r="A69" s="126"/>
      <c r="B69" s="398"/>
      <c r="C69" s="275"/>
      <c r="D69" s="275"/>
      <c r="E69" s="275"/>
      <c r="F69" s="275"/>
      <c r="G69" s="275"/>
      <c r="H69" s="275"/>
      <c r="I69" s="139"/>
      <c r="J69" s="131"/>
      <c r="L69" s="129"/>
    </row>
    <row r="70" spans="1:12" ht="18.75" thickBot="1" x14ac:dyDescent="0.4">
      <c r="A70" s="121"/>
      <c r="B70" s="398"/>
      <c r="C70" s="342" t="s">
        <v>321</v>
      </c>
      <c r="D70" s="343"/>
      <c r="E70" s="343"/>
      <c r="F70" s="343"/>
      <c r="G70" s="343"/>
      <c r="H70" s="344"/>
      <c r="I70" s="282"/>
      <c r="J70" s="303"/>
      <c r="L70" s="122"/>
    </row>
    <row r="71" spans="1:12" x14ac:dyDescent="0.35">
      <c r="A71" s="121"/>
      <c r="B71" s="398"/>
      <c r="C71" s="669"/>
      <c r="D71" s="670"/>
      <c r="E71" s="377"/>
      <c r="F71" s="377" t="s">
        <v>384</v>
      </c>
      <c r="G71" s="400" t="s">
        <v>77</v>
      </c>
      <c r="H71" s="147"/>
      <c r="I71" s="282"/>
      <c r="J71" s="303"/>
      <c r="L71" s="122"/>
    </row>
    <row r="72" spans="1:12" x14ac:dyDescent="0.35">
      <c r="A72" s="121"/>
      <c r="B72" s="398"/>
      <c r="C72" s="319" t="s">
        <v>99</v>
      </c>
      <c r="D72" s="323"/>
      <c r="E72" s="321"/>
      <c r="F72" s="321"/>
      <c r="G72" s="159"/>
      <c r="H72" s="138" t="s">
        <v>214</v>
      </c>
      <c r="I72" s="282"/>
      <c r="J72" s="303"/>
      <c r="L72" s="122"/>
    </row>
    <row r="73" spans="1:12" x14ac:dyDescent="0.35">
      <c r="A73" s="121"/>
      <c r="B73" s="398"/>
      <c r="C73" s="319" t="s">
        <v>216</v>
      </c>
      <c r="D73" s="323"/>
      <c r="E73" s="321"/>
      <c r="F73" s="321"/>
      <c r="G73" s="159"/>
      <c r="H73" s="138" t="s">
        <v>78</v>
      </c>
      <c r="I73" s="282"/>
      <c r="J73" s="303"/>
      <c r="L73" s="122"/>
    </row>
    <row r="74" spans="1:12" x14ac:dyDescent="0.35">
      <c r="A74" s="121"/>
      <c r="B74" s="398"/>
      <c r="C74" s="319" t="s">
        <v>215</v>
      </c>
      <c r="D74" s="323"/>
      <c r="E74" s="321"/>
      <c r="F74" s="321"/>
      <c r="G74" s="159"/>
      <c r="H74" s="138" t="s">
        <v>78</v>
      </c>
      <c r="I74" s="282"/>
      <c r="J74" s="303"/>
      <c r="L74" s="122"/>
    </row>
    <row r="75" spans="1:12" x14ac:dyDescent="0.35">
      <c r="A75" s="121"/>
      <c r="B75" s="398"/>
      <c r="C75" s="319" t="s">
        <v>217</v>
      </c>
      <c r="D75" s="323"/>
      <c r="E75" s="321"/>
      <c r="F75" s="321" t="s">
        <v>491</v>
      </c>
      <c r="G75" s="159"/>
      <c r="H75" s="138" t="s">
        <v>78</v>
      </c>
      <c r="I75" s="282"/>
      <c r="J75" s="303"/>
      <c r="L75" s="122"/>
    </row>
    <row r="76" spans="1:12" x14ac:dyDescent="0.35">
      <c r="A76" s="121"/>
      <c r="B76" s="398"/>
      <c r="C76" s="319" t="s">
        <v>218</v>
      </c>
      <c r="D76" s="323"/>
      <c r="E76" s="321"/>
      <c r="F76" s="321"/>
      <c r="G76" s="159"/>
      <c r="H76" s="138" t="s">
        <v>78</v>
      </c>
      <c r="I76" s="282"/>
      <c r="J76" s="303"/>
      <c r="L76" s="122"/>
    </row>
    <row r="77" spans="1:12" x14ac:dyDescent="0.35">
      <c r="A77" s="121"/>
      <c r="B77" s="398"/>
      <c r="C77" s="319" t="s">
        <v>225</v>
      </c>
      <c r="D77" s="323"/>
      <c r="E77" s="321"/>
      <c r="F77" s="321" t="s">
        <v>389</v>
      </c>
      <c r="G77" s="159"/>
      <c r="H77" s="138" t="s">
        <v>78</v>
      </c>
      <c r="I77" s="282"/>
      <c r="J77" s="303"/>
      <c r="L77" s="122"/>
    </row>
    <row r="78" spans="1:12" x14ac:dyDescent="0.35">
      <c r="A78" s="121"/>
      <c r="B78" s="398"/>
      <c r="C78" s="319" t="s">
        <v>224</v>
      </c>
      <c r="D78" s="323"/>
      <c r="E78" s="321"/>
      <c r="F78" s="321" t="s">
        <v>390</v>
      </c>
      <c r="G78" s="159"/>
      <c r="H78" s="138" t="s">
        <v>78</v>
      </c>
      <c r="I78" s="282"/>
      <c r="J78" s="303"/>
      <c r="L78" s="122"/>
    </row>
    <row r="79" spans="1:12" x14ac:dyDescent="0.35">
      <c r="A79" s="121"/>
      <c r="B79" s="398"/>
      <c r="C79" s="319" t="s">
        <v>231</v>
      </c>
      <c r="D79" s="323"/>
      <c r="E79" s="321"/>
      <c r="F79" s="321" t="s">
        <v>397</v>
      </c>
      <c r="G79" s="235"/>
      <c r="H79" s="138" t="s">
        <v>227</v>
      </c>
      <c r="I79" s="282"/>
      <c r="J79" s="303"/>
      <c r="L79" s="122"/>
    </row>
    <row r="80" spans="1:12" x14ac:dyDescent="0.35">
      <c r="A80" s="121"/>
      <c r="B80" s="398"/>
      <c r="C80" s="319" t="s">
        <v>226</v>
      </c>
      <c r="D80" s="323"/>
      <c r="E80" s="321"/>
      <c r="F80" s="321" t="s">
        <v>398</v>
      </c>
      <c r="G80" s="235"/>
      <c r="H80" s="138" t="s">
        <v>227</v>
      </c>
      <c r="I80" s="282"/>
      <c r="J80" s="303"/>
      <c r="L80" s="122"/>
    </row>
    <row r="81" spans="1:12" x14ac:dyDescent="0.35">
      <c r="A81" s="121"/>
      <c r="B81" s="398"/>
      <c r="C81" s="319" t="s">
        <v>228</v>
      </c>
      <c r="D81" s="323"/>
      <c r="E81" s="321"/>
      <c r="F81" s="336" t="s">
        <v>405</v>
      </c>
      <c r="G81" s="235"/>
      <c r="H81" s="138" t="s">
        <v>229</v>
      </c>
      <c r="I81" s="282"/>
      <c r="J81" s="125"/>
      <c r="L81" s="122"/>
    </row>
    <row r="82" spans="1:12" x14ac:dyDescent="0.35">
      <c r="A82" s="121"/>
      <c r="B82" s="398"/>
      <c r="C82" s="319" t="s">
        <v>232</v>
      </c>
      <c r="D82" s="323"/>
      <c r="E82" s="321"/>
      <c r="F82" s="336" t="s">
        <v>406</v>
      </c>
      <c r="G82" s="235"/>
      <c r="H82" s="138" t="s">
        <v>229</v>
      </c>
      <c r="I82" s="282"/>
      <c r="J82" s="297"/>
      <c r="L82" s="122"/>
    </row>
    <row r="83" spans="1:12" x14ac:dyDescent="0.35">
      <c r="A83" s="121"/>
      <c r="B83" s="398"/>
      <c r="C83" s="319" t="s">
        <v>234</v>
      </c>
      <c r="D83" s="323"/>
      <c r="E83" s="321"/>
      <c r="F83" s="336" t="s">
        <v>413</v>
      </c>
      <c r="G83" s="235"/>
      <c r="H83" s="138" t="s">
        <v>230</v>
      </c>
      <c r="I83" s="282"/>
      <c r="J83" s="273"/>
      <c r="L83" s="122"/>
    </row>
    <row r="84" spans="1:12" x14ac:dyDescent="0.35">
      <c r="A84" s="121"/>
      <c r="B84" s="398"/>
      <c r="C84" s="319" t="s">
        <v>233</v>
      </c>
      <c r="D84" s="323"/>
      <c r="E84" s="321"/>
      <c r="F84" s="336" t="s">
        <v>414</v>
      </c>
      <c r="G84" s="235"/>
      <c r="H84" s="138" t="s">
        <v>230</v>
      </c>
      <c r="I84" s="282"/>
      <c r="J84" s="128"/>
      <c r="L84" s="122"/>
    </row>
    <row r="85" spans="1:12" x14ac:dyDescent="0.35">
      <c r="A85" s="121"/>
      <c r="B85" s="398"/>
      <c r="C85" s="319" t="s">
        <v>219</v>
      </c>
      <c r="D85" s="323"/>
      <c r="E85" s="321"/>
      <c r="F85" s="321" t="s">
        <v>458</v>
      </c>
      <c r="G85" s="223"/>
      <c r="H85" s="138" t="s">
        <v>130</v>
      </c>
      <c r="I85" s="282"/>
      <c r="J85" s="297"/>
      <c r="L85" s="122"/>
    </row>
    <row r="86" spans="1:12" ht="18.75" thickBot="1" x14ac:dyDescent="0.4">
      <c r="A86" s="121"/>
      <c r="B86" s="398"/>
      <c r="C86" s="161" t="s">
        <v>220</v>
      </c>
      <c r="D86" s="163"/>
      <c r="E86" s="320"/>
      <c r="F86" s="163" t="s">
        <v>444</v>
      </c>
      <c r="G86" s="224"/>
      <c r="H86" s="162" t="s">
        <v>221</v>
      </c>
      <c r="I86" s="282"/>
      <c r="J86" s="281"/>
      <c r="L86" s="122"/>
    </row>
    <row r="87" spans="1:12" ht="18.75" thickBot="1" x14ac:dyDescent="0.4">
      <c r="A87" s="121"/>
      <c r="B87" s="398"/>
      <c r="C87" s="275"/>
      <c r="D87" s="275"/>
      <c r="E87" s="275"/>
      <c r="F87" s="275"/>
      <c r="G87" s="275"/>
      <c r="H87" s="275"/>
      <c r="I87" s="282"/>
      <c r="J87" s="281"/>
      <c r="L87" s="122"/>
    </row>
    <row r="88" spans="1:12" ht="18.75" thickBot="1" x14ac:dyDescent="0.4">
      <c r="A88" s="121"/>
      <c r="B88" s="398"/>
      <c r="C88" s="342" t="s">
        <v>323</v>
      </c>
      <c r="D88" s="343"/>
      <c r="E88" s="343"/>
      <c r="F88" s="343"/>
      <c r="G88" s="343"/>
      <c r="H88" s="344"/>
      <c r="I88" s="282"/>
      <c r="J88" s="274"/>
      <c r="L88" s="122"/>
    </row>
    <row r="89" spans="1:12" x14ac:dyDescent="0.35">
      <c r="A89" s="225"/>
      <c r="B89" s="398"/>
      <c r="C89" s="123"/>
      <c r="D89" s="178"/>
      <c r="E89" s="397"/>
      <c r="F89" s="377" t="s">
        <v>384</v>
      </c>
      <c r="G89" s="400" t="s">
        <v>77</v>
      </c>
      <c r="H89" s="147"/>
      <c r="I89" s="282"/>
      <c r="J89" s="274"/>
      <c r="L89" s="122"/>
    </row>
    <row r="90" spans="1:12" x14ac:dyDescent="0.35">
      <c r="A90" s="121"/>
      <c r="B90" s="398"/>
      <c r="C90" s="319" t="s">
        <v>99</v>
      </c>
      <c r="D90" s="323"/>
      <c r="E90" s="321"/>
      <c r="F90" s="321"/>
      <c r="G90" s="159"/>
      <c r="H90" s="138" t="s">
        <v>214</v>
      </c>
      <c r="I90" s="282"/>
      <c r="J90" s="274"/>
      <c r="L90" s="122"/>
    </row>
    <row r="91" spans="1:12" x14ac:dyDescent="0.35">
      <c r="A91" s="121"/>
      <c r="B91" s="398"/>
      <c r="C91" s="319" t="s">
        <v>216</v>
      </c>
      <c r="D91" s="323"/>
      <c r="E91" s="321"/>
      <c r="F91" s="321"/>
      <c r="G91" s="159"/>
      <c r="H91" s="138" t="s">
        <v>78</v>
      </c>
      <c r="I91" s="282"/>
      <c r="J91" s="274"/>
      <c r="L91" s="122"/>
    </row>
    <row r="92" spans="1:12" x14ac:dyDescent="0.35">
      <c r="A92" s="121"/>
      <c r="B92" s="398"/>
      <c r="C92" s="319" t="s">
        <v>215</v>
      </c>
      <c r="D92" s="323"/>
      <c r="E92" s="321"/>
      <c r="F92" s="321"/>
      <c r="G92" s="159"/>
      <c r="H92" s="138" t="s">
        <v>78</v>
      </c>
      <c r="I92" s="282"/>
      <c r="J92" s="274"/>
      <c r="L92" s="122"/>
    </row>
    <row r="93" spans="1:12" x14ac:dyDescent="0.35">
      <c r="A93" s="121"/>
      <c r="B93" s="398"/>
      <c r="C93" s="319" t="s">
        <v>217</v>
      </c>
      <c r="D93" s="323"/>
      <c r="E93" s="321"/>
      <c r="F93" s="321" t="s">
        <v>491</v>
      </c>
      <c r="G93" s="159"/>
      <c r="H93" s="138" t="s">
        <v>78</v>
      </c>
      <c r="I93" s="282"/>
      <c r="J93" s="279"/>
      <c r="L93" s="122"/>
    </row>
    <row r="94" spans="1:12" x14ac:dyDescent="0.35">
      <c r="A94" s="121"/>
      <c r="B94" s="398"/>
      <c r="C94" s="319" t="s">
        <v>218</v>
      </c>
      <c r="D94" s="323"/>
      <c r="E94" s="321"/>
      <c r="F94" s="321"/>
      <c r="G94" s="159"/>
      <c r="H94" s="138" t="s">
        <v>78</v>
      </c>
      <c r="I94" s="282"/>
      <c r="J94" s="279"/>
      <c r="L94" s="122"/>
    </row>
    <row r="95" spans="1:12" x14ac:dyDescent="0.35">
      <c r="A95" s="121"/>
      <c r="B95" s="398"/>
      <c r="C95" s="319" t="s">
        <v>225</v>
      </c>
      <c r="D95" s="323"/>
      <c r="E95" s="321"/>
      <c r="F95" s="321" t="s">
        <v>391</v>
      </c>
      <c r="G95" s="159"/>
      <c r="H95" s="138" t="s">
        <v>78</v>
      </c>
      <c r="I95" s="282"/>
      <c r="J95" s="279"/>
      <c r="L95" s="122"/>
    </row>
    <row r="96" spans="1:12" x14ac:dyDescent="0.35">
      <c r="A96" s="225"/>
      <c r="B96" s="398"/>
      <c r="C96" s="319" t="s">
        <v>231</v>
      </c>
      <c r="D96" s="323"/>
      <c r="E96" s="321"/>
      <c r="F96" s="321" t="s">
        <v>399</v>
      </c>
      <c r="G96" s="159"/>
      <c r="H96" s="138" t="s">
        <v>227</v>
      </c>
      <c r="I96" s="282"/>
      <c r="J96" s="279"/>
      <c r="L96" s="122"/>
    </row>
    <row r="97" spans="1:12" x14ac:dyDescent="0.35">
      <c r="A97" s="225"/>
      <c r="B97" s="398"/>
      <c r="C97" s="319" t="s">
        <v>228</v>
      </c>
      <c r="D97" s="323"/>
      <c r="E97" s="321"/>
      <c r="F97" s="336" t="s">
        <v>407</v>
      </c>
      <c r="G97" s="235"/>
      <c r="H97" s="138" t="s">
        <v>229</v>
      </c>
      <c r="I97" s="282"/>
      <c r="J97" s="279"/>
      <c r="L97" s="122"/>
    </row>
    <row r="98" spans="1:12" x14ac:dyDescent="0.35">
      <c r="A98" s="225"/>
      <c r="B98" s="398"/>
      <c r="C98" s="319" t="s">
        <v>234</v>
      </c>
      <c r="D98" s="323"/>
      <c r="E98" s="321"/>
      <c r="F98" s="336" t="s">
        <v>415</v>
      </c>
      <c r="G98" s="235"/>
      <c r="H98" s="138" t="s">
        <v>230</v>
      </c>
      <c r="I98" s="282"/>
      <c r="J98" s="279"/>
      <c r="L98" s="122"/>
    </row>
    <row r="99" spans="1:12" x14ac:dyDescent="0.35">
      <c r="A99" s="225"/>
      <c r="B99" s="398"/>
      <c r="C99" s="319" t="s">
        <v>219</v>
      </c>
      <c r="D99" s="323"/>
      <c r="E99" s="321"/>
      <c r="F99" s="321" t="s">
        <v>459</v>
      </c>
      <c r="G99" s="235"/>
      <c r="H99" s="138" t="s">
        <v>130</v>
      </c>
      <c r="I99" s="282"/>
      <c r="J99" s="147"/>
      <c r="L99" s="122"/>
    </row>
    <row r="100" spans="1:12" ht="18.75" thickBot="1" x14ac:dyDescent="0.4">
      <c r="A100" s="225"/>
      <c r="B100" s="398"/>
      <c r="C100" s="161" t="s">
        <v>220</v>
      </c>
      <c r="D100" s="163"/>
      <c r="E100" s="320"/>
      <c r="F100" s="163" t="s">
        <v>446</v>
      </c>
      <c r="G100" s="224"/>
      <c r="H100" s="162" t="s">
        <v>221</v>
      </c>
      <c r="I100" s="282"/>
      <c r="J100" s="138"/>
      <c r="L100" s="122"/>
    </row>
    <row r="101" spans="1:12" ht="18.75" thickBot="1" x14ac:dyDescent="0.4">
      <c r="A101" s="225"/>
      <c r="B101" s="398"/>
      <c r="C101" s="275"/>
      <c r="D101" s="275"/>
      <c r="E101" s="275"/>
      <c r="F101" s="275"/>
      <c r="G101" s="275"/>
      <c r="H101" s="275"/>
      <c r="I101" s="275"/>
      <c r="J101" s="138"/>
      <c r="L101" s="122"/>
    </row>
    <row r="102" spans="1:12" ht="18.75" thickBot="1" x14ac:dyDescent="0.4">
      <c r="A102" s="225"/>
      <c r="B102" s="398"/>
      <c r="C102" s="342" t="s">
        <v>324</v>
      </c>
      <c r="D102" s="343"/>
      <c r="E102" s="343"/>
      <c r="F102" s="343"/>
      <c r="G102" s="343"/>
      <c r="H102" s="344"/>
      <c r="I102" s="282"/>
      <c r="J102" s="138"/>
      <c r="L102" s="122"/>
    </row>
    <row r="103" spans="1:12" x14ac:dyDescent="0.35">
      <c r="A103" s="225"/>
      <c r="B103" s="398"/>
      <c r="C103" s="123"/>
      <c r="D103" s="124"/>
      <c r="E103" s="397"/>
      <c r="F103" s="377" t="s">
        <v>384</v>
      </c>
      <c r="G103" s="400" t="s">
        <v>77</v>
      </c>
      <c r="H103" s="147"/>
      <c r="I103" s="282"/>
      <c r="J103" s="138"/>
      <c r="L103" s="122"/>
    </row>
    <row r="104" spans="1:12" x14ac:dyDescent="0.35">
      <c r="A104" s="225"/>
      <c r="B104" s="398"/>
      <c r="C104" s="319" t="s">
        <v>99</v>
      </c>
      <c r="D104" s="323"/>
      <c r="E104" s="321"/>
      <c r="F104" s="321"/>
      <c r="G104" s="159"/>
      <c r="H104" s="138" t="s">
        <v>214</v>
      </c>
      <c r="I104" s="282"/>
      <c r="J104" s="125"/>
      <c r="L104" s="122"/>
    </row>
    <row r="105" spans="1:12" x14ac:dyDescent="0.35">
      <c r="A105" s="225"/>
      <c r="B105" s="398"/>
      <c r="C105" s="319" t="s">
        <v>216</v>
      </c>
      <c r="D105" s="323"/>
      <c r="E105" s="321"/>
      <c r="F105" s="321"/>
      <c r="G105" s="159"/>
      <c r="H105" s="138" t="s">
        <v>78</v>
      </c>
      <c r="I105" s="282"/>
      <c r="J105" s="303"/>
      <c r="L105" s="122"/>
    </row>
    <row r="106" spans="1:12" x14ac:dyDescent="0.35">
      <c r="A106" s="225"/>
      <c r="B106" s="398"/>
      <c r="C106" s="319" t="s">
        <v>215</v>
      </c>
      <c r="D106" s="323"/>
      <c r="E106" s="321"/>
      <c r="F106" s="321"/>
      <c r="G106" s="159"/>
      <c r="H106" s="138" t="s">
        <v>78</v>
      </c>
      <c r="I106" s="282"/>
      <c r="J106" s="303"/>
      <c r="L106" s="122"/>
    </row>
    <row r="107" spans="1:12" x14ac:dyDescent="0.35">
      <c r="A107" s="225"/>
      <c r="B107" s="398"/>
      <c r="C107" s="319" t="s">
        <v>217</v>
      </c>
      <c r="D107" s="323"/>
      <c r="E107" s="321"/>
      <c r="F107" s="321" t="s">
        <v>491</v>
      </c>
      <c r="G107" s="159"/>
      <c r="H107" s="138" t="s">
        <v>78</v>
      </c>
      <c r="I107" s="282"/>
      <c r="J107" s="303"/>
      <c r="L107" s="122"/>
    </row>
    <row r="108" spans="1:12" x14ac:dyDescent="0.35">
      <c r="A108" s="225"/>
      <c r="B108" s="398"/>
      <c r="C108" s="319" t="s">
        <v>218</v>
      </c>
      <c r="D108" s="323"/>
      <c r="E108" s="321"/>
      <c r="F108" s="321"/>
      <c r="G108" s="159"/>
      <c r="H108" s="138" t="s">
        <v>78</v>
      </c>
      <c r="I108" s="282"/>
      <c r="J108" s="303"/>
      <c r="L108" s="122"/>
    </row>
    <row r="109" spans="1:12" x14ac:dyDescent="0.35">
      <c r="A109" s="225"/>
      <c r="B109" s="398"/>
      <c r="C109" s="319" t="s">
        <v>225</v>
      </c>
      <c r="D109" s="323"/>
      <c r="E109" s="321"/>
      <c r="F109" s="321" t="s">
        <v>392</v>
      </c>
      <c r="G109" s="159"/>
      <c r="H109" s="138" t="s">
        <v>78</v>
      </c>
      <c r="I109" s="282"/>
      <c r="J109" s="303"/>
      <c r="L109" s="122"/>
    </row>
    <row r="110" spans="1:12" x14ac:dyDescent="0.35">
      <c r="A110" s="225"/>
      <c r="B110" s="398"/>
      <c r="C110" s="319" t="s">
        <v>231</v>
      </c>
      <c r="D110" s="323"/>
      <c r="E110" s="321"/>
      <c r="F110" s="321" t="s">
        <v>400</v>
      </c>
      <c r="G110" s="235"/>
      <c r="H110" s="138" t="s">
        <v>227</v>
      </c>
      <c r="I110" s="282"/>
      <c r="J110" s="303"/>
      <c r="L110" s="122"/>
    </row>
    <row r="111" spans="1:12" x14ac:dyDescent="0.35">
      <c r="A111" s="225"/>
      <c r="B111" s="398"/>
      <c r="C111" s="319" t="s">
        <v>228</v>
      </c>
      <c r="D111" s="323"/>
      <c r="E111" s="321"/>
      <c r="F111" s="336" t="s">
        <v>408</v>
      </c>
      <c r="G111" s="235"/>
      <c r="H111" s="138" t="s">
        <v>229</v>
      </c>
      <c r="I111" s="282"/>
      <c r="J111" s="303"/>
      <c r="L111" s="122"/>
    </row>
    <row r="112" spans="1:12" x14ac:dyDescent="0.35">
      <c r="A112" s="225"/>
      <c r="B112" s="398"/>
      <c r="C112" s="319" t="s">
        <v>234</v>
      </c>
      <c r="D112" s="323"/>
      <c r="E112" s="321"/>
      <c r="F112" s="336" t="s">
        <v>416</v>
      </c>
      <c r="G112" s="235"/>
      <c r="H112" s="138" t="s">
        <v>230</v>
      </c>
      <c r="I112" s="282"/>
      <c r="J112" s="303"/>
      <c r="L112" s="122"/>
    </row>
    <row r="113" spans="1:12" x14ac:dyDescent="0.35">
      <c r="A113" s="225"/>
      <c r="B113" s="398"/>
      <c r="C113" s="319" t="s">
        <v>219</v>
      </c>
      <c r="D113" s="323"/>
      <c r="E113" s="321"/>
      <c r="F113" s="321" t="s">
        <v>460</v>
      </c>
      <c r="G113" s="223"/>
      <c r="H113" s="138" t="s">
        <v>130</v>
      </c>
      <c r="I113" s="282"/>
      <c r="J113" s="303"/>
      <c r="L113" s="122"/>
    </row>
    <row r="114" spans="1:12" ht="18.75" thickBot="1" x14ac:dyDescent="0.4">
      <c r="A114" s="225"/>
      <c r="B114" s="398"/>
      <c r="C114" s="161" t="s">
        <v>220</v>
      </c>
      <c r="D114" s="163"/>
      <c r="E114" s="320"/>
      <c r="F114" s="163" t="s">
        <v>445</v>
      </c>
      <c r="G114" s="224"/>
      <c r="H114" s="162" t="s">
        <v>221</v>
      </c>
      <c r="I114" s="282"/>
      <c r="J114" s="303"/>
      <c r="L114" s="122"/>
    </row>
    <row r="115" spans="1:12" x14ac:dyDescent="0.35">
      <c r="A115" s="225"/>
      <c r="B115" s="398"/>
      <c r="C115" s="139"/>
      <c r="D115" s="139"/>
      <c r="E115" s="139"/>
      <c r="F115" s="139"/>
      <c r="G115" s="139"/>
      <c r="H115" s="139"/>
      <c r="I115" s="139"/>
      <c r="J115" s="303"/>
      <c r="L115" s="122"/>
    </row>
    <row r="116" spans="1:12" ht="18.75" thickBot="1" x14ac:dyDescent="0.4">
      <c r="A116" s="225"/>
      <c r="B116" s="399"/>
      <c r="C116" s="283"/>
      <c r="D116" s="283"/>
      <c r="E116" s="283"/>
      <c r="F116" s="283"/>
      <c r="G116" s="283"/>
      <c r="H116" s="283"/>
      <c r="I116" s="283"/>
      <c r="J116" s="300"/>
      <c r="L116" s="122"/>
    </row>
    <row r="117" spans="1:12" ht="18.75" thickBot="1" x14ac:dyDescent="0.4">
      <c r="A117" s="225"/>
      <c r="B117" s="275"/>
      <c r="L117" s="122"/>
    </row>
    <row r="118" spans="1:12" ht="18.75" thickBot="1" x14ac:dyDescent="0.4">
      <c r="A118" s="225"/>
      <c r="B118" s="292" t="s">
        <v>79</v>
      </c>
      <c r="C118" s="293"/>
      <c r="D118" s="293"/>
      <c r="E118" s="343"/>
      <c r="F118" s="293"/>
      <c r="G118" s="293"/>
      <c r="H118" s="293"/>
      <c r="I118" s="343"/>
      <c r="J118" s="294"/>
      <c r="L118" s="122"/>
    </row>
    <row r="119" spans="1:12" x14ac:dyDescent="0.35">
      <c r="A119" s="225"/>
      <c r="B119" s="614"/>
      <c r="C119" s="615"/>
      <c r="D119" s="615"/>
      <c r="E119" s="615"/>
      <c r="F119" s="615"/>
      <c r="G119" s="615"/>
      <c r="H119" s="615"/>
      <c r="I119" s="615"/>
      <c r="J119" s="616"/>
      <c r="L119" s="122"/>
    </row>
    <row r="120" spans="1:12" x14ac:dyDescent="0.35">
      <c r="A120" s="225"/>
      <c r="B120" s="617"/>
      <c r="C120" s="618"/>
      <c r="D120" s="618"/>
      <c r="E120" s="618"/>
      <c r="F120" s="618"/>
      <c r="G120" s="618"/>
      <c r="H120" s="618"/>
      <c r="I120" s="618"/>
      <c r="J120" s="619"/>
      <c r="L120" s="122"/>
    </row>
    <row r="121" spans="1:12" x14ac:dyDescent="0.35">
      <c r="A121" s="225"/>
      <c r="B121" s="617"/>
      <c r="C121" s="618"/>
      <c r="D121" s="618"/>
      <c r="E121" s="618"/>
      <c r="F121" s="618"/>
      <c r="G121" s="618"/>
      <c r="H121" s="618"/>
      <c r="I121" s="618"/>
      <c r="J121" s="619"/>
      <c r="L121" s="122"/>
    </row>
    <row r="122" spans="1:12" x14ac:dyDescent="0.35">
      <c r="A122" s="225"/>
      <c r="B122" s="617"/>
      <c r="C122" s="618"/>
      <c r="D122" s="618"/>
      <c r="E122" s="618"/>
      <c r="F122" s="618"/>
      <c r="G122" s="618"/>
      <c r="H122" s="618"/>
      <c r="I122" s="618"/>
      <c r="J122" s="619"/>
      <c r="L122" s="122"/>
    </row>
    <row r="123" spans="1:12" ht="31.15" customHeight="1" thickBot="1" x14ac:dyDescent="0.4">
      <c r="A123" s="225"/>
      <c r="B123" s="620"/>
      <c r="C123" s="621"/>
      <c r="D123" s="621"/>
      <c r="E123" s="621"/>
      <c r="F123" s="621"/>
      <c r="G123" s="621"/>
      <c r="H123" s="621"/>
      <c r="I123" s="621"/>
      <c r="J123" s="622"/>
      <c r="L123" s="122"/>
    </row>
    <row r="124" spans="1:12" ht="18.75" thickBot="1" x14ac:dyDescent="0.4">
      <c r="A124" s="225"/>
      <c r="B124"/>
      <c r="C124" s="139"/>
      <c r="D124" s="139"/>
      <c r="E124" s="139"/>
      <c r="F124" s="139"/>
      <c r="G124" s="139"/>
      <c r="H124" s="139"/>
      <c r="I124" s="139"/>
      <c r="L124" s="122"/>
    </row>
    <row r="125" spans="1:12" ht="18.75" thickBot="1" x14ac:dyDescent="0.4">
      <c r="A125" s="225"/>
      <c r="B125" s="409" t="s">
        <v>80</v>
      </c>
      <c r="C125" s="402"/>
      <c r="D125" s="402"/>
      <c r="E125" s="402"/>
      <c r="F125" s="402"/>
      <c r="G125" s="402"/>
      <c r="H125" s="402"/>
      <c r="I125" s="402"/>
      <c r="J125" s="403"/>
      <c r="L125" s="122"/>
    </row>
    <row r="126" spans="1:12" ht="18.75" thickBot="1" x14ac:dyDescent="0.4">
      <c r="B126" s="398"/>
      <c r="C126" s="282"/>
      <c r="D126" s="282"/>
      <c r="E126" s="282"/>
      <c r="F126" s="282"/>
      <c r="G126" s="282"/>
      <c r="H126" s="282"/>
      <c r="I126" s="282"/>
      <c r="J126" s="305"/>
      <c r="L126" s="122"/>
    </row>
    <row r="127" spans="1:12" ht="18.75" thickBot="1" x14ac:dyDescent="0.4">
      <c r="B127" s="398"/>
      <c r="C127" s="342" t="s">
        <v>81</v>
      </c>
      <c r="D127" s="343"/>
      <c r="E127" s="343"/>
      <c r="F127" s="343"/>
      <c r="G127" s="343"/>
      <c r="H127" s="343"/>
      <c r="I127" s="344"/>
      <c r="J127" s="299"/>
      <c r="K127" s="153"/>
      <c r="L127" s="122"/>
    </row>
    <row r="128" spans="1:12" x14ac:dyDescent="0.35">
      <c r="B128" s="398"/>
      <c r="C128" s="237"/>
      <c r="D128" s="178"/>
      <c r="E128" s="178"/>
      <c r="F128" s="178"/>
      <c r="G128" s="650" t="s">
        <v>98</v>
      </c>
      <c r="H128" s="650"/>
      <c r="I128" s="238"/>
      <c r="J128" s="125"/>
      <c r="K128" s="149"/>
      <c r="L128" s="122"/>
    </row>
    <row r="129" spans="2:12" x14ac:dyDescent="0.35">
      <c r="B129" s="398"/>
      <c r="C129" s="319" t="s">
        <v>223</v>
      </c>
      <c r="D129" s="323"/>
      <c r="E129" s="323"/>
      <c r="F129" s="321"/>
      <c r="G129" s="625">
        <v>3</v>
      </c>
      <c r="H129" s="626"/>
      <c r="I129" s="125" t="s">
        <v>240</v>
      </c>
      <c r="J129" s="279"/>
      <c r="K129" s="149"/>
      <c r="L129" s="122"/>
    </row>
    <row r="130" spans="2:12" x14ac:dyDescent="0.35">
      <c r="B130" s="398"/>
      <c r="C130" s="319" t="s">
        <v>237</v>
      </c>
      <c r="D130" s="323"/>
      <c r="E130" s="323"/>
      <c r="F130" s="321"/>
      <c r="G130" s="633">
        <v>0.24</v>
      </c>
      <c r="H130" s="634"/>
      <c r="I130" s="125" t="s">
        <v>241</v>
      </c>
      <c r="J130" s="279"/>
      <c r="K130" s="149"/>
      <c r="L130" s="122"/>
    </row>
    <row r="131" spans="2:12" x14ac:dyDescent="0.35">
      <c r="B131" s="398"/>
      <c r="C131" s="319" t="s">
        <v>238</v>
      </c>
      <c r="D131" s="323"/>
      <c r="E131" s="323"/>
      <c r="F131" s="321"/>
      <c r="G131" s="635">
        <v>0.44400000000000001</v>
      </c>
      <c r="H131" s="636"/>
      <c r="I131" s="125" t="s">
        <v>241</v>
      </c>
      <c r="J131" s="279"/>
      <c r="K131" s="149"/>
      <c r="L131" s="122"/>
    </row>
    <row r="132" spans="2:12" x14ac:dyDescent="0.35">
      <c r="B132" s="398"/>
      <c r="C132" s="319" t="s">
        <v>250</v>
      </c>
      <c r="D132" s="323"/>
      <c r="E132" s="323"/>
      <c r="F132" s="321"/>
      <c r="G132" s="627">
        <v>1061</v>
      </c>
      <c r="H132" s="628"/>
      <c r="I132" s="125" t="s">
        <v>241</v>
      </c>
      <c r="J132" s="279"/>
      <c r="K132" s="149"/>
      <c r="L132" s="122"/>
    </row>
    <row r="133" spans="2:12" x14ac:dyDescent="0.35">
      <c r="B133" s="398"/>
      <c r="C133" s="319" t="s">
        <v>239</v>
      </c>
      <c r="D133" s="323"/>
      <c r="E133" s="323"/>
      <c r="F133" s="321"/>
      <c r="G133" s="627">
        <v>80</v>
      </c>
      <c r="H133" s="628"/>
      <c r="I133" s="125" t="s">
        <v>147</v>
      </c>
      <c r="J133" s="279"/>
      <c r="K133" s="149"/>
      <c r="L133" s="122"/>
    </row>
    <row r="134" spans="2:12" x14ac:dyDescent="0.35">
      <c r="B134" s="398"/>
      <c r="C134" s="319" t="s">
        <v>242</v>
      </c>
      <c r="D134" s="323"/>
      <c r="E134" s="323"/>
      <c r="F134" s="321"/>
      <c r="G134" s="627">
        <v>95</v>
      </c>
      <c r="H134" s="628"/>
      <c r="I134" s="125" t="s">
        <v>147</v>
      </c>
      <c r="J134" s="279"/>
      <c r="K134" s="149"/>
      <c r="L134" s="122"/>
    </row>
    <row r="135" spans="2:12" x14ac:dyDescent="0.35">
      <c r="B135" s="398"/>
      <c r="C135" s="319" t="s">
        <v>243</v>
      </c>
      <c r="D135" s="323"/>
      <c r="E135" s="323"/>
      <c r="F135" s="321"/>
      <c r="G135" s="627">
        <v>83</v>
      </c>
      <c r="H135" s="628"/>
      <c r="I135" s="125" t="s">
        <v>147</v>
      </c>
      <c r="J135" s="279"/>
      <c r="K135" s="149"/>
      <c r="L135" s="122"/>
    </row>
    <row r="136" spans="2:12" x14ac:dyDescent="0.35">
      <c r="B136" s="398"/>
      <c r="C136" s="319" t="s">
        <v>244</v>
      </c>
      <c r="D136" s="323"/>
      <c r="E136" s="323"/>
      <c r="F136" s="321"/>
      <c r="G136" s="623">
        <v>1.41E-2</v>
      </c>
      <c r="H136" s="624"/>
      <c r="I136" s="125" t="s">
        <v>230</v>
      </c>
      <c r="J136" s="279"/>
      <c r="K136" s="149"/>
      <c r="L136" s="122"/>
    </row>
    <row r="137" spans="2:12" x14ac:dyDescent="0.35">
      <c r="B137" s="398"/>
      <c r="C137" s="319" t="s">
        <v>245</v>
      </c>
      <c r="D137" s="323"/>
      <c r="E137" s="323"/>
      <c r="F137" s="321"/>
      <c r="G137" s="629">
        <v>1.086E-2</v>
      </c>
      <c r="H137" s="630"/>
      <c r="I137" s="125" t="s">
        <v>230</v>
      </c>
      <c r="J137" s="279"/>
      <c r="K137" s="149"/>
      <c r="L137" s="122"/>
    </row>
    <row r="138" spans="2:12" x14ac:dyDescent="0.35">
      <c r="B138" s="398"/>
      <c r="C138" s="319" t="s">
        <v>246</v>
      </c>
      <c r="D138" s="323"/>
      <c r="E138" s="323"/>
      <c r="F138" s="321"/>
      <c r="G138" s="623">
        <v>1.12E-2</v>
      </c>
      <c r="H138" s="624"/>
      <c r="I138" s="125" t="s">
        <v>230</v>
      </c>
      <c r="J138" s="279"/>
      <c r="K138" s="149"/>
      <c r="L138" s="122"/>
    </row>
    <row r="139" spans="2:12" x14ac:dyDescent="0.35">
      <c r="B139" s="398"/>
      <c r="C139" s="319" t="s">
        <v>252</v>
      </c>
      <c r="D139" s="323"/>
      <c r="E139" s="323"/>
      <c r="F139" s="321"/>
      <c r="G139" s="625">
        <v>0.2</v>
      </c>
      <c r="H139" s="626"/>
      <c r="I139" s="125"/>
      <c r="J139" s="279"/>
      <c r="K139" s="149"/>
      <c r="L139" s="122"/>
    </row>
    <row r="140" spans="2:12" x14ac:dyDescent="0.35">
      <c r="B140" s="398"/>
      <c r="C140" s="319" t="s">
        <v>251</v>
      </c>
      <c r="D140" s="323"/>
      <c r="E140" s="323"/>
      <c r="F140" s="321"/>
      <c r="G140" s="625">
        <v>0.8</v>
      </c>
      <c r="H140" s="626"/>
      <c r="I140" s="125"/>
      <c r="J140" s="279"/>
      <c r="K140" s="149"/>
      <c r="L140" s="122"/>
    </row>
    <row r="141" spans="2:12" x14ac:dyDescent="0.35">
      <c r="B141" s="398"/>
      <c r="C141" s="319" t="s">
        <v>283</v>
      </c>
      <c r="D141" s="323"/>
      <c r="E141" s="323"/>
      <c r="F141" s="321"/>
      <c r="G141" s="627">
        <v>750</v>
      </c>
      <c r="H141" s="628"/>
      <c r="I141" s="125" t="s">
        <v>132</v>
      </c>
      <c r="J141" s="279"/>
      <c r="K141" s="149"/>
      <c r="L141" s="122"/>
    </row>
    <row r="142" spans="2:12" x14ac:dyDescent="0.35">
      <c r="B142" s="398"/>
      <c r="C142" s="319" t="s">
        <v>253</v>
      </c>
      <c r="D142" s="323"/>
      <c r="E142" s="323"/>
      <c r="F142" s="321"/>
      <c r="G142" s="651">
        <v>1E-3</v>
      </c>
      <c r="H142" s="652"/>
      <c r="I142" s="125" t="s">
        <v>134</v>
      </c>
      <c r="J142" s="279"/>
      <c r="K142" s="149"/>
      <c r="L142" s="122"/>
    </row>
    <row r="143" spans="2:12" ht="18.75" thickBot="1" x14ac:dyDescent="0.4">
      <c r="B143" s="398"/>
      <c r="C143" s="301" t="s">
        <v>247</v>
      </c>
      <c r="D143" s="302"/>
      <c r="E143" s="302"/>
      <c r="F143" s="302"/>
      <c r="G143" s="653">
        <v>60</v>
      </c>
      <c r="H143" s="654"/>
      <c r="I143" s="137" t="s">
        <v>248</v>
      </c>
      <c r="J143" s="279"/>
      <c r="K143" s="149"/>
      <c r="L143" s="122"/>
    </row>
    <row r="144" spans="2:12" ht="18.75" thickBot="1" x14ac:dyDescent="0.4">
      <c r="B144" s="398"/>
      <c r="C144" s="282"/>
      <c r="D144" s="282"/>
      <c r="E144" s="282"/>
      <c r="F144" s="282"/>
      <c r="G144" s="282"/>
      <c r="H144" s="282"/>
      <c r="I144" s="282"/>
      <c r="J144" s="279"/>
      <c r="K144" s="149"/>
      <c r="L144" s="122"/>
    </row>
    <row r="145" spans="2:12" ht="18.75" thickBot="1" x14ac:dyDescent="0.4">
      <c r="B145" s="398"/>
      <c r="C145" s="365" t="s">
        <v>359</v>
      </c>
      <c r="D145" s="366"/>
      <c r="E145" s="366"/>
      <c r="F145" s="366"/>
      <c r="G145" s="366"/>
      <c r="H145" s="366"/>
      <c r="I145" s="372"/>
      <c r="J145" s="279"/>
      <c r="K145" s="149"/>
      <c r="L145" s="122"/>
    </row>
    <row r="146" spans="2:12" ht="17.100000000000001" customHeight="1" x14ac:dyDescent="0.35">
      <c r="B146" s="398"/>
      <c r="C146" s="332"/>
      <c r="D146" s="333"/>
      <c r="E146" s="394"/>
      <c r="F146" s="333" t="s">
        <v>384</v>
      </c>
      <c r="G146" s="671" t="s">
        <v>145</v>
      </c>
      <c r="H146" s="610"/>
      <c r="I146" s="180"/>
      <c r="J146" s="279"/>
      <c r="K146" s="149"/>
      <c r="L146" s="122"/>
    </row>
    <row r="147" spans="2:12" ht="17.100000000000001" customHeight="1" x14ac:dyDescent="0.35">
      <c r="B147" s="398"/>
      <c r="C147" s="319" t="s">
        <v>545</v>
      </c>
      <c r="D147" s="323"/>
      <c r="E147" s="321"/>
      <c r="F147" s="321" t="s">
        <v>481</v>
      </c>
      <c r="G147" s="672">
        <f>PI()*Ode_vs*Le_vs</f>
        <v>0</v>
      </c>
      <c r="H147" s="673"/>
      <c r="I147" s="148" t="s">
        <v>249</v>
      </c>
      <c r="J147" s="279"/>
      <c r="K147" s="149"/>
      <c r="L147" s="122"/>
    </row>
    <row r="148" spans="2:12" ht="17.100000000000001" customHeight="1" x14ac:dyDescent="0.35">
      <c r="B148" s="398"/>
      <c r="C148" s="319" t="s">
        <v>546</v>
      </c>
      <c r="D148" s="323"/>
      <c r="E148" s="321"/>
      <c r="F148" s="321" t="s">
        <v>482</v>
      </c>
      <c r="G148" s="672">
        <f>PI()*Odi_vs*Li_vs</f>
        <v>0</v>
      </c>
      <c r="H148" s="673"/>
      <c r="I148" s="148" t="s">
        <v>249</v>
      </c>
      <c r="J148" s="279"/>
      <c r="K148" s="149"/>
      <c r="L148" s="122"/>
    </row>
    <row r="149" spans="2:12" ht="17.100000000000001" customHeight="1" x14ac:dyDescent="0.4">
      <c r="B149" s="398"/>
      <c r="C149" s="319" t="s">
        <v>547</v>
      </c>
      <c r="D149" s="323"/>
      <c r="E149" s="321"/>
      <c r="F149" s="404"/>
      <c r="G149" s="672">
        <f>G129*Aduct_e_vs*(Tduct_Full_95_e-Tei_a_vs)</f>
        <v>0</v>
      </c>
      <c r="H149" s="673"/>
      <c r="I149" s="148" t="s">
        <v>221</v>
      </c>
      <c r="J149" s="279"/>
      <c r="K149" s="149"/>
      <c r="L149" s="122"/>
    </row>
    <row r="150" spans="2:12" ht="17.100000000000001" customHeight="1" x14ac:dyDescent="0.35">
      <c r="B150" s="398"/>
      <c r="C150" s="319" t="s">
        <v>548</v>
      </c>
      <c r="D150" s="323"/>
      <c r="E150" s="321"/>
      <c r="F150" s="331"/>
      <c r="G150" s="672">
        <f>G129*Aduct_i_vs*(Tduct_Full_95_i-Tei_a_vs)</f>
        <v>0</v>
      </c>
      <c r="H150" s="673"/>
      <c r="I150" s="148" t="s">
        <v>221</v>
      </c>
      <c r="J150" s="279"/>
      <c r="K150" s="149"/>
      <c r="L150" s="122"/>
    </row>
    <row r="151" spans="2:12" ht="17.100000000000001" customHeight="1" x14ac:dyDescent="0.35">
      <c r="B151" s="398"/>
      <c r="C151" s="319" t="s">
        <v>549</v>
      </c>
      <c r="D151" s="323"/>
      <c r="E151" s="321"/>
      <c r="F151" s="331"/>
      <c r="G151" s="672">
        <f>G129*Aduct_e_vs*(Tduct_Full_83_e-Tei_b_vs)</f>
        <v>0</v>
      </c>
      <c r="H151" s="673"/>
      <c r="I151" s="148" t="s">
        <v>221</v>
      </c>
      <c r="J151" s="279"/>
      <c r="K151" s="149"/>
      <c r="L151" s="122"/>
    </row>
    <row r="152" spans="2:12" ht="17.100000000000001" customHeight="1" x14ac:dyDescent="0.35">
      <c r="B152" s="398"/>
      <c r="C152" s="319" t="s">
        <v>550</v>
      </c>
      <c r="D152" s="323"/>
      <c r="E152" s="321"/>
      <c r="F152" s="331"/>
      <c r="G152" s="672">
        <f>G129*Aduct_i_vs*(Tduct_Full_83_i-Tei_b_vs)</f>
        <v>0</v>
      </c>
      <c r="H152" s="673"/>
      <c r="I152" s="148" t="s">
        <v>221</v>
      </c>
      <c r="J152" s="279"/>
      <c r="K152" s="149"/>
      <c r="L152" s="122"/>
    </row>
    <row r="153" spans="2:12" ht="17.100000000000001" customHeight="1" x14ac:dyDescent="0.35">
      <c r="B153" s="398"/>
      <c r="C153" s="319" t="s">
        <v>551</v>
      </c>
      <c r="D153" s="323"/>
      <c r="E153" s="321"/>
      <c r="F153" s="331"/>
      <c r="G153" s="672">
        <f>G129*Aduct_e_vs*(Tduct_Low_83_e-Tei_c_vs)</f>
        <v>0</v>
      </c>
      <c r="H153" s="673"/>
      <c r="I153" s="148" t="s">
        <v>221</v>
      </c>
      <c r="J153" s="279"/>
      <c r="K153" s="149"/>
      <c r="L153" s="122"/>
    </row>
    <row r="154" spans="2:12" ht="17.100000000000001" customHeight="1" x14ac:dyDescent="0.35">
      <c r="B154" s="398"/>
      <c r="C154" s="319" t="s">
        <v>552</v>
      </c>
      <c r="D154" s="323"/>
      <c r="E154" s="321"/>
      <c r="F154" s="331"/>
      <c r="G154" s="672">
        <f>G129*Aduct_i_vs*(Tduct_Low_83_i-Tei_c_vs)</f>
        <v>0</v>
      </c>
      <c r="H154" s="673"/>
      <c r="I154" s="148" t="s">
        <v>221</v>
      </c>
      <c r="J154" s="279"/>
      <c r="K154" s="149"/>
      <c r="L154" s="122"/>
    </row>
    <row r="155" spans="2:12" ht="17.100000000000001" customHeight="1" x14ac:dyDescent="0.35">
      <c r="B155" s="398"/>
      <c r="C155" s="319" t="s">
        <v>553</v>
      </c>
      <c r="D155" s="323"/>
      <c r="E155" s="321"/>
      <c r="F155" s="321" t="s">
        <v>539</v>
      </c>
      <c r="G155" s="672">
        <f>G149+G150</f>
        <v>0</v>
      </c>
      <c r="H155" s="673"/>
      <c r="I155" s="148" t="s">
        <v>221</v>
      </c>
      <c r="J155" s="279"/>
      <c r="K155" s="149"/>
      <c r="L155" s="122"/>
    </row>
    <row r="156" spans="2:12" ht="17.100000000000001" customHeight="1" x14ac:dyDescent="0.35">
      <c r="B156" s="398"/>
      <c r="C156" s="319" t="s">
        <v>554</v>
      </c>
      <c r="D156" s="323"/>
      <c r="E156" s="321"/>
      <c r="F156" s="321" t="s">
        <v>540</v>
      </c>
      <c r="G156" s="672">
        <f>G152+G151</f>
        <v>0</v>
      </c>
      <c r="H156" s="673"/>
      <c r="I156" s="148" t="s">
        <v>221</v>
      </c>
      <c r="J156" s="279"/>
      <c r="K156" s="149"/>
      <c r="L156" s="122"/>
    </row>
    <row r="157" spans="2:12" ht="17.100000000000001" customHeight="1" x14ac:dyDescent="0.35">
      <c r="B157" s="398"/>
      <c r="C157" s="319" t="s">
        <v>555</v>
      </c>
      <c r="D157" s="323"/>
      <c r="E157" s="321"/>
      <c r="F157" s="321" t="s">
        <v>541</v>
      </c>
      <c r="G157" s="672">
        <f>G153+G154</f>
        <v>0</v>
      </c>
      <c r="H157" s="673"/>
      <c r="I157" s="148" t="s">
        <v>221</v>
      </c>
      <c r="J157" s="279"/>
      <c r="K157" s="149"/>
      <c r="L157" s="122"/>
    </row>
    <row r="158" spans="2:12" ht="17.100000000000001" customHeight="1" x14ac:dyDescent="0.35">
      <c r="B158" s="398"/>
      <c r="C158" s="319" t="s">
        <v>556</v>
      </c>
      <c r="D158" s="323"/>
      <c r="E158" s="321"/>
      <c r="F158" s="321" t="s">
        <v>542</v>
      </c>
      <c r="G158" s="672">
        <f>G129*Aduct_e_vs*(Tduct_Full-Tei_d_vs)</f>
        <v>0</v>
      </c>
      <c r="H158" s="673"/>
      <c r="I158" s="148" t="s">
        <v>221</v>
      </c>
      <c r="J158" s="279"/>
      <c r="K158" s="149"/>
      <c r="L158" s="122"/>
    </row>
    <row r="159" spans="2:12" ht="17.100000000000001" customHeight="1" thickBot="1" x14ac:dyDescent="0.4">
      <c r="B159" s="398"/>
      <c r="C159" s="307" t="s">
        <v>557</v>
      </c>
      <c r="D159" s="410"/>
      <c r="E159" s="308"/>
      <c r="F159" s="317" t="s">
        <v>543</v>
      </c>
      <c r="G159" s="674">
        <f>G129*Aduct_e_vs*(Tduct_Low-Tei_e_vs)</f>
        <v>0</v>
      </c>
      <c r="H159" s="675"/>
      <c r="I159" s="324" t="s">
        <v>221</v>
      </c>
      <c r="J159" s="125"/>
      <c r="K159" s="149"/>
      <c r="L159" s="122"/>
    </row>
    <row r="160" spans="2:12" ht="18.75" thickBot="1" x14ac:dyDescent="0.4">
      <c r="B160" s="398"/>
      <c r="C160" s="282"/>
      <c r="D160" s="282"/>
      <c r="E160" s="282"/>
      <c r="F160" s="282"/>
      <c r="G160" s="282"/>
      <c r="H160" s="282"/>
      <c r="I160" s="282"/>
      <c r="J160" s="125"/>
      <c r="K160" s="149"/>
      <c r="L160" s="122"/>
    </row>
    <row r="161" spans="1:12" ht="18.75" thickBot="1" x14ac:dyDescent="0.4">
      <c r="B161" s="398"/>
      <c r="C161" s="342" t="s">
        <v>360</v>
      </c>
      <c r="D161" s="343"/>
      <c r="E161" s="343"/>
      <c r="F161" s="343"/>
      <c r="G161" s="343"/>
      <c r="H161" s="343"/>
      <c r="I161" s="344"/>
      <c r="J161" s="125"/>
      <c r="K161" s="149"/>
      <c r="L161" s="122"/>
    </row>
    <row r="162" spans="1:12" x14ac:dyDescent="0.35">
      <c r="B162" s="398"/>
      <c r="C162" s="334"/>
      <c r="D162" s="412"/>
      <c r="E162" s="335"/>
      <c r="F162" s="335" t="s">
        <v>384</v>
      </c>
      <c r="G162" s="631" t="s">
        <v>145</v>
      </c>
      <c r="H162" s="632"/>
      <c r="I162" s="180"/>
      <c r="J162" s="125"/>
      <c r="K162" s="149"/>
      <c r="L162" s="122"/>
    </row>
    <row r="163" spans="1:12" x14ac:dyDescent="0.35">
      <c r="B163" s="398"/>
      <c r="C163" s="319" t="s">
        <v>558</v>
      </c>
      <c r="D163" s="323"/>
      <c r="E163" s="321"/>
      <c r="F163" s="336" t="s">
        <v>544</v>
      </c>
      <c r="G163" s="605">
        <f>((Vco_95_Full*ρco_95_Full)/(1+ωco_95_Full))-((Vci_95_Full*ρci_95_Full)/(1+ωci_95_Full))</f>
        <v>0</v>
      </c>
      <c r="H163" s="606"/>
      <c r="I163" s="148" t="s">
        <v>236</v>
      </c>
      <c r="J163" s="125"/>
      <c r="K163" s="149"/>
      <c r="L163" s="122"/>
    </row>
    <row r="164" spans="1:12" x14ac:dyDescent="0.35">
      <c r="B164" s="398"/>
      <c r="C164" s="319" t="s">
        <v>559</v>
      </c>
      <c r="D164" s="323"/>
      <c r="E164" s="321"/>
      <c r="F164" s="336" t="s">
        <v>417</v>
      </c>
      <c r="G164" s="605">
        <f>((Vco_83_Full*ρco_83_Full)/(1+ωco_83_Full))-((Vci_83_Full*ρci_83_Full)/(1+ωci_83_Full))</f>
        <v>0</v>
      </c>
      <c r="H164" s="606"/>
      <c r="I164" s="148" t="s">
        <v>236</v>
      </c>
      <c r="J164" s="125"/>
      <c r="K164" s="149"/>
      <c r="L164" s="122"/>
    </row>
    <row r="165" spans="1:12" x14ac:dyDescent="0.35">
      <c r="B165" s="398"/>
      <c r="C165" s="319" t="s">
        <v>560</v>
      </c>
      <c r="D165" s="323"/>
      <c r="E165" s="321"/>
      <c r="F165" s="336" t="s">
        <v>538</v>
      </c>
      <c r="G165" s="605">
        <f>((Vco_83_Low*ρco_83_Low)/(1+ωco_83_Low))-((Vci_83_Low*ρci_83_Low)/(1+ωci_83_Low))</f>
        <v>0</v>
      </c>
      <c r="H165" s="606"/>
      <c r="I165" s="148" t="s">
        <v>236</v>
      </c>
      <c r="J165" s="125"/>
      <c r="K165" s="149"/>
      <c r="L165" s="122"/>
    </row>
    <row r="166" spans="1:12" x14ac:dyDescent="0.35">
      <c r="B166" s="398"/>
      <c r="C166" s="319" t="s">
        <v>561</v>
      </c>
      <c r="D166" s="323"/>
      <c r="E166" s="321"/>
      <c r="F166" s="336" t="s">
        <v>536</v>
      </c>
      <c r="G166" s="605">
        <f>(Vco_SD_Full*ρco_SD_Full)/(1+ωco_SD_Full)</f>
        <v>0</v>
      </c>
      <c r="H166" s="606"/>
      <c r="I166" s="148" t="s">
        <v>236</v>
      </c>
      <c r="J166" s="125"/>
      <c r="K166" s="149"/>
      <c r="L166" s="122"/>
    </row>
    <row r="167" spans="1:12" x14ac:dyDescent="0.35">
      <c r="A167" s="282"/>
      <c r="B167" s="398"/>
      <c r="C167" s="319" t="s">
        <v>325</v>
      </c>
      <c r="D167" s="323"/>
      <c r="E167" s="321"/>
      <c r="F167" s="336" t="s">
        <v>537</v>
      </c>
      <c r="G167" s="605">
        <f>(Vco_SD_Low*ρco_SD_Low)/(1+ωco_SD_Low)</f>
        <v>0</v>
      </c>
      <c r="H167" s="606"/>
      <c r="I167" s="148" t="s">
        <v>236</v>
      </c>
      <c r="J167" s="125"/>
      <c r="K167" s="149"/>
      <c r="L167" s="122"/>
    </row>
    <row r="168" spans="1:12" ht="17.100000000000001" customHeight="1" x14ac:dyDescent="0.35">
      <c r="A168" s="282"/>
      <c r="B168" s="398"/>
      <c r="C168" s="319" t="s">
        <v>326</v>
      </c>
      <c r="D168" s="323"/>
      <c r="E168" s="321"/>
      <c r="F168" s="321" t="s">
        <v>418</v>
      </c>
      <c r="G168" s="605" cm="1">
        <f t="array" ref="G168">ṁ95_Full*minutes_to_hours*((cp_da*(G134-$G$133))+(cp_wv*(G136*$G$134-G138*$G$133)))</f>
        <v>0</v>
      </c>
      <c r="H168" s="606"/>
      <c r="I168" s="148" t="s">
        <v>221</v>
      </c>
      <c r="J168" s="125"/>
      <c r="K168" s="149"/>
      <c r="L168" s="122"/>
    </row>
    <row r="169" spans="1:12" x14ac:dyDescent="0.35">
      <c r="A169" s="282"/>
      <c r="B169" s="123"/>
      <c r="C169" s="319" t="s">
        <v>327</v>
      </c>
      <c r="D169" s="323"/>
      <c r="E169" s="321"/>
      <c r="F169" s="321" t="s">
        <v>419</v>
      </c>
      <c r="G169" s="605">
        <f>ṁ83_Full*minutes_to_hours*((cp_da*(G135-$G$133))+(cp_wv*(G137*G135-$G$138*$G$133)))</f>
        <v>0</v>
      </c>
      <c r="H169" s="606"/>
      <c r="I169" s="148" t="s">
        <v>221</v>
      </c>
      <c r="J169" s="125"/>
      <c r="K169" s="149"/>
      <c r="L169" s="122"/>
    </row>
    <row r="170" spans="1:12" x14ac:dyDescent="0.35">
      <c r="A170" s="282"/>
      <c r="B170" s="123"/>
      <c r="C170" s="319" t="s">
        <v>330</v>
      </c>
      <c r="D170" s="323"/>
      <c r="E170" s="321"/>
      <c r="F170" s="321" t="s">
        <v>420</v>
      </c>
      <c r="G170" s="605">
        <f>ṁ83_Low*minutes_to_hours*((cp_da*(G135-$G$133))+(cp_wv*(G137*G135-$G$138*$G$133)))</f>
        <v>0</v>
      </c>
      <c r="H170" s="606"/>
      <c r="I170" s="148" t="s">
        <v>221</v>
      </c>
      <c r="J170" s="125"/>
      <c r="K170" s="149"/>
      <c r="L170" s="122"/>
    </row>
    <row r="171" spans="1:12" x14ac:dyDescent="0.35">
      <c r="A171" s="282"/>
      <c r="B171" s="123"/>
      <c r="C171" s="319" t="s">
        <v>328</v>
      </c>
      <c r="D171" s="323"/>
      <c r="E171" s="321"/>
      <c r="F171" s="321" t="s">
        <v>421</v>
      </c>
      <c r="G171" s="605">
        <f>ṁ95_Full*minutes_to_hours*$G$132*(G136-$G$138)</f>
        <v>0</v>
      </c>
      <c r="H171" s="606"/>
      <c r="I171" s="148" t="s">
        <v>221</v>
      </c>
      <c r="J171" s="125"/>
      <c r="K171" s="149"/>
      <c r="L171" s="122"/>
    </row>
    <row r="172" spans="1:12" x14ac:dyDescent="0.35">
      <c r="A172" s="282"/>
      <c r="B172" s="123"/>
      <c r="C172" s="319" t="s">
        <v>329</v>
      </c>
      <c r="D172" s="323"/>
      <c r="E172" s="321"/>
      <c r="F172" s="321" t="s">
        <v>422</v>
      </c>
      <c r="G172" s="605">
        <f>ṁ83_Full*minutes_to_hours*$G$132*(G137-$G$138)</f>
        <v>0</v>
      </c>
      <c r="H172" s="606"/>
      <c r="I172" s="148" t="s">
        <v>221</v>
      </c>
      <c r="J172" s="125"/>
      <c r="K172" s="149"/>
      <c r="L172" s="122"/>
    </row>
    <row r="173" spans="1:12" x14ac:dyDescent="0.35">
      <c r="A173" s="282"/>
      <c r="B173" s="123"/>
      <c r="C173" s="319" t="s">
        <v>331</v>
      </c>
      <c r="D173" s="323"/>
      <c r="E173" s="321"/>
      <c r="F173" s="321" t="s">
        <v>423</v>
      </c>
      <c r="G173" s="605">
        <f>ṁ83_Low*minutes_to_hours*$G$132*(G137-$G$138)</f>
        <v>0</v>
      </c>
      <c r="H173" s="606"/>
      <c r="I173" s="148" t="s">
        <v>221</v>
      </c>
      <c r="J173" s="125"/>
      <c r="K173" s="149"/>
      <c r="L173" s="122"/>
    </row>
    <row r="174" spans="1:12" x14ac:dyDescent="0.35">
      <c r="A174" s="282"/>
      <c r="B174" s="123"/>
      <c r="C174" s="319" t="s">
        <v>332</v>
      </c>
      <c r="D174" s="323"/>
      <c r="E174" s="321"/>
      <c r="F174" s="321" t="s">
        <v>424</v>
      </c>
      <c r="G174" s="605">
        <f>Qs_DD_95_Full+Ql_DD_95_Full</f>
        <v>0</v>
      </c>
      <c r="H174" s="606"/>
      <c r="I174" s="148" t="s">
        <v>221</v>
      </c>
      <c r="J174" s="125"/>
      <c r="K174" s="149"/>
      <c r="L174" s="122"/>
    </row>
    <row r="175" spans="1:12" x14ac:dyDescent="0.35">
      <c r="A175" s="282"/>
      <c r="B175" s="123"/>
      <c r="C175" s="319" t="s">
        <v>333</v>
      </c>
      <c r="D175" s="323"/>
      <c r="E175" s="321"/>
      <c r="F175" s="321" t="s">
        <v>425</v>
      </c>
      <c r="G175" s="605">
        <f>Qs_DD_83_Full+Ql_DD_83_Full</f>
        <v>0</v>
      </c>
      <c r="H175" s="606"/>
      <c r="I175" s="148" t="s">
        <v>221</v>
      </c>
      <c r="J175" s="125"/>
      <c r="K175" s="149"/>
      <c r="L175" s="122"/>
    </row>
    <row r="176" spans="1:12" x14ac:dyDescent="0.35">
      <c r="A176" s="282"/>
      <c r="B176" s="123"/>
      <c r="C176" s="319" t="s">
        <v>334</v>
      </c>
      <c r="D176" s="323"/>
      <c r="E176" s="321"/>
      <c r="F176" s="321" t="s">
        <v>426</v>
      </c>
      <c r="G176" s="605">
        <f>Qs_DD_83_Low+Ql_DD_83_Low</f>
        <v>0</v>
      </c>
      <c r="H176" s="606"/>
      <c r="I176" s="148" t="s">
        <v>221</v>
      </c>
      <c r="J176" s="125"/>
      <c r="K176" s="149"/>
      <c r="L176" s="122"/>
    </row>
    <row r="177" spans="1:12" ht="17.100000000000001" customHeight="1" x14ac:dyDescent="0.35">
      <c r="A177" s="282"/>
      <c r="B177" s="123"/>
      <c r="C177" s="661" t="s">
        <v>562</v>
      </c>
      <c r="D177" s="662"/>
      <c r="E177" s="663"/>
      <c r="F177" s="321" t="s">
        <v>427</v>
      </c>
      <c r="G177" s="672">
        <f>ṁSD_Full*minutes_to_hours*(cp_da*(G134-$G$133)+(cp_wv*(G136*G134-$G$138*$G$133)))</f>
        <v>0</v>
      </c>
      <c r="H177" s="673"/>
      <c r="I177" s="311" t="s">
        <v>221</v>
      </c>
      <c r="J177" s="125"/>
      <c r="K177" s="149"/>
      <c r="L177" s="122"/>
    </row>
    <row r="178" spans="1:12" ht="33.950000000000003" customHeight="1" x14ac:dyDescent="0.35">
      <c r="A178" s="282"/>
      <c r="B178" s="123"/>
      <c r="C178" s="666" t="s">
        <v>335</v>
      </c>
      <c r="D178" s="667"/>
      <c r="E178" s="668"/>
      <c r="F178" s="321" t="s">
        <v>428</v>
      </c>
      <c r="G178" s="672">
        <f>ṁSD_Full*minutes_to_hours*(cp_da*(G135-$G$133)+(cp_wv*(G137*G135-$G$138*$G$133)))</f>
        <v>0</v>
      </c>
      <c r="H178" s="673"/>
      <c r="I178" s="311" t="s">
        <v>221</v>
      </c>
      <c r="J178" s="125"/>
      <c r="K178" s="149"/>
      <c r="L178" s="122"/>
    </row>
    <row r="179" spans="1:12" ht="33.950000000000003" customHeight="1" x14ac:dyDescent="0.35">
      <c r="A179" s="282"/>
      <c r="B179" s="123"/>
      <c r="C179" s="666" t="s">
        <v>336</v>
      </c>
      <c r="D179" s="667"/>
      <c r="E179" s="668"/>
      <c r="F179" s="321" t="s">
        <v>429</v>
      </c>
      <c r="G179" s="672">
        <f>ṁSD_Low*minutes_to_hours*(cp_da*(G135-$G$133)+(cp_wv*(G137*G135-$G$138*$G$133)))</f>
        <v>0</v>
      </c>
      <c r="H179" s="673"/>
      <c r="I179" s="311" t="s">
        <v>221</v>
      </c>
      <c r="J179" s="125"/>
      <c r="K179" s="149"/>
      <c r="L179" s="122"/>
    </row>
    <row r="180" spans="1:12" ht="17.100000000000001" customHeight="1" x14ac:dyDescent="0.35">
      <c r="A180" s="282"/>
      <c r="B180" s="123"/>
      <c r="C180" s="666" t="s">
        <v>277</v>
      </c>
      <c r="D180" s="667"/>
      <c r="E180" s="668"/>
      <c r="F180" s="321" t="s">
        <v>430</v>
      </c>
      <c r="G180" s="672">
        <f>ṁSD_Full*minutes_to_hours*$G$132*(G136-$G$138)</f>
        <v>0</v>
      </c>
      <c r="H180" s="673"/>
      <c r="I180" s="311" t="s">
        <v>221</v>
      </c>
      <c r="J180" s="125"/>
      <c r="K180" s="149"/>
      <c r="L180" s="122"/>
    </row>
    <row r="181" spans="1:12" ht="33.950000000000003" customHeight="1" x14ac:dyDescent="0.35">
      <c r="A181" s="282"/>
      <c r="B181" s="123"/>
      <c r="C181" s="666" t="s">
        <v>337</v>
      </c>
      <c r="D181" s="667"/>
      <c r="E181" s="668"/>
      <c r="F181" s="321" t="s">
        <v>431</v>
      </c>
      <c r="G181" s="672">
        <f>ṁSD_Full*minutes_to_hours*$G$132*(G137-$G$138)</f>
        <v>0</v>
      </c>
      <c r="H181" s="673"/>
      <c r="I181" s="311" t="s">
        <v>221</v>
      </c>
      <c r="J181" s="125"/>
      <c r="K181" s="149"/>
      <c r="L181" s="122"/>
    </row>
    <row r="182" spans="1:12" ht="33.950000000000003" customHeight="1" x14ac:dyDescent="0.35">
      <c r="A182" s="282"/>
      <c r="B182" s="123"/>
      <c r="C182" s="666" t="s">
        <v>338</v>
      </c>
      <c r="D182" s="667"/>
      <c r="E182" s="668"/>
      <c r="F182" s="321" t="s">
        <v>432</v>
      </c>
      <c r="G182" s="672">
        <f>ṁSD_Low*minutes_to_hours*$G$132*(G137-$G$138)</f>
        <v>0</v>
      </c>
      <c r="H182" s="673"/>
      <c r="I182" s="311" t="s">
        <v>221</v>
      </c>
      <c r="J182" s="125"/>
      <c r="K182" s="149"/>
      <c r="L182" s="122"/>
    </row>
    <row r="183" spans="1:12" ht="17.100000000000001" customHeight="1" x14ac:dyDescent="0.35">
      <c r="A183" s="282"/>
      <c r="B183" s="123"/>
      <c r="C183" s="666" t="s">
        <v>279</v>
      </c>
      <c r="D183" s="667"/>
      <c r="E183" s="668"/>
      <c r="F183" s="321" t="s">
        <v>433</v>
      </c>
      <c r="G183" s="672">
        <f>Qs_SD_95_Full+Ql_SD_95_Full</f>
        <v>0</v>
      </c>
      <c r="H183" s="673"/>
      <c r="I183" s="311" t="s">
        <v>221</v>
      </c>
      <c r="J183" s="125"/>
      <c r="K183" s="149"/>
      <c r="L183" s="122"/>
    </row>
    <row r="184" spans="1:12" ht="33.950000000000003" customHeight="1" x14ac:dyDescent="0.35">
      <c r="A184" s="282"/>
      <c r="B184" s="123"/>
      <c r="C184" s="666" t="s">
        <v>340</v>
      </c>
      <c r="D184" s="667"/>
      <c r="E184" s="668"/>
      <c r="F184" s="321" t="s">
        <v>434</v>
      </c>
      <c r="G184" s="672">
        <f>Qs_SD_83_Full+Ql_SD_83_Full</f>
        <v>0</v>
      </c>
      <c r="H184" s="673"/>
      <c r="I184" s="311" t="s">
        <v>221</v>
      </c>
      <c r="J184" s="125"/>
      <c r="K184" s="149"/>
      <c r="L184" s="122"/>
    </row>
    <row r="185" spans="1:12" ht="33.950000000000003" customHeight="1" thickBot="1" x14ac:dyDescent="0.4">
      <c r="A185" s="282"/>
      <c r="B185" s="123"/>
      <c r="C185" s="676" t="s">
        <v>339</v>
      </c>
      <c r="D185" s="677"/>
      <c r="E185" s="678"/>
      <c r="F185" s="317" t="s">
        <v>435</v>
      </c>
      <c r="G185" s="674">
        <f>Qs_SD_83_Low+Ql_SD_83_Low</f>
        <v>0</v>
      </c>
      <c r="H185" s="675"/>
      <c r="I185" s="312" t="s">
        <v>221</v>
      </c>
      <c r="J185" s="125"/>
      <c r="K185" s="149"/>
      <c r="L185" s="122"/>
    </row>
    <row r="186" spans="1:12" x14ac:dyDescent="0.35">
      <c r="A186" s="282"/>
      <c r="B186" s="123"/>
      <c r="C186" s="275"/>
      <c r="D186" s="275"/>
      <c r="E186" s="275"/>
      <c r="F186" s="275"/>
      <c r="G186" s="275"/>
      <c r="H186" s="275"/>
      <c r="I186" s="275"/>
      <c r="J186" s="125"/>
      <c r="K186" s="149"/>
      <c r="L186" s="122"/>
    </row>
    <row r="187" spans="1:12" ht="18.75" thickBot="1" x14ac:dyDescent="0.4">
      <c r="A187" s="282"/>
      <c r="B187" s="123"/>
      <c r="C187" s="275"/>
      <c r="D187" s="275"/>
      <c r="E187" s="275"/>
      <c r="F187" s="275"/>
      <c r="G187" s="275"/>
      <c r="H187" s="275"/>
      <c r="I187" s="275"/>
      <c r="J187" s="125"/>
      <c r="K187" s="149"/>
      <c r="L187" s="122"/>
    </row>
    <row r="188" spans="1:12" ht="18.75" thickBot="1" x14ac:dyDescent="0.4">
      <c r="A188" s="282"/>
      <c r="B188" s="123"/>
      <c r="C188" s="342" t="s">
        <v>361</v>
      </c>
      <c r="D188" s="343"/>
      <c r="E188" s="343"/>
      <c r="F188" s="343"/>
      <c r="G188" s="343"/>
      <c r="H188" s="343"/>
      <c r="I188" s="344"/>
      <c r="J188" s="125"/>
      <c r="K188" s="149"/>
      <c r="L188" s="122"/>
    </row>
    <row r="189" spans="1:12" x14ac:dyDescent="0.35">
      <c r="A189" s="282"/>
      <c r="B189" s="123"/>
      <c r="C189" s="669"/>
      <c r="D189" s="670"/>
      <c r="E189" s="407"/>
      <c r="F189" s="338" t="s">
        <v>384</v>
      </c>
      <c r="G189" s="671" t="s">
        <v>145</v>
      </c>
      <c r="H189" s="610"/>
      <c r="I189" s="180"/>
      <c r="J189" s="125"/>
      <c r="K189" s="149"/>
      <c r="L189" s="122"/>
    </row>
    <row r="190" spans="1:12" x14ac:dyDescent="0.35">
      <c r="A190" s="282"/>
      <c r="B190" s="123"/>
      <c r="C190" s="319" t="s">
        <v>341</v>
      </c>
      <c r="D190" s="323"/>
      <c r="E190" s="321"/>
      <c r="F190" s="321" t="s">
        <v>436</v>
      </c>
      <c r="G190" s="672">
        <f>CapacityDD_95_Full-Qduct_DD_95_Full-Qinfiltration_DD_95_Full</f>
        <v>0</v>
      </c>
      <c r="H190" s="673"/>
      <c r="I190" s="148" t="s">
        <v>221</v>
      </c>
      <c r="J190" s="125"/>
      <c r="K190" s="149"/>
      <c r="L190" s="122"/>
    </row>
    <row r="191" spans="1:12" x14ac:dyDescent="0.35">
      <c r="A191" s="282"/>
      <c r="B191" s="123"/>
      <c r="C191" s="319" t="s">
        <v>342</v>
      </c>
      <c r="D191" s="323"/>
      <c r="E191" s="321"/>
      <c r="F191" s="321" t="s">
        <v>437</v>
      </c>
      <c r="G191" s="672">
        <f>CapacityDD_83_Full-Qduct_DD_83_Full-Qinfiltration_DD_83_Full</f>
        <v>0</v>
      </c>
      <c r="H191" s="673"/>
      <c r="I191" s="148" t="s">
        <v>221</v>
      </c>
      <c r="J191" s="125"/>
      <c r="K191" s="149"/>
      <c r="L191" s="122"/>
    </row>
    <row r="192" spans="1:12" x14ac:dyDescent="0.35">
      <c r="A192" s="282"/>
      <c r="B192" s="123"/>
      <c r="C192" s="319" t="s">
        <v>343</v>
      </c>
      <c r="D192" s="323"/>
      <c r="E192" s="321"/>
      <c r="F192" s="321" t="s">
        <v>438</v>
      </c>
      <c r="G192" s="672">
        <f>CapacityDD_83_Low-Qduct_DD_83_Low-Qinfiltration_DD_83_Low</f>
        <v>0</v>
      </c>
      <c r="H192" s="673"/>
      <c r="I192" s="148" t="s">
        <v>221</v>
      </c>
      <c r="J192" s="125"/>
      <c r="K192" s="149"/>
      <c r="L192" s="122"/>
    </row>
    <row r="193" spans="1:12" ht="17.100000000000001" customHeight="1" x14ac:dyDescent="0.35">
      <c r="A193" s="282"/>
      <c r="B193" s="123"/>
      <c r="C193" s="661" t="s">
        <v>254</v>
      </c>
      <c r="D193" s="662"/>
      <c r="E193" s="663"/>
      <c r="F193" s="321" t="s">
        <v>439</v>
      </c>
      <c r="G193" s="672">
        <f>CapacitySD_Full-Qduct_SD_Full-Qinfiltration_SD_95_Full</f>
        <v>0</v>
      </c>
      <c r="H193" s="673"/>
      <c r="I193" s="148" t="s">
        <v>221</v>
      </c>
      <c r="J193" s="125"/>
      <c r="K193" s="149"/>
      <c r="L193" s="122"/>
    </row>
    <row r="194" spans="1:12" ht="33.950000000000003" customHeight="1" x14ac:dyDescent="0.35">
      <c r="A194" s="282"/>
      <c r="B194" s="123"/>
      <c r="C194" s="666" t="s">
        <v>344</v>
      </c>
      <c r="D194" s="667"/>
      <c r="E194" s="668"/>
      <c r="F194" s="321" t="s">
        <v>440</v>
      </c>
      <c r="G194" s="672">
        <f>CapacitySD_Full-Qduct_SD_Full-Qinfiltration_SD_83_Full</f>
        <v>0</v>
      </c>
      <c r="H194" s="673"/>
      <c r="I194" s="148" t="s">
        <v>221</v>
      </c>
      <c r="J194" s="125"/>
      <c r="K194" s="149"/>
      <c r="L194" s="122"/>
    </row>
    <row r="195" spans="1:12" ht="33.950000000000003" customHeight="1" thickBot="1" x14ac:dyDescent="0.4">
      <c r="A195" s="282"/>
      <c r="B195" s="123"/>
      <c r="C195" s="676" t="s">
        <v>345</v>
      </c>
      <c r="D195" s="677"/>
      <c r="E195" s="678"/>
      <c r="F195" s="317" t="s">
        <v>441</v>
      </c>
      <c r="G195" s="674">
        <f>CapacitySD_Low-Qduct_SD_Low-Qinfiltration_SD_83_Low</f>
        <v>0</v>
      </c>
      <c r="H195" s="675"/>
      <c r="I195" s="164" t="s">
        <v>221</v>
      </c>
      <c r="J195" s="125"/>
      <c r="K195" s="149"/>
      <c r="L195" s="122"/>
    </row>
    <row r="196" spans="1:12" ht="18.75" thickBot="1" x14ac:dyDescent="0.4">
      <c r="A196" s="282"/>
      <c r="B196" s="123"/>
      <c r="C196" s="275"/>
      <c r="D196" s="275"/>
      <c r="E196" s="275"/>
      <c r="F196" s="275"/>
      <c r="G196" s="275"/>
      <c r="H196" s="275"/>
      <c r="I196" s="275"/>
      <c r="J196" s="125"/>
      <c r="K196" s="149"/>
      <c r="L196" s="122"/>
    </row>
    <row r="197" spans="1:12" ht="18.75" thickBot="1" x14ac:dyDescent="0.4">
      <c r="A197" s="282"/>
      <c r="B197" s="123"/>
      <c r="C197" s="342" t="s">
        <v>362</v>
      </c>
      <c r="D197" s="343"/>
      <c r="E197" s="343"/>
      <c r="F197" s="343"/>
      <c r="G197" s="343"/>
      <c r="H197" s="343"/>
      <c r="I197" s="344"/>
      <c r="J197" s="125"/>
      <c r="K197" s="149"/>
      <c r="L197" s="122"/>
    </row>
    <row r="198" spans="1:12" ht="51" customHeight="1" x14ac:dyDescent="0.35">
      <c r="A198" s="282"/>
      <c r="B198" s="418"/>
      <c r="C198" s="649"/>
      <c r="D198" s="650"/>
      <c r="E198" s="632"/>
      <c r="F198" s="339" t="s">
        <v>384</v>
      </c>
      <c r="G198" s="373" t="s">
        <v>146</v>
      </c>
      <c r="H198" s="280" t="s">
        <v>299</v>
      </c>
      <c r="I198" s="180"/>
      <c r="J198" s="125"/>
      <c r="K198" s="152"/>
      <c r="L198" s="122"/>
    </row>
    <row r="199" spans="1:12" x14ac:dyDescent="0.35">
      <c r="A199" s="282"/>
      <c r="B199" s="298"/>
      <c r="C199" s="319" t="s">
        <v>281</v>
      </c>
      <c r="D199" s="321"/>
      <c r="E199" s="321"/>
      <c r="F199" s="321" t="s">
        <v>447</v>
      </c>
      <c r="G199" s="367">
        <f>ACCSD_95*G139+ACCSD_83_Low*G140</f>
        <v>0</v>
      </c>
      <c r="H199" s="221">
        <f>IF(G199&lt;=10000,MROUND(G199,50),IF(G199&lt;=20000,MROUND(G199,100),IF(G199&lt;=38000,MROUND(G199,200),IF(G199&lt;=65000,MROUND(G199,500),G199))))</f>
        <v>0</v>
      </c>
      <c r="I199" s="148" t="s">
        <v>221</v>
      </c>
      <c r="J199" s="125"/>
      <c r="L199" s="122"/>
    </row>
    <row r="200" spans="1:12" ht="18.75" thickBot="1" x14ac:dyDescent="0.4">
      <c r="A200" s="282"/>
      <c r="B200" s="298"/>
      <c r="C200" s="301" t="s">
        <v>282</v>
      </c>
      <c r="D200" s="302"/>
      <c r="E200" s="414"/>
      <c r="F200" s="317" t="s">
        <v>448</v>
      </c>
      <c r="G200" s="369">
        <f>ACCDD_95*G139+ACCDD_83_Low*G140</f>
        <v>0</v>
      </c>
      <c r="H200" s="222">
        <f>IF(G200&lt;=10000,MROUND(G200,50),IF(G200&lt;=20000,MROUND(G200,100),IF(G200&lt;=38000,MROUND(G200,200),IF(G200&lt;=65000,MROUND(G200,500),G200))))</f>
        <v>0</v>
      </c>
      <c r="I200" s="164" t="s">
        <v>221</v>
      </c>
      <c r="J200" s="125"/>
      <c r="L200" s="122"/>
    </row>
    <row r="201" spans="1:12" ht="18.75" thickBot="1" x14ac:dyDescent="0.4">
      <c r="A201" s="282"/>
      <c r="B201" s="298"/>
      <c r="C201" s="275"/>
      <c r="D201" s="275"/>
      <c r="E201" s="275"/>
      <c r="F201" s="275"/>
      <c r="G201" s="275"/>
      <c r="H201" s="275"/>
      <c r="I201" s="275"/>
      <c r="J201" s="125"/>
      <c r="L201" s="122"/>
    </row>
    <row r="202" spans="1:12" ht="18.75" thickBot="1" x14ac:dyDescent="0.4">
      <c r="A202" s="282"/>
      <c r="B202" s="298"/>
      <c r="C202" s="544" t="s">
        <v>363</v>
      </c>
      <c r="D202" s="545"/>
      <c r="E202" s="545"/>
      <c r="F202" s="545"/>
      <c r="G202" s="545"/>
      <c r="H202" s="545"/>
      <c r="I202" s="546"/>
      <c r="J202" s="125"/>
      <c r="L202" s="122"/>
    </row>
    <row r="203" spans="1:12" ht="51" customHeight="1" x14ac:dyDescent="0.35">
      <c r="A203" s="282"/>
      <c r="B203" s="298"/>
      <c r="C203" s="649"/>
      <c r="D203" s="650"/>
      <c r="E203" s="375"/>
      <c r="F203" s="339" t="s">
        <v>384</v>
      </c>
      <c r="G203" s="373" t="s">
        <v>146</v>
      </c>
      <c r="H203" s="280" t="s">
        <v>299</v>
      </c>
      <c r="I203" s="180"/>
      <c r="J203" s="125"/>
      <c r="L203" s="122"/>
    </row>
    <row r="204" spans="1:12" x14ac:dyDescent="0.35">
      <c r="A204" s="282"/>
      <c r="B204" s="298"/>
      <c r="C204" s="319" t="s">
        <v>281</v>
      </c>
      <c r="D204" s="321"/>
      <c r="E204" s="321"/>
      <c r="F204" s="321" t="s">
        <v>449</v>
      </c>
      <c r="G204" s="367">
        <f>ACCSD_95*G139+ACCSD_83_Full*G140</f>
        <v>0</v>
      </c>
      <c r="H204" s="221">
        <f>IF(G204&lt;=10000,MROUND(G204,50),IF(G204&lt;=20000,MROUND(G204,100),IF(G204&lt;=38000,MROUND(G204,200),IF(G204&lt;=65000,MROUND(G204,500),G204))))</f>
        <v>0</v>
      </c>
      <c r="I204" s="148" t="s">
        <v>221</v>
      </c>
      <c r="J204" s="125"/>
      <c r="L204" s="122"/>
    </row>
    <row r="205" spans="1:12" ht="18.75" thickBot="1" x14ac:dyDescent="0.4">
      <c r="A205" s="282"/>
      <c r="B205" s="298"/>
      <c r="C205" s="340" t="s">
        <v>282</v>
      </c>
      <c r="D205" s="415"/>
      <c r="E205" s="408"/>
      <c r="F205" s="317" t="s">
        <v>450</v>
      </c>
      <c r="G205" s="369">
        <f>ACCDD_95*G139+ACCDD_83_Full*G140</f>
        <v>0</v>
      </c>
      <c r="H205" s="222">
        <f>IF(G205&lt;=10000,MROUND(G205,50),IF(G205&lt;=20000,MROUND(G205,100),IF(G205&lt;=38000,MROUND(G205,200),IF(G205&lt;=65000,MROUND(G205,500),G205))))</f>
        <v>0</v>
      </c>
      <c r="I205" s="164" t="s">
        <v>221</v>
      </c>
      <c r="J205" s="125"/>
      <c r="L205" s="122"/>
    </row>
    <row r="206" spans="1:12" ht="18.75" thickBot="1" x14ac:dyDescent="0.4">
      <c r="A206" s="282"/>
      <c r="B206" s="298"/>
      <c r="C206" s="275"/>
      <c r="D206" s="275"/>
      <c r="E206" s="275"/>
      <c r="F206" s="275"/>
      <c r="G206" s="275"/>
      <c r="H206" s="275"/>
      <c r="I206" s="275"/>
      <c r="J206" s="125"/>
      <c r="L206" s="122"/>
    </row>
    <row r="207" spans="1:12" ht="18.75" thickBot="1" x14ac:dyDescent="0.4">
      <c r="A207" s="282"/>
      <c r="B207" s="298"/>
      <c r="C207" s="544" t="s">
        <v>364</v>
      </c>
      <c r="D207" s="545"/>
      <c r="E207" s="545"/>
      <c r="F207" s="545"/>
      <c r="G207" s="545"/>
      <c r="H207" s="545"/>
      <c r="I207" s="546"/>
      <c r="J207" s="125"/>
      <c r="L207" s="122"/>
    </row>
    <row r="208" spans="1:12" ht="51" customHeight="1" x14ac:dyDescent="0.35">
      <c r="A208" s="282"/>
      <c r="B208" s="298"/>
      <c r="C208" s="649" t="s">
        <v>383</v>
      </c>
      <c r="D208" s="650"/>
      <c r="E208" s="381"/>
      <c r="F208" s="339" t="s">
        <v>384</v>
      </c>
      <c r="G208" s="373" t="s">
        <v>146</v>
      </c>
      <c r="H208" s="280" t="s">
        <v>299</v>
      </c>
      <c r="I208" s="180"/>
      <c r="J208" s="125"/>
      <c r="L208" s="122"/>
    </row>
    <row r="209" spans="1:12" ht="17.100000000000001" customHeight="1" x14ac:dyDescent="0.35">
      <c r="A209" s="282"/>
      <c r="B209" s="298"/>
      <c r="C209" s="319" t="s">
        <v>346</v>
      </c>
      <c r="D209" s="411"/>
      <c r="E209" s="374"/>
      <c r="F209" s="321" t="s">
        <v>451</v>
      </c>
      <c r="G209" s="378">
        <f>PDD_95_Full*tcm*$G$142</f>
        <v>0</v>
      </c>
      <c r="H209" s="405">
        <f>ROUND(G209,1)</f>
        <v>0</v>
      </c>
      <c r="I209" s="148" t="s">
        <v>263</v>
      </c>
      <c r="J209" s="125"/>
      <c r="L209" s="122"/>
    </row>
    <row r="210" spans="1:12" ht="17.100000000000001" customHeight="1" x14ac:dyDescent="0.35">
      <c r="B210" s="298"/>
      <c r="C210" s="319" t="s">
        <v>347</v>
      </c>
      <c r="D210" s="411"/>
      <c r="E210" s="374"/>
      <c r="F210" s="321" t="s">
        <v>452</v>
      </c>
      <c r="G210" s="378">
        <f>PDD_83_Full*tcm*$G$142</f>
        <v>0</v>
      </c>
      <c r="H210" s="405">
        <f>ROUND(G210,1)</f>
        <v>0</v>
      </c>
      <c r="I210" s="148" t="s">
        <v>263</v>
      </c>
      <c r="J210" s="125"/>
      <c r="L210" s="122"/>
    </row>
    <row r="211" spans="1:12" ht="17.100000000000001" customHeight="1" x14ac:dyDescent="0.35">
      <c r="B211" s="298"/>
      <c r="C211" s="319" t="s">
        <v>348</v>
      </c>
      <c r="D211" s="411"/>
      <c r="E211" s="374"/>
      <c r="F211" s="321" t="s">
        <v>453</v>
      </c>
      <c r="G211" s="378">
        <f>PDD_83_Low*tcm*$G$142</f>
        <v>0</v>
      </c>
      <c r="H211" s="405">
        <f>ROUND(G211,1)</f>
        <v>0</v>
      </c>
      <c r="I211" s="148" t="s">
        <v>263</v>
      </c>
      <c r="J211" s="125"/>
      <c r="L211" s="122"/>
    </row>
    <row r="212" spans="1:12" ht="17.100000000000001" customHeight="1" x14ac:dyDescent="0.35">
      <c r="B212" s="298"/>
      <c r="C212" s="319" t="s">
        <v>349</v>
      </c>
      <c r="D212" s="411"/>
      <c r="E212" s="374"/>
      <c r="F212" s="321" t="s">
        <v>454</v>
      </c>
      <c r="G212" s="378">
        <f>PSD_Full*tcm*$G$142</f>
        <v>0</v>
      </c>
      <c r="H212" s="405">
        <f>ROUND(G212,1)</f>
        <v>0</v>
      </c>
      <c r="I212" s="148" t="s">
        <v>263</v>
      </c>
      <c r="J212" s="125"/>
      <c r="L212" s="122"/>
    </row>
    <row r="213" spans="1:12" ht="17.100000000000001" customHeight="1" thickBot="1" x14ac:dyDescent="0.4">
      <c r="B213" s="298"/>
      <c r="C213" s="413" t="s">
        <v>350</v>
      </c>
      <c r="D213" s="416"/>
      <c r="E213" s="376"/>
      <c r="F213" s="317" t="s">
        <v>455</v>
      </c>
      <c r="G213" s="379">
        <f>PSD_Low*tcm*$G$142</f>
        <v>0</v>
      </c>
      <c r="H213" s="406">
        <f>ROUND(G213,1)</f>
        <v>0</v>
      </c>
      <c r="I213" s="164" t="s">
        <v>263</v>
      </c>
      <c r="J213" s="125"/>
      <c r="L213" s="122"/>
    </row>
    <row r="214" spans="1:12" ht="18.75" thickBot="1" x14ac:dyDescent="0.4">
      <c r="B214" s="298"/>
      <c r="C214" s="275"/>
      <c r="D214" s="275"/>
      <c r="E214" s="275"/>
      <c r="F214" s="275"/>
      <c r="G214" s="275"/>
      <c r="H214" s="275"/>
      <c r="I214" s="275"/>
      <c r="J214" s="125"/>
      <c r="L214" s="122"/>
    </row>
    <row r="215" spans="1:12" thickBot="1" x14ac:dyDescent="0.4">
      <c r="A215"/>
      <c r="B215" s="398"/>
      <c r="C215" s="544" t="s">
        <v>365</v>
      </c>
      <c r="D215" s="545"/>
      <c r="E215" s="545"/>
      <c r="F215" s="545"/>
      <c r="G215" s="545"/>
      <c r="H215" s="545"/>
      <c r="I215" s="546"/>
      <c r="J215" s="125"/>
      <c r="L215" s="122"/>
    </row>
    <row r="216" spans="1:12" ht="51" customHeight="1" x14ac:dyDescent="0.35">
      <c r="B216" s="298"/>
      <c r="C216" s="649"/>
      <c r="D216" s="650"/>
      <c r="E216" s="381"/>
      <c r="F216" s="339" t="s">
        <v>384</v>
      </c>
      <c r="G216" s="373" t="s">
        <v>146</v>
      </c>
      <c r="H216" s="280" t="s">
        <v>299</v>
      </c>
      <c r="I216" s="180"/>
      <c r="J216" s="125"/>
      <c r="L216" s="122"/>
    </row>
    <row r="217" spans="1:12" ht="17.100000000000001" customHeight="1" x14ac:dyDescent="0.35">
      <c r="B217" s="298"/>
      <c r="C217" s="319" t="s">
        <v>351</v>
      </c>
      <c r="D217" s="411"/>
      <c r="E217" s="374"/>
      <c r="F217" s="321" t="s">
        <v>461</v>
      </c>
      <c r="G217" s="378" t="str">
        <f>IFERROR((G139*ACCSD_95/((AECSD_Full+AECIO)/0.75))+(G140*ACCSD_83_Low/((AECSD_Low+AECIO)/0.75)),"0")</f>
        <v>0</v>
      </c>
      <c r="H217" s="405">
        <f>ROUND(G217,1)</f>
        <v>0</v>
      </c>
      <c r="I217" s="148" t="s">
        <v>264</v>
      </c>
      <c r="J217" s="125"/>
      <c r="L217" s="122"/>
    </row>
    <row r="218" spans="1:12" ht="17.100000000000001" customHeight="1" x14ac:dyDescent="0.35">
      <c r="B218" s="298"/>
      <c r="C218" s="319" t="s">
        <v>352</v>
      </c>
      <c r="D218" s="411"/>
      <c r="E218" s="374"/>
      <c r="F218" s="321" t="s">
        <v>462</v>
      </c>
      <c r="G218" s="378" t="str">
        <f>IFERROR((ACCDD_95*G139/((AECDD_95_Full+AECIO)/0.75))+(G140*ACCDD_83_Low/((AECDD_83_Low+AECIO)/0.75)),"0")</f>
        <v>0</v>
      </c>
      <c r="H218" s="405">
        <f>ROUND(G218,1)</f>
        <v>0</v>
      </c>
      <c r="I218" s="148" t="s">
        <v>264</v>
      </c>
      <c r="J218" s="125"/>
      <c r="L218" s="122"/>
    </row>
    <row r="219" spans="1:12" s="329" customFormat="1" ht="33.950000000000003" customHeight="1" x14ac:dyDescent="0.35">
      <c r="A219" s="328"/>
      <c r="B219" s="419"/>
      <c r="C219" s="661" t="s">
        <v>563</v>
      </c>
      <c r="D219" s="662"/>
      <c r="E219" s="663"/>
      <c r="F219" s="374" t="s">
        <v>463</v>
      </c>
      <c r="G219" s="378">
        <f>CapacitySD_83_SS-G158-G184</f>
        <v>0</v>
      </c>
      <c r="H219" s="405">
        <f t="shared" ref="H219:H224" si="0">ROUND(G219,1)</f>
        <v>0</v>
      </c>
      <c r="I219" s="148" t="s">
        <v>221</v>
      </c>
      <c r="J219" s="420"/>
      <c r="L219" s="330"/>
    </row>
    <row r="220" spans="1:12" s="329" customFormat="1" ht="33.950000000000003" customHeight="1" x14ac:dyDescent="0.35">
      <c r="A220" s="328"/>
      <c r="B220" s="419"/>
      <c r="C220" s="661" t="s">
        <v>564</v>
      </c>
      <c r="D220" s="662"/>
      <c r="E220" s="663"/>
      <c r="F220" s="374" t="s">
        <v>464</v>
      </c>
      <c r="G220" s="378">
        <f>CapacitySD_83_SS*0.82-G158-G184</f>
        <v>0</v>
      </c>
      <c r="H220" s="405">
        <f t="shared" si="0"/>
        <v>0</v>
      </c>
      <c r="I220" s="148" t="s">
        <v>221</v>
      </c>
      <c r="J220" s="420"/>
      <c r="L220" s="330"/>
    </row>
    <row r="221" spans="1:12" s="329" customFormat="1" ht="33.950000000000003" customHeight="1" x14ac:dyDescent="0.35">
      <c r="A221" s="328"/>
      <c r="B221" s="419"/>
      <c r="C221" s="661" t="s">
        <v>585</v>
      </c>
      <c r="D221" s="662"/>
      <c r="E221" s="663"/>
      <c r="F221" s="374" t="s">
        <v>465</v>
      </c>
      <c r="G221" s="378">
        <f>CapacityDD_83_SS-G156-G175</f>
        <v>0</v>
      </c>
      <c r="H221" s="405">
        <f t="shared" si="0"/>
        <v>0</v>
      </c>
      <c r="I221" s="148" t="s">
        <v>221</v>
      </c>
      <c r="J221" s="420"/>
      <c r="L221" s="330"/>
    </row>
    <row r="222" spans="1:12" s="329" customFormat="1" ht="33.950000000000003" customHeight="1" x14ac:dyDescent="0.35">
      <c r="A222" s="328"/>
      <c r="B222" s="419"/>
      <c r="C222" s="661" t="s">
        <v>586</v>
      </c>
      <c r="D222" s="662"/>
      <c r="E222" s="663"/>
      <c r="F222" s="374" t="s">
        <v>466</v>
      </c>
      <c r="G222" s="378">
        <f>0.77*CapacityDD_83_SS-G156-G175</f>
        <v>0</v>
      </c>
      <c r="H222" s="405">
        <f t="shared" si="0"/>
        <v>0</v>
      </c>
      <c r="I222" s="148" t="s">
        <v>221</v>
      </c>
      <c r="J222" s="420"/>
      <c r="L222" s="330"/>
    </row>
    <row r="223" spans="1:12" ht="17.100000000000001" customHeight="1" x14ac:dyDescent="0.35">
      <c r="B223" s="298"/>
      <c r="C223" s="319" t="s">
        <v>565</v>
      </c>
      <c r="D223" s="323"/>
      <c r="E223" s="321"/>
      <c r="F223" s="374" t="s">
        <v>467</v>
      </c>
      <c r="G223" s="378">
        <f>PSD_83_SS*0.75</f>
        <v>0</v>
      </c>
      <c r="H223" s="405">
        <f t="shared" si="0"/>
        <v>0</v>
      </c>
      <c r="I223" s="148" t="s">
        <v>263</v>
      </c>
      <c r="J223" s="305"/>
      <c r="L223" s="122"/>
    </row>
    <row r="224" spans="1:12" ht="17.100000000000001" customHeight="1" x14ac:dyDescent="0.35">
      <c r="B224" s="298"/>
      <c r="C224" s="319" t="s">
        <v>566</v>
      </c>
      <c r="D224" s="323"/>
      <c r="E224" s="321"/>
      <c r="F224" s="374" t="s">
        <v>468</v>
      </c>
      <c r="G224" s="378">
        <f>PDD_83_SS*0.75</f>
        <v>0</v>
      </c>
      <c r="H224" s="405">
        <f t="shared" si="0"/>
        <v>0</v>
      </c>
      <c r="I224" s="148" t="s">
        <v>263</v>
      </c>
      <c r="J224" s="305"/>
      <c r="L224" s="122"/>
    </row>
    <row r="225" spans="1:12" ht="17.100000000000001" customHeight="1" x14ac:dyDescent="0.35">
      <c r="B225" s="298"/>
      <c r="C225" s="319" t="s">
        <v>567</v>
      </c>
      <c r="D225" s="411"/>
      <c r="E225" s="374"/>
      <c r="F225" s="321" t="s">
        <v>469</v>
      </c>
      <c r="G225" s="378">
        <f>IFERROR((G139*ACCSD_95/((AECSD_Full+AECT)/0.75))+(ACCSD_83_tSS*G140/((AECSD_83_SS+AECT)/0.75)),0)</f>
        <v>0</v>
      </c>
      <c r="H225" s="405">
        <f t="shared" ref="H225:H232" si="1">ROUND(G225,1)</f>
        <v>0</v>
      </c>
      <c r="I225" s="148" t="s">
        <v>264</v>
      </c>
      <c r="J225" s="125"/>
      <c r="L225" s="122"/>
    </row>
    <row r="226" spans="1:12" ht="17.100000000000001" customHeight="1" x14ac:dyDescent="0.35">
      <c r="B226" s="298"/>
      <c r="C226" s="319" t="s">
        <v>568</v>
      </c>
      <c r="D226" s="411"/>
      <c r="E226" s="374"/>
      <c r="F226" s="321" t="s">
        <v>470</v>
      </c>
      <c r="G226" s="378">
        <f>IFERROR((G139*ACCSD_95/((AECSD_Full+AECT)/0.75))+(ACCSD_83_SS_CF/((AECSD_83_SS+AECT)/0.75)),0)</f>
        <v>0</v>
      </c>
      <c r="H226" s="405">
        <f t="shared" si="1"/>
        <v>0</v>
      </c>
      <c r="I226" s="148" t="s">
        <v>264</v>
      </c>
      <c r="J226" s="125"/>
      <c r="L226" s="122"/>
    </row>
    <row r="227" spans="1:12" ht="17.100000000000001" customHeight="1" x14ac:dyDescent="0.35">
      <c r="B227" s="298"/>
      <c r="C227" s="319" t="s">
        <v>569</v>
      </c>
      <c r="D227" s="411"/>
      <c r="E227" s="374"/>
      <c r="F227" s="321" t="s">
        <v>471</v>
      </c>
      <c r="G227" s="378">
        <f>IFERROR((G139*ACCDD_95/((AECDD_95_Full+AECT)/0.75))+(ACCDD_83_tSS*G140/((AECDD_83_SS+AECT)/0.75)),0)</f>
        <v>0</v>
      </c>
      <c r="H227" s="405">
        <f t="shared" si="1"/>
        <v>0</v>
      </c>
      <c r="I227" s="148" t="s">
        <v>264</v>
      </c>
      <c r="J227" s="125"/>
      <c r="L227" s="122"/>
    </row>
    <row r="228" spans="1:12" ht="17.100000000000001" customHeight="1" x14ac:dyDescent="0.35">
      <c r="B228" s="298"/>
      <c r="C228" s="319" t="s">
        <v>570</v>
      </c>
      <c r="D228" s="411"/>
      <c r="E228" s="374"/>
      <c r="F228" s="321" t="s">
        <v>472</v>
      </c>
      <c r="G228" s="378">
        <f>IFERROR((G139*ACCDD_95/((AECDD_95_Full+AECT)/0.75))+(ACCDD_83_SS_CF/((AECDD_83_SS+AECT)/0.75)),0)</f>
        <v>0</v>
      </c>
      <c r="H228" s="405">
        <f t="shared" si="1"/>
        <v>0</v>
      </c>
      <c r="I228" s="148" t="s">
        <v>264</v>
      </c>
      <c r="J228" s="125"/>
      <c r="L228" s="122"/>
    </row>
    <row r="229" spans="1:12" x14ac:dyDescent="0.35">
      <c r="B229" s="298"/>
      <c r="C229" s="319" t="s">
        <v>571</v>
      </c>
      <c r="D229" s="323"/>
      <c r="E229" s="321"/>
      <c r="F229" s="321" t="s">
        <v>473</v>
      </c>
      <c r="G229" s="378">
        <f>IFERROR((CEERSD_SS-CEERSD_SS_CF)/CEERSD_SS_CF,0)</f>
        <v>0</v>
      </c>
      <c r="H229" s="405">
        <f t="shared" si="1"/>
        <v>0</v>
      </c>
      <c r="I229" s="148" t="s">
        <v>264</v>
      </c>
      <c r="J229" s="125"/>
      <c r="L229" s="122"/>
    </row>
    <row r="230" spans="1:12" x14ac:dyDescent="0.35">
      <c r="B230" s="298"/>
      <c r="C230" s="319" t="s">
        <v>572</v>
      </c>
      <c r="D230" s="323"/>
      <c r="E230" s="321"/>
      <c r="F230" s="321" t="s">
        <v>474</v>
      </c>
      <c r="G230" s="378">
        <f>IFERROR((CEERDD_SS-CEERDD_SS_CF)/CEERDD_SS_CF,0)</f>
        <v>0</v>
      </c>
      <c r="H230" s="405">
        <f t="shared" si="1"/>
        <v>0</v>
      </c>
      <c r="I230" s="148" t="s">
        <v>264</v>
      </c>
      <c r="J230" s="125"/>
      <c r="L230" s="122"/>
    </row>
    <row r="231" spans="1:12" x14ac:dyDescent="0.35">
      <c r="B231" s="298"/>
      <c r="C231" s="319" t="s">
        <v>260</v>
      </c>
      <c r="D231" s="323"/>
      <c r="E231" s="321"/>
      <c r="F231" s="321" t="s">
        <v>475</v>
      </c>
      <c r="G231" s="378">
        <f>CEERSD_UA*(1+Fp_SD)</f>
        <v>0</v>
      </c>
      <c r="H231" s="405">
        <f t="shared" si="1"/>
        <v>0</v>
      </c>
      <c r="I231" s="148" t="s">
        <v>264</v>
      </c>
      <c r="J231" s="125"/>
      <c r="L231" s="122"/>
    </row>
    <row r="232" spans="1:12" ht="18.75" thickBot="1" x14ac:dyDescent="0.4">
      <c r="B232" s="298"/>
      <c r="C232" s="296" t="s">
        <v>261</v>
      </c>
      <c r="D232" s="417"/>
      <c r="E232" s="302"/>
      <c r="F232" s="302" t="s">
        <v>476</v>
      </c>
      <c r="G232" s="379">
        <f>CEERDD_UA*(1+Fp_DD)</f>
        <v>0</v>
      </c>
      <c r="H232" s="406">
        <f t="shared" si="1"/>
        <v>0</v>
      </c>
      <c r="I232" s="164" t="s">
        <v>264</v>
      </c>
      <c r="J232" s="125"/>
      <c r="L232" s="122"/>
    </row>
    <row r="233" spans="1:12" ht="18.75" thickBot="1" x14ac:dyDescent="0.4">
      <c r="B233" s="421"/>
      <c r="C233" s="422"/>
      <c r="D233" s="422"/>
      <c r="E233" s="422"/>
      <c r="F233" s="422"/>
      <c r="G233" s="422"/>
      <c r="H233" s="422"/>
      <c r="I233" s="422"/>
      <c r="J233" s="137"/>
      <c r="L233" s="122"/>
    </row>
    <row r="234" spans="1:12" x14ac:dyDescent="0.35">
      <c r="L234" s="122"/>
    </row>
    <row r="235" spans="1:12" x14ac:dyDescent="0.35">
      <c r="A235" s="284"/>
      <c r="B235" s="284"/>
      <c r="C235" s="284"/>
      <c r="D235" s="284"/>
      <c r="E235" s="284"/>
      <c r="F235" s="284"/>
      <c r="G235" s="284"/>
      <c r="H235" s="284"/>
      <c r="I235" s="284"/>
      <c r="J235" s="284"/>
      <c r="K235" s="248"/>
      <c r="L235" s="122"/>
    </row>
  </sheetData>
  <sheetProtection algorithmName="SHA-512" hashValue="+BPHH3nOQ/RVlr8k5ydqUU7s/U+OJ1lZoypBxb4Rp2+sfIhyd6z3fQbSepYj/qnqrqTPCTL8UyUDq5HrzRjs0A==" saltValue="3NO2DU4egyW1w5xlbNkmKw==" spinCount="100000" sheet="1" selectLockedCells="1"/>
  <mergeCells count="96">
    <mergeCell ref="H19:H20"/>
    <mergeCell ref="C28:D28"/>
    <mergeCell ref="C15:I15"/>
    <mergeCell ref="C16:I16"/>
    <mergeCell ref="G129:H129"/>
    <mergeCell ref="G130:H130"/>
    <mergeCell ref="G131:H131"/>
    <mergeCell ref="C35:D35"/>
    <mergeCell ref="C53:D53"/>
    <mergeCell ref="G135:H135"/>
    <mergeCell ref="G136:H136"/>
    <mergeCell ref="G137:H137"/>
    <mergeCell ref="G132:H132"/>
    <mergeCell ref="G133:H133"/>
    <mergeCell ref="G134:H134"/>
    <mergeCell ref="G142:H142"/>
    <mergeCell ref="G143:H143"/>
    <mergeCell ref="G138:H138"/>
    <mergeCell ref="G139:H139"/>
    <mergeCell ref="G140:H140"/>
    <mergeCell ref="G141:H141"/>
    <mergeCell ref="G149:H149"/>
    <mergeCell ref="G150:H150"/>
    <mergeCell ref="G151:H151"/>
    <mergeCell ref="G146:H146"/>
    <mergeCell ref="G147:H147"/>
    <mergeCell ref="G148:H148"/>
    <mergeCell ref="G169:H169"/>
    <mergeCell ref="G159:H159"/>
    <mergeCell ref="G162:H162"/>
    <mergeCell ref="G163:H163"/>
    <mergeCell ref="G152:H152"/>
    <mergeCell ref="G153:H153"/>
    <mergeCell ref="G154:H154"/>
    <mergeCell ref="G155:H155"/>
    <mergeCell ref="G156:H156"/>
    <mergeCell ref="G157:H157"/>
    <mergeCell ref="G158:H158"/>
    <mergeCell ref="G164:H164"/>
    <mergeCell ref="G165:H165"/>
    <mergeCell ref="G166:H166"/>
    <mergeCell ref="G167:H167"/>
    <mergeCell ref="G168:H168"/>
    <mergeCell ref="G176:H176"/>
    <mergeCell ref="G177:H177"/>
    <mergeCell ref="G178:H178"/>
    <mergeCell ref="G179:H179"/>
    <mergeCell ref="G170:H170"/>
    <mergeCell ref="G171:H171"/>
    <mergeCell ref="G172:H172"/>
    <mergeCell ref="G173:H173"/>
    <mergeCell ref="G174:H174"/>
    <mergeCell ref="G175:H175"/>
    <mergeCell ref="C203:D203"/>
    <mergeCell ref="G194:H194"/>
    <mergeCell ref="G195:H195"/>
    <mergeCell ref="G180:H180"/>
    <mergeCell ref="G181:H181"/>
    <mergeCell ref="G182:H182"/>
    <mergeCell ref="C185:E185"/>
    <mergeCell ref="C193:E193"/>
    <mergeCell ref="C194:E194"/>
    <mergeCell ref="C195:E195"/>
    <mergeCell ref="C198:E198"/>
    <mergeCell ref="C208:D208"/>
    <mergeCell ref="C216:D216"/>
    <mergeCell ref="C71:D71"/>
    <mergeCell ref="G128:H128"/>
    <mergeCell ref="G189:H189"/>
    <mergeCell ref="G190:H190"/>
    <mergeCell ref="G191:H191"/>
    <mergeCell ref="G192:H192"/>
    <mergeCell ref="G193:H193"/>
    <mergeCell ref="C189:D189"/>
    <mergeCell ref="G183:H183"/>
    <mergeCell ref="G184:H184"/>
    <mergeCell ref="G185:H185"/>
    <mergeCell ref="C202:I202"/>
    <mergeCell ref="C207:I207"/>
    <mergeCell ref="C215:I215"/>
    <mergeCell ref="C219:E219"/>
    <mergeCell ref="C220:E220"/>
    <mergeCell ref="C221:E221"/>
    <mergeCell ref="C222:E222"/>
    <mergeCell ref="B10:G11"/>
    <mergeCell ref="B119:J123"/>
    <mergeCell ref="F19:G19"/>
    <mergeCell ref="D19:E19"/>
    <mergeCell ref="C177:E177"/>
    <mergeCell ref="C178:E178"/>
    <mergeCell ref="C179:E179"/>
    <mergeCell ref="C180:E180"/>
    <mergeCell ref="C181:E181"/>
    <mergeCell ref="C182:E182"/>
    <mergeCell ref="C183:E183"/>
    <mergeCell ref="C184:E184"/>
  </mergeCells>
  <hyperlinks>
    <hyperlink ref="I4" location="Instructions!C35" display="Back to Instructions tab" xr:uid="{031686AD-269E-449F-9AC4-6BBC8F66ADA9}"/>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51" id="{D499C1FD-BB7C-4641-85AA-1D7243C86143}">
            <xm:f>'General Info &amp; Test Results'!$C$27="Single-Duct"</xm:f>
            <x14:dxf>
              <font>
                <color theme="1"/>
              </font>
              <fill>
                <patternFill patternType="lightGray">
                  <fgColor theme="1"/>
                  <bgColor theme="1"/>
                </patternFill>
              </fill>
            </x14:dxf>
          </x14:cfRule>
          <xm:sqref>C21:H23 C31:H32 C35:H50 C53:H68 C71:H86 C148:I157 C163:I165 C168:I176 C190:I192 C200:I200 C205:I205 C209:I211 C218:I218 C221:I222 C224:I224 C227:I228 C230:I230 C232:I232</xm:sqref>
        </x14:conditionalFormatting>
        <x14:conditionalFormatting xmlns:xm="http://schemas.microsoft.com/office/excel/2006/main">
          <x14:cfRule type="expression" priority="49" id="{2EF30251-092E-474A-86FC-9948C30A5E1C}">
            <xm:f>'General Info &amp; Test Results'!$C$27="Dual-Duct"</xm:f>
            <x14:dxf>
              <font>
                <color theme="1"/>
              </font>
              <fill>
                <patternFill patternType="solid">
                  <fgColor theme="1"/>
                  <bgColor theme="1"/>
                </patternFill>
              </fill>
            </x14:dxf>
          </x14:cfRule>
          <xm:sqref>C24:H25 C103:H114 C89:H100 C158:I159 C166:I167 C177:I185 C193:I195 C199:I199 C204:I204 C212:I213 C217:I217 C219:I220 C223:I223 C225:I226 C229:I229 C231:I231</xm:sqref>
        </x14:conditionalFormatting>
        <x14:conditionalFormatting xmlns:xm="http://schemas.microsoft.com/office/excel/2006/main">
          <x14:cfRule type="expression" priority="39" id="{B51259E4-728E-426A-9820-BAC18997C31B}">
            <xm:f>'General Info &amp; Test Results'!$C$28="Single-Speed"</xm:f>
            <x14:dxf>
              <font>
                <color theme="1"/>
              </font>
              <fill>
                <patternFill>
                  <bgColor theme="1"/>
                </patternFill>
              </fill>
            </x14:dxf>
          </x14:cfRule>
          <xm:sqref>B13:J233</xm:sqref>
        </x14:conditionalFormatting>
        <x14:conditionalFormatting xmlns:xm="http://schemas.microsoft.com/office/excel/2006/main">
          <x14:cfRule type="expression" priority="38" id="{47472357-02C3-40A2-A02B-D4EE277D81E4}">
            <xm:f>'General Info &amp; Test Results'!$C$28="Single-Speed"</xm:f>
            <x14:dxf>
              <font>
                <u/>
                <color rgb="FF0066CC"/>
              </font>
              <fill>
                <patternFill>
                  <bgColor theme="9"/>
                </patternFill>
              </fill>
              <border>
                <left/>
                <right/>
                <top/>
                <bottom/>
              </border>
            </x14:dxf>
          </x14:cfRule>
          <xm:sqref>B10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0070C0"/>
  </sheetPr>
  <dimension ref="A1:I53"/>
  <sheetViews>
    <sheetView showGridLines="0" zoomScale="80" zoomScaleNormal="80" workbookViewId="0">
      <selection activeCell="B13" sqref="B13:G16"/>
    </sheetView>
  </sheetViews>
  <sheetFormatPr defaultColWidth="9.140625" defaultRowHeight="16.5" x14ac:dyDescent="0.3"/>
  <cols>
    <col min="1" max="1" width="4.42578125" style="4" customWidth="1"/>
    <col min="2" max="2" width="31.5703125" style="4" customWidth="1"/>
    <col min="3" max="3" width="39.28515625" style="4" customWidth="1"/>
    <col min="4" max="4" width="9.140625" style="4"/>
    <col min="5" max="5" width="24.140625" style="4" bestFit="1" customWidth="1"/>
    <col min="6" max="6" width="68.140625" style="4" customWidth="1"/>
    <col min="7" max="7" width="9.140625" style="4" customWidth="1"/>
    <col min="8" max="8" width="4.42578125" style="4" customWidth="1"/>
    <col min="9" max="9" width="3.140625" style="4" customWidth="1"/>
    <col min="10" max="16384" width="9.140625" style="4"/>
  </cols>
  <sheetData>
    <row r="1" spans="2:9" ht="17.25" thickBot="1" x14ac:dyDescent="0.35">
      <c r="I1" s="18"/>
    </row>
    <row r="2" spans="2:9" ht="17.100000000000001" customHeight="1" thickBot="1" x14ac:dyDescent="0.35">
      <c r="B2" s="442" t="str">
        <f>'Version Control'!$B$2</f>
        <v>Title Block</v>
      </c>
      <c r="C2" s="443"/>
      <c r="I2" s="18"/>
    </row>
    <row r="3" spans="2:9" ht="17.100000000000001" customHeight="1" x14ac:dyDescent="0.3">
      <c r="B3" s="35" t="str">
        <f>'Version Control'!$B$3</f>
        <v>Test Report Template Name:</v>
      </c>
      <c r="C3" s="89" t="str">
        <f>'Version Control'!$C$3</f>
        <v>Portable Air Conditioners</v>
      </c>
      <c r="I3" s="18"/>
    </row>
    <row r="4" spans="2:9" ht="17.100000000000001" customHeight="1" x14ac:dyDescent="0.3">
      <c r="B4" s="88" t="str">
        <f>'Version Control'!$B$4</f>
        <v>Version Number:</v>
      </c>
      <c r="C4" s="214" t="str">
        <f>'Version Control'!$C$4</f>
        <v>v2.1</v>
      </c>
      <c r="E4" s="7" t="s">
        <v>58</v>
      </c>
      <c r="I4" s="18"/>
    </row>
    <row r="5" spans="2:9" ht="17.100000000000001" customHeight="1" x14ac:dyDescent="0.3">
      <c r="B5" s="34" t="str">
        <f>'Version Control'!$B$5</f>
        <v xml:space="preserve">Latest Template Revision: </v>
      </c>
      <c r="C5" s="40">
        <f>'Version Control'!$C$5</f>
        <v>45611</v>
      </c>
      <c r="I5" s="18"/>
    </row>
    <row r="6" spans="2:9" ht="17.100000000000001" customHeight="1" x14ac:dyDescent="0.3">
      <c r="B6" s="34" t="str">
        <f>'Version Control'!$B$6</f>
        <v>Tab Name:</v>
      </c>
      <c r="C6" s="214" t="str">
        <f ca="1">MID(CELL("filename",A1), FIND("]", CELL("filename", A1))+ 1, 255)</f>
        <v>Comments</v>
      </c>
      <c r="I6" s="18"/>
    </row>
    <row r="7" spans="2:9" ht="17.100000000000001" customHeight="1" x14ac:dyDescent="0.3">
      <c r="B7" s="47" t="str">
        <f>'Version Control'!$B$7</f>
        <v>File Name:</v>
      </c>
      <c r="C7" s="215" t="str">
        <f ca="1">'Version Control'!$C$7</f>
        <v>Portable Air Conditioners - v2.1.xlsx</v>
      </c>
      <c r="I7" s="18"/>
    </row>
    <row r="8" spans="2:9" ht="17.100000000000001" customHeight="1" thickBot="1" x14ac:dyDescent="0.35">
      <c r="B8" s="36" t="str">
        <f>'Version Control'!$B$8</f>
        <v xml:space="preserve">Test Completion Date: </v>
      </c>
      <c r="C8" s="41" t="str">
        <f>'Version Control'!$C$8</f>
        <v>[MM/DD/YYYY]</v>
      </c>
      <c r="I8" s="18"/>
    </row>
    <row r="9" spans="2:9" x14ac:dyDescent="0.3">
      <c r="I9" s="18"/>
    </row>
    <row r="10" spans="2:9" ht="17.25" thickBot="1" x14ac:dyDescent="0.35">
      <c r="I10" s="18"/>
    </row>
    <row r="11" spans="2:9" ht="18" thickBot="1" x14ac:dyDescent="0.35">
      <c r="B11" s="483" t="s">
        <v>56</v>
      </c>
      <c r="C11" s="484"/>
      <c r="D11" s="484"/>
      <c r="E11" s="484"/>
      <c r="F11" s="484"/>
      <c r="G11" s="485"/>
      <c r="H11" s="23"/>
      <c r="I11" s="18"/>
    </row>
    <row r="12" spans="2:9" x14ac:dyDescent="0.3">
      <c r="B12" s="3"/>
      <c r="C12" s="6"/>
      <c r="D12" s="6"/>
      <c r="E12" s="6"/>
      <c r="F12" s="6"/>
      <c r="G12" s="5"/>
      <c r="H12" s="6"/>
      <c r="I12" s="18"/>
    </row>
    <row r="13" spans="2:9" x14ac:dyDescent="0.3">
      <c r="B13" s="681"/>
      <c r="C13" s="682"/>
      <c r="D13" s="682"/>
      <c r="E13" s="682"/>
      <c r="F13" s="682"/>
      <c r="G13" s="683"/>
      <c r="H13" s="6"/>
      <c r="I13" s="18"/>
    </row>
    <row r="14" spans="2:9" x14ac:dyDescent="0.3">
      <c r="B14" s="477"/>
      <c r="C14" s="478"/>
      <c r="D14" s="478"/>
      <c r="E14" s="478"/>
      <c r="F14" s="478"/>
      <c r="G14" s="479"/>
      <c r="H14" s="6"/>
      <c r="I14" s="18"/>
    </row>
    <row r="15" spans="2:9" x14ac:dyDescent="0.3">
      <c r="B15" s="477"/>
      <c r="C15" s="478"/>
      <c r="D15" s="478"/>
      <c r="E15" s="478"/>
      <c r="F15" s="478"/>
      <c r="G15" s="479"/>
      <c r="H15" s="6"/>
      <c r="I15" s="18"/>
    </row>
    <row r="16" spans="2:9" x14ac:dyDescent="0.3">
      <c r="B16" s="684"/>
      <c r="C16" s="685"/>
      <c r="D16" s="685"/>
      <c r="E16" s="685"/>
      <c r="F16" s="685"/>
      <c r="G16" s="686"/>
      <c r="H16" s="6"/>
      <c r="I16" s="18"/>
    </row>
    <row r="17" spans="2:9" x14ac:dyDescent="0.3">
      <c r="B17" s="11"/>
      <c r="C17" s="12"/>
      <c r="D17" s="12"/>
      <c r="E17" s="12"/>
      <c r="F17" s="12"/>
      <c r="G17" s="13"/>
      <c r="H17" s="6"/>
      <c r="I17" s="18"/>
    </row>
    <row r="18" spans="2:9" x14ac:dyDescent="0.3">
      <c r="B18" s="681"/>
      <c r="C18" s="682"/>
      <c r="D18" s="682"/>
      <c r="E18" s="682"/>
      <c r="F18" s="682"/>
      <c r="G18" s="683"/>
      <c r="H18" s="6"/>
      <c r="I18" s="18"/>
    </row>
    <row r="19" spans="2:9" x14ac:dyDescent="0.3">
      <c r="B19" s="477"/>
      <c r="C19" s="478"/>
      <c r="D19" s="478"/>
      <c r="E19" s="478"/>
      <c r="F19" s="478"/>
      <c r="G19" s="479"/>
      <c r="H19" s="6"/>
      <c r="I19" s="18"/>
    </row>
    <row r="20" spans="2:9" x14ac:dyDescent="0.3">
      <c r="B20" s="477"/>
      <c r="C20" s="478"/>
      <c r="D20" s="478"/>
      <c r="E20" s="478"/>
      <c r="F20" s="478"/>
      <c r="G20" s="479"/>
      <c r="H20" s="6"/>
      <c r="I20" s="18"/>
    </row>
    <row r="21" spans="2:9" x14ac:dyDescent="0.3">
      <c r="B21" s="684"/>
      <c r="C21" s="685"/>
      <c r="D21" s="685"/>
      <c r="E21" s="685"/>
      <c r="F21" s="685"/>
      <c r="G21" s="686"/>
      <c r="H21" s="6"/>
      <c r="I21" s="18"/>
    </row>
    <row r="22" spans="2:9" x14ac:dyDescent="0.3">
      <c r="B22" s="11"/>
      <c r="C22" s="12"/>
      <c r="D22" s="12"/>
      <c r="E22" s="12"/>
      <c r="F22" s="12"/>
      <c r="G22" s="13"/>
      <c r="H22" s="6"/>
      <c r="I22" s="18"/>
    </row>
    <row r="23" spans="2:9" x14ac:dyDescent="0.3">
      <c r="B23" s="681"/>
      <c r="C23" s="682"/>
      <c r="D23" s="682"/>
      <c r="E23" s="682"/>
      <c r="F23" s="682"/>
      <c r="G23" s="683"/>
      <c r="H23" s="6"/>
      <c r="I23" s="18"/>
    </row>
    <row r="24" spans="2:9" x14ac:dyDescent="0.3">
      <c r="B24" s="477"/>
      <c r="C24" s="478"/>
      <c r="D24" s="478"/>
      <c r="E24" s="478"/>
      <c r="F24" s="478"/>
      <c r="G24" s="479"/>
      <c r="H24" s="6"/>
      <c r="I24" s="18"/>
    </row>
    <row r="25" spans="2:9" x14ac:dyDescent="0.3">
      <c r="B25" s="477"/>
      <c r="C25" s="478"/>
      <c r="D25" s="478"/>
      <c r="E25" s="478"/>
      <c r="F25" s="478"/>
      <c r="G25" s="479"/>
      <c r="H25" s="6"/>
      <c r="I25" s="18"/>
    </row>
    <row r="26" spans="2:9" x14ac:dyDescent="0.3">
      <c r="B26" s="684"/>
      <c r="C26" s="685"/>
      <c r="D26" s="685"/>
      <c r="E26" s="685"/>
      <c r="F26" s="685"/>
      <c r="G26" s="686"/>
      <c r="H26" s="6"/>
      <c r="I26" s="18"/>
    </row>
    <row r="27" spans="2:9" x14ac:dyDescent="0.3">
      <c r="B27" s="11"/>
      <c r="C27" s="12"/>
      <c r="D27" s="12"/>
      <c r="E27" s="12"/>
      <c r="F27" s="12"/>
      <c r="G27" s="13"/>
      <c r="H27" s="6"/>
      <c r="I27" s="18"/>
    </row>
    <row r="28" spans="2:9" x14ac:dyDescent="0.3">
      <c r="B28" s="681"/>
      <c r="C28" s="682"/>
      <c r="D28" s="682"/>
      <c r="E28" s="682"/>
      <c r="F28" s="682"/>
      <c r="G28" s="683"/>
      <c r="H28" s="6"/>
      <c r="I28" s="18"/>
    </row>
    <row r="29" spans="2:9" x14ac:dyDescent="0.3">
      <c r="B29" s="477"/>
      <c r="C29" s="478"/>
      <c r="D29" s="478"/>
      <c r="E29" s="478"/>
      <c r="F29" s="478"/>
      <c r="G29" s="479"/>
      <c r="H29" s="6"/>
      <c r="I29" s="18"/>
    </row>
    <row r="30" spans="2:9" x14ac:dyDescent="0.3">
      <c r="B30" s="477"/>
      <c r="C30" s="478"/>
      <c r="D30" s="478"/>
      <c r="E30" s="478"/>
      <c r="F30" s="478"/>
      <c r="G30" s="479"/>
      <c r="H30" s="6"/>
      <c r="I30" s="18"/>
    </row>
    <row r="31" spans="2:9" x14ac:dyDescent="0.3">
      <c r="B31" s="684"/>
      <c r="C31" s="685"/>
      <c r="D31" s="685"/>
      <c r="E31" s="685"/>
      <c r="F31" s="685"/>
      <c r="G31" s="686"/>
      <c r="H31" s="6"/>
      <c r="I31" s="18"/>
    </row>
    <row r="32" spans="2:9" x14ac:dyDescent="0.3">
      <c r="B32" s="11"/>
      <c r="C32" s="12"/>
      <c r="D32" s="12"/>
      <c r="E32" s="12"/>
      <c r="F32" s="12"/>
      <c r="G32" s="13"/>
      <c r="H32" s="6"/>
      <c r="I32" s="18"/>
    </row>
    <row r="33" spans="2:9" x14ac:dyDescent="0.3">
      <c r="B33" s="681"/>
      <c r="C33" s="682"/>
      <c r="D33" s="682"/>
      <c r="E33" s="682"/>
      <c r="F33" s="682"/>
      <c r="G33" s="683"/>
      <c r="H33" s="6"/>
      <c r="I33" s="18"/>
    </row>
    <row r="34" spans="2:9" x14ac:dyDescent="0.3">
      <c r="B34" s="477"/>
      <c r="C34" s="478"/>
      <c r="D34" s="478"/>
      <c r="E34" s="478"/>
      <c r="F34" s="478"/>
      <c r="G34" s="479"/>
      <c r="H34" s="6"/>
      <c r="I34" s="18"/>
    </row>
    <row r="35" spans="2:9" x14ac:dyDescent="0.3">
      <c r="B35" s="477"/>
      <c r="C35" s="478"/>
      <c r="D35" s="478"/>
      <c r="E35" s="478"/>
      <c r="F35" s="478"/>
      <c r="G35" s="479"/>
      <c r="H35" s="6"/>
      <c r="I35" s="18"/>
    </row>
    <row r="36" spans="2:9" x14ac:dyDescent="0.3">
      <c r="B36" s="684"/>
      <c r="C36" s="685"/>
      <c r="D36" s="685"/>
      <c r="E36" s="685"/>
      <c r="F36" s="685"/>
      <c r="G36" s="686"/>
      <c r="H36" s="6"/>
      <c r="I36" s="18"/>
    </row>
    <row r="37" spans="2:9" x14ac:dyDescent="0.3">
      <c r="B37" s="11"/>
      <c r="C37" s="12"/>
      <c r="D37" s="12"/>
      <c r="E37" s="12"/>
      <c r="F37" s="12"/>
      <c r="G37" s="13"/>
      <c r="H37" s="6"/>
      <c r="I37" s="18"/>
    </row>
    <row r="38" spans="2:9" x14ac:dyDescent="0.3">
      <c r="B38" s="681"/>
      <c r="C38" s="682"/>
      <c r="D38" s="682"/>
      <c r="E38" s="682"/>
      <c r="F38" s="682"/>
      <c r="G38" s="683"/>
      <c r="H38" s="6"/>
      <c r="I38" s="18"/>
    </row>
    <row r="39" spans="2:9" x14ac:dyDescent="0.3">
      <c r="B39" s="477"/>
      <c r="C39" s="478"/>
      <c r="D39" s="478"/>
      <c r="E39" s="478"/>
      <c r="F39" s="478"/>
      <c r="G39" s="479"/>
      <c r="H39" s="6"/>
      <c r="I39" s="18"/>
    </row>
    <row r="40" spans="2:9" x14ac:dyDescent="0.3">
      <c r="B40" s="477"/>
      <c r="C40" s="478"/>
      <c r="D40" s="478"/>
      <c r="E40" s="478"/>
      <c r="F40" s="478"/>
      <c r="G40" s="479"/>
      <c r="H40" s="6"/>
      <c r="I40" s="18"/>
    </row>
    <row r="41" spans="2:9" x14ac:dyDescent="0.3">
      <c r="B41" s="684"/>
      <c r="C41" s="685"/>
      <c r="D41" s="685"/>
      <c r="E41" s="685"/>
      <c r="F41" s="685"/>
      <c r="G41" s="686"/>
      <c r="H41" s="6"/>
      <c r="I41" s="18"/>
    </row>
    <row r="42" spans="2:9" x14ac:dyDescent="0.3">
      <c r="B42" s="11"/>
      <c r="C42" s="12"/>
      <c r="D42" s="12"/>
      <c r="E42" s="12"/>
      <c r="F42" s="12"/>
      <c r="G42" s="13"/>
      <c r="H42" s="6"/>
      <c r="I42" s="18"/>
    </row>
    <row r="43" spans="2:9" x14ac:dyDescent="0.3">
      <c r="B43" s="681"/>
      <c r="C43" s="682"/>
      <c r="D43" s="682"/>
      <c r="E43" s="682"/>
      <c r="F43" s="682"/>
      <c r="G43" s="683"/>
      <c r="H43" s="6"/>
      <c r="I43" s="18"/>
    </row>
    <row r="44" spans="2:9" x14ac:dyDescent="0.3">
      <c r="B44" s="477"/>
      <c r="C44" s="478"/>
      <c r="D44" s="478"/>
      <c r="E44" s="478"/>
      <c r="F44" s="478"/>
      <c r="G44" s="479"/>
      <c r="H44" s="6"/>
      <c r="I44" s="18"/>
    </row>
    <row r="45" spans="2:9" x14ac:dyDescent="0.3">
      <c r="B45" s="477"/>
      <c r="C45" s="478"/>
      <c r="D45" s="478"/>
      <c r="E45" s="478"/>
      <c r="F45" s="478"/>
      <c r="G45" s="479"/>
      <c r="H45" s="6"/>
      <c r="I45" s="18"/>
    </row>
    <row r="46" spans="2:9" x14ac:dyDescent="0.3">
      <c r="B46" s="684"/>
      <c r="C46" s="685"/>
      <c r="D46" s="685"/>
      <c r="E46" s="685"/>
      <c r="F46" s="685"/>
      <c r="G46" s="686"/>
      <c r="H46" s="6"/>
      <c r="I46" s="18"/>
    </row>
    <row r="47" spans="2:9" x14ac:dyDescent="0.3">
      <c r="B47" s="11"/>
      <c r="C47" s="12"/>
      <c r="D47" s="12"/>
      <c r="E47" s="12"/>
      <c r="F47" s="12"/>
      <c r="G47" s="13"/>
      <c r="H47" s="6"/>
      <c r="I47" s="18"/>
    </row>
    <row r="48" spans="2:9" x14ac:dyDescent="0.3">
      <c r="B48" s="681"/>
      <c r="C48" s="682"/>
      <c r="D48" s="682"/>
      <c r="E48" s="682"/>
      <c r="F48" s="682"/>
      <c r="G48" s="683"/>
      <c r="H48" s="6"/>
      <c r="I48" s="18"/>
    </row>
    <row r="49" spans="1:9" x14ac:dyDescent="0.3">
      <c r="B49" s="477"/>
      <c r="C49" s="478"/>
      <c r="D49" s="478"/>
      <c r="E49" s="478"/>
      <c r="F49" s="478"/>
      <c r="G49" s="479"/>
      <c r="H49" s="6"/>
      <c r="I49" s="18"/>
    </row>
    <row r="50" spans="1:9" x14ac:dyDescent="0.3">
      <c r="B50" s="477"/>
      <c r="C50" s="478"/>
      <c r="D50" s="478"/>
      <c r="E50" s="478"/>
      <c r="F50" s="478"/>
      <c r="G50" s="479"/>
      <c r="H50" s="6"/>
      <c r="I50" s="18"/>
    </row>
    <row r="51" spans="1:9" ht="17.25" thickBot="1" x14ac:dyDescent="0.35">
      <c r="B51" s="480"/>
      <c r="C51" s="481"/>
      <c r="D51" s="481"/>
      <c r="E51" s="481"/>
      <c r="F51" s="481"/>
      <c r="G51" s="482"/>
      <c r="H51" s="6"/>
      <c r="I51" s="18"/>
    </row>
    <row r="52" spans="1:9" x14ac:dyDescent="0.3">
      <c r="I52" s="18"/>
    </row>
    <row r="53" spans="1:9" x14ac:dyDescent="0.3">
      <c r="A53" s="18"/>
      <c r="B53" s="18"/>
      <c r="C53" s="18"/>
      <c r="D53" s="18"/>
      <c r="E53" s="18"/>
      <c r="F53" s="18"/>
      <c r="G53" s="18"/>
      <c r="H53" s="18"/>
      <c r="I53" s="18"/>
    </row>
  </sheetData>
  <sheetProtection algorithmName="SHA-512" hashValue="Tq+wz+/Hrd/6GKv5/ZH/mq1bZG1SYcqARNOT0R0rxxlz4n/0CjhhvBWvptpVHihs3XxhMjfppUFQ95YueQp35w==" saltValue="28SZGMz7r3duH3GudHcO2Q==" spinCount="100000" sheet="1" selectLockedCells="1"/>
  <mergeCells count="10">
    <mergeCell ref="B48:G51"/>
    <mergeCell ref="B2:C2"/>
    <mergeCell ref="B13:G16"/>
    <mergeCell ref="B11:G11"/>
    <mergeCell ref="B18:G21"/>
    <mergeCell ref="B23:G26"/>
    <mergeCell ref="B28:G31"/>
    <mergeCell ref="B33:G36"/>
    <mergeCell ref="B38:G41"/>
    <mergeCell ref="B43:G46"/>
  </mergeCells>
  <hyperlinks>
    <hyperlink ref="E4" location="Instructions!C33" display="Back to Instructions tab" xr:uid="{00000000-0004-0000-0C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70C0"/>
  </sheetPr>
  <dimension ref="A1:G20"/>
  <sheetViews>
    <sheetView showGridLines="0" zoomScale="80" zoomScaleNormal="80" workbookViewId="0">
      <selection activeCell="E15" sqref="E15"/>
    </sheetView>
  </sheetViews>
  <sheetFormatPr defaultColWidth="9.140625" defaultRowHeight="16.5" x14ac:dyDescent="0.3"/>
  <cols>
    <col min="1" max="1" width="3.5703125" style="1" customWidth="1"/>
    <col min="2" max="2" width="32.5703125" style="1" customWidth="1"/>
    <col min="3" max="3" width="60.140625" style="1" customWidth="1"/>
    <col min="4" max="4" width="24" style="1" customWidth="1"/>
    <col min="5" max="5" width="38.42578125" style="1" customWidth="1"/>
    <col min="6" max="6" width="4.42578125" style="1" customWidth="1"/>
    <col min="7" max="7" width="3.85546875" style="1" customWidth="1"/>
    <col min="8" max="16384" width="9.140625" style="1"/>
  </cols>
  <sheetData>
    <row r="1" spans="1:7" ht="17.25" thickBot="1" x14ac:dyDescent="0.35">
      <c r="G1" s="22"/>
    </row>
    <row r="2" spans="1:7" ht="17.100000000000001" customHeight="1" thickBot="1" x14ac:dyDescent="0.35">
      <c r="B2" s="442" t="str">
        <f>'Version Control'!$B$2</f>
        <v>Title Block</v>
      </c>
      <c r="C2" s="443"/>
      <c r="G2" s="22"/>
    </row>
    <row r="3" spans="1:7" ht="17.100000000000001" customHeight="1" x14ac:dyDescent="0.3">
      <c r="B3" s="35" t="str">
        <f>'Version Control'!$B$3</f>
        <v>Test Report Template Name:</v>
      </c>
      <c r="C3" s="89" t="str">
        <f>'Version Control'!$C$3</f>
        <v>Portable Air Conditioners</v>
      </c>
      <c r="G3" s="22"/>
    </row>
    <row r="4" spans="1:7" ht="17.100000000000001" customHeight="1" x14ac:dyDescent="0.3">
      <c r="B4" s="88" t="str">
        <f>'Version Control'!$B$4</f>
        <v>Version Number:</v>
      </c>
      <c r="C4" s="214" t="str">
        <f>'Version Control'!$C$4</f>
        <v>v2.1</v>
      </c>
      <c r="E4" s="7" t="s">
        <v>58</v>
      </c>
      <c r="G4" s="22"/>
    </row>
    <row r="5" spans="1:7" ht="17.100000000000001" customHeight="1" x14ac:dyDescent="0.3">
      <c r="B5" s="34" t="str">
        <f>'Version Control'!$B$5</f>
        <v xml:space="preserve">Latest Template Revision: </v>
      </c>
      <c r="C5" s="40">
        <f>'Version Control'!$C$5</f>
        <v>45611</v>
      </c>
      <c r="G5" s="22"/>
    </row>
    <row r="6" spans="1:7" ht="17.100000000000001" customHeight="1" x14ac:dyDescent="0.3">
      <c r="B6" s="34" t="str">
        <f>'Version Control'!$B$6</f>
        <v>Tab Name:</v>
      </c>
      <c r="C6" s="214" t="str">
        <f ca="1">MID(CELL("filename",A1), FIND("]", CELL("filename", A1))+ 1, 255)</f>
        <v>Report Sign-Off Block</v>
      </c>
      <c r="G6" s="22"/>
    </row>
    <row r="7" spans="1:7" ht="17.100000000000001" customHeight="1" x14ac:dyDescent="0.3">
      <c r="B7" s="47" t="str">
        <f>'Version Control'!$B$7</f>
        <v>File Name:</v>
      </c>
      <c r="C7" s="215" t="str">
        <f ca="1">'Version Control'!$C$7</f>
        <v>Portable Air Conditioners - v2.1.xlsx</v>
      </c>
      <c r="G7" s="22"/>
    </row>
    <row r="8" spans="1:7" ht="17.100000000000001" customHeight="1" thickBot="1" x14ac:dyDescent="0.35">
      <c r="B8" s="36" t="str">
        <f>'Version Control'!$B$8</f>
        <v xml:space="preserve">Test Completion Date: </v>
      </c>
      <c r="C8" s="41" t="str">
        <f>'Version Control'!$C$8</f>
        <v>[MM/DD/YYYY]</v>
      </c>
      <c r="G8" s="22"/>
    </row>
    <row r="9" spans="1:7" x14ac:dyDescent="0.3">
      <c r="G9" s="22"/>
    </row>
    <row r="10" spans="1:7" ht="17.25" thickBot="1" x14ac:dyDescent="0.35">
      <c r="G10" s="22"/>
    </row>
    <row r="11" spans="1:7" ht="18" thickBot="1" x14ac:dyDescent="0.35">
      <c r="A11" s="2"/>
      <c r="B11" s="558" t="s">
        <v>73</v>
      </c>
      <c r="C11" s="559"/>
      <c r="D11" s="559"/>
      <c r="E11" s="560"/>
      <c r="G11" s="22"/>
    </row>
    <row r="12" spans="1:7" ht="17.100000000000001" customHeight="1" x14ac:dyDescent="0.3">
      <c r="A12" s="2"/>
      <c r="B12" s="689" t="s">
        <v>109</v>
      </c>
      <c r="C12" s="690"/>
      <c r="D12" s="690"/>
      <c r="E12" s="691"/>
      <c r="G12" s="22"/>
    </row>
    <row r="13" spans="1:7" ht="17.100000000000001" customHeight="1" thickBot="1" x14ac:dyDescent="0.35">
      <c r="A13" s="2"/>
      <c r="B13" s="692"/>
      <c r="C13" s="693"/>
      <c r="D13" s="693"/>
      <c r="E13" s="694"/>
      <c r="G13" s="22"/>
    </row>
    <row r="14" spans="1:7" ht="18" thickBot="1" x14ac:dyDescent="0.4">
      <c r="A14" s="2"/>
      <c r="B14" s="695" t="s">
        <v>30</v>
      </c>
      <c r="C14" s="696"/>
      <c r="D14" s="168" t="s">
        <v>29</v>
      </c>
      <c r="E14" s="169" t="s">
        <v>31</v>
      </c>
      <c r="G14" s="22"/>
    </row>
    <row r="15" spans="1:7" x14ac:dyDescent="0.3">
      <c r="A15" s="2"/>
      <c r="B15" s="697" t="s">
        <v>32</v>
      </c>
      <c r="C15" s="698"/>
      <c r="D15" s="166" t="str">
        <f>'General Info &amp; Test Results'!C17</f>
        <v>[MM/DD/YYYY]</v>
      </c>
      <c r="E15" s="171" t="s">
        <v>111</v>
      </c>
      <c r="G15" s="22"/>
    </row>
    <row r="16" spans="1:7" x14ac:dyDescent="0.3">
      <c r="A16" s="2"/>
      <c r="B16" s="699" t="s">
        <v>70</v>
      </c>
      <c r="C16" s="700"/>
      <c r="D16" s="114" t="s">
        <v>50</v>
      </c>
      <c r="E16" s="113" t="s">
        <v>111</v>
      </c>
      <c r="G16" s="22"/>
    </row>
    <row r="17" spans="1:7" x14ac:dyDescent="0.3">
      <c r="A17" s="2"/>
      <c r="B17" s="699" t="s">
        <v>110</v>
      </c>
      <c r="C17" s="700"/>
      <c r="D17" s="114" t="s">
        <v>50</v>
      </c>
      <c r="E17" s="113" t="s">
        <v>111</v>
      </c>
      <c r="G17" s="22"/>
    </row>
    <row r="18" spans="1:7" ht="17.25" thickBot="1" x14ac:dyDescent="0.35">
      <c r="A18" s="2"/>
      <c r="B18" s="687" t="s">
        <v>110</v>
      </c>
      <c r="C18" s="688"/>
      <c r="D18" s="170" t="s">
        <v>50</v>
      </c>
      <c r="E18" s="120" t="s">
        <v>111</v>
      </c>
      <c r="G18" s="22"/>
    </row>
    <row r="19" spans="1:7" x14ac:dyDescent="0.3">
      <c r="G19" s="22"/>
    </row>
    <row r="20" spans="1:7" x14ac:dyDescent="0.3">
      <c r="A20" s="22"/>
      <c r="B20" s="22"/>
      <c r="C20" s="22"/>
      <c r="D20" s="22"/>
      <c r="E20" s="22"/>
      <c r="F20" s="22"/>
      <c r="G20" s="22"/>
    </row>
  </sheetData>
  <sheetProtection algorithmName="SHA-512" hashValue="5gul7v+FgDcV/9uoflsXCoTCyDvQ8tFA+UXM2Q4GaYolawgDpyI+uMiNO/E+it3f8um3xgsBLfZU9atMA8xNOQ==" saltValue="WdCCbpKvXmy7J3PAVSOUgw==" spinCount="100000" sheet="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D00-000000000000}"/>
  </hyperlinks>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F19"/>
  <sheetViews>
    <sheetView zoomScale="80" zoomScaleNormal="80" workbookViewId="0">
      <selection activeCell="C15" sqref="C15"/>
    </sheetView>
  </sheetViews>
  <sheetFormatPr defaultColWidth="9.140625" defaultRowHeight="15" x14ac:dyDescent="0.25"/>
  <cols>
    <col min="1" max="1" width="5.42578125" style="247" customWidth="1"/>
    <col min="2" max="2" width="30.7109375" style="247" customWidth="1"/>
    <col min="3" max="3" width="53.85546875" style="247" customWidth="1"/>
    <col min="4" max="4" width="8.85546875" style="247" customWidth="1"/>
    <col min="5" max="5" width="6.5703125" style="247" customWidth="1"/>
    <col min="6" max="6" width="4.140625" style="247" customWidth="1"/>
    <col min="7" max="16384" width="9.140625" style="247"/>
  </cols>
  <sheetData>
    <row r="1" spans="2:6" ht="15.75" thickBot="1" x14ac:dyDescent="0.3">
      <c r="F1" s="248"/>
    </row>
    <row r="2" spans="2:6" ht="18" thickBot="1" x14ac:dyDescent="0.3">
      <c r="B2" s="701" t="s">
        <v>22</v>
      </c>
      <c r="C2" s="702"/>
      <c r="F2" s="248"/>
    </row>
    <row r="3" spans="2:6" ht="16.5" x14ac:dyDescent="0.3">
      <c r="B3" s="249" t="s">
        <v>144</v>
      </c>
      <c r="C3" s="250" t="str">
        <f>'Version Control'!$C$3</f>
        <v>Portable Air Conditioners</v>
      </c>
      <c r="F3" s="248"/>
    </row>
    <row r="4" spans="2:6" ht="16.5" x14ac:dyDescent="0.3">
      <c r="B4" s="251" t="s">
        <v>25</v>
      </c>
      <c r="C4" s="252" t="str">
        <f>'Version Control'!$C$4</f>
        <v>v2.1</v>
      </c>
      <c r="F4" s="248"/>
    </row>
    <row r="5" spans="2:6" ht="16.5" x14ac:dyDescent="0.3">
      <c r="B5" s="251" t="s">
        <v>75</v>
      </c>
      <c r="C5" s="252">
        <f>'Version Control'!$C$5</f>
        <v>45611</v>
      </c>
      <c r="F5" s="248"/>
    </row>
    <row r="6" spans="2:6" ht="16.5" x14ac:dyDescent="0.3">
      <c r="B6" s="253" t="s">
        <v>24</v>
      </c>
      <c r="C6" s="254" t="str">
        <f ca="1">MID(CELL("filename",A1), FIND("]", CELL("filename", A1))+ 1, 255)</f>
        <v>Drop-Downs</v>
      </c>
      <c r="F6" s="248"/>
    </row>
    <row r="7" spans="2:6" ht="16.5" x14ac:dyDescent="0.25">
      <c r="B7" s="255" t="s">
        <v>23</v>
      </c>
      <c r="C7" s="256" t="str">
        <f ca="1">MID(CELL("FILENAME",F16),FIND("[",CELL("FILENAME",F16))+1,FIND("]",CELL("FILENAME",F16))-FIND("[",CELL("FILENAME",F16))-1)</f>
        <v>Portable Air Conditioners - v2.1.xlsx</v>
      </c>
      <c r="F7" s="248"/>
    </row>
    <row r="8" spans="2:6" ht="17.25" thickBot="1" x14ac:dyDescent="0.35">
      <c r="B8" s="257" t="s">
        <v>26</v>
      </c>
      <c r="C8" s="258" t="str">
        <f>'Version Control'!$C$8</f>
        <v>[MM/DD/YYYY]</v>
      </c>
      <c r="F8" s="248"/>
    </row>
    <row r="9" spans="2:6" ht="16.5" x14ac:dyDescent="0.3">
      <c r="B9" s="259"/>
      <c r="C9" s="260"/>
      <c r="F9" s="248"/>
    </row>
    <row r="10" spans="2:6" ht="16.5" x14ac:dyDescent="0.3">
      <c r="B10" s="259"/>
      <c r="C10" s="260"/>
      <c r="F10" s="248"/>
    </row>
    <row r="11" spans="2:6" ht="16.5" x14ac:dyDescent="0.3">
      <c r="B11" s="261" t="s">
        <v>294</v>
      </c>
      <c r="C11" s="262"/>
      <c r="E11" s="261"/>
      <c r="F11" s="248"/>
    </row>
    <row r="12" spans="2:6" ht="16.5" x14ac:dyDescent="0.3">
      <c r="B12" s="263" t="s">
        <v>295</v>
      </c>
      <c r="C12" s="262"/>
      <c r="E12" s="261"/>
      <c r="F12" s="248"/>
    </row>
    <row r="13" spans="2:6" ht="16.5" x14ac:dyDescent="0.3">
      <c r="B13" s="264" t="s">
        <v>296</v>
      </c>
      <c r="C13" s="262"/>
      <c r="E13" s="261"/>
      <c r="F13" s="248"/>
    </row>
    <row r="14" spans="2:6" ht="16.5" x14ac:dyDescent="0.3">
      <c r="B14" s="262"/>
      <c r="C14" s="262"/>
      <c r="D14" s="261"/>
      <c r="E14" s="261"/>
      <c r="F14" s="248"/>
    </row>
    <row r="15" spans="2:6" ht="16.5" x14ac:dyDescent="0.3">
      <c r="B15" s="262" t="s">
        <v>366</v>
      </c>
      <c r="C15" s="262"/>
      <c r="D15" s="261"/>
      <c r="E15" s="261"/>
      <c r="F15" s="248"/>
    </row>
    <row r="16" spans="2:6" ht="16.5" x14ac:dyDescent="0.3">
      <c r="B16" s="263" t="s">
        <v>368</v>
      </c>
      <c r="C16" s="262"/>
      <c r="D16" s="261"/>
      <c r="E16" s="261"/>
      <c r="F16" s="248"/>
    </row>
    <row r="17" spans="1:6" ht="16.5" x14ac:dyDescent="0.3">
      <c r="B17" s="264" t="s">
        <v>367</v>
      </c>
      <c r="C17" s="262"/>
      <c r="D17" s="261"/>
      <c r="E17" s="261"/>
      <c r="F17" s="248"/>
    </row>
    <row r="18" spans="1:6" ht="16.5" x14ac:dyDescent="0.3">
      <c r="B18" s="262"/>
      <c r="C18" s="262"/>
      <c r="D18" s="261"/>
      <c r="E18" s="261"/>
      <c r="F18" s="248"/>
    </row>
    <row r="19" spans="1:6" x14ac:dyDescent="0.25">
      <c r="A19" s="248"/>
      <c r="B19" s="248"/>
      <c r="C19" s="248"/>
      <c r="D19" s="248"/>
      <c r="E19" s="248"/>
      <c r="F19" s="248"/>
    </row>
  </sheetData>
  <sheetProtection algorithmName="SHA-512" hashValue="0Q0yoW+NSanP6oVEqXyizYrxilZEugx8Uo8o6j95WpFJc1a4kaT+QKfzYmuOs1iLvxpt9JFVjwCo25sPou8wjw==" saltValue="SGSNxDwW/NxY0vQ6fpy91Q==" spinCount="100000" sheet="1" selectLockedCells="1"/>
  <mergeCells count="1">
    <mergeCell ref="B2:C2"/>
  </mergeCells>
  <conditionalFormatting sqref="A1:F1 A2:B2 D2:F2 A3:F10 A14:F19 A11:C13 E11:F13">
    <cfRule type="expression" dxfId="0" priority="1" stopIfTrue="1">
      <formula>CELL("Protect",A1)=0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G28"/>
  <sheetViews>
    <sheetView showGridLines="0" zoomScale="80" zoomScaleNormal="80" workbookViewId="0">
      <selection activeCell="E4" sqref="E4"/>
    </sheetView>
  </sheetViews>
  <sheetFormatPr defaultColWidth="9.140625" defaultRowHeight="16.5" x14ac:dyDescent="0.3"/>
  <cols>
    <col min="1" max="1" width="7.140625" style="15" customWidth="1"/>
    <col min="2" max="2" width="32.5703125" style="17" customWidth="1"/>
    <col min="3" max="3" width="59.42578125" style="14" customWidth="1"/>
    <col min="4" max="4" width="6.42578125" style="15" customWidth="1"/>
    <col min="5" max="5" width="25.140625" style="15" bestFit="1" customWidth="1"/>
    <col min="6" max="6" width="4.5703125" style="15" customWidth="1"/>
    <col min="7" max="7" width="3.85546875" style="15" customWidth="1"/>
    <col min="8" max="16384" width="9.140625" style="15"/>
  </cols>
  <sheetData>
    <row r="1" spans="2:7" ht="17.25" thickBot="1" x14ac:dyDescent="0.35">
      <c r="B1" s="14"/>
      <c r="C1" s="15"/>
      <c r="G1" s="19"/>
    </row>
    <row r="2" spans="2:7" ht="18" thickBot="1" x14ac:dyDescent="0.35">
      <c r="B2" s="701" t="s">
        <v>22</v>
      </c>
      <c r="C2" s="702"/>
      <c r="G2" s="19"/>
    </row>
    <row r="3" spans="2:7" x14ac:dyDescent="0.3">
      <c r="B3" s="90" t="s">
        <v>144</v>
      </c>
      <c r="C3" s="95" t="s">
        <v>160</v>
      </c>
      <c r="G3" s="19"/>
    </row>
    <row r="4" spans="2:7" x14ac:dyDescent="0.3">
      <c r="B4" s="91" t="s">
        <v>25</v>
      </c>
      <c r="C4" s="211" t="str">
        <f>INDEX(B13:B55,COUNTA(B13:B55),1)</f>
        <v>v2.1</v>
      </c>
      <c r="E4" s="7" t="s">
        <v>58</v>
      </c>
      <c r="G4" s="19"/>
    </row>
    <row r="5" spans="2:7" x14ac:dyDescent="0.3">
      <c r="B5" s="91" t="s">
        <v>75</v>
      </c>
      <c r="C5" s="94">
        <f>IF(MAX(B13:C97)=0,"No Revisions Dates Entered",MAX(C13:C97))</f>
        <v>45611</v>
      </c>
      <c r="G5" s="19"/>
    </row>
    <row r="6" spans="2:7" x14ac:dyDescent="0.3">
      <c r="B6" s="92" t="s">
        <v>24</v>
      </c>
      <c r="C6" s="93" t="str">
        <f ca="1">MID(CELL("filename",A1), FIND("]", CELL("filename", A1))+ 1, 255)</f>
        <v>Version Control</v>
      </c>
      <c r="G6" s="19"/>
    </row>
    <row r="7" spans="2:7" ht="36" customHeight="1" x14ac:dyDescent="0.3">
      <c r="B7" s="212" t="s">
        <v>23</v>
      </c>
      <c r="C7" s="213" t="str">
        <f ca="1">MID(CELL("FILENAME",F16),FIND("[",CELL("FILENAME",F16))+1,FIND("]",CELL("FILENAME",F16))-FIND("[",CELL("FILENAME",F16))-1)</f>
        <v>Portable Air Conditioners - v2.1.xlsx</v>
      </c>
      <c r="G7" s="19"/>
    </row>
    <row r="8" spans="2:7" ht="17.25" thickBot="1" x14ac:dyDescent="0.35">
      <c r="B8" s="96" t="s">
        <v>26</v>
      </c>
      <c r="C8" s="97" t="str">
        <f>'General Info &amp; Test Results'!C17</f>
        <v>[MM/DD/YYYY]</v>
      </c>
      <c r="G8" s="19"/>
    </row>
    <row r="9" spans="2:7" x14ac:dyDescent="0.3">
      <c r="B9" s="15"/>
      <c r="C9" s="15"/>
      <c r="G9" s="19"/>
    </row>
    <row r="10" spans="2:7" ht="17.25" thickBot="1" x14ac:dyDescent="0.35">
      <c r="B10" s="15"/>
      <c r="C10" s="15"/>
      <c r="G10" s="19"/>
    </row>
    <row r="11" spans="2:7" ht="18" thickBot="1" x14ac:dyDescent="0.35">
      <c r="B11" s="30" t="s">
        <v>27</v>
      </c>
      <c r="C11" s="31"/>
      <c r="G11" s="19"/>
    </row>
    <row r="12" spans="2:7" ht="18" thickBot="1" x14ac:dyDescent="0.4">
      <c r="B12" s="32" t="s">
        <v>28</v>
      </c>
      <c r="C12" s="33" t="s">
        <v>29</v>
      </c>
      <c r="G12" s="19"/>
    </row>
    <row r="13" spans="2:7" x14ac:dyDescent="0.3">
      <c r="B13" s="103">
        <v>0.3</v>
      </c>
      <c r="C13" s="104">
        <v>42888</v>
      </c>
      <c r="G13" s="19"/>
    </row>
    <row r="14" spans="2:7" x14ac:dyDescent="0.3">
      <c r="B14" s="98">
        <v>0.4</v>
      </c>
      <c r="C14" s="99">
        <v>43126</v>
      </c>
      <c r="D14" s="16"/>
      <c r="E14" s="16"/>
      <c r="F14" s="16"/>
      <c r="G14" s="19"/>
    </row>
    <row r="15" spans="2:7" x14ac:dyDescent="0.3">
      <c r="B15" s="98" t="s">
        <v>293</v>
      </c>
      <c r="C15" s="99">
        <v>43143</v>
      </c>
      <c r="G15" s="19"/>
    </row>
    <row r="16" spans="2:7" x14ac:dyDescent="0.3">
      <c r="B16" s="98" t="s">
        <v>300</v>
      </c>
      <c r="C16" s="99">
        <v>45160</v>
      </c>
      <c r="G16" s="19"/>
    </row>
    <row r="17" spans="1:7" x14ac:dyDescent="0.3">
      <c r="B17" s="100" t="s">
        <v>590</v>
      </c>
      <c r="C17" s="99">
        <v>45611</v>
      </c>
      <c r="G17" s="19"/>
    </row>
    <row r="18" spans="1:7" x14ac:dyDescent="0.3">
      <c r="B18" s="172"/>
      <c r="C18" s="173"/>
      <c r="G18" s="19"/>
    </row>
    <row r="19" spans="1:7" x14ac:dyDescent="0.3">
      <c r="B19" s="172"/>
      <c r="C19" s="173"/>
      <c r="G19" s="19"/>
    </row>
    <row r="20" spans="1:7" x14ac:dyDescent="0.3">
      <c r="B20" s="172"/>
      <c r="C20" s="173"/>
      <c r="G20" s="19"/>
    </row>
    <row r="21" spans="1:7" x14ac:dyDescent="0.3">
      <c r="B21" s="172"/>
      <c r="C21" s="173"/>
      <c r="G21" s="19"/>
    </row>
    <row r="22" spans="1:7" x14ac:dyDescent="0.3">
      <c r="B22" s="172"/>
      <c r="C22" s="173"/>
      <c r="G22" s="19"/>
    </row>
    <row r="23" spans="1:7" x14ac:dyDescent="0.3">
      <c r="B23" s="172"/>
      <c r="C23" s="173"/>
      <c r="G23" s="19"/>
    </row>
    <row r="24" spans="1:7" x14ac:dyDescent="0.3">
      <c r="B24" s="172"/>
      <c r="C24" s="173"/>
      <c r="G24" s="19"/>
    </row>
    <row r="25" spans="1:7" x14ac:dyDescent="0.3">
      <c r="B25" s="172"/>
      <c r="C25" s="173"/>
      <c r="G25" s="19"/>
    </row>
    <row r="26" spans="1:7" ht="17.25" thickBot="1" x14ac:dyDescent="0.35">
      <c r="B26" s="101"/>
      <c r="C26" s="102"/>
      <c r="G26" s="19"/>
    </row>
    <row r="27" spans="1:7" x14ac:dyDescent="0.3">
      <c r="G27" s="19"/>
    </row>
    <row r="28" spans="1:7" x14ac:dyDescent="0.3">
      <c r="A28" s="19"/>
      <c r="B28" s="20"/>
      <c r="C28" s="21"/>
      <c r="D28" s="19"/>
      <c r="E28" s="19"/>
      <c r="F28" s="19"/>
      <c r="G28" s="19"/>
    </row>
  </sheetData>
  <sheetProtection algorithmName="SHA-512" hashValue="xo7/CHH/T1P4WUBX//s2R3w6CgjG3wyFxn5tykjNmtxNVFskpZUPQQrYd8m7AiekdPuX6EalosIURlFo3Hw8Zg==" saltValue="+QG3gXFtRQwvFiW5enX01Q==" spinCount="100000" sheet="1" selectLockedCells="1"/>
  <mergeCells count="1">
    <mergeCell ref="B2:C2"/>
  </mergeCells>
  <hyperlinks>
    <hyperlink ref="E4" location="Instructions!C33" display="Back to Instructions tab" xr:uid="{00000000-0004-0000-0F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41"/>
  <sheetViews>
    <sheetView showGridLines="0" zoomScale="80" zoomScaleNormal="80" zoomScaleSheetLayoutView="85" workbookViewId="0">
      <selection activeCell="C12" sqref="C12"/>
    </sheetView>
  </sheetViews>
  <sheetFormatPr defaultColWidth="9.140625" defaultRowHeight="16.5" x14ac:dyDescent="0.25"/>
  <cols>
    <col min="1" max="1" width="5.5703125" style="42" customWidth="1"/>
    <col min="2" max="2" width="36.42578125" style="42" customWidth="1"/>
    <col min="3" max="3" width="60.85546875" style="42" bestFit="1" customWidth="1"/>
    <col min="4" max="4" width="6.5703125" style="42" customWidth="1"/>
    <col min="5" max="5" width="49.5703125" style="42" customWidth="1"/>
    <col min="6" max="6" width="24.5703125" style="42" customWidth="1"/>
    <col min="7" max="7" width="21.7109375" style="42" customWidth="1"/>
    <col min="8" max="8" width="24.140625" style="42" customWidth="1"/>
    <col min="9" max="9" width="5.28515625" style="42" customWidth="1"/>
    <col min="10" max="10" width="4.28515625" style="42" customWidth="1"/>
    <col min="11" max="16384" width="9.140625" style="42"/>
  </cols>
  <sheetData>
    <row r="1" spans="2:10" ht="17.25" thickBot="1" x14ac:dyDescent="0.3">
      <c r="J1" s="43"/>
    </row>
    <row r="2" spans="2:10" ht="17.100000000000001" customHeight="1" thickBot="1" x14ac:dyDescent="0.3">
      <c r="B2" s="442" t="str">
        <f>'Version Control'!$B$2</f>
        <v>Title Block</v>
      </c>
      <c r="C2" s="443"/>
      <c r="J2" s="43"/>
    </row>
    <row r="3" spans="2:10" ht="17.100000000000001" customHeight="1" x14ac:dyDescent="0.3">
      <c r="B3" s="35" t="str">
        <f>'Version Control'!$B$3</f>
        <v>Test Report Template Name:</v>
      </c>
      <c r="C3" s="89" t="str">
        <f>'Version Control'!$C$3</f>
        <v>Portable Air Conditioners</v>
      </c>
      <c r="J3" s="43"/>
    </row>
    <row r="4" spans="2:10" ht="17.100000000000001" customHeight="1" x14ac:dyDescent="0.3">
      <c r="B4" s="88" t="str">
        <f>'Version Control'!$B$4</f>
        <v>Version Number:</v>
      </c>
      <c r="C4" s="214" t="str">
        <f>'Version Control'!$C$4</f>
        <v>v2.1</v>
      </c>
      <c r="E4" s="44" t="s">
        <v>58</v>
      </c>
      <c r="J4" s="43"/>
    </row>
    <row r="5" spans="2:10" ht="17.100000000000001" customHeight="1" x14ac:dyDescent="0.3">
      <c r="B5" s="34" t="str">
        <f>'Version Control'!$B$5</f>
        <v xml:space="preserve">Latest Template Revision: </v>
      </c>
      <c r="C5" s="40">
        <f>'Version Control'!$C$5</f>
        <v>45611</v>
      </c>
      <c r="J5" s="43"/>
    </row>
    <row r="6" spans="2:10" ht="17.100000000000001" customHeight="1" x14ac:dyDescent="0.3">
      <c r="B6" s="34" t="str">
        <f>'Version Control'!$B$6</f>
        <v>Tab Name:</v>
      </c>
      <c r="C6" s="214" t="str">
        <f ca="1">MID(CELL("filename",A1), FIND("]", CELL("filename", A1))+ 1, 255)</f>
        <v>General Info &amp; Test Results</v>
      </c>
      <c r="J6" s="43"/>
    </row>
    <row r="7" spans="2:10" ht="17.100000000000001" customHeight="1" thickBot="1" x14ac:dyDescent="0.3">
      <c r="B7" s="47" t="str">
        <f>'Version Control'!$B$7</f>
        <v>File Name:</v>
      </c>
      <c r="C7" s="215" t="str">
        <f ca="1">'Version Control'!$C$7</f>
        <v>Portable Air Conditioners - v2.1.xlsx</v>
      </c>
      <c r="J7" s="43"/>
    </row>
    <row r="8" spans="2:10" ht="17.100000000000001" customHeight="1" thickBot="1" x14ac:dyDescent="0.35">
      <c r="B8" s="36" t="str">
        <f>'Version Control'!$B$8</f>
        <v xml:space="preserve">Test Completion Date: </v>
      </c>
      <c r="C8" s="41" t="str">
        <f>'Version Control'!$C$8</f>
        <v>[MM/DD/YYYY]</v>
      </c>
      <c r="E8" s="242" t="s">
        <v>372</v>
      </c>
      <c r="F8" s="48"/>
      <c r="G8" s="243"/>
      <c r="J8" s="43"/>
    </row>
    <row r="9" spans="2:10" ht="17.100000000000001" customHeight="1" x14ac:dyDescent="0.3">
      <c r="B9" s="240"/>
      <c r="C9" s="241"/>
      <c r="E9" s="50" t="s">
        <v>18</v>
      </c>
      <c r="F9" s="51" t="s">
        <v>55</v>
      </c>
      <c r="G9" s="52" t="s">
        <v>37</v>
      </c>
      <c r="J9" s="43"/>
    </row>
    <row r="10" spans="2:10" ht="17.100000000000001" customHeight="1" thickBot="1" x14ac:dyDescent="0.35">
      <c r="B10" s="240"/>
      <c r="C10" s="241"/>
      <c r="E10" s="193" t="s">
        <v>161</v>
      </c>
      <c r="F10" s="217">
        <f>'Data &amp; Calcs Cooling Mode - SS'!H152</f>
        <v>0</v>
      </c>
      <c r="G10" s="194" t="s">
        <v>162</v>
      </c>
      <c r="J10" s="43"/>
    </row>
    <row r="11" spans="2:10" ht="17.100000000000001" customHeight="1" thickBot="1" x14ac:dyDescent="0.3">
      <c r="B11" s="25" t="s">
        <v>20</v>
      </c>
      <c r="C11" s="26"/>
      <c r="E11" s="195" t="s">
        <v>163</v>
      </c>
      <c r="F11" s="269">
        <f>IFERROR('Data &amp; Calcs Cooling Mode - SS'!H165,0)</f>
        <v>0</v>
      </c>
      <c r="G11" s="196" t="s">
        <v>164</v>
      </c>
      <c r="J11" s="43"/>
    </row>
    <row r="12" spans="2:10" ht="17.100000000000001" customHeight="1" thickBot="1" x14ac:dyDescent="0.3">
      <c r="B12" s="54" t="s">
        <v>0</v>
      </c>
      <c r="C12" s="245"/>
      <c r="J12" s="43"/>
    </row>
    <row r="13" spans="2:10" ht="17.100000000000001" customHeight="1" thickBot="1" x14ac:dyDescent="0.3">
      <c r="B13" s="55" t="s">
        <v>38</v>
      </c>
      <c r="C13" s="246"/>
      <c r="E13" s="285" t="s">
        <v>373</v>
      </c>
      <c r="F13" s="48"/>
      <c r="G13" s="286"/>
      <c r="J13" s="43"/>
    </row>
    <row r="14" spans="2:10" ht="17.100000000000001" customHeight="1" thickBot="1" x14ac:dyDescent="0.3">
      <c r="E14" s="50" t="s">
        <v>18</v>
      </c>
      <c r="F14" s="51" t="s">
        <v>55</v>
      </c>
      <c r="G14" s="52" t="s">
        <v>37</v>
      </c>
      <c r="J14" s="43"/>
    </row>
    <row r="15" spans="2:10" ht="17.100000000000001" customHeight="1" thickBot="1" x14ac:dyDescent="0.3">
      <c r="B15" s="25" t="s">
        <v>52</v>
      </c>
      <c r="C15" s="26"/>
      <c r="E15" s="193" t="s">
        <v>161</v>
      </c>
      <c r="F15" s="217">
        <f>'Data &amp; Calcs Cooling Mode - SS'!H151</f>
        <v>0</v>
      </c>
      <c r="G15" s="194" t="s">
        <v>162</v>
      </c>
      <c r="J15" s="43"/>
    </row>
    <row r="16" spans="2:10" ht="17.100000000000001" customHeight="1" thickBot="1" x14ac:dyDescent="0.3">
      <c r="B16" s="37" t="s">
        <v>39</v>
      </c>
      <c r="C16" s="209" t="s">
        <v>50</v>
      </c>
      <c r="E16" s="195" t="s">
        <v>163</v>
      </c>
      <c r="F16" s="268">
        <f>IFERROR('Data &amp; Calcs Cooling Mode - SS'!H164,0)</f>
        <v>0</v>
      </c>
      <c r="G16" s="196" t="s">
        <v>164</v>
      </c>
      <c r="J16" s="43"/>
    </row>
    <row r="17" spans="2:10" ht="17.100000000000001" customHeight="1" thickBot="1" x14ac:dyDescent="0.3">
      <c r="B17" s="38" t="s">
        <v>40</v>
      </c>
      <c r="C17" s="210" t="s">
        <v>50</v>
      </c>
      <c r="J17" s="43"/>
    </row>
    <row r="18" spans="2:10" ht="17.100000000000001" customHeight="1" thickBot="1" x14ac:dyDescent="0.3">
      <c r="E18" s="285" t="s">
        <v>370</v>
      </c>
      <c r="F18" s="48"/>
      <c r="G18" s="286"/>
      <c r="H18" s="56"/>
      <c r="J18" s="43"/>
    </row>
    <row r="19" spans="2:10" ht="17.100000000000001" customHeight="1" thickBot="1" x14ac:dyDescent="0.3">
      <c r="B19" s="25" t="s">
        <v>1</v>
      </c>
      <c r="C19" s="26"/>
      <c r="E19" s="50" t="s">
        <v>18</v>
      </c>
      <c r="F19" s="51" t="s">
        <v>55</v>
      </c>
      <c r="G19" s="52" t="s">
        <v>37</v>
      </c>
      <c r="H19" s="56"/>
      <c r="J19" s="43"/>
    </row>
    <row r="20" spans="2:10" ht="17.100000000000001" customHeight="1" x14ac:dyDescent="0.25">
      <c r="B20" s="47" t="s">
        <v>45</v>
      </c>
      <c r="C20" s="244"/>
      <c r="E20" s="193" t="s">
        <v>161</v>
      </c>
      <c r="F20" s="217">
        <f>'Data &amp; Calcs Cooling Mode - VS'!G199</f>
        <v>0</v>
      </c>
      <c r="G20" s="194" t="s">
        <v>162</v>
      </c>
      <c r="H20" s="56"/>
      <c r="J20" s="43"/>
    </row>
    <row r="21" spans="2:10" ht="17.100000000000001" customHeight="1" x14ac:dyDescent="0.25">
      <c r="B21" s="47" t="s">
        <v>46</v>
      </c>
      <c r="C21" s="115"/>
      <c r="E21" s="325" t="s">
        <v>369</v>
      </c>
      <c r="F21" s="326">
        <f>'Data &amp; Calcs Cooling Mode - VS'!G204</f>
        <v>0</v>
      </c>
      <c r="G21" s="327" t="s">
        <v>162</v>
      </c>
      <c r="J21" s="43"/>
    </row>
    <row r="22" spans="2:10" ht="17.100000000000001" customHeight="1" thickBot="1" x14ac:dyDescent="0.3">
      <c r="B22" s="47" t="s">
        <v>2</v>
      </c>
      <c r="C22" s="115"/>
      <c r="E22" s="195" t="s">
        <v>163</v>
      </c>
      <c r="F22" s="269">
        <f>IFERROR('Data &amp; Calcs Cooling Mode - VS'!G231,0)</f>
        <v>0</v>
      </c>
      <c r="G22" s="196" t="s">
        <v>164</v>
      </c>
      <c r="J22" s="43"/>
    </row>
    <row r="23" spans="2:10" ht="17.100000000000001" customHeight="1" thickBot="1" x14ac:dyDescent="0.3">
      <c r="B23" s="47" t="s">
        <v>47</v>
      </c>
      <c r="C23" s="115"/>
      <c r="J23" s="43"/>
    </row>
    <row r="24" spans="2:10" ht="17.100000000000001" customHeight="1" thickBot="1" x14ac:dyDescent="0.3">
      <c r="B24" s="47" t="s">
        <v>17</v>
      </c>
      <c r="C24" s="115"/>
      <c r="E24" s="285" t="s">
        <v>371</v>
      </c>
      <c r="F24" s="48"/>
      <c r="G24" s="286"/>
      <c r="J24" s="43"/>
    </row>
    <row r="25" spans="2:10" ht="17.100000000000001" customHeight="1" x14ac:dyDescent="0.25">
      <c r="B25" s="47" t="s">
        <v>44</v>
      </c>
      <c r="C25" s="209" t="s">
        <v>50</v>
      </c>
      <c r="E25" s="50" t="s">
        <v>18</v>
      </c>
      <c r="F25" s="51" t="s">
        <v>55</v>
      </c>
      <c r="G25" s="52" t="s">
        <v>37</v>
      </c>
      <c r="J25" s="43"/>
    </row>
    <row r="26" spans="2:10" ht="17.100000000000001" customHeight="1" x14ac:dyDescent="0.25">
      <c r="B26" s="47" t="s">
        <v>3</v>
      </c>
      <c r="C26" s="115"/>
      <c r="E26" s="193" t="s">
        <v>161</v>
      </c>
      <c r="F26" s="217">
        <f>'Data &amp; Calcs Cooling Mode - VS'!G200</f>
        <v>0</v>
      </c>
      <c r="G26" s="194" t="s">
        <v>162</v>
      </c>
      <c r="J26" s="43"/>
    </row>
    <row r="27" spans="2:10" ht="17.100000000000001" customHeight="1" x14ac:dyDescent="0.25">
      <c r="B27" s="47" t="s">
        <v>165</v>
      </c>
      <c r="C27" s="115"/>
      <c r="E27" s="325" t="s">
        <v>369</v>
      </c>
      <c r="F27" s="326">
        <f>'Data &amp; Calcs Cooling Mode - VS'!G205</f>
        <v>0</v>
      </c>
      <c r="G27" s="327" t="s">
        <v>162</v>
      </c>
      <c r="J27" s="43"/>
    </row>
    <row r="28" spans="2:10" ht="17.100000000000001" customHeight="1" thickBot="1" x14ac:dyDescent="0.3">
      <c r="B28" s="47" t="s">
        <v>366</v>
      </c>
      <c r="C28" s="115"/>
      <c r="D28" s="56"/>
      <c r="E28" s="195" t="s">
        <v>163</v>
      </c>
      <c r="F28" s="268">
        <f>IFERROR('Data &amp; Calcs Cooling Mode - VS'!G232,0)</f>
        <v>0</v>
      </c>
      <c r="G28" s="196" t="s">
        <v>164</v>
      </c>
      <c r="J28" s="43"/>
    </row>
    <row r="29" spans="2:10" ht="17.100000000000001" customHeight="1" x14ac:dyDescent="0.25">
      <c r="B29" s="471" t="s">
        <v>15</v>
      </c>
      <c r="C29" s="472"/>
      <c r="D29" s="56"/>
      <c r="J29" s="43"/>
    </row>
    <row r="30" spans="2:10" ht="17.100000000000001" customHeight="1" thickBot="1" x14ac:dyDescent="0.3">
      <c r="B30" s="47" t="s">
        <v>12</v>
      </c>
      <c r="C30" s="115"/>
      <c r="D30" s="56"/>
      <c r="E30" s="57" t="s">
        <v>69</v>
      </c>
      <c r="F30" s="53"/>
      <c r="G30" s="53"/>
      <c r="H30" s="56"/>
      <c r="J30" s="43"/>
    </row>
    <row r="31" spans="2:10" ht="17.100000000000001" customHeight="1" thickBot="1" x14ac:dyDescent="0.3">
      <c r="B31" s="37" t="s">
        <v>13</v>
      </c>
      <c r="C31" s="115"/>
      <c r="D31" s="56"/>
      <c r="E31" s="287" t="s">
        <v>73</v>
      </c>
      <c r="F31" s="288"/>
      <c r="G31" s="288"/>
      <c r="H31" s="289"/>
      <c r="J31" s="43"/>
    </row>
    <row r="32" spans="2:10" ht="17.100000000000001" customHeight="1" thickBot="1" x14ac:dyDescent="0.3">
      <c r="B32" s="38" t="s">
        <v>14</v>
      </c>
      <c r="C32" s="116"/>
      <c r="D32" s="56"/>
      <c r="E32" s="462" t="s">
        <v>102</v>
      </c>
      <c r="F32" s="463"/>
      <c r="G32" s="463"/>
      <c r="H32" s="464"/>
      <c r="J32" s="43"/>
    </row>
    <row r="33" spans="1:10" ht="17.100000000000001" customHeight="1" x14ac:dyDescent="0.25">
      <c r="D33" s="56"/>
      <c r="E33" s="465"/>
      <c r="F33" s="466"/>
      <c r="G33" s="466"/>
      <c r="H33" s="467"/>
      <c r="J33" s="43"/>
    </row>
    <row r="34" spans="1:10" ht="17.100000000000001" customHeight="1" thickBot="1" x14ac:dyDescent="0.3">
      <c r="D34" s="56"/>
      <c r="E34" s="468"/>
      <c r="F34" s="469"/>
      <c r="G34" s="469"/>
      <c r="H34" s="470"/>
      <c r="J34" s="43"/>
    </row>
    <row r="35" spans="1:10" ht="17.100000000000001" customHeight="1" thickBot="1" x14ac:dyDescent="0.4">
      <c r="D35" s="56"/>
      <c r="E35" s="183" t="s">
        <v>30</v>
      </c>
      <c r="F35" s="184"/>
      <c r="G35" s="168" t="s">
        <v>29</v>
      </c>
      <c r="H35" s="169" t="s">
        <v>31</v>
      </c>
      <c r="J35" s="43"/>
    </row>
    <row r="36" spans="1:10" ht="17.100000000000001" customHeight="1" x14ac:dyDescent="0.25">
      <c r="B36" s="56"/>
      <c r="C36" s="56"/>
      <c r="D36" s="56"/>
      <c r="E36" s="185" t="str">
        <f>IF('Report Sign-Off Block'!B15&lt;&gt;0,'Report Sign-Off Block'!B15,"")</f>
        <v>Test Completion</v>
      </c>
      <c r="F36" s="186"/>
      <c r="G36" s="166" t="str">
        <f>'Report Sign-Off Block'!D15</f>
        <v>[MM/DD/YYYY]</v>
      </c>
      <c r="H36" s="167" t="str">
        <f>IF('Report Sign-Off Block'!E15&lt;&gt;0,'Report Sign-Off Block'!E15,"")</f>
        <v>[Test Lab Name]</v>
      </c>
      <c r="J36" s="43"/>
    </row>
    <row r="37" spans="1:10" ht="17.100000000000001" customHeight="1" x14ac:dyDescent="0.25">
      <c r="B37" s="56"/>
      <c r="C37" s="56"/>
      <c r="D37" s="56"/>
      <c r="E37" s="187" t="str">
        <f>IF('Report Sign-Off Block'!B16&lt;&gt;0,'Report Sign-Off Block'!B16,"")</f>
        <v>Template Completion</v>
      </c>
      <c r="F37" s="188"/>
      <c r="G37" s="109" t="str">
        <f>'Report Sign-Off Block'!D16</f>
        <v>[MM/DD/YYYY]</v>
      </c>
      <c r="H37" s="110" t="str">
        <f>IF('Report Sign-Off Block'!E16&lt;&gt;0,'Report Sign-Off Block'!E16,"")</f>
        <v>[Test Lab Name]</v>
      </c>
      <c r="J37" s="43"/>
    </row>
    <row r="38" spans="1:10" ht="17.100000000000001" customHeight="1" x14ac:dyDescent="0.25">
      <c r="B38" s="56"/>
      <c r="C38" s="56"/>
      <c r="D38" s="56"/>
      <c r="E38" s="187" t="str">
        <f>IF('Report Sign-Off Block'!B17&lt;&gt;0,'Report Sign-Off Block'!B17,"")</f>
        <v>Report Reviewed by Test Lab</v>
      </c>
      <c r="F38" s="188"/>
      <c r="G38" s="109" t="str">
        <f>'Report Sign-Off Block'!D17</f>
        <v>[MM/DD/YYYY]</v>
      </c>
      <c r="H38" s="110" t="str">
        <f>IF('Report Sign-Off Block'!E17&lt;&gt;0,'Report Sign-Off Block'!E17,"")</f>
        <v>[Test Lab Name]</v>
      </c>
      <c r="J38" s="43"/>
    </row>
    <row r="39" spans="1:10" ht="17.100000000000001" customHeight="1" thickBot="1" x14ac:dyDescent="0.3">
      <c r="E39" s="189" t="str">
        <f>IF('Report Sign-Off Block'!B18&lt;&gt;0,'Report Sign-Off Block'!B18,"")</f>
        <v>Report Reviewed by Test Lab</v>
      </c>
      <c r="F39" s="190"/>
      <c r="G39" s="165" t="str">
        <f>'Report Sign-Off Block'!D18</f>
        <v>[MM/DD/YYYY]</v>
      </c>
      <c r="H39" s="111" t="str">
        <f>IF('Report Sign-Off Block'!E18&lt;&gt;0,'Report Sign-Off Block'!E18,"")</f>
        <v>[Test Lab Name]</v>
      </c>
      <c r="J39" s="43"/>
    </row>
    <row r="40" spans="1:10" x14ac:dyDescent="0.25">
      <c r="J40" s="43"/>
    </row>
    <row r="41" spans="1:10" x14ac:dyDescent="0.25">
      <c r="A41" s="43"/>
      <c r="B41" s="43"/>
      <c r="C41" s="43"/>
      <c r="D41" s="43"/>
      <c r="E41" s="43"/>
      <c r="F41" s="43"/>
      <c r="G41" s="43"/>
      <c r="H41" s="43"/>
      <c r="I41" s="43"/>
      <c r="J41" s="43"/>
    </row>
  </sheetData>
  <sheetProtection algorithmName="SHA-512" hashValue="seJBq7RmNT7hrQc1R70iMgFNPZvo5RijQA2bxNF4yKwHwJNJMMoo+sd16hY2LuWv3Sb9sVR1CjjZ6OrEm6CRZg==" saltValue="RD4wREmbpNDTUj9sLrfobw==" spinCount="100000" sheet="1" selectLockedCells="1"/>
  <mergeCells count="3">
    <mergeCell ref="E32:H34"/>
    <mergeCell ref="B2:C2"/>
    <mergeCell ref="B29:C29"/>
  </mergeCells>
  <conditionalFormatting sqref="E18:G28">
    <cfRule type="expression" dxfId="12" priority="1">
      <formula>$C$28="Single-Speed"</formula>
    </cfRule>
  </conditionalFormatting>
  <conditionalFormatting sqref="E8:G16">
    <cfRule type="expression" dxfId="11" priority="2">
      <formula>$C$28="Variable-Speed"</formula>
    </cfRule>
  </conditionalFormatting>
  <conditionalFormatting sqref="E8:G11 E18:G22">
    <cfRule type="expression" dxfId="10" priority="4">
      <formula>$C$27="Single-Duct"</formula>
    </cfRule>
  </conditionalFormatting>
  <conditionalFormatting sqref="E13:G16 E24:G28">
    <cfRule type="expression" dxfId="9" priority="3">
      <formula>$C$27="Dual-Duct"</formula>
    </cfRule>
  </conditionalFormatting>
  <dataValidations count="2">
    <dataValidation type="list" showInputMessage="1" showErrorMessage="1" sqref="C27" xr:uid="{00000000-0002-0000-0100-000000000000}">
      <formula1>Duct_Configuration</formula1>
    </dataValidation>
    <dataValidation type="list" allowBlank="1" showInputMessage="1" showErrorMessage="1" sqref="C28" xr:uid="{A6F57F62-1B59-4FC4-88E6-7E36C0A0CF55}">
      <formula1>"Single-Speed, Variable-Speed"</formula1>
    </dataValidation>
  </dataValidations>
  <hyperlinks>
    <hyperlink ref="E4" location="Instructions!C33" display="Back to Instructions tab" xr:uid="{00000000-0004-0000-0100-000000000000}"/>
  </hyperlinks>
  <printOptions horizontalCentered="1"/>
  <pageMargins left="0.25" right="0.25" top="0.75" bottom="0.25" header="0.3" footer="0.3"/>
  <pageSetup scale="6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4"/>
  <sheetViews>
    <sheetView showGridLines="0" zoomScale="80" zoomScaleNormal="80" workbookViewId="0">
      <selection activeCell="B13" sqref="B13"/>
    </sheetView>
  </sheetViews>
  <sheetFormatPr defaultColWidth="10.42578125" defaultRowHeight="16.5" x14ac:dyDescent="0.25"/>
  <cols>
    <col min="1" max="1" width="3" style="60" customWidth="1"/>
    <col min="2" max="2" width="40.140625" style="60" customWidth="1"/>
    <col min="3" max="3" width="48" style="60" customWidth="1"/>
    <col min="4" max="4" width="33.140625" style="60" customWidth="1"/>
    <col min="5" max="5" width="21.85546875" style="60" customWidth="1"/>
    <col min="6" max="6" width="21" style="60" customWidth="1"/>
    <col min="7" max="7" width="25.28515625" style="60" bestFit="1" customWidth="1"/>
    <col min="8" max="8" width="31.42578125" style="60" bestFit="1" customWidth="1"/>
    <col min="9" max="9" width="5.7109375" style="60" customWidth="1"/>
    <col min="10" max="10" width="4.28515625" style="60" customWidth="1"/>
    <col min="11" max="16384" width="10.42578125" style="60"/>
  </cols>
  <sheetData>
    <row r="1" spans="2:10" ht="17.25" thickBot="1" x14ac:dyDescent="0.3">
      <c r="J1" s="61"/>
    </row>
    <row r="2" spans="2:10" ht="17.100000000000001" customHeight="1" thickBot="1" x14ac:dyDescent="0.3">
      <c r="B2" s="442" t="str">
        <f>'Version Control'!$B$2</f>
        <v>Title Block</v>
      </c>
      <c r="C2" s="443"/>
      <c r="J2" s="61"/>
    </row>
    <row r="3" spans="2:10" ht="17.100000000000001" customHeight="1" x14ac:dyDescent="0.3">
      <c r="B3" s="35" t="str">
        <f>'Version Control'!$B$3</f>
        <v>Test Report Template Name:</v>
      </c>
      <c r="C3" s="89" t="str">
        <f>'Version Control'!$C$3</f>
        <v>Portable Air Conditioners</v>
      </c>
      <c r="J3" s="61"/>
    </row>
    <row r="4" spans="2:10" ht="17.100000000000001" customHeight="1" x14ac:dyDescent="0.3">
      <c r="B4" s="88" t="str">
        <f>'Version Control'!$B$4</f>
        <v>Version Number:</v>
      </c>
      <c r="C4" s="214" t="str">
        <f>'Version Control'!$C$4</f>
        <v>v2.1</v>
      </c>
      <c r="E4" s="473" t="s">
        <v>58</v>
      </c>
      <c r="F4" s="473"/>
      <c r="J4" s="61"/>
    </row>
    <row r="5" spans="2:10" ht="17.100000000000001" customHeight="1" x14ac:dyDescent="0.3">
      <c r="B5" s="34" t="str">
        <f>'Version Control'!$B$5</f>
        <v xml:space="preserve">Latest Template Revision: </v>
      </c>
      <c r="C5" s="40">
        <f>'Version Control'!$C$5</f>
        <v>45611</v>
      </c>
      <c r="J5" s="61"/>
    </row>
    <row r="6" spans="2:10" ht="17.100000000000001" customHeight="1" x14ac:dyDescent="0.3">
      <c r="B6" s="34" t="str">
        <f>'Version Control'!$B$6</f>
        <v>Tab Name:</v>
      </c>
      <c r="C6" s="214" t="str">
        <f ca="1">MID(CELL("filename",A1), FIND("]", CELL("filename", A1))+ 1, 255)</f>
        <v>Instrumentation</v>
      </c>
      <c r="J6" s="61"/>
    </row>
    <row r="7" spans="2:10" ht="17.100000000000001" customHeight="1" x14ac:dyDescent="0.25">
      <c r="B7" s="47" t="str">
        <f>'Version Control'!$B$7</f>
        <v>File Name:</v>
      </c>
      <c r="C7" s="215" t="str">
        <f ca="1">'Version Control'!$C$7</f>
        <v>Portable Air Conditioners - v2.1.xlsx</v>
      </c>
      <c r="J7" s="61"/>
    </row>
    <row r="8" spans="2:10" ht="17.100000000000001" customHeight="1" thickBot="1" x14ac:dyDescent="0.35">
      <c r="B8" s="36" t="str">
        <f>'Version Control'!$B$8</f>
        <v xml:space="preserve">Test Completion Date: </v>
      </c>
      <c r="C8" s="41" t="str">
        <f>'Version Control'!$C$8</f>
        <v>[MM/DD/YYYY]</v>
      </c>
      <c r="J8" s="61"/>
    </row>
    <row r="9" spans="2:10" x14ac:dyDescent="0.25">
      <c r="J9" s="61"/>
    </row>
    <row r="10" spans="2:10" ht="17.25" thickBot="1" x14ac:dyDescent="0.3">
      <c r="J10" s="61"/>
    </row>
    <row r="11" spans="2:10" ht="18" thickBot="1" x14ac:dyDescent="0.3">
      <c r="B11" s="474" t="s">
        <v>68</v>
      </c>
      <c r="C11" s="475"/>
      <c r="D11" s="475"/>
      <c r="E11" s="475"/>
      <c r="F11" s="475"/>
      <c r="G11" s="475"/>
      <c r="H11" s="476"/>
      <c r="J11" s="61"/>
    </row>
    <row r="12" spans="2:10" ht="17.25" x14ac:dyDescent="0.25">
      <c r="B12" s="68" t="s">
        <v>57</v>
      </c>
      <c r="C12" s="69" t="s">
        <v>54</v>
      </c>
      <c r="D12" s="69" t="s">
        <v>53</v>
      </c>
      <c r="E12" s="70" t="s">
        <v>41</v>
      </c>
      <c r="F12" s="69" t="s">
        <v>82</v>
      </c>
      <c r="G12" s="69" t="s">
        <v>42</v>
      </c>
      <c r="H12" s="71" t="s">
        <v>43</v>
      </c>
      <c r="J12" s="61"/>
    </row>
    <row r="13" spans="2:10" x14ac:dyDescent="0.25">
      <c r="B13" s="112"/>
      <c r="C13" s="117"/>
      <c r="D13" s="117"/>
      <c r="E13" s="117"/>
      <c r="F13" s="117"/>
      <c r="G13" s="117"/>
      <c r="H13" s="113"/>
      <c r="J13" s="61"/>
    </row>
    <row r="14" spans="2:10" x14ac:dyDescent="0.25">
      <c r="B14" s="112"/>
      <c r="C14" s="117"/>
      <c r="D14" s="117"/>
      <c r="E14" s="117"/>
      <c r="F14" s="117"/>
      <c r="G14" s="117"/>
      <c r="H14" s="113"/>
      <c r="J14" s="61"/>
    </row>
    <row r="15" spans="2:10" x14ac:dyDescent="0.25">
      <c r="B15" s="112"/>
      <c r="C15" s="117"/>
      <c r="D15" s="117"/>
      <c r="E15" s="117"/>
      <c r="F15" s="117"/>
      <c r="G15" s="117"/>
      <c r="H15" s="113"/>
      <c r="J15" s="61"/>
    </row>
    <row r="16" spans="2:10" x14ac:dyDescent="0.25">
      <c r="B16" s="112"/>
      <c r="C16" s="117"/>
      <c r="D16" s="117"/>
      <c r="E16" s="117"/>
      <c r="F16" s="117"/>
      <c r="G16" s="117"/>
      <c r="H16" s="113"/>
      <c r="J16" s="61"/>
    </row>
    <row r="17" spans="2:10" x14ac:dyDescent="0.25">
      <c r="B17" s="112"/>
      <c r="C17" s="117"/>
      <c r="D17" s="117"/>
      <c r="E17" s="117"/>
      <c r="F17" s="117"/>
      <c r="G17" s="117"/>
      <c r="H17" s="113"/>
      <c r="J17" s="61"/>
    </row>
    <row r="18" spans="2:10" x14ac:dyDescent="0.25">
      <c r="B18" s="112"/>
      <c r="C18" s="117"/>
      <c r="D18" s="117"/>
      <c r="E18" s="117"/>
      <c r="F18" s="117"/>
      <c r="G18" s="117"/>
      <c r="H18" s="113"/>
      <c r="J18" s="61"/>
    </row>
    <row r="19" spans="2:10" x14ac:dyDescent="0.25">
      <c r="B19" s="112"/>
      <c r="C19" s="117"/>
      <c r="D19" s="117"/>
      <c r="E19" s="117"/>
      <c r="F19" s="117"/>
      <c r="G19" s="117"/>
      <c r="H19" s="113"/>
      <c r="J19" s="61"/>
    </row>
    <row r="20" spans="2:10" x14ac:dyDescent="0.25">
      <c r="B20" s="112"/>
      <c r="C20" s="117"/>
      <c r="D20" s="117"/>
      <c r="E20" s="117"/>
      <c r="F20" s="117"/>
      <c r="G20" s="117"/>
      <c r="H20" s="113"/>
      <c r="J20" s="61"/>
    </row>
    <row r="21" spans="2:10" x14ac:dyDescent="0.25">
      <c r="B21" s="112"/>
      <c r="C21" s="117"/>
      <c r="D21" s="117"/>
      <c r="E21" s="117"/>
      <c r="F21" s="117"/>
      <c r="G21" s="117"/>
      <c r="H21" s="113"/>
      <c r="J21" s="61"/>
    </row>
    <row r="22" spans="2:10" x14ac:dyDescent="0.25">
      <c r="B22" s="112"/>
      <c r="C22" s="117"/>
      <c r="D22" s="117"/>
      <c r="E22" s="117"/>
      <c r="F22" s="117"/>
      <c r="G22" s="117"/>
      <c r="H22" s="113"/>
      <c r="J22" s="61"/>
    </row>
    <row r="23" spans="2:10" x14ac:dyDescent="0.25">
      <c r="B23" s="112"/>
      <c r="C23" s="117"/>
      <c r="D23" s="117"/>
      <c r="E23" s="117"/>
      <c r="F23" s="117"/>
      <c r="G23" s="117"/>
      <c r="H23" s="113"/>
      <c r="J23" s="61"/>
    </row>
    <row r="24" spans="2:10" x14ac:dyDescent="0.25">
      <c r="B24" s="112"/>
      <c r="C24" s="117"/>
      <c r="D24" s="117"/>
      <c r="E24" s="117"/>
      <c r="F24" s="117"/>
      <c r="G24" s="117"/>
      <c r="H24" s="113"/>
      <c r="J24" s="61"/>
    </row>
    <row r="25" spans="2:10" x14ac:dyDescent="0.25">
      <c r="B25" s="112"/>
      <c r="C25" s="117"/>
      <c r="D25" s="117"/>
      <c r="E25" s="117"/>
      <c r="F25" s="117"/>
      <c r="G25" s="117"/>
      <c r="H25" s="113"/>
      <c r="J25" s="61"/>
    </row>
    <row r="26" spans="2:10" x14ac:dyDescent="0.25">
      <c r="B26" s="112"/>
      <c r="C26" s="117"/>
      <c r="D26" s="117"/>
      <c r="E26" s="117"/>
      <c r="F26" s="117"/>
      <c r="G26" s="117"/>
      <c r="H26" s="113"/>
      <c r="J26" s="61"/>
    </row>
    <row r="27" spans="2:10" x14ac:dyDescent="0.25">
      <c r="B27" s="112"/>
      <c r="C27" s="117"/>
      <c r="D27" s="117"/>
      <c r="E27" s="117"/>
      <c r="F27" s="117"/>
      <c r="G27" s="117"/>
      <c r="H27" s="113"/>
      <c r="J27" s="61"/>
    </row>
    <row r="28" spans="2:10" x14ac:dyDescent="0.25">
      <c r="B28" s="112"/>
      <c r="C28" s="117"/>
      <c r="D28" s="117"/>
      <c r="E28" s="117"/>
      <c r="F28" s="117"/>
      <c r="G28" s="117"/>
      <c r="H28" s="113"/>
      <c r="J28" s="61"/>
    </row>
    <row r="29" spans="2:10" x14ac:dyDescent="0.25">
      <c r="B29" s="112"/>
      <c r="C29" s="117"/>
      <c r="D29" s="117"/>
      <c r="E29" s="117"/>
      <c r="F29" s="117"/>
      <c r="G29" s="117"/>
      <c r="H29" s="113"/>
      <c r="J29" s="61"/>
    </row>
    <row r="30" spans="2:10" x14ac:dyDescent="0.25">
      <c r="B30" s="112"/>
      <c r="C30" s="117"/>
      <c r="D30" s="117"/>
      <c r="E30" s="117"/>
      <c r="F30" s="117"/>
      <c r="G30" s="117"/>
      <c r="H30" s="113"/>
      <c r="J30" s="61"/>
    </row>
    <row r="31" spans="2:10" x14ac:dyDescent="0.25">
      <c r="B31" s="112"/>
      <c r="C31" s="117"/>
      <c r="D31" s="117"/>
      <c r="E31" s="117"/>
      <c r="F31" s="117"/>
      <c r="G31" s="117"/>
      <c r="H31" s="113"/>
      <c r="J31" s="61"/>
    </row>
    <row r="32" spans="2:10" x14ac:dyDescent="0.25">
      <c r="B32" s="112"/>
      <c r="C32" s="117"/>
      <c r="D32" s="117"/>
      <c r="E32" s="117"/>
      <c r="F32" s="117"/>
      <c r="G32" s="117"/>
      <c r="H32" s="113"/>
      <c r="J32" s="61"/>
    </row>
    <row r="33" spans="1:10" x14ac:dyDescent="0.25">
      <c r="B33" s="112"/>
      <c r="C33" s="117"/>
      <c r="D33" s="117"/>
      <c r="E33" s="117"/>
      <c r="F33" s="117"/>
      <c r="G33" s="117"/>
      <c r="H33" s="113"/>
      <c r="J33" s="61"/>
    </row>
    <row r="34" spans="1:10" x14ac:dyDescent="0.25">
      <c r="B34" s="112"/>
      <c r="C34" s="117"/>
      <c r="D34" s="117"/>
      <c r="E34" s="117"/>
      <c r="F34" s="117"/>
      <c r="G34" s="117"/>
      <c r="H34" s="113"/>
      <c r="J34" s="61"/>
    </row>
    <row r="35" spans="1:10" x14ac:dyDescent="0.25">
      <c r="B35" s="112"/>
      <c r="C35" s="117"/>
      <c r="D35" s="117"/>
      <c r="E35" s="117"/>
      <c r="F35" s="117"/>
      <c r="G35" s="117"/>
      <c r="H35" s="113"/>
      <c r="J35" s="61"/>
    </row>
    <row r="36" spans="1:10" x14ac:dyDescent="0.25">
      <c r="B36" s="112"/>
      <c r="C36" s="117"/>
      <c r="D36" s="117"/>
      <c r="E36" s="117"/>
      <c r="F36" s="117"/>
      <c r="G36" s="117"/>
      <c r="H36" s="113"/>
      <c r="J36" s="61"/>
    </row>
    <row r="37" spans="1:10" x14ac:dyDescent="0.25">
      <c r="B37" s="112"/>
      <c r="C37" s="117"/>
      <c r="D37" s="117"/>
      <c r="E37" s="117"/>
      <c r="F37" s="117"/>
      <c r="G37" s="117"/>
      <c r="H37" s="113"/>
      <c r="J37" s="61"/>
    </row>
    <row r="38" spans="1:10" x14ac:dyDescent="0.25">
      <c r="B38" s="112"/>
      <c r="C38" s="117"/>
      <c r="D38" s="117"/>
      <c r="E38" s="117"/>
      <c r="F38" s="117"/>
      <c r="G38" s="117"/>
      <c r="H38" s="113"/>
      <c r="J38" s="61"/>
    </row>
    <row r="39" spans="1:10" x14ac:dyDescent="0.25">
      <c r="B39" s="112"/>
      <c r="C39" s="117"/>
      <c r="D39" s="117"/>
      <c r="E39" s="117"/>
      <c r="F39" s="117"/>
      <c r="G39" s="117"/>
      <c r="H39" s="113"/>
      <c r="J39" s="61"/>
    </row>
    <row r="40" spans="1:10" x14ac:dyDescent="0.25">
      <c r="B40" s="112"/>
      <c r="C40" s="117"/>
      <c r="D40" s="117"/>
      <c r="E40" s="117"/>
      <c r="F40" s="117"/>
      <c r="G40" s="117"/>
      <c r="H40" s="113"/>
      <c r="J40" s="61"/>
    </row>
    <row r="41" spans="1:10" x14ac:dyDescent="0.25">
      <c r="B41" s="112"/>
      <c r="C41" s="117"/>
      <c r="D41" s="117"/>
      <c r="E41" s="117"/>
      <c r="F41" s="117"/>
      <c r="G41" s="117"/>
      <c r="H41" s="113"/>
      <c r="J41" s="61"/>
    </row>
    <row r="42" spans="1:10" ht="17.25" thickBot="1" x14ac:dyDescent="0.3">
      <c r="B42" s="118"/>
      <c r="C42" s="119"/>
      <c r="D42" s="119"/>
      <c r="E42" s="119"/>
      <c r="F42" s="119"/>
      <c r="G42" s="119"/>
      <c r="H42" s="120"/>
      <c r="J42" s="61"/>
    </row>
    <row r="43" spans="1:10" x14ac:dyDescent="0.25">
      <c r="J43" s="61"/>
    </row>
    <row r="44" spans="1:10" x14ac:dyDescent="0.25">
      <c r="A44" s="61"/>
      <c r="B44" s="61"/>
      <c r="C44" s="61"/>
      <c r="D44" s="61"/>
      <c r="E44" s="61"/>
      <c r="F44" s="61"/>
      <c r="G44" s="61"/>
      <c r="H44" s="61"/>
      <c r="I44" s="61"/>
      <c r="J44" s="61"/>
    </row>
  </sheetData>
  <sheetProtection algorithmName="SHA-512" hashValue="W/tqNxYtJZHKVi9Nno1dFu9T+VzSqc4XLx1byBJKZwZxCCK85s28pibSGBhUj9EV/02cYCUkCKBWbuu0A7Fb/g==" saltValue="KRYv8sO+xLKuJ2S+rqrxZw==" spinCount="100000" sheet="1" selectLockedCells="1"/>
  <protectedRanges>
    <protectedRange sqref="B13:H42" name="Range1"/>
  </protectedRanges>
  <mergeCells count="3">
    <mergeCell ref="B2:C2"/>
    <mergeCell ref="E4:F4"/>
    <mergeCell ref="B11:H11"/>
  </mergeCell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R176"/>
  <sheetViews>
    <sheetView showGridLines="0" zoomScale="80" zoomScaleNormal="80" zoomScaleSheetLayoutView="100" workbookViewId="0">
      <selection activeCell="B12" sqref="B12:F34"/>
    </sheetView>
  </sheetViews>
  <sheetFormatPr defaultColWidth="9.140625" defaultRowHeight="16.5" x14ac:dyDescent="0.25"/>
  <cols>
    <col min="1" max="1" width="4.7109375" style="42" customWidth="1"/>
    <col min="2" max="2" width="33.5703125" style="42" customWidth="1"/>
    <col min="3" max="3" width="41.140625" style="42" customWidth="1"/>
    <col min="4" max="5" width="26.85546875" style="42" customWidth="1"/>
    <col min="6" max="6" width="17.140625" style="42" customWidth="1"/>
    <col min="7" max="7" width="6.28515625" style="42" customWidth="1"/>
    <col min="8" max="8" width="14.140625" style="42" customWidth="1"/>
    <col min="9" max="9" width="15.28515625" style="42" customWidth="1"/>
    <col min="10" max="11" width="29.140625" style="42" customWidth="1"/>
    <col min="12" max="12" width="9.140625" style="42"/>
    <col min="13" max="13" width="12.7109375" style="42" customWidth="1"/>
    <col min="14" max="14" width="9.140625" style="42"/>
    <col min="15" max="15" width="11.7109375" style="42" customWidth="1"/>
    <col min="16" max="16" width="14.140625" style="42" customWidth="1"/>
    <col min="17" max="17" width="5.42578125" style="42" customWidth="1"/>
    <col min="18" max="18" width="4.7109375" style="42" customWidth="1"/>
    <col min="19" max="16384" width="9.140625" style="42"/>
  </cols>
  <sheetData>
    <row r="1" spans="2:18" ht="17.25" thickBot="1" x14ac:dyDescent="0.3">
      <c r="R1" s="43"/>
    </row>
    <row r="2" spans="2:18" ht="17.100000000000001" customHeight="1" thickBot="1" x14ac:dyDescent="0.3">
      <c r="B2" s="442" t="str">
        <f>'Version Control'!$B$2</f>
        <v>Title Block</v>
      </c>
      <c r="C2" s="443"/>
      <c r="D2" s="175"/>
      <c r="E2" s="175"/>
      <c r="R2" s="43"/>
    </row>
    <row r="3" spans="2:18" ht="17.100000000000001" customHeight="1" x14ac:dyDescent="0.3">
      <c r="B3" s="35" t="str">
        <f>'Version Control'!$B$3</f>
        <v>Test Report Template Name:</v>
      </c>
      <c r="C3" s="89" t="str">
        <f>'Version Control'!$C$3</f>
        <v>Portable Air Conditioners</v>
      </c>
      <c r="D3" s="174"/>
      <c r="E3" s="174"/>
      <c r="R3" s="43"/>
    </row>
    <row r="4" spans="2:18" ht="17.100000000000001" customHeight="1" x14ac:dyDescent="0.3">
      <c r="B4" s="88" t="str">
        <f>'Version Control'!$B$4</f>
        <v>Version Number:</v>
      </c>
      <c r="C4" s="214" t="str">
        <f>'Version Control'!$C$4</f>
        <v>v2.1</v>
      </c>
      <c r="D4" s="174"/>
      <c r="E4" s="44" t="s">
        <v>58</v>
      </c>
      <c r="R4" s="43"/>
    </row>
    <row r="5" spans="2:18" ht="17.100000000000001" customHeight="1" x14ac:dyDescent="0.3">
      <c r="B5" s="34" t="str">
        <f>'Version Control'!$B$5</f>
        <v xml:space="preserve">Latest Template Revision: </v>
      </c>
      <c r="C5" s="40">
        <f>'Version Control'!$C$5</f>
        <v>45611</v>
      </c>
      <c r="D5" s="174"/>
      <c r="E5" s="174"/>
      <c r="R5" s="43"/>
    </row>
    <row r="6" spans="2:18" ht="17.100000000000001" customHeight="1" x14ac:dyDescent="0.3">
      <c r="B6" s="34" t="str">
        <f>'Version Control'!$B$6</f>
        <v>Tab Name:</v>
      </c>
      <c r="C6" s="214" t="str">
        <f ca="1">MID(CELL("filename",A1), FIND("]", CELL("filename", A1))+ 1, 255)</f>
        <v>Photos</v>
      </c>
      <c r="D6" s="174"/>
      <c r="E6" s="174"/>
      <c r="R6" s="43"/>
    </row>
    <row r="7" spans="2:18" ht="17.100000000000001" customHeight="1" x14ac:dyDescent="0.25">
      <c r="B7" s="47" t="str">
        <f>'Version Control'!$B$7</f>
        <v>File Name:</v>
      </c>
      <c r="C7" s="215" t="str">
        <f ca="1">'Version Control'!$C$7</f>
        <v>Portable Air Conditioners - v2.1.xlsx</v>
      </c>
      <c r="D7" s="174"/>
      <c r="E7" s="174"/>
      <c r="R7" s="43"/>
    </row>
    <row r="8" spans="2:18" ht="17.100000000000001" customHeight="1" thickBot="1" x14ac:dyDescent="0.35">
      <c r="B8" s="36" t="str">
        <f>'Version Control'!$B$8</f>
        <v xml:space="preserve">Test Completion Date: </v>
      </c>
      <c r="C8" s="41" t="str">
        <f>'Version Control'!$C$8</f>
        <v>[MM/DD/YYYY]</v>
      </c>
      <c r="D8" s="174"/>
      <c r="E8" s="174"/>
      <c r="R8" s="43"/>
    </row>
    <row r="9" spans="2:18" x14ac:dyDescent="0.25">
      <c r="R9" s="43"/>
    </row>
    <row r="10" spans="2:18" ht="17.25" thickBot="1" x14ac:dyDescent="0.3">
      <c r="R10" s="43"/>
    </row>
    <row r="11" spans="2:18" ht="18" thickBot="1" x14ac:dyDescent="0.3">
      <c r="B11" s="8" t="s">
        <v>103</v>
      </c>
      <c r="C11" s="9"/>
      <c r="D11" s="9"/>
      <c r="E11" s="9"/>
      <c r="F11" s="10"/>
      <c r="H11" s="27" t="s">
        <v>104</v>
      </c>
      <c r="I11" s="28"/>
      <c r="J11" s="28"/>
      <c r="K11" s="28"/>
      <c r="L11" s="28"/>
      <c r="M11" s="28"/>
      <c r="N11" s="28"/>
      <c r="O11" s="28"/>
      <c r="P11" s="29"/>
      <c r="R11" s="43"/>
    </row>
    <row r="12" spans="2:18" x14ac:dyDescent="0.25">
      <c r="B12" s="486"/>
      <c r="C12" s="487"/>
      <c r="D12" s="487"/>
      <c r="E12" s="487"/>
      <c r="F12" s="488"/>
      <c r="H12" s="477"/>
      <c r="I12" s="478"/>
      <c r="J12" s="478"/>
      <c r="K12" s="478"/>
      <c r="L12" s="478"/>
      <c r="M12" s="478"/>
      <c r="N12" s="478"/>
      <c r="O12" s="478"/>
      <c r="P12" s="479"/>
      <c r="R12" s="43"/>
    </row>
    <row r="13" spans="2:18" x14ac:dyDescent="0.25">
      <c r="B13" s="477"/>
      <c r="C13" s="478"/>
      <c r="D13" s="478"/>
      <c r="E13" s="478"/>
      <c r="F13" s="479"/>
      <c r="H13" s="477"/>
      <c r="I13" s="478"/>
      <c r="J13" s="478"/>
      <c r="K13" s="478"/>
      <c r="L13" s="478"/>
      <c r="M13" s="478"/>
      <c r="N13" s="478"/>
      <c r="O13" s="478"/>
      <c r="P13" s="479"/>
      <c r="R13" s="43"/>
    </row>
    <row r="14" spans="2:18" x14ac:dyDescent="0.25">
      <c r="B14" s="477"/>
      <c r="C14" s="478"/>
      <c r="D14" s="478"/>
      <c r="E14" s="478"/>
      <c r="F14" s="479"/>
      <c r="H14" s="477"/>
      <c r="I14" s="478"/>
      <c r="J14" s="478"/>
      <c r="K14" s="478"/>
      <c r="L14" s="478"/>
      <c r="M14" s="478"/>
      <c r="N14" s="478"/>
      <c r="O14" s="478"/>
      <c r="P14" s="479"/>
      <c r="R14" s="43"/>
    </row>
    <row r="15" spans="2:18" x14ac:dyDescent="0.25">
      <c r="B15" s="477"/>
      <c r="C15" s="478"/>
      <c r="D15" s="478"/>
      <c r="E15" s="478"/>
      <c r="F15" s="479"/>
      <c r="H15" s="477"/>
      <c r="I15" s="478"/>
      <c r="J15" s="478"/>
      <c r="K15" s="478"/>
      <c r="L15" s="478"/>
      <c r="M15" s="478"/>
      <c r="N15" s="478"/>
      <c r="O15" s="478"/>
      <c r="P15" s="479"/>
      <c r="R15" s="43"/>
    </row>
    <row r="16" spans="2:18" x14ac:dyDescent="0.25">
      <c r="B16" s="477"/>
      <c r="C16" s="478"/>
      <c r="D16" s="478"/>
      <c r="E16" s="478"/>
      <c r="F16" s="479"/>
      <c r="H16" s="477"/>
      <c r="I16" s="478"/>
      <c r="J16" s="478"/>
      <c r="K16" s="478"/>
      <c r="L16" s="478"/>
      <c r="M16" s="478"/>
      <c r="N16" s="478"/>
      <c r="O16" s="478"/>
      <c r="P16" s="479"/>
      <c r="R16" s="43"/>
    </row>
    <row r="17" spans="2:18" x14ac:dyDescent="0.25">
      <c r="B17" s="477"/>
      <c r="C17" s="478"/>
      <c r="D17" s="478"/>
      <c r="E17" s="478"/>
      <c r="F17" s="479"/>
      <c r="H17" s="477"/>
      <c r="I17" s="478"/>
      <c r="J17" s="478"/>
      <c r="K17" s="478"/>
      <c r="L17" s="478"/>
      <c r="M17" s="478"/>
      <c r="N17" s="478"/>
      <c r="O17" s="478"/>
      <c r="P17" s="479"/>
      <c r="R17" s="43"/>
    </row>
    <row r="18" spans="2:18" x14ac:dyDescent="0.25">
      <c r="B18" s="477"/>
      <c r="C18" s="478"/>
      <c r="D18" s="478"/>
      <c r="E18" s="478"/>
      <c r="F18" s="479"/>
      <c r="H18" s="477"/>
      <c r="I18" s="478"/>
      <c r="J18" s="478"/>
      <c r="K18" s="478"/>
      <c r="L18" s="478"/>
      <c r="M18" s="478"/>
      <c r="N18" s="478"/>
      <c r="O18" s="478"/>
      <c r="P18" s="479"/>
      <c r="R18" s="43"/>
    </row>
    <row r="19" spans="2:18" x14ac:dyDescent="0.25">
      <c r="B19" s="477"/>
      <c r="C19" s="478"/>
      <c r="D19" s="478"/>
      <c r="E19" s="478"/>
      <c r="F19" s="479"/>
      <c r="H19" s="477"/>
      <c r="I19" s="478"/>
      <c r="J19" s="478"/>
      <c r="K19" s="478"/>
      <c r="L19" s="478"/>
      <c r="M19" s="478"/>
      <c r="N19" s="478"/>
      <c r="O19" s="478"/>
      <c r="P19" s="479"/>
      <c r="R19" s="43"/>
    </row>
    <row r="20" spans="2:18" x14ac:dyDescent="0.25">
      <c r="B20" s="477"/>
      <c r="C20" s="478"/>
      <c r="D20" s="478"/>
      <c r="E20" s="478"/>
      <c r="F20" s="479"/>
      <c r="H20" s="477"/>
      <c r="I20" s="478"/>
      <c r="J20" s="478"/>
      <c r="K20" s="478"/>
      <c r="L20" s="478"/>
      <c r="M20" s="478"/>
      <c r="N20" s="478"/>
      <c r="O20" s="478"/>
      <c r="P20" s="479"/>
      <c r="R20" s="43"/>
    </row>
    <row r="21" spans="2:18" x14ac:dyDescent="0.25">
      <c r="B21" s="477"/>
      <c r="C21" s="478"/>
      <c r="D21" s="478"/>
      <c r="E21" s="478"/>
      <c r="F21" s="479"/>
      <c r="H21" s="477"/>
      <c r="I21" s="478"/>
      <c r="J21" s="478"/>
      <c r="K21" s="478"/>
      <c r="L21" s="478"/>
      <c r="M21" s="478"/>
      <c r="N21" s="478"/>
      <c r="O21" s="478"/>
      <c r="P21" s="479"/>
      <c r="R21" s="43"/>
    </row>
    <row r="22" spans="2:18" x14ac:dyDescent="0.25">
      <c r="B22" s="477"/>
      <c r="C22" s="478"/>
      <c r="D22" s="478"/>
      <c r="E22" s="478"/>
      <c r="F22" s="479"/>
      <c r="H22" s="477"/>
      <c r="I22" s="478"/>
      <c r="J22" s="478"/>
      <c r="K22" s="478"/>
      <c r="L22" s="478"/>
      <c r="M22" s="478"/>
      <c r="N22" s="478"/>
      <c r="O22" s="478"/>
      <c r="P22" s="479"/>
      <c r="R22" s="43"/>
    </row>
    <row r="23" spans="2:18" x14ac:dyDescent="0.25">
      <c r="B23" s="477"/>
      <c r="C23" s="478"/>
      <c r="D23" s="478"/>
      <c r="E23" s="478"/>
      <c r="F23" s="479"/>
      <c r="H23" s="477"/>
      <c r="I23" s="478"/>
      <c r="J23" s="478"/>
      <c r="K23" s="478"/>
      <c r="L23" s="478"/>
      <c r="M23" s="478"/>
      <c r="N23" s="478"/>
      <c r="O23" s="478"/>
      <c r="P23" s="479"/>
      <c r="R23" s="43"/>
    </row>
    <row r="24" spans="2:18" x14ac:dyDescent="0.25">
      <c r="B24" s="477"/>
      <c r="C24" s="478"/>
      <c r="D24" s="478"/>
      <c r="E24" s="478"/>
      <c r="F24" s="479"/>
      <c r="H24" s="477"/>
      <c r="I24" s="478"/>
      <c r="J24" s="478"/>
      <c r="K24" s="478"/>
      <c r="L24" s="478"/>
      <c r="M24" s="478"/>
      <c r="N24" s="478"/>
      <c r="O24" s="478"/>
      <c r="P24" s="479"/>
      <c r="R24" s="43"/>
    </row>
    <row r="25" spans="2:18" x14ac:dyDescent="0.25">
      <c r="B25" s="477"/>
      <c r="C25" s="478"/>
      <c r="D25" s="478"/>
      <c r="E25" s="478"/>
      <c r="F25" s="479"/>
      <c r="H25" s="477"/>
      <c r="I25" s="478"/>
      <c r="J25" s="478"/>
      <c r="K25" s="478"/>
      <c r="L25" s="478"/>
      <c r="M25" s="478"/>
      <c r="N25" s="478"/>
      <c r="O25" s="478"/>
      <c r="P25" s="479"/>
      <c r="R25" s="43"/>
    </row>
    <row r="26" spans="2:18" x14ac:dyDescent="0.25">
      <c r="B26" s="477"/>
      <c r="C26" s="478"/>
      <c r="D26" s="478"/>
      <c r="E26" s="478"/>
      <c r="F26" s="479"/>
      <c r="H26" s="477"/>
      <c r="I26" s="478"/>
      <c r="J26" s="478"/>
      <c r="K26" s="478"/>
      <c r="L26" s="478"/>
      <c r="M26" s="478"/>
      <c r="N26" s="478"/>
      <c r="O26" s="478"/>
      <c r="P26" s="479"/>
      <c r="R26" s="43"/>
    </row>
    <row r="27" spans="2:18" x14ac:dyDescent="0.25">
      <c r="B27" s="477"/>
      <c r="C27" s="478"/>
      <c r="D27" s="478"/>
      <c r="E27" s="478"/>
      <c r="F27" s="479"/>
      <c r="H27" s="477"/>
      <c r="I27" s="478"/>
      <c r="J27" s="478"/>
      <c r="K27" s="478"/>
      <c r="L27" s="478"/>
      <c r="M27" s="478"/>
      <c r="N27" s="478"/>
      <c r="O27" s="478"/>
      <c r="P27" s="479"/>
      <c r="R27" s="43"/>
    </row>
    <row r="28" spans="2:18" x14ac:dyDescent="0.25">
      <c r="B28" s="477"/>
      <c r="C28" s="478"/>
      <c r="D28" s="478"/>
      <c r="E28" s="478"/>
      <c r="F28" s="479"/>
      <c r="H28" s="477"/>
      <c r="I28" s="478"/>
      <c r="J28" s="478"/>
      <c r="K28" s="478"/>
      <c r="L28" s="478"/>
      <c r="M28" s="478"/>
      <c r="N28" s="478"/>
      <c r="O28" s="478"/>
      <c r="P28" s="479"/>
      <c r="R28" s="43"/>
    </row>
    <row r="29" spans="2:18" x14ac:dyDescent="0.25">
      <c r="B29" s="477"/>
      <c r="C29" s="478"/>
      <c r="D29" s="478"/>
      <c r="E29" s="478"/>
      <c r="F29" s="479"/>
      <c r="H29" s="477"/>
      <c r="I29" s="478"/>
      <c r="J29" s="478"/>
      <c r="K29" s="478"/>
      <c r="L29" s="478"/>
      <c r="M29" s="478"/>
      <c r="N29" s="478"/>
      <c r="O29" s="478"/>
      <c r="P29" s="479"/>
      <c r="R29" s="43"/>
    </row>
    <row r="30" spans="2:18" x14ac:dyDescent="0.25">
      <c r="B30" s="477"/>
      <c r="C30" s="478"/>
      <c r="D30" s="478"/>
      <c r="E30" s="478"/>
      <c r="F30" s="479"/>
      <c r="H30" s="477"/>
      <c r="I30" s="478"/>
      <c r="J30" s="478"/>
      <c r="K30" s="478"/>
      <c r="L30" s="478"/>
      <c r="M30" s="478"/>
      <c r="N30" s="478"/>
      <c r="O30" s="478"/>
      <c r="P30" s="479"/>
      <c r="R30" s="43"/>
    </row>
    <row r="31" spans="2:18" x14ac:dyDescent="0.25">
      <c r="B31" s="477"/>
      <c r="C31" s="478"/>
      <c r="D31" s="478"/>
      <c r="E31" s="478"/>
      <c r="F31" s="479"/>
      <c r="H31" s="477"/>
      <c r="I31" s="478"/>
      <c r="J31" s="478"/>
      <c r="K31" s="478"/>
      <c r="L31" s="478"/>
      <c r="M31" s="478"/>
      <c r="N31" s="478"/>
      <c r="O31" s="478"/>
      <c r="P31" s="479"/>
      <c r="R31" s="43"/>
    </row>
    <row r="32" spans="2:18" x14ac:dyDescent="0.25">
      <c r="B32" s="477"/>
      <c r="C32" s="478"/>
      <c r="D32" s="478"/>
      <c r="E32" s="478"/>
      <c r="F32" s="479"/>
      <c r="H32" s="477"/>
      <c r="I32" s="478"/>
      <c r="J32" s="478"/>
      <c r="K32" s="478"/>
      <c r="L32" s="478"/>
      <c r="M32" s="478"/>
      <c r="N32" s="478"/>
      <c r="O32" s="478"/>
      <c r="P32" s="479"/>
      <c r="R32" s="43"/>
    </row>
    <row r="33" spans="2:18" x14ac:dyDescent="0.25">
      <c r="B33" s="477"/>
      <c r="C33" s="478"/>
      <c r="D33" s="478"/>
      <c r="E33" s="478"/>
      <c r="F33" s="479"/>
      <c r="H33" s="477"/>
      <c r="I33" s="478"/>
      <c r="J33" s="478"/>
      <c r="K33" s="478"/>
      <c r="L33" s="478"/>
      <c r="M33" s="478"/>
      <c r="N33" s="478"/>
      <c r="O33" s="478"/>
      <c r="P33" s="479"/>
      <c r="R33" s="43"/>
    </row>
    <row r="34" spans="2:18" ht="17.25" thickBot="1" x14ac:dyDescent="0.3">
      <c r="B34" s="480"/>
      <c r="C34" s="481"/>
      <c r="D34" s="481"/>
      <c r="E34" s="481"/>
      <c r="F34" s="482"/>
      <c r="H34" s="480"/>
      <c r="I34" s="481"/>
      <c r="J34" s="481"/>
      <c r="K34" s="481"/>
      <c r="L34" s="481"/>
      <c r="M34" s="481"/>
      <c r="N34" s="481"/>
      <c r="O34" s="481"/>
      <c r="P34" s="482"/>
      <c r="R34" s="43"/>
    </row>
    <row r="35" spans="2:18" ht="17.25" thickBot="1" x14ac:dyDescent="0.3">
      <c r="R35" s="43"/>
    </row>
    <row r="36" spans="2:18" ht="18" thickBot="1" x14ac:dyDescent="0.3">
      <c r="B36" s="27" t="s">
        <v>105</v>
      </c>
      <c r="C36" s="28"/>
      <c r="D36" s="28"/>
      <c r="E36" s="28"/>
      <c r="F36" s="28"/>
      <c r="G36" s="28"/>
      <c r="H36" s="28"/>
      <c r="I36" s="28"/>
      <c r="J36" s="28"/>
      <c r="K36" s="28"/>
      <c r="L36" s="28"/>
      <c r="M36" s="28"/>
      <c r="N36" s="28"/>
      <c r="O36" s="28"/>
      <c r="P36" s="29"/>
      <c r="R36" s="43"/>
    </row>
    <row r="37" spans="2:18" x14ac:dyDescent="0.25">
      <c r="B37" s="477"/>
      <c r="C37" s="478"/>
      <c r="D37" s="478"/>
      <c r="E37" s="478"/>
      <c r="F37" s="478"/>
      <c r="G37" s="478"/>
      <c r="H37" s="478"/>
      <c r="I37" s="478"/>
      <c r="J37" s="478"/>
      <c r="K37" s="478"/>
      <c r="L37" s="478"/>
      <c r="M37" s="478"/>
      <c r="N37" s="478"/>
      <c r="O37" s="478"/>
      <c r="P37" s="479"/>
      <c r="R37" s="43"/>
    </row>
    <row r="38" spans="2:18" x14ac:dyDescent="0.25">
      <c r="B38" s="477"/>
      <c r="C38" s="478"/>
      <c r="D38" s="478"/>
      <c r="E38" s="478"/>
      <c r="F38" s="478"/>
      <c r="G38" s="478"/>
      <c r="H38" s="478"/>
      <c r="I38" s="478"/>
      <c r="J38" s="478"/>
      <c r="K38" s="478"/>
      <c r="L38" s="478"/>
      <c r="M38" s="478"/>
      <c r="N38" s="478"/>
      <c r="O38" s="478"/>
      <c r="P38" s="479"/>
      <c r="R38" s="43"/>
    </row>
    <row r="39" spans="2:18" x14ac:dyDescent="0.25">
      <c r="B39" s="477"/>
      <c r="C39" s="478"/>
      <c r="D39" s="478"/>
      <c r="E39" s="478"/>
      <c r="F39" s="478"/>
      <c r="G39" s="478"/>
      <c r="H39" s="478"/>
      <c r="I39" s="478"/>
      <c r="J39" s="478"/>
      <c r="K39" s="478"/>
      <c r="L39" s="478"/>
      <c r="M39" s="478"/>
      <c r="N39" s="478"/>
      <c r="O39" s="478"/>
      <c r="P39" s="479"/>
      <c r="R39" s="43"/>
    </row>
    <row r="40" spans="2:18" x14ac:dyDescent="0.25">
      <c r="B40" s="477"/>
      <c r="C40" s="478"/>
      <c r="D40" s="478"/>
      <c r="E40" s="478"/>
      <c r="F40" s="478"/>
      <c r="G40" s="478"/>
      <c r="H40" s="478"/>
      <c r="I40" s="478"/>
      <c r="J40" s="478"/>
      <c r="K40" s="478"/>
      <c r="L40" s="478"/>
      <c r="M40" s="478"/>
      <c r="N40" s="478"/>
      <c r="O40" s="478"/>
      <c r="P40" s="479"/>
      <c r="R40" s="43"/>
    </row>
    <row r="41" spans="2:18" x14ac:dyDescent="0.25">
      <c r="B41" s="477"/>
      <c r="C41" s="478"/>
      <c r="D41" s="478"/>
      <c r="E41" s="478"/>
      <c r="F41" s="478"/>
      <c r="G41" s="478"/>
      <c r="H41" s="478"/>
      <c r="I41" s="478"/>
      <c r="J41" s="478"/>
      <c r="K41" s="478"/>
      <c r="L41" s="478"/>
      <c r="M41" s="478"/>
      <c r="N41" s="478"/>
      <c r="O41" s="478"/>
      <c r="P41" s="479"/>
      <c r="R41" s="43"/>
    </row>
    <row r="42" spans="2:18" x14ac:dyDescent="0.25">
      <c r="B42" s="477"/>
      <c r="C42" s="478"/>
      <c r="D42" s="478"/>
      <c r="E42" s="478"/>
      <c r="F42" s="478"/>
      <c r="G42" s="478"/>
      <c r="H42" s="478"/>
      <c r="I42" s="478"/>
      <c r="J42" s="478"/>
      <c r="K42" s="478"/>
      <c r="L42" s="478"/>
      <c r="M42" s="478"/>
      <c r="N42" s="478"/>
      <c r="O42" s="478"/>
      <c r="P42" s="479"/>
      <c r="R42" s="43"/>
    </row>
    <row r="43" spans="2:18" x14ac:dyDescent="0.25">
      <c r="B43" s="477"/>
      <c r="C43" s="478"/>
      <c r="D43" s="478"/>
      <c r="E43" s="478"/>
      <c r="F43" s="478"/>
      <c r="G43" s="478"/>
      <c r="H43" s="478"/>
      <c r="I43" s="478"/>
      <c r="J43" s="478"/>
      <c r="K43" s="478"/>
      <c r="L43" s="478"/>
      <c r="M43" s="478"/>
      <c r="N43" s="478"/>
      <c r="O43" s="478"/>
      <c r="P43" s="479"/>
      <c r="R43" s="43"/>
    </row>
    <row r="44" spans="2:18" x14ac:dyDescent="0.25">
      <c r="B44" s="477"/>
      <c r="C44" s="478"/>
      <c r="D44" s="478"/>
      <c r="E44" s="478"/>
      <c r="F44" s="478"/>
      <c r="G44" s="478"/>
      <c r="H44" s="478"/>
      <c r="I44" s="478"/>
      <c r="J44" s="478"/>
      <c r="K44" s="478"/>
      <c r="L44" s="478"/>
      <c r="M44" s="478"/>
      <c r="N44" s="478"/>
      <c r="O44" s="478"/>
      <c r="P44" s="479"/>
      <c r="R44" s="43"/>
    </row>
    <row r="45" spans="2:18" x14ac:dyDescent="0.25">
      <c r="B45" s="477"/>
      <c r="C45" s="478"/>
      <c r="D45" s="478"/>
      <c r="E45" s="478"/>
      <c r="F45" s="478"/>
      <c r="G45" s="478"/>
      <c r="H45" s="478"/>
      <c r="I45" s="478"/>
      <c r="J45" s="478"/>
      <c r="K45" s="478"/>
      <c r="L45" s="478"/>
      <c r="M45" s="478"/>
      <c r="N45" s="478"/>
      <c r="O45" s="478"/>
      <c r="P45" s="479"/>
      <c r="R45" s="43"/>
    </row>
    <row r="46" spans="2:18" x14ac:dyDescent="0.25">
      <c r="B46" s="477"/>
      <c r="C46" s="478"/>
      <c r="D46" s="478"/>
      <c r="E46" s="478"/>
      <c r="F46" s="478"/>
      <c r="G46" s="478"/>
      <c r="H46" s="478"/>
      <c r="I46" s="478"/>
      <c r="J46" s="478"/>
      <c r="K46" s="478"/>
      <c r="L46" s="478"/>
      <c r="M46" s="478"/>
      <c r="N46" s="478"/>
      <c r="O46" s="478"/>
      <c r="P46" s="479"/>
      <c r="R46" s="43"/>
    </row>
    <row r="47" spans="2:18" x14ac:dyDescent="0.25">
      <c r="B47" s="477"/>
      <c r="C47" s="478"/>
      <c r="D47" s="478"/>
      <c r="E47" s="478"/>
      <c r="F47" s="478"/>
      <c r="G47" s="478"/>
      <c r="H47" s="478"/>
      <c r="I47" s="478"/>
      <c r="J47" s="478"/>
      <c r="K47" s="478"/>
      <c r="L47" s="478"/>
      <c r="M47" s="478"/>
      <c r="N47" s="478"/>
      <c r="O47" s="478"/>
      <c r="P47" s="479"/>
      <c r="R47" s="43"/>
    </row>
    <row r="48" spans="2:18" x14ac:dyDescent="0.25">
      <c r="B48" s="477"/>
      <c r="C48" s="478"/>
      <c r="D48" s="478"/>
      <c r="E48" s="478"/>
      <c r="F48" s="478"/>
      <c r="G48" s="478"/>
      <c r="H48" s="478"/>
      <c r="I48" s="478"/>
      <c r="J48" s="478"/>
      <c r="K48" s="478"/>
      <c r="L48" s="478"/>
      <c r="M48" s="478"/>
      <c r="N48" s="478"/>
      <c r="O48" s="478"/>
      <c r="P48" s="479"/>
      <c r="R48" s="43"/>
    </row>
    <row r="49" spans="2:18" x14ac:dyDescent="0.25">
      <c r="B49" s="477"/>
      <c r="C49" s="478"/>
      <c r="D49" s="478"/>
      <c r="E49" s="478"/>
      <c r="F49" s="478"/>
      <c r="G49" s="478"/>
      <c r="H49" s="478"/>
      <c r="I49" s="478"/>
      <c r="J49" s="478"/>
      <c r="K49" s="478"/>
      <c r="L49" s="478"/>
      <c r="M49" s="478"/>
      <c r="N49" s="478"/>
      <c r="O49" s="478"/>
      <c r="P49" s="479"/>
      <c r="R49" s="43"/>
    </row>
    <row r="50" spans="2:18" x14ac:dyDescent="0.25">
      <c r="B50" s="477"/>
      <c r="C50" s="478"/>
      <c r="D50" s="478"/>
      <c r="E50" s="478"/>
      <c r="F50" s="478"/>
      <c r="G50" s="478"/>
      <c r="H50" s="478"/>
      <c r="I50" s="478"/>
      <c r="J50" s="478"/>
      <c r="K50" s="478"/>
      <c r="L50" s="478"/>
      <c r="M50" s="478"/>
      <c r="N50" s="478"/>
      <c r="O50" s="478"/>
      <c r="P50" s="479"/>
      <c r="R50" s="43"/>
    </row>
    <row r="51" spans="2:18" x14ac:dyDescent="0.25">
      <c r="B51" s="477"/>
      <c r="C51" s="478"/>
      <c r="D51" s="478"/>
      <c r="E51" s="478"/>
      <c r="F51" s="478"/>
      <c r="G51" s="478"/>
      <c r="H51" s="478"/>
      <c r="I51" s="478"/>
      <c r="J51" s="478"/>
      <c r="K51" s="478"/>
      <c r="L51" s="478"/>
      <c r="M51" s="478"/>
      <c r="N51" s="478"/>
      <c r="O51" s="478"/>
      <c r="P51" s="479"/>
      <c r="R51" s="43"/>
    </row>
    <row r="52" spans="2:18" x14ac:dyDescent="0.25">
      <c r="B52" s="477"/>
      <c r="C52" s="478"/>
      <c r="D52" s="478"/>
      <c r="E52" s="478"/>
      <c r="F52" s="478"/>
      <c r="G52" s="478"/>
      <c r="H52" s="478"/>
      <c r="I52" s="478"/>
      <c r="J52" s="478"/>
      <c r="K52" s="478"/>
      <c r="L52" s="478"/>
      <c r="M52" s="478"/>
      <c r="N52" s="478"/>
      <c r="O52" s="478"/>
      <c r="P52" s="479"/>
      <c r="R52" s="43"/>
    </row>
    <row r="53" spans="2:18" x14ac:dyDescent="0.25">
      <c r="B53" s="477"/>
      <c r="C53" s="478"/>
      <c r="D53" s="478"/>
      <c r="E53" s="478"/>
      <c r="F53" s="478"/>
      <c r="G53" s="478"/>
      <c r="H53" s="478"/>
      <c r="I53" s="478"/>
      <c r="J53" s="478"/>
      <c r="K53" s="478"/>
      <c r="L53" s="478"/>
      <c r="M53" s="478"/>
      <c r="N53" s="478"/>
      <c r="O53" s="478"/>
      <c r="P53" s="479"/>
      <c r="R53" s="43"/>
    </row>
    <row r="54" spans="2:18" x14ac:dyDescent="0.25">
      <c r="B54" s="477"/>
      <c r="C54" s="478"/>
      <c r="D54" s="478"/>
      <c r="E54" s="478"/>
      <c r="F54" s="478"/>
      <c r="G54" s="478"/>
      <c r="H54" s="478"/>
      <c r="I54" s="478"/>
      <c r="J54" s="478"/>
      <c r="K54" s="478"/>
      <c r="L54" s="478"/>
      <c r="M54" s="478"/>
      <c r="N54" s="478"/>
      <c r="O54" s="478"/>
      <c r="P54" s="479"/>
      <c r="R54" s="43"/>
    </row>
    <row r="55" spans="2:18" x14ac:dyDescent="0.25">
      <c r="B55" s="477"/>
      <c r="C55" s="478"/>
      <c r="D55" s="478"/>
      <c r="E55" s="478"/>
      <c r="F55" s="478"/>
      <c r="G55" s="478"/>
      <c r="H55" s="478"/>
      <c r="I55" s="478"/>
      <c r="J55" s="478"/>
      <c r="K55" s="478"/>
      <c r="L55" s="478"/>
      <c r="M55" s="478"/>
      <c r="N55" s="478"/>
      <c r="O55" s="478"/>
      <c r="P55" s="479"/>
      <c r="R55" s="43"/>
    </row>
    <row r="56" spans="2:18" x14ac:dyDescent="0.25">
      <c r="B56" s="477"/>
      <c r="C56" s="478"/>
      <c r="D56" s="478"/>
      <c r="E56" s="478"/>
      <c r="F56" s="478"/>
      <c r="G56" s="478"/>
      <c r="H56" s="478"/>
      <c r="I56" s="478"/>
      <c r="J56" s="478"/>
      <c r="K56" s="478"/>
      <c r="L56" s="478"/>
      <c r="M56" s="478"/>
      <c r="N56" s="478"/>
      <c r="O56" s="478"/>
      <c r="P56" s="479"/>
      <c r="R56" s="43"/>
    </row>
    <row r="57" spans="2:18" x14ac:dyDescent="0.25">
      <c r="B57" s="477"/>
      <c r="C57" s="478"/>
      <c r="D57" s="478"/>
      <c r="E57" s="478"/>
      <c r="F57" s="478"/>
      <c r="G57" s="478"/>
      <c r="H57" s="478"/>
      <c r="I57" s="478"/>
      <c r="J57" s="478"/>
      <c r="K57" s="478"/>
      <c r="L57" s="478"/>
      <c r="M57" s="478"/>
      <c r="N57" s="478"/>
      <c r="O57" s="478"/>
      <c r="P57" s="479"/>
      <c r="R57" s="43"/>
    </row>
    <row r="58" spans="2:18" x14ac:dyDescent="0.25">
      <c r="B58" s="477"/>
      <c r="C58" s="478"/>
      <c r="D58" s="478"/>
      <c r="E58" s="478"/>
      <c r="F58" s="478"/>
      <c r="G58" s="478"/>
      <c r="H58" s="478"/>
      <c r="I58" s="478"/>
      <c r="J58" s="478"/>
      <c r="K58" s="478"/>
      <c r="L58" s="478"/>
      <c r="M58" s="478"/>
      <c r="N58" s="478"/>
      <c r="O58" s="478"/>
      <c r="P58" s="479"/>
      <c r="R58" s="43"/>
    </row>
    <row r="59" spans="2:18" x14ac:dyDescent="0.25">
      <c r="B59" s="477"/>
      <c r="C59" s="478"/>
      <c r="D59" s="478"/>
      <c r="E59" s="478"/>
      <c r="F59" s="478"/>
      <c r="G59" s="478"/>
      <c r="H59" s="478"/>
      <c r="I59" s="478"/>
      <c r="J59" s="478"/>
      <c r="K59" s="478"/>
      <c r="L59" s="478"/>
      <c r="M59" s="478"/>
      <c r="N59" s="478"/>
      <c r="O59" s="478"/>
      <c r="P59" s="479"/>
      <c r="R59" s="43"/>
    </row>
    <row r="60" spans="2:18" x14ac:dyDescent="0.25">
      <c r="B60" s="477"/>
      <c r="C60" s="478"/>
      <c r="D60" s="478"/>
      <c r="E60" s="478"/>
      <c r="F60" s="478"/>
      <c r="G60" s="478"/>
      <c r="H60" s="478"/>
      <c r="I60" s="478"/>
      <c r="J60" s="478"/>
      <c r="K60" s="478"/>
      <c r="L60" s="478"/>
      <c r="M60" s="478"/>
      <c r="N60" s="478"/>
      <c r="O60" s="478"/>
      <c r="P60" s="479"/>
      <c r="R60" s="43"/>
    </row>
    <row r="61" spans="2:18" x14ac:dyDescent="0.25">
      <c r="B61" s="477"/>
      <c r="C61" s="478"/>
      <c r="D61" s="478"/>
      <c r="E61" s="478"/>
      <c r="F61" s="478"/>
      <c r="G61" s="478"/>
      <c r="H61" s="478"/>
      <c r="I61" s="478"/>
      <c r="J61" s="478"/>
      <c r="K61" s="478"/>
      <c r="L61" s="478"/>
      <c r="M61" s="478"/>
      <c r="N61" s="478"/>
      <c r="O61" s="478"/>
      <c r="P61" s="479"/>
      <c r="R61" s="43"/>
    </row>
    <row r="62" spans="2:18" x14ac:dyDescent="0.25">
      <c r="B62" s="477"/>
      <c r="C62" s="478"/>
      <c r="D62" s="478"/>
      <c r="E62" s="478"/>
      <c r="F62" s="478"/>
      <c r="G62" s="478"/>
      <c r="H62" s="478"/>
      <c r="I62" s="478"/>
      <c r="J62" s="478"/>
      <c r="K62" s="478"/>
      <c r="L62" s="478"/>
      <c r="M62" s="478"/>
      <c r="N62" s="478"/>
      <c r="O62" s="478"/>
      <c r="P62" s="479"/>
      <c r="R62" s="43"/>
    </row>
    <row r="63" spans="2:18" ht="17.25" thickBot="1" x14ac:dyDescent="0.3">
      <c r="B63" s="480"/>
      <c r="C63" s="481"/>
      <c r="D63" s="481"/>
      <c r="E63" s="481"/>
      <c r="F63" s="481"/>
      <c r="G63" s="481"/>
      <c r="H63" s="481"/>
      <c r="I63" s="481"/>
      <c r="J63" s="481"/>
      <c r="K63" s="481"/>
      <c r="L63" s="481"/>
      <c r="M63" s="481"/>
      <c r="N63" s="481"/>
      <c r="O63" s="481"/>
      <c r="P63" s="482"/>
      <c r="R63" s="43"/>
    </row>
    <row r="64" spans="2:18" ht="17.25" thickBot="1" x14ac:dyDescent="0.3">
      <c r="R64" s="43"/>
    </row>
    <row r="65" spans="2:18" ht="18" thickBot="1" x14ac:dyDescent="0.3">
      <c r="B65" s="27" t="s">
        <v>192</v>
      </c>
      <c r="C65" s="28"/>
      <c r="D65" s="28"/>
      <c r="E65" s="28"/>
      <c r="F65" s="29"/>
      <c r="H65" s="27" t="s">
        <v>193</v>
      </c>
      <c r="I65" s="28"/>
      <c r="J65" s="28"/>
      <c r="K65" s="28"/>
      <c r="L65" s="28"/>
      <c r="M65" s="28"/>
      <c r="N65" s="28"/>
      <c r="O65" s="28"/>
      <c r="P65" s="29"/>
      <c r="R65" s="43"/>
    </row>
    <row r="66" spans="2:18" x14ac:dyDescent="0.25">
      <c r="B66" s="477"/>
      <c r="C66" s="478"/>
      <c r="D66" s="478"/>
      <c r="E66" s="478"/>
      <c r="F66" s="479"/>
      <c r="H66" s="477"/>
      <c r="I66" s="478"/>
      <c r="J66" s="478"/>
      <c r="K66" s="478"/>
      <c r="L66" s="478"/>
      <c r="M66" s="478"/>
      <c r="N66" s="478"/>
      <c r="O66" s="478"/>
      <c r="P66" s="479"/>
      <c r="R66" s="43"/>
    </row>
    <row r="67" spans="2:18" x14ac:dyDescent="0.25">
      <c r="B67" s="477"/>
      <c r="C67" s="478"/>
      <c r="D67" s="478"/>
      <c r="E67" s="478"/>
      <c r="F67" s="479"/>
      <c r="H67" s="477"/>
      <c r="I67" s="478"/>
      <c r="J67" s="478"/>
      <c r="K67" s="478"/>
      <c r="L67" s="478"/>
      <c r="M67" s="478"/>
      <c r="N67" s="478"/>
      <c r="O67" s="478"/>
      <c r="P67" s="479"/>
      <c r="R67" s="43"/>
    </row>
    <row r="68" spans="2:18" x14ac:dyDescent="0.25">
      <c r="B68" s="477"/>
      <c r="C68" s="478"/>
      <c r="D68" s="478"/>
      <c r="E68" s="478"/>
      <c r="F68" s="479"/>
      <c r="H68" s="477"/>
      <c r="I68" s="478"/>
      <c r="J68" s="478"/>
      <c r="K68" s="478"/>
      <c r="L68" s="478"/>
      <c r="M68" s="478"/>
      <c r="N68" s="478"/>
      <c r="O68" s="478"/>
      <c r="P68" s="479"/>
      <c r="R68" s="43"/>
    </row>
    <row r="69" spans="2:18" x14ac:dyDescent="0.25">
      <c r="B69" s="477"/>
      <c r="C69" s="478"/>
      <c r="D69" s="478"/>
      <c r="E69" s="478"/>
      <c r="F69" s="479"/>
      <c r="H69" s="477"/>
      <c r="I69" s="478"/>
      <c r="J69" s="478"/>
      <c r="K69" s="478"/>
      <c r="L69" s="478"/>
      <c r="M69" s="478"/>
      <c r="N69" s="478"/>
      <c r="O69" s="478"/>
      <c r="P69" s="479"/>
      <c r="R69" s="43"/>
    </row>
    <row r="70" spans="2:18" x14ac:dyDescent="0.25">
      <c r="B70" s="477"/>
      <c r="C70" s="478"/>
      <c r="D70" s="478"/>
      <c r="E70" s="478"/>
      <c r="F70" s="479"/>
      <c r="H70" s="477"/>
      <c r="I70" s="478"/>
      <c r="J70" s="478"/>
      <c r="K70" s="478"/>
      <c r="L70" s="478"/>
      <c r="M70" s="478"/>
      <c r="N70" s="478"/>
      <c r="O70" s="478"/>
      <c r="P70" s="479"/>
      <c r="R70" s="43"/>
    </row>
    <row r="71" spans="2:18" x14ac:dyDescent="0.25">
      <c r="B71" s="477"/>
      <c r="C71" s="478"/>
      <c r="D71" s="478"/>
      <c r="E71" s="478"/>
      <c r="F71" s="479"/>
      <c r="H71" s="477"/>
      <c r="I71" s="478"/>
      <c r="J71" s="478"/>
      <c r="K71" s="478"/>
      <c r="L71" s="478"/>
      <c r="M71" s="478"/>
      <c r="N71" s="478"/>
      <c r="O71" s="478"/>
      <c r="P71" s="479"/>
      <c r="R71" s="43"/>
    </row>
    <row r="72" spans="2:18" x14ac:dyDescent="0.25">
      <c r="B72" s="477"/>
      <c r="C72" s="478"/>
      <c r="D72" s="478"/>
      <c r="E72" s="478"/>
      <c r="F72" s="479"/>
      <c r="H72" s="477"/>
      <c r="I72" s="478"/>
      <c r="J72" s="478"/>
      <c r="K72" s="478"/>
      <c r="L72" s="478"/>
      <c r="M72" s="478"/>
      <c r="N72" s="478"/>
      <c r="O72" s="478"/>
      <c r="P72" s="479"/>
      <c r="R72" s="43"/>
    </row>
    <row r="73" spans="2:18" x14ac:dyDescent="0.25">
      <c r="B73" s="477"/>
      <c r="C73" s="478"/>
      <c r="D73" s="478"/>
      <c r="E73" s="478"/>
      <c r="F73" s="479"/>
      <c r="H73" s="477"/>
      <c r="I73" s="478"/>
      <c r="J73" s="478"/>
      <c r="K73" s="478"/>
      <c r="L73" s="478"/>
      <c r="M73" s="478"/>
      <c r="N73" s="478"/>
      <c r="O73" s="478"/>
      <c r="P73" s="479"/>
      <c r="R73" s="43"/>
    </row>
    <row r="74" spans="2:18" x14ac:dyDescent="0.25">
      <c r="B74" s="477"/>
      <c r="C74" s="478"/>
      <c r="D74" s="478"/>
      <c r="E74" s="478"/>
      <c r="F74" s="479"/>
      <c r="H74" s="477"/>
      <c r="I74" s="478"/>
      <c r="J74" s="478"/>
      <c r="K74" s="478"/>
      <c r="L74" s="478"/>
      <c r="M74" s="478"/>
      <c r="N74" s="478"/>
      <c r="O74" s="478"/>
      <c r="P74" s="479"/>
      <c r="R74" s="43"/>
    </row>
    <row r="75" spans="2:18" x14ac:dyDescent="0.25">
      <c r="B75" s="477"/>
      <c r="C75" s="478"/>
      <c r="D75" s="478"/>
      <c r="E75" s="478"/>
      <c r="F75" s="479"/>
      <c r="H75" s="477"/>
      <c r="I75" s="478"/>
      <c r="J75" s="478"/>
      <c r="K75" s="478"/>
      <c r="L75" s="478"/>
      <c r="M75" s="478"/>
      <c r="N75" s="478"/>
      <c r="O75" s="478"/>
      <c r="P75" s="479"/>
      <c r="R75" s="43"/>
    </row>
    <row r="76" spans="2:18" x14ac:dyDescent="0.25">
      <c r="B76" s="477"/>
      <c r="C76" s="478"/>
      <c r="D76" s="478"/>
      <c r="E76" s="478"/>
      <c r="F76" s="479"/>
      <c r="H76" s="477"/>
      <c r="I76" s="478"/>
      <c r="J76" s="478"/>
      <c r="K76" s="478"/>
      <c r="L76" s="478"/>
      <c r="M76" s="478"/>
      <c r="N76" s="478"/>
      <c r="O76" s="478"/>
      <c r="P76" s="479"/>
      <c r="R76" s="43"/>
    </row>
    <row r="77" spans="2:18" x14ac:dyDescent="0.25">
      <c r="B77" s="477"/>
      <c r="C77" s="478"/>
      <c r="D77" s="478"/>
      <c r="E77" s="478"/>
      <c r="F77" s="479"/>
      <c r="H77" s="477"/>
      <c r="I77" s="478"/>
      <c r="J77" s="478"/>
      <c r="K77" s="478"/>
      <c r="L77" s="478"/>
      <c r="M77" s="478"/>
      <c r="N77" s="478"/>
      <c r="O77" s="478"/>
      <c r="P77" s="479"/>
      <c r="R77" s="43"/>
    </row>
    <row r="78" spans="2:18" x14ac:dyDescent="0.25">
      <c r="B78" s="477"/>
      <c r="C78" s="478"/>
      <c r="D78" s="478"/>
      <c r="E78" s="478"/>
      <c r="F78" s="479"/>
      <c r="H78" s="477"/>
      <c r="I78" s="478"/>
      <c r="J78" s="478"/>
      <c r="K78" s="478"/>
      <c r="L78" s="478"/>
      <c r="M78" s="478"/>
      <c r="N78" s="478"/>
      <c r="O78" s="478"/>
      <c r="P78" s="479"/>
      <c r="R78" s="43"/>
    </row>
    <row r="79" spans="2:18" x14ac:dyDescent="0.25">
      <c r="B79" s="477"/>
      <c r="C79" s="478"/>
      <c r="D79" s="478"/>
      <c r="E79" s="478"/>
      <c r="F79" s="479"/>
      <c r="H79" s="477"/>
      <c r="I79" s="478"/>
      <c r="J79" s="478"/>
      <c r="K79" s="478"/>
      <c r="L79" s="478"/>
      <c r="M79" s="478"/>
      <c r="N79" s="478"/>
      <c r="O79" s="478"/>
      <c r="P79" s="479"/>
      <c r="R79" s="43"/>
    </row>
    <row r="80" spans="2:18" x14ac:dyDescent="0.25">
      <c r="B80" s="477"/>
      <c r="C80" s="478"/>
      <c r="D80" s="478"/>
      <c r="E80" s="478"/>
      <c r="F80" s="479"/>
      <c r="H80" s="477"/>
      <c r="I80" s="478"/>
      <c r="J80" s="478"/>
      <c r="K80" s="478"/>
      <c r="L80" s="478"/>
      <c r="M80" s="478"/>
      <c r="N80" s="478"/>
      <c r="O80" s="478"/>
      <c r="P80" s="479"/>
      <c r="R80" s="43"/>
    </row>
    <row r="81" spans="2:18" x14ac:dyDescent="0.25">
      <c r="B81" s="477"/>
      <c r="C81" s="478"/>
      <c r="D81" s="478"/>
      <c r="E81" s="478"/>
      <c r="F81" s="479"/>
      <c r="H81" s="477"/>
      <c r="I81" s="478"/>
      <c r="J81" s="478"/>
      <c r="K81" s="478"/>
      <c r="L81" s="478"/>
      <c r="M81" s="478"/>
      <c r="N81" s="478"/>
      <c r="O81" s="478"/>
      <c r="P81" s="479"/>
      <c r="R81" s="43"/>
    </row>
    <row r="82" spans="2:18" x14ac:dyDescent="0.25">
      <c r="B82" s="477"/>
      <c r="C82" s="478"/>
      <c r="D82" s="478"/>
      <c r="E82" s="478"/>
      <c r="F82" s="479"/>
      <c r="H82" s="477"/>
      <c r="I82" s="478"/>
      <c r="J82" s="478"/>
      <c r="K82" s="478"/>
      <c r="L82" s="478"/>
      <c r="M82" s="478"/>
      <c r="N82" s="478"/>
      <c r="O82" s="478"/>
      <c r="P82" s="479"/>
      <c r="R82" s="43"/>
    </row>
    <row r="83" spans="2:18" x14ac:dyDescent="0.25">
      <c r="B83" s="477"/>
      <c r="C83" s="478"/>
      <c r="D83" s="478"/>
      <c r="E83" s="478"/>
      <c r="F83" s="479"/>
      <c r="H83" s="477"/>
      <c r="I83" s="478"/>
      <c r="J83" s="478"/>
      <c r="K83" s="478"/>
      <c r="L83" s="478"/>
      <c r="M83" s="478"/>
      <c r="N83" s="478"/>
      <c r="O83" s="478"/>
      <c r="P83" s="479"/>
      <c r="R83" s="43"/>
    </row>
    <row r="84" spans="2:18" x14ac:dyDescent="0.25">
      <c r="B84" s="477"/>
      <c r="C84" s="478"/>
      <c r="D84" s="478"/>
      <c r="E84" s="478"/>
      <c r="F84" s="479"/>
      <c r="H84" s="477"/>
      <c r="I84" s="478"/>
      <c r="J84" s="478"/>
      <c r="K84" s="478"/>
      <c r="L84" s="478"/>
      <c r="M84" s="478"/>
      <c r="N84" s="478"/>
      <c r="O84" s="478"/>
      <c r="P84" s="479"/>
      <c r="R84" s="43"/>
    </row>
    <row r="85" spans="2:18" x14ac:dyDescent="0.25">
      <c r="B85" s="477"/>
      <c r="C85" s="478"/>
      <c r="D85" s="478"/>
      <c r="E85" s="478"/>
      <c r="F85" s="479"/>
      <c r="H85" s="477"/>
      <c r="I85" s="478"/>
      <c r="J85" s="478"/>
      <c r="K85" s="478"/>
      <c r="L85" s="478"/>
      <c r="M85" s="478"/>
      <c r="N85" s="478"/>
      <c r="O85" s="478"/>
      <c r="P85" s="479"/>
      <c r="R85" s="43"/>
    </row>
    <row r="86" spans="2:18" x14ac:dyDescent="0.25">
      <c r="B86" s="477"/>
      <c r="C86" s="478"/>
      <c r="D86" s="478"/>
      <c r="E86" s="478"/>
      <c r="F86" s="479"/>
      <c r="H86" s="477"/>
      <c r="I86" s="478"/>
      <c r="J86" s="478"/>
      <c r="K86" s="478"/>
      <c r="L86" s="478"/>
      <c r="M86" s="478"/>
      <c r="N86" s="478"/>
      <c r="O86" s="478"/>
      <c r="P86" s="479"/>
      <c r="R86" s="43"/>
    </row>
    <row r="87" spans="2:18" x14ac:dyDescent="0.25">
      <c r="B87" s="477"/>
      <c r="C87" s="478"/>
      <c r="D87" s="478"/>
      <c r="E87" s="478"/>
      <c r="F87" s="479"/>
      <c r="H87" s="477"/>
      <c r="I87" s="478"/>
      <c r="J87" s="478"/>
      <c r="K87" s="478"/>
      <c r="L87" s="478"/>
      <c r="M87" s="478"/>
      <c r="N87" s="478"/>
      <c r="O87" s="478"/>
      <c r="P87" s="479"/>
      <c r="R87" s="43"/>
    </row>
    <row r="88" spans="2:18" x14ac:dyDescent="0.25">
      <c r="B88" s="477"/>
      <c r="C88" s="478"/>
      <c r="D88" s="478"/>
      <c r="E88" s="478"/>
      <c r="F88" s="479"/>
      <c r="H88" s="477"/>
      <c r="I88" s="478"/>
      <c r="J88" s="478"/>
      <c r="K88" s="478"/>
      <c r="L88" s="478"/>
      <c r="M88" s="478"/>
      <c r="N88" s="478"/>
      <c r="O88" s="478"/>
      <c r="P88" s="479"/>
      <c r="R88" s="43"/>
    </row>
    <row r="89" spans="2:18" ht="17.25" thickBot="1" x14ac:dyDescent="0.3">
      <c r="B89" s="480"/>
      <c r="C89" s="481"/>
      <c r="D89" s="481"/>
      <c r="E89" s="481"/>
      <c r="F89" s="482"/>
      <c r="H89" s="480"/>
      <c r="I89" s="481"/>
      <c r="J89" s="481"/>
      <c r="K89" s="481"/>
      <c r="L89" s="481"/>
      <c r="M89" s="481"/>
      <c r="N89" s="481"/>
      <c r="O89" s="481"/>
      <c r="P89" s="482"/>
      <c r="R89" s="43"/>
    </row>
    <row r="90" spans="2:18" ht="17.25" thickBot="1" x14ac:dyDescent="0.3">
      <c r="R90" s="43"/>
    </row>
    <row r="91" spans="2:18" ht="18" thickBot="1" x14ac:dyDescent="0.3">
      <c r="B91" s="27" t="s">
        <v>106</v>
      </c>
      <c r="C91" s="28"/>
      <c r="D91" s="28"/>
      <c r="E91" s="28"/>
      <c r="F91" s="28"/>
      <c r="G91" s="28"/>
      <c r="H91" s="28"/>
      <c r="I91" s="28"/>
      <c r="J91" s="28"/>
      <c r="K91" s="28"/>
      <c r="L91" s="28"/>
      <c r="M91" s="28"/>
      <c r="N91" s="28"/>
      <c r="O91" s="28"/>
      <c r="P91" s="29"/>
      <c r="R91" s="43"/>
    </row>
    <row r="92" spans="2:18" x14ac:dyDescent="0.25">
      <c r="B92" s="477"/>
      <c r="C92" s="478"/>
      <c r="D92" s="478"/>
      <c r="E92" s="478"/>
      <c r="F92" s="478"/>
      <c r="G92" s="478"/>
      <c r="H92" s="478"/>
      <c r="I92" s="478"/>
      <c r="J92" s="478"/>
      <c r="K92" s="478"/>
      <c r="L92" s="478"/>
      <c r="M92" s="478"/>
      <c r="N92" s="478"/>
      <c r="O92" s="478"/>
      <c r="P92" s="479"/>
      <c r="R92" s="43"/>
    </row>
    <row r="93" spans="2:18" x14ac:dyDescent="0.25">
      <c r="B93" s="477"/>
      <c r="C93" s="478"/>
      <c r="D93" s="478"/>
      <c r="E93" s="478"/>
      <c r="F93" s="478"/>
      <c r="G93" s="478"/>
      <c r="H93" s="478"/>
      <c r="I93" s="478"/>
      <c r="J93" s="478"/>
      <c r="K93" s="478"/>
      <c r="L93" s="478"/>
      <c r="M93" s="478"/>
      <c r="N93" s="478"/>
      <c r="O93" s="478"/>
      <c r="P93" s="479"/>
      <c r="R93" s="43"/>
    </row>
    <row r="94" spans="2:18" x14ac:dyDescent="0.25">
      <c r="B94" s="477"/>
      <c r="C94" s="478"/>
      <c r="D94" s="478"/>
      <c r="E94" s="478"/>
      <c r="F94" s="478"/>
      <c r="G94" s="478"/>
      <c r="H94" s="478"/>
      <c r="I94" s="478"/>
      <c r="J94" s="478"/>
      <c r="K94" s="478"/>
      <c r="L94" s="478"/>
      <c r="M94" s="478"/>
      <c r="N94" s="478"/>
      <c r="O94" s="478"/>
      <c r="P94" s="479"/>
      <c r="R94" s="43"/>
    </row>
    <row r="95" spans="2:18" x14ac:dyDescent="0.25">
      <c r="B95" s="477"/>
      <c r="C95" s="478"/>
      <c r="D95" s="478"/>
      <c r="E95" s="478"/>
      <c r="F95" s="478"/>
      <c r="G95" s="478"/>
      <c r="H95" s="478"/>
      <c r="I95" s="478"/>
      <c r="J95" s="478"/>
      <c r="K95" s="478"/>
      <c r="L95" s="478"/>
      <c r="M95" s="478"/>
      <c r="N95" s="478"/>
      <c r="O95" s="478"/>
      <c r="P95" s="479"/>
      <c r="R95" s="43"/>
    </row>
    <row r="96" spans="2:18" x14ac:dyDescent="0.25">
      <c r="B96" s="477"/>
      <c r="C96" s="478"/>
      <c r="D96" s="478"/>
      <c r="E96" s="478"/>
      <c r="F96" s="478"/>
      <c r="G96" s="478"/>
      <c r="H96" s="478"/>
      <c r="I96" s="478"/>
      <c r="J96" s="478"/>
      <c r="K96" s="478"/>
      <c r="L96" s="478"/>
      <c r="M96" s="478"/>
      <c r="N96" s="478"/>
      <c r="O96" s="478"/>
      <c r="P96" s="479"/>
      <c r="R96" s="43"/>
    </row>
    <row r="97" spans="2:18" x14ac:dyDescent="0.25">
      <c r="B97" s="477"/>
      <c r="C97" s="478"/>
      <c r="D97" s="478"/>
      <c r="E97" s="478"/>
      <c r="F97" s="478"/>
      <c r="G97" s="478"/>
      <c r="H97" s="478"/>
      <c r="I97" s="478"/>
      <c r="J97" s="478"/>
      <c r="K97" s="478"/>
      <c r="L97" s="478"/>
      <c r="M97" s="478"/>
      <c r="N97" s="478"/>
      <c r="O97" s="478"/>
      <c r="P97" s="479"/>
      <c r="R97" s="43"/>
    </row>
    <row r="98" spans="2:18" x14ac:dyDescent="0.25">
      <c r="B98" s="477"/>
      <c r="C98" s="478"/>
      <c r="D98" s="478"/>
      <c r="E98" s="478"/>
      <c r="F98" s="478"/>
      <c r="G98" s="478"/>
      <c r="H98" s="478"/>
      <c r="I98" s="478"/>
      <c r="J98" s="478"/>
      <c r="K98" s="478"/>
      <c r="L98" s="478"/>
      <c r="M98" s="478"/>
      <c r="N98" s="478"/>
      <c r="O98" s="478"/>
      <c r="P98" s="479"/>
      <c r="R98" s="43"/>
    </row>
    <row r="99" spans="2:18" x14ac:dyDescent="0.25">
      <c r="B99" s="477"/>
      <c r="C99" s="478"/>
      <c r="D99" s="478"/>
      <c r="E99" s="478"/>
      <c r="F99" s="478"/>
      <c r="G99" s="478"/>
      <c r="H99" s="478"/>
      <c r="I99" s="478"/>
      <c r="J99" s="478"/>
      <c r="K99" s="478"/>
      <c r="L99" s="478"/>
      <c r="M99" s="478"/>
      <c r="N99" s="478"/>
      <c r="O99" s="478"/>
      <c r="P99" s="479"/>
      <c r="R99" s="43"/>
    </row>
    <row r="100" spans="2:18" x14ac:dyDescent="0.25">
      <c r="B100" s="477"/>
      <c r="C100" s="478"/>
      <c r="D100" s="478"/>
      <c r="E100" s="478"/>
      <c r="F100" s="478"/>
      <c r="G100" s="478"/>
      <c r="H100" s="478"/>
      <c r="I100" s="478"/>
      <c r="J100" s="478"/>
      <c r="K100" s="478"/>
      <c r="L100" s="478"/>
      <c r="M100" s="478"/>
      <c r="N100" s="478"/>
      <c r="O100" s="478"/>
      <c r="P100" s="479"/>
      <c r="R100" s="43"/>
    </row>
    <row r="101" spans="2:18" x14ac:dyDescent="0.25">
      <c r="B101" s="477"/>
      <c r="C101" s="478"/>
      <c r="D101" s="478"/>
      <c r="E101" s="478"/>
      <c r="F101" s="478"/>
      <c r="G101" s="478"/>
      <c r="H101" s="478"/>
      <c r="I101" s="478"/>
      <c r="J101" s="478"/>
      <c r="K101" s="478"/>
      <c r="L101" s="478"/>
      <c r="M101" s="478"/>
      <c r="N101" s="478"/>
      <c r="O101" s="478"/>
      <c r="P101" s="479"/>
      <c r="R101" s="43"/>
    </row>
    <row r="102" spans="2:18" x14ac:dyDescent="0.25">
      <c r="B102" s="477"/>
      <c r="C102" s="478"/>
      <c r="D102" s="478"/>
      <c r="E102" s="478"/>
      <c r="F102" s="478"/>
      <c r="G102" s="478"/>
      <c r="H102" s="478"/>
      <c r="I102" s="478"/>
      <c r="J102" s="478"/>
      <c r="K102" s="478"/>
      <c r="L102" s="478"/>
      <c r="M102" s="478"/>
      <c r="N102" s="478"/>
      <c r="O102" s="478"/>
      <c r="P102" s="479"/>
      <c r="R102" s="43"/>
    </row>
    <row r="103" spans="2:18" x14ac:dyDescent="0.25">
      <c r="B103" s="477"/>
      <c r="C103" s="478"/>
      <c r="D103" s="478"/>
      <c r="E103" s="478"/>
      <c r="F103" s="478"/>
      <c r="G103" s="478"/>
      <c r="H103" s="478"/>
      <c r="I103" s="478"/>
      <c r="J103" s="478"/>
      <c r="K103" s="478"/>
      <c r="L103" s="478"/>
      <c r="M103" s="478"/>
      <c r="N103" s="478"/>
      <c r="O103" s="478"/>
      <c r="P103" s="479"/>
      <c r="R103" s="43"/>
    </row>
    <row r="104" spans="2:18" x14ac:dyDescent="0.25">
      <c r="B104" s="477"/>
      <c r="C104" s="478"/>
      <c r="D104" s="478"/>
      <c r="E104" s="478"/>
      <c r="F104" s="478"/>
      <c r="G104" s="478"/>
      <c r="H104" s="478"/>
      <c r="I104" s="478"/>
      <c r="J104" s="478"/>
      <c r="K104" s="478"/>
      <c r="L104" s="478"/>
      <c r="M104" s="478"/>
      <c r="N104" s="478"/>
      <c r="O104" s="478"/>
      <c r="P104" s="479"/>
      <c r="R104" s="43"/>
    </row>
    <row r="105" spans="2:18" x14ac:dyDescent="0.25">
      <c r="B105" s="477"/>
      <c r="C105" s="478"/>
      <c r="D105" s="478"/>
      <c r="E105" s="478"/>
      <c r="F105" s="478"/>
      <c r="G105" s="478"/>
      <c r="H105" s="478"/>
      <c r="I105" s="478"/>
      <c r="J105" s="478"/>
      <c r="K105" s="478"/>
      <c r="L105" s="478"/>
      <c r="M105" s="478"/>
      <c r="N105" s="478"/>
      <c r="O105" s="478"/>
      <c r="P105" s="479"/>
      <c r="R105" s="43"/>
    </row>
    <row r="106" spans="2:18" x14ac:dyDescent="0.25">
      <c r="B106" s="477"/>
      <c r="C106" s="478"/>
      <c r="D106" s="478"/>
      <c r="E106" s="478"/>
      <c r="F106" s="478"/>
      <c r="G106" s="478"/>
      <c r="H106" s="478"/>
      <c r="I106" s="478"/>
      <c r="J106" s="478"/>
      <c r="K106" s="478"/>
      <c r="L106" s="478"/>
      <c r="M106" s="478"/>
      <c r="N106" s="478"/>
      <c r="O106" s="478"/>
      <c r="P106" s="479"/>
      <c r="R106" s="43"/>
    </row>
    <row r="107" spans="2:18" x14ac:dyDescent="0.25">
      <c r="B107" s="477"/>
      <c r="C107" s="478"/>
      <c r="D107" s="478"/>
      <c r="E107" s="478"/>
      <c r="F107" s="478"/>
      <c r="G107" s="478"/>
      <c r="H107" s="478"/>
      <c r="I107" s="478"/>
      <c r="J107" s="478"/>
      <c r="K107" s="478"/>
      <c r="L107" s="478"/>
      <c r="M107" s="478"/>
      <c r="N107" s="478"/>
      <c r="O107" s="478"/>
      <c r="P107" s="479"/>
      <c r="R107" s="43"/>
    </row>
    <row r="108" spans="2:18" x14ac:dyDescent="0.25">
      <c r="B108" s="477"/>
      <c r="C108" s="478"/>
      <c r="D108" s="478"/>
      <c r="E108" s="478"/>
      <c r="F108" s="478"/>
      <c r="G108" s="478"/>
      <c r="H108" s="478"/>
      <c r="I108" s="478"/>
      <c r="J108" s="478"/>
      <c r="K108" s="478"/>
      <c r="L108" s="478"/>
      <c r="M108" s="478"/>
      <c r="N108" s="478"/>
      <c r="O108" s="478"/>
      <c r="P108" s="479"/>
      <c r="R108" s="43"/>
    </row>
    <row r="109" spans="2:18" x14ac:dyDescent="0.25">
      <c r="B109" s="477"/>
      <c r="C109" s="478"/>
      <c r="D109" s="478"/>
      <c r="E109" s="478"/>
      <c r="F109" s="478"/>
      <c r="G109" s="478"/>
      <c r="H109" s="478"/>
      <c r="I109" s="478"/>
      <c r="J109" s="478"/>
      <c r="K109" s="478"/>
      <c r="L109" s="478"/>
      <c r="M109" s="478"/>
      <c r="N109" s="478"/>
      <c r="O109" s="478"/>
      <c r="P109" s="479"/>
      <c r="R109" s="43"/>
    </row>
    <row r="110" spans="2:18" x14ac:dyDescent="0.25">
      <c r="B110" s="477"/>
      <c r="C110" s="478"/>
      <c r="D110" s="478"/>
      <c r="E110" s="478"/>
      <c r="F110" s="478"/>
      <c r="G110" s="478"/>
      <c r="H110" s="478"/>
      <c r="I110" s="478"/>
      <c r="J110" s="478"/>
      <c r="K110" s="478"/>
      <c r="L110" s="478"/>
      <c r="M110" s="478"/>
      <c r="N110" s="478"/>
      <c r="O110" s="478"/>
      <c r="P110" s="479"/>
      <c r="R110" s="43"/>
    </row>
    <row r="111" spans="2:18" x14ac:dyDescent="0.25">
      <c r="B111" s="477"/>
      <c r="C111" s="478"/>
      <c r="D111" s="478"/>
      <c r="E111" s="478"/>
      <c r="F111" s="478"/>
      <c r="G111" s="478"/>
      <c r="H111" s="478"/>
      <c r="I111" s="478"/>
      <c r="J111" s="478"/>
      <c r="K111" s="478"/>
      <c r="L111" s="478"/>
      <c r="M111" s="478"/>
      <c r="N111" s="478"/>
      <c r="O111" s="478"/>
      <c r="P111" s="479"/>
      <c r="R111" s="43"/>
    </row>
    <row r="112" spans="2:18" x14ac:dyDescent="0.25">
      <c r="B112" s="477"/>
      <c r="C112" s="478"/>
      <c r="D112" s="478"/>
      <c r="E112" s="478"/>
      <c r="F112" s="478"/>
      <c r="G112" s="478"/>
      <c r="H112" s="478"/>
      <c r="I112" s="478"/>
      <c r="J112" s="478"/>
      <c r="K112" s="478"/>
      <c r="L112" s="478"/>
      <c r="M112" s="478"/>
      <c r="N112" s="478"/>
      <c r="O112" s="478"/>
      <c r="P112" s="479"/>
      <c r="R112" s="43"/>
    </row>
    <row r="113" spans="2:18" x14ac:dyDescent="0.25">
      <c r="B113" s="477"/>
      <c r="C113" s="478"/>
      <c r="D113" s="478"/>
      <c r="E113" s="478"/>
      <c r="F113" s="478"/>
      <c r="G113" s="478"/>
      <c r="H113" s="478"/>
      <c r="I113" s="478"/>
      <c r="J113" s="478"/>
      <c r="K113" s="478"/>
      <c r="L113" s="478"/>
      <c r="M113" s="478"/>
      <c r="N113" s="478"/>
      <c r="O113" s="478"/>
      <c r="P113" s="479"/>
      <c r="R113" s="43"/>
    </row>
    <row r="114" spans="2:18" x14ac:dyDescent="0.25">
      <c r="B114" s="477"/>
      <c r="C114" s="478"/>
      <c r="D114" s="478"/>
      <c r="E114" s="478"/>
      <c r="F114" s="478"/>
      <c r="G114" s="478"/>
      <c r="H114" s="478"/>
      <c r="I114" s="478"/>
      <c r="J114" s="478"/>
      <c r="K114" s="478"/>
      <c r="L114" s="478"/>
      <c r="M114" s="478"/>
      <c r="N114" s="478"/>
      <c r="O114" s="478"/>
      <c r="P114" s="479"/>
      <c r="R114" s="43"/>
    </row>
    <row r="115" spans="2:18" x14ac:dyDescent="0.25">
      <c r="B115" s="477"/>
      <c r="C115" s="478"/>
      <c r="D115" s="478"/>
      <c r="E115" s="478"/>
      <c r="F115" s="478"/>
      <c r="G115" s="478"/>
      <c r="H115" s="478"/>
      <c r="I115" s="478"/>
      <c r="J115" s="478"/>
      <c r="K115" s="478"/>
      <c r="L115" s="478"/>
      <c r="M115" s="478"/>
      <c r="N115" s="478"/>
      <c r="O115" s="478"/>
      <c r="P115" s="479"/>
      <c r="R115" s="43"/>
    </row>
    <row r="116" spans="2:18" x14ac:dyDescent="0.25">
      <c r="B116" s="477"/>
      <c r="C116" s="478"/>
      <c r="D116" s="478"/>
      <c r="E116" s="478"/>
      <c r="F116" s="478"/>
      <c r="G116" s="478"/>
      <c r="H116" s="478"/>
      <c r="I116" s="478"/>
      <c r="J116" s="478"/>
      <c r="K116" s="478"/>
      <c r="L116" s="478"/>
      <c r="M116" s="478"/>
      <c r="N116" s="478"/>
      <c r="O116" s="478"/>
      <c r="P116" s="479"/>
      <c r="R116" s="43"/>
    </row>
    <row r="117" spans="2:18" x14ac:dyDescent="0.25">
      <c r="B117" s="477"/>
      <c r="C117" s="478"/>
      <c r="D117" s="478"/>
      <c r="E117" s="478"/>
      <c r="F117" s="478"/>
      <c r="G117" s="478"/>
      <c r="H117" s="478"/>
      <c r="I117" s="478"/>
      <c r="J117" s="478"/>
      <c r="K117" s="478"/>
      <c r="L117" s="478"/>
      <c r="M117" s="478"/>
      <c r="N117" s="478"/>
      <c r="O117" s="478"/>
      <c r="P117" s="479"/>
      <c r="R117" s="43"/>
    </row>
    <row r="118" spans="2:18" ht="17.25" thickBot="1" x14ac:dyDescent="0.3">
      <c r="B118" s="480"/>
      <c r="C118" s="481"/>
      <c r="D118" s="481"/>
      <c r="E118" s="481"/>
      <c r="F118" s="481"/>
      <c r="G118" s="481"/>
      <c r="H118" s="481"/>
      <c r="I118" s="481"/>
      <c r="J118" s="481"/>
      <c r="K118" s="481"/>
      <c r="L118" s="481"/>
      <c r="M118" s="481"/>
      <c r="N118" s="481"/>
      <c r="O118" s="481"/>
      <c r="P118" s="482"/>
      <c r="R118" s="43"/>
    </row>
    <row r="119" spans="2:18" ht="17.25" thickBot="1" x14ac:dyDescent="0.3">
      <c r="R119" s="43"/>
    </row>
    <row r="120" spans="2:18" ht="18" thickBot="1" x14ac:dyDescent="0.3">
      <c r="B120" s="483" t="s">
        <v>107</v>
      </c>
      <c r="C120" s="484"/>
      <c r="D120" s="484"/>
      <c r="E120" s="484"/>
      <c r="F120" s="484"/>
      <c r="G120" s="484"/>
      <c r="H120" s="484"/>
      <c r="I120" s="484"/>
      <c r="J120" s="484"/>
      <c r="K120" s="484"/>
      <c r="L120" s="484"/>
      <c r="M120" s="484"/>
      <c r="N120" s="484"/>
      <c r="O120" s="484"/>
      <c r="P120" s="485"/>
      <c r="R120" s="43"/>
    </row>
    <row r="121" spans="2:18" x14ac:dyDescent="0.25">
      <c r="B121" s="477"/>
      <c r="C121" s="478"/>
      <c r="D121" s="478"/>
      <c r="E121" s="478"/>
      <c r="F121" s="478"/>
      <c r="G121" s="478"/>
      <c r="H121" s="478"/>
      <c r="I121" s="478"/>
      <c r="J121" s="478"/>
      <c r="K121" s="478"/>
      <c r="L121" s="478"/>
      <c r="M121" s="478"/>
      <c r="N121" s="478"/>
      <c r="O121" s="478"/>
      <c r="P121" s="479"/>
      <c r="R121" s="43"/>
    </row>
    <row r="122" spans="2:18" x14ac:dyDescent="0.25">
      <c r="B122" s="477"/>
      <c r="C122" s="478"/>
      <c r="D122" s="478"/>
      <c r="E122" s="478"/>
      <c r="F122" s="478"/>
      <c r="G122" s="478"/>
      <c r="H122" s="478"/>
      <c r="I122" s="478"/>
      <c r="J122" s="478"/>
      <c r="K122" s="478"/>
      <c r="L122" s="478"/>
      <c r="M122" s="478"/>
      <c r="N122" s="478"/>
      <c r="O122" s="478"/>
      <c r="P122" s="479"/>
      <c r="R122" s="43"/>
    </row>
    <row r="123" spans="2:18" x14ac:dyDescent="0.25">
      <c r="B123" s="477"/>
      <c r="C123" s="478"/>
      <c r="D123" s="478"/>
      <c r="E123" s="478"/>
      <c r="F123" s="478"/>
      <c r="G123" s="478"/>
      <c r="H123" s="478"/>
      <c r="I123" s="478"/>
      <c r="J123" s="478"/>
      <c r="K123" s="478"/>
      <c r="L123" s="478"/>
      <c r="M123" s="478"/>
      <c r="N123" s="478"/>
      <c r="O123" s="478"/>
      <c r="P123" s="479"/>
      <c r="R123" s="43"/>
    </row>
    <row r="124" spans="2:18" x14ac:dyDescent="0.25">
      <c r="B124" s="477"/>
      <c r="C124" s="478"/>
      <c r="D124" s="478"/>
      <c r="E124" s="478"/>
      <c r="F124" s="478"/>
      <c r="G124" s="478"/>
      <c r="H124" s="478"/>
      <c r="I124" s="478"/>
      <c r="J124" s="478"/>
      <c r="K124" s="478"/>
      <c r="L124" s="478"/>
      <c r="M124" s="478"/>
      <c r="N124" s="478"/>
      <c r="O124" s="478"/>
      <c r="P124" s="479"/>
      <c r="R124" s="43"/>
    </row>
    <row r="125" spans="2:18" x14ac:dyDescent="0.25">
      <c r="B125" s="477"/>
      <c r="C125" s="478"/>
      <c r="D125" s="478"/>
      <c r="E125" s="478"/>
      <c r="F125" s="478"/>
      <c r="G125" s="478"/>
      <c r="H125" s="478"/>
      <c r="I125" s="478"/>
      <c r="J125" s="478"/>
      <c r="K125" s="478"/>
      <c r="L125" s="478"/>
      <c r="M125" s="478"/>
      <c r="N125" s="478"/>
      <c r="O125" s="478"/>
      <c r="P125" s="479"/>
      <c r="R125" s="43"/>
    </row>
    <row r="126" spans="2:18" x14ac:dyDescent="0.25">
      <c r="B126" s="477"/>
      <c r="C126" s="478"/>
      <c r="D126" s="478"/>
      <c r="E126" s="478"/>
      <c r="F126" s="478"/>
      <c r="G126" s="478"/>
      <c r="H126" s="478"/>
      <c r="I126" s="478"/>
      <c r="J126" s="478"/>
      <c r="K126" s="478"/>
      <c r="L126" s="478"/>
      <c r="M126" s="478"/>
      <c r="N126" s="478"/>
      <c r="O126" s="478"/>
      <c r="P126" s="479"/>
      <c r="R126" s="43"/>
    </row>
    <row r="127" spans="2:18" x14ac:dyDescent="0.25">
      <c r="B127" s="477"/>
      <c r="C127" s="478"/>
      <c r="D127" s="478"/>
      <c r="E127" s="478"/>
      <c r="F127" s="478"/>
      <c r="G127" s="478"/>
      <c r="H127" s="478"/>
      <c r="I127" s="478"/>
      <c r="J127" s="478"/>
      <c r="K127" s="478"/>
      <c r="L127" s="478"/>
      <c r="M127" s="478"/>
      <c r="N127" s="478"/>
      <c r="O127" s="478"/>
      <c r="P127" s="479"/>
      <c r="R127" s="43"/>
    </row>
    <row r="128" spans="2:18" x14ac:dyDescent="0.25">
      <c r="B128" s="477"/>
      <c r="C128" s="478"/>
      <c r="D128" s="478"/>
      <c r="E128" s="478"/>
      <c r="F128" s="478"/>
      <c r="G128" s="478"/>
      <c r="H128" s="478"/>
      <c r="I128" s="478"/>
      <c r="J128" s="478"/>
      <c r="K128" s="478"/>
      <c r="L128" s="478"/>
      <c r="M128" s="478"/>
      <c r="N128" s="478"/>
      <c r="O128" s="478"/>
      <c r="P128" s="479"/>
      <c r="R128" s="43"/>
    </row>
    <row r="129" spans="2:18" x14ac:dyDescent="0.25">
      <c r="B129" s="477"/>
      <c r="C129" s="478"/>
      <c r="D129" s="478"/>
      <c r="E129" s="478"/>
      <c r="F129" s="478"/>
      <c r="G129" s="478"/>
      <c r="H129" s="478"/>
      <c r="I129" s="478"/>
      <c r="J129" s="478"/>
      <c r="K129" s="478"/>
      <c r="L129" s="478"/>
      <c r="M129" s="478"/>
      <c r="N129" s="478"/>
      <c r="O129" s="478"/>
      <c r="P129" s="479"/>
      <c r="R129" s="43"/>
    </row>
    <row r="130" spans="2:18" x14ac:dyDescent="0.25">
      <c r="B130" s="477"/>
      <c r="C130" s="478"/>
      <c r="D130" s="478"/>
      <c r="E130" s="478"/>
      <c r="F130" s="478"/>
      <c r="G130" s="478"/>
      <c r="H130" s="478"/>
      <c r="I130" s="478"/>
      <c r="J130" s="478"/>
      <c r="K130" s="478"/>
      <c r="L130" s="478"/>
      <c r="M130" s="478"/>
      <c r="N130" s="478"/>
      <c r="O130" s="478"/>
      <c r="P130" s="479"/>
      <c r="R130" s="43"/>
    </row>
    <row r="131" spans="2:18" x14ac:dyDescent="0.25">
      <c r="B131" s="477"/>
      <c r="C131" s="478"/>
      <c r="D131" s="478"/>
      <c r="E131" s="478"/>
      <c r="F131" s="478"/>
      <c r="G131" s="478"/>
      <c r="H131" s="478"/>
      <c r="I131" s="478"/>
      <c r="J131" s="478"/>
      <c r="K131" s="478"/>
      <c r="L131" s="478"/>
      <c r="M131" s="478"/>
      <c r="N131" s="478"/>
      <c r="O131" s="478"/>
      <c r="P131" s="479"/>
      <c r="R131" s="43"/>
    </row>
    <row r="132" spans="2:18" x14ac:dyDescent="0.25">
      <c r="B132" s="477"/>
      <c r="C132" s="478"/>
      <c r="D132" s="478"/>
      <c r="E132" s="478"/>
      <c r="F132" s="478"/>
      <c r="G132" s="478"/>
      <c r="H132" s="478"/>
      <c r="I132" s="478"/>
      <c r="J132" s="478"/>
      <c r="K132" s="478"/>
      <c r="L132" s="478"/>
      <c r="M132" s="478"/>
      <c r="N132" s="478"/>
      <c r="O132" s="478"/>
      <c r="P132" s="479"/>
      <c r="R132" s="43"/>
    </row>
    <row r="133" spans="2:18" x14ac:dyDescent="0.25">
      <c r="B133" s="477"/>
      <c r="C133" s="478"/>
      <c r="D133" s="478"/>
      <c r="E133" s="478"/>
      <c r="F133" s="478"/>
      <c r="G133" s="478"/>
      <c r="H133" s="478"/>
      <c r="I133" s="478"/>
      <c r="J133" s="478"/>
      <c r="K133" s="478"/>
      <c r="L133" s="478"/>
      <c r="M133" s="478"/>
      <c r="N133" s="478"/>
      <c r="O133" s="478"/>
      <c r="P133" s="479"/>
      <c r="R133" s="43"/>
    </row>
    <row r="134" spans="2:18" x14ac:dyDescent="0.25">
      <c r="B134" s="477"/>
      <c r="C134" s="478"/>
      <c r="D134" s="478"/>
      <c r="E134" s="478"/>
      <c r="F134" s="478"/>
      <c r="G134" s="478"/>
      <c r="H134" s="478"/>
      <c r="I134" s="478"/>
      <c r="J134" s="478"/>
      <c r="K134" s="478"/>
      <c r="L134" s="478"/>
      <c r="M134" s="478"/>
      <c r="N134" s="478"/>
      <c r="O134" s="478"/>
      <c r="P134" s="479"/>
      <c r="R134" s="43"/>
    </row>
    <row r="135" spans="2:18" x14ac:dyDescent="0.25">
      <c r="B135" s="477"/>
      <c r="C135" s="478"/>
      <c r="D135" s="478"/>
      <c r="E135" s="478"/>
      <c r="F135" s="478"/>
      <c r="G135" s="478"/>
      <c r="H135" s="478"/>
      <c r="I135" s="478"/>
      <c r="J135" s="478"/>
      <c r="K135" s="478"/>
      <c r="L135" s="478"/>
      <c r="M135" s="478"/>
      <c r="N135" s="478"/>
      <c r="O135" s="478"/>
      <c r="P135" s="479"/>
      <c r="R135" s="43"/>
    </row>
    <row r="136" spans="2:18" x14ac:dyDescent="0.25">
      <c r="B136" s="477"/>
      <c r="C136" s="478"/>
      <c r="D136" s="478"/>
      <c r="E136" s="478"/>
      <c r="F136" s="478"/>
      <c r="G136" s="478"/>
      <c r="H136" s="478"/>
      <c r="I136" s="478"/>
      <c r="J136" s="478"/>
      <c r="K136" s="478"/>
      <c r="L136" s="478"/>
      <c r="M136" s="478"/>
      <c r="N136" s="478"/>
      <c r="O136" s="478"/>
      <c r="P136" s="479"/>
      <c r="R136" s="43"/>
    </row>
    <row r="137" spans="2:18" x14ac:dyDescent="0.25">
      <c r="B137" s="477"/>
      <c r="C137" s="478"/>
      <c r="D137" s="478"/>
      <c r="E137" s="478"/>
      <c r="F137" s="478"/>
      <c r="G137" s="478"/>
      <c r="H137" s="478"/>
      <c r="I137" s="478"/>
      <c r="J137" s="478"/>
      <c r="K137" s="478"/>
      <c r="L137" s="478"/>
      <c r="M137" s="478"/>
      <c r="N137" s="478"/>
      <c r="O137" s="478"/>
      <c r="P137" s="479"/>
      <c r="R137" s="43"/>
    </row>
    <row r="138" spans="2:18" x14ac:dyDescent="0.25">
      <c r="B138" s="477"/>
      <c r="C138" s="478"/>
      <c r="D138" s="478"/>
      <c r="E138" s="478"/>
      <c r="F138" s="478"/>
      <c r="G138" s="478"/>
      <c r="H138" s="478"/>
      <c r="I138" s="478"/>
      <c r="J138" s="478"/>
      <c r="K138" s="478"/>
      <c r="L138" s="478"/>
      <c r="M138" s="478"/>
      <c r="N138" s="478"/>
      <c r="O138" s="478"/>
      <c r="P138" s="479"/>
      <c r="R138" s="43"/>
    </row>
    <row r="139" spans="2:18" x14ac:dyDescent="0.25">
      <c r="B139" s="477"/>
      <c r="C139" s="478"/>
      <c r="D139" s="478"/>
      <c r="E139" s="478"/>
      <c r="F139" s="478"/>
      <c r="G139" s="478"/>
      <c r="H139" s="478"/>
      <c r="I139" s="478"/>
      <c r="J139" s="478"/>
      <c r="K139" s="478"/>
      <c r="L139" s="478"/>
      <c r="M139" s="478"/>
      <c r="N139" s="478"/>
      <c r="O139" s="478"/>
      <c r="P139" s="479"/>
      <c r="R139" s="43"/>
    </row>
    <row r="140" spans="2:18" x14ac:dyDescent="0.25">
      <c r="B140" s="477"/>
      <c r="C140" s="478"/>
      <c r="D140" s="478"/>
      <c r="E140" s="478"/>
      <c r="F140" s="478"/>
      <c r="G140" s="478"/>
      <c r="H140" s="478"/>
      <c r="I140" s="478"/>
      <c r="J140" s="478"/>
      <c r="K140" s="478"/>
      <c r="L140" s="478"/>
      <c r="M140" s="478"/>
      <c r="N140" s="478"/>
      <c r="O140" s="478"/>
      <c r="P140" s="479"/>
      <c r="R140" s="43"/>
    </row>
    <row r="141" spans="2:18" x14ac:dyDescent="0.25">
      <c r="B141" s="477"/>
      <c r="C141" s="478"/>
      <c r="D141" s="478"/>
      <c r="E141" s="478"/>
      <c r="F141" s="478"/>
      <c r="G141" s="478"/>
      <c r="H141" s="478"/>
      <c r="I141" s="478"/>
      <c r="J141" s="478"/>
      <c r="K141" s="478"/>
      <c r="L141" s="478"/>
      <c r="M141" s="478"/>
      <c r="N141" s="478"/>
      <c r="O141" s="478"/>
      <c r="P141" s="479"/>
      <c r="R141" s="43"/>
    </row>
    <row r="142" spans="2:18" x14ac:dyDescent="0.25">
      <c r="B142" s="477"/>
      <c r="C142" s="478"/>
      <c r="D142" s="478"/>
      <c r="E142" s="478"/>
      <c r="F142" s="478"/>
      <c r="G142" s="478"/>
      <c r="H142" s="478"/>
      <c r="I142" s="478"/>
      <c r="J142" s="478"/>
      <c r="K142" s="478"/>
      <c r="L142" s="478"/>
      <c r="M142" s="478"/>
      <c r="N142" s="478"/>
      <c r="O142" s="478"/>
      <c r="P142" s="479"/>
      <c r="R142" s="43"/>
    </row>
    <row r="143" spans="2:18" x14ac:dyDescent="0.25">
      <c r="B143" s="477"/>
      <c r="C143" s="478"/>
      <c r="D143" s="478"/>
      <c r="E143" s="478"/>
      <c r="F143" s="478"/>
      <c r="G143" s="478"/>
      <c r="H143" s="478"/>
      <c r="I143" s="478"/>
      <c r="J143" s="478"/>
      <c r="K143" s="478"/>
      <c r="L143" s="478"/>
      <c r="M143" s="478"/>
      <c r="N143" s="478"/>
      <c r="O143" s="478"/>
      <c r="P143" s="479"/>
      <c r="R143" s="43"/>
    </row>
    <row r="144" spans="2:18" x14ac:dyDescent="0.25">
      <c r="B144" s="477"/>
      <c r="C144" s="478"/>
      <c r="D144" s="478"/>
      <c r="E144" s="478"/>
      <c r="F144" s="478"/>
      <c r="G144" s="478"/>
      <c r="H144" s="478"/>
      <c r="I144" s="478"/>
      <c r="J144" s="478"/>
      <c r="K144" s="478"/>
      <c r="L144" s="478"/>
      <c r="M144" s="478"/>
      <c r="N144" s="478"/>
      <c r="O144" s="478"/>
      <c r="P144" s="479"/>
      <c r="R144" s="43"/>
    </row>
    <row r="145" spans="2:18" x14ac:dyDescent="0.25">
      <c r="B145" s="477"/>
      <c r="C145" s="478"/>
      <c r="D145" s="478"/>
      <c r="E145" s="478"/>
      <c r="F145" s="478"/>
      <c r="G145" s="478"/>
      <c r="H145" s="478"/>
      <c r="I145" s="478"/>
      <c r="J145" s="478"/>
      <c r="K145" s="478"/>
      <c r="L145" s="478"/>
      <c r="M145" s="478"/>
      <c r="N145" s="478"/>
      <c r="O145" s="478"/>
      <c r="P145" s="479"/>
      <c r="R145" s="43"/>
    </row>
    <row r="146" spans="2:18" x14ac:dyDescent="0.25">
      <c r="B146" s="477"/>
      <c r="C146" s="478"/>
      <c r="D146" s="478"/>
      <c r="E146" s="478"/>
      <c r="F146" s="478"/>
      <c r="G146" s="478"/>
      <c r="H146" s="478"/>
      <c r="I146" s="478"/>
      <c r="J146" s="478"/>
      <c r="K146" s="478"/>
      <c r="L146" s="478"/>
      <c r="M146" s="478"/>
      <c r="N146" s="478"/>
      <c r="O146" s="478"/>
      <c r="P146" s="479"/>
      <c r="R146" s="43"/>
    </row>
    <row r="147" spans="2:18" ht="17.25" thickBot="1" x14ac:dyDescent="0.3">
      <c r="B147" s="480"/>
      <c r="C147" s="481"/>
      <c r="D147" s="481"/>
      <c r="E147" s="481"/>
      <c r="F147" s="481"/>
      <c r="G147" s="481"/>
      <c r="H147" s="481"/>
      <c r="I147" s="481"/>
      <c r="J147" s="481"/>
      <c r="K147" s="481"/>
      <c r="L147" s="481"/>
      <c r="M147" s="481"/>
      <c r="N147" s="481"/>
      <c r="O147" s="481"/>
      <c r="P147" s="482"/>
      <c r="R147" s="43"/>
    </row>
    <row r="148" spans="2:18" ht="17.25" thickBot="1" x14ac:dyDescent="0.3">
      <c r="R148" s="43"/>
    </row>
    <row r="149" spans="2:18" ht="18" thickBot="1" x14ac:dyDescent="0.3">
      <c r="B149" s="27" t="s">
        <v>108</v>
      </c>
      <c r="C149" s="28"/>
      <c r="D149" s="28"/>
      <c r="E149" s="28"/>
      <c r="F149" s="28"/>
      <c r="G149" s="28"/>
      <c r="H149" s="28"/>
      <c r="I149" s="28"/>
      <c r="J149" s="28"/>
      <c r="K149" s="28"/>
      <c r="L149" s="28"/>
      <c r="M149" s="28"/>
      <c r="N149" s="28"/>
      <c r="O149" s="28"/>
      <c r="P149" s="29"/>
      <c r="R149" s="43"/>
    </row>
    <row r="150" spans="2:18" x14ac:dyDescent="0.25">
      <c r="B150" s="477"/>
      <c r="C150" s="478"/>
      <c r="D150" s="478"/>
      <c r="E150" s="478"/>
      <c r="F150" s="478"/>
      <c r="G150" s="478"/>
      <c r="H150" s="478"/>
      <c r="I150" s="478"/>
      <c r="J150" s="478"/>
      <c r="K150" s="478"/>
      <c r="L150" s="478"/>
      <c r="M150" s="478"/>
      <c r="N150" s="478"/>
      <c r="O150" s="478"/>
      <c r="P150" s="479"/>
      <c r="R150" s="43"/>
    </row>
    <row r="151" spans="2:18" x14ac:dyDescent="0.25">
      <c r="B151" s="477"/>
      <c r="C151" s="478"/>
      <c r="D151" s="478"/>
      <c r="E151" s="478"/>
      <c r="F151" s="478"/>
      <c r="G151" s="478"/>
      <c r="H151" s="478"/>
      <c r="I151" s="478"/>
      <c r="J151" s="478"/>
      <c r="K151" s="478"/>
      <c r="L151" s="478"/>
      <c r="M151" s="478"/>
      <c r="N151" s="478"/>
      <c r="O151" s="478"/>
      <c r="P151" s="479"/>
      <c r="R151" s="43"/>
    </row>
    <row r="152" spans="2:18" x14ac:dyDescent="0.25">
      <c r="B152" s="477"/>
      <c r="C152" s="478"/>
      <c r="D152" s="478"/>
      <c r="E152" s="478"/>
      <c r="F152" s="478"/>
      <c r="G152" s="478"/>
      <c r="H152" s="478"/>
      <c r="I152" s="478"/>
      <c r="J152" s="478"/>
      <c r="K152" s="478"/>
      <c r="L152" s="478"/>
      <c r="M152" s="478"/>
      <c r="N152" s="478"/>
      <c r="O152" s="478"/>
      <c r="P152" s="479"/>
      <c r="R152" s="43"/>
    </row>
    <row r="153" spans="2:18" x14ac:dyDescent="0.25">
      <c r="B153" s="477"/>
      <c r="C153" s="478"/>
      <c r="D153" s="478"/>
      <c r="E153" s="478"/>
      <c r="F153" s="478"/>
      <c r="G153" s="478"/>
      <c r="H153" s="478"/>
      <c r="I153" s="478"/>
      <c r="J153" s="478"/>
      <c r="K153" s="478"/>
      <c r="L153" s="478"/>
      <c r="M153" s="478"/>
      <c r="N153" s="478"/>
      <c r="O153" s="478"/>
      <c r="P153" s="479"/>
      <c r="R153" s="43"/>
    </row>
    <row r="154" spans="2:18" x14ac:dyDescent="0.25">
      <c r="B154" s="477"/>
      <c r="C154" s="478"/>
      <c r="D154" s="478"/>
      <c r="E154" s="478"/>
      <c r="F154" s="478"/>
      <c r="G154" s="478"/>
      <c r="H154" s="478"/>
      <c r="I154" s="478"/>
      <c r="J154" s="478"/>
      <c r="K154" s="478"/>
      <c r="L154" s="478"/>
      <c r="M154" s="478"/>
      <c r="N154" s="478"/>
      <c r="O154" s="478"/>
      <c r="P154" s="479"/>
      <c r="R154" s="43"/>
    </row>
    <row r="155" spans="2:18" x14ac:dyDescent="0.25">
      <c r="B155" s="477"/>
      <c r="C155" s="478"/>
      <c r="D155" s="478"/>
      <c r="E155" s="478"/>
      <c r="F155" s="478"/>
      <c r="G155" s="478"/>
      <c r="H155" s="478"/>
      <c r="I155" s="478"/>
      <c r="J155" s="478"/>
      <c r="K155" s="478"/>
      <c r="L155" s="478"/>
      <c r="M155" s="478"/>
      <c r="N155" s="478"/>
      <c r="O155" s="478"/>
      <c r="P155" s="479"/>
      <c r="R155" s="43"/>
    </row>
    <row r="156" spans="2:18" x14ac:dyDescent="0.25">
      <c r="B156" s="477"/>
      <c r="C156" s="478"/>
      <c r="D156" s="478"/>
      <c r="E156" s="478"/>
      <c r="F156" s="478"/>
      <c r="G156" s="478"/>
      <c r="H156" s="478"/>
      <c r="I156" s="478"/>
      <c r="J156" s="478"/>
      <c r="K156" s="478"/>
      <c r="L156" s="478"/>
      <c r="M156" s="478"/>
      <c r="N156" s="478"/>
      <c r="O156" s="478"/>
      <c r="P156" s="479"/>
      <c r="R156" s="43"/>
    </row>
    <row r="157" spans="2:18" x14ac:dyDescent="0.25">
      <c r="B157" s="477"/>
      <c r="C157" s="478"/>
      <c r="D157" s="478"/>
      <c r="E157" s="478"/>
      <c r="F157" s="478"/>
      <c r="G157" s="478"/>
      <c r="H157" s="478"/>
      <c r="I157" s="478"/>
      <c r="J157" s="478"/>
      <c r="K157" s="478"/>
      <c r="L157" s="478"/>
      <c r="M157" s="478"/>
      <c r="N157" s="478"/>
      <c r="O157" s="478"/>
      <c r="P157" s="479"/>
      <c r="R157" s="43"/>
    </row>
    <row r="158" spans="2:18" x14ac:dyDescent="0.25">
      <c r="B158" s="477"/>
      <c r="C158" s="478"/>
      <c r="D158" s="478"/>
      <c r="E158" s="478"/>
      <c r="F158" s="478"/>
      <c r="G158" s="478"/>
      <c r="H158" s="478"/>
      <c r="I158" s="478"/>
      <c r="J158" s="478"/>
      <c r="K158" s="478"/>
      <c r="L158" s="478"/>
      <c r="M158" s="478"/>
      <c r="N158" s="478"/>
      <c r="O158" s="478"/>
      <c r="P158" s="479"/>
      <c r="R158" s="43"/>
    </row>
    <row r="159" spans="2:18" x14ac:dyDescent="0.25">
      <c r="B159" s="477"/>
      <c r="C159" s="478"/>
      <c r="D159" s="478"/>
      <c r="E159" s="478"/>
      <c r="F159" s="478"/>
      <c r="G159" s="478"/>
      <c r="H159" s="478"/>
      <c r="I159" s="478"/>
      <c r="J159" s="478"/>
      <c r="K159" s="478"/>
      <c r="L159" s="478"/>
      <c r="M159" s="478"/>
      <c r="N159" s="478"/>
      <c r="O159" s="478"/>
      <c r="P159" s="479"/>
      <c r="R159" s="43"/>
    </row>
    <row r="160" spans="2:18" x14ac:dyDescent="0.25">
      <c r="B160" s="477"/>
      <c r="C160" s="478"/>
      <c r="D160" s="478"/>
      <c r="E160" s="478"/>
      <c r="F160" s="478"/>
      <c r="G160" s="478"/>
      <c r="H160" s="478"/>
      <c r="I160" s="478"/>
      <c r="J160" s="478"/>
      <c r="K160" s="478"/>
      <c r="L160" s="478"/>
      <c r="M160" s="478"/>
      <c r="N160" s="478"/>
      <c r="O160" s="478"/>
      <c r="P160" s="479"/>
      <c r="R160" s="43"/>
    </row>
    <row r="161" spans="1:18" x14ac:dyDescent="0.25">
      <c r="B161" s="477"/>
      <c r="C161" s="478"/>
      <c r="D161" s="478"/>
      <c r="E161" s="478"/>
      <c r="F161" s="478"/>
      <c r="G161" s="478"/>
      <c r="H161" s="478"/>
      <c r="I161" s="478"/>
      <c r="J161" s="478"/>
      <c r="K161" s="478"/>
      <c r="L161" s="478"/>
      <c r="M161" s="478"/>
      <c r="N161" s="478"/>
      <c r="O161" s="478"/>
      <c r="P161" s="479"/>
      <c r="R161" s="43"/>
    </row>
    <row r="162" spans="1:18" x14ac:dyDescent="0.25">
      <c r="B162" s="477"/>
      <c r="C162" s="478"/>
      <c r="D162" s="478"/>
      <c r="E162" s="478"/>
      <c r="F162" s="478"/>
      <c r="G162" s="478"/>
      <c r="H162" s="478"/>
      <c r="I162" s="478"/>
      <c r="J162" s="478"/>
      <c r="K162" s="478"/>
      <c r="L162" s="478"/>
      <c r="M162" s="478"/>
      <c r="N162" s="478"/>
      <c r="O162" s="478"/>
      <c r="P162" s="479"/>
      <c r="R162" s="43"/>
    </row>
    <row r="163" spans="1:18" x14ac:dyDescent="0.25">
      <c r="B163" s="477"/>
      <c r="C163" s="478"/>
      <c r="D163" s="478"/>
      <c r="E163" s="478"/>
      <c r="F163" s="478"/>
      <c r="G163" s="478"/>
      <c r="H163" s="478"/>
      <c r="I163" s="478"/>
      <c r="J163" s="478"/>
      <c r="K163" s="478"/>
      <c r="L163" s="478"/>
      <c r="M163" s="478"/>
      <c r="N163" s="478"/>
      <c r="O163" s="478"/>
      <c r="P163" s="479"/>
      <c r="R163" s="43"/>
    </row>
    <row r="164" spans="1:18" x14ac:dyDescent="0.25">
      <c r="B164" s="477"/>
      <c r="C164" s="478"/>
      <c r="D164" s="478"/>
      <c r="E164" s="478"/>
      <c r="F164" s="478"/>
      <c r="G164" s="478"/>
      <c r="H164" s="478"/>
      <c r="I164" s="478"/>
      <c r="J164" s="478"/>
      <c r="K164" s="478"/>
      <c r="L164" s="478"/>
      <c r="M164" s="478"/>
      <c r="N164" s="478"/>
      <c r="O164" s="478"/>
      <c r="P164" s="479"/>
      <c r="R164" s="43"/>
    </row>
    <row r="165" spans="1:18" x14ac:dyDescent="0.25">
      <c r="B165" s="477"/>
      <c r="C165" s="478"/>
      <c r="D165" s="478"/>
      <c r="E165" s="478"/>
      <c r="F165" s="478"/>
      <c r="G165" s="478"/>
      <c r="H165" s="478"/>
      <c r="I165" s="478"/>
      <c r="J165" s="478"/>
      <c r="K165" s="478"/>
      <c r="L165" s="478"/>
      <c r="M165" s="478"/>
      <c r="N165" s="478"/>
      <c r="O165" s="478"/>
      <c r="P165" s="479"/>
      <c r="R165" s="43"/>
    </row>
    <row r="166" spans="1:18" x14ac:dyDescent="0.25">
      <c r="B166" s="477"/>
      <c r="C166" s="478"/>
      <c r="D166" s="478"/>
      <c r="E166" s="478"/>
      <c r="F166" s="478"/>
      <c r="G166" s="478"/>
      <c r="H166" s="478"/>
      <c r="I166" s="478"/>
      <c r="J166" s="478"/>
      <c r="K166" s="478"/>
      <c r="L166" s="478"/>
      <c r="M166" s="478"/>
      <c r="N166" s="478"/>
      <c r="O166" s="478"/>
      <c r="P166" s="479"/>
      <c r="R166" s="43"/>
    </row>
    <row r="167" spans="1:18" x14ac:dyDescent="0.25">
      <c r="B167" s="477"/>
      <c r="C167" s="478"/>
      <c r="D167" s="478"/>
      <c r="E167" s="478"/>
      <c r="F167" s="478"/>
      <c r="G167" s="478"/>
      <c r="H167" s="478"/>
      <c r="I167" s="478"/>
      <c r="J167" s="478"/>
      <c r="K167" s="478"/>
      <c r="L167" s="478"/>
      <c r="M167" s="478"/>
      <c r="N167" s="478"/>
      <c r="O167" s="478"/>
      <c r="P167" s="479"/>
      <c r="R167" s="43"/>
    </row>
    <row r="168" spans="1:18" x14ac:dyDescent="0.25">
      <c r="B168" s="477"/>
      <c r="C168" s="478"/>
      <c r="D168" s="478"/>
      <c r="E168" s="478"/>
      <c r="F168" s="478"/>
      <c r="G168" s="478"/>
      <c r="H168" s="478"/>
      <c r="I168" s="478"/>
      <c r="J168" s="478"/>
      <c r="K168" s="478"/>
      <c r="L168" s="478"/>
      <c r="M168" s="478"/>
      <c r="N168" s="478"/>
      <c r="O168" s="478"/>
      <c r="P168" s="479"/>
      <c r="R168" s="43"/>
    </row>
    <row r="169" spans="1:18" x14ac:dyDescent="0.25">
      <c r="B169" s="477"/>
      <c r="C169" s="478"/>
      <c r="D169" s="478"/>
      <c r="E169" s="478"/>
      <c r="F169" s="478"/>
      <c r="G169" s="478"/>
      <c r="H169" s="478"/>
      <c r="I169" s="478"/>
      <c r="J169" s="478"/>
      <c r="K169" s="478"/>
      <c r="L169" s="478"/>
      <c r="M169" s="478"/>
      <c r="N169" s="478"/>
      <c r="O169" s="478"/>
      <c r="P169" s="479"/>
      <c r="R169" s="43"/>
    </row>
    <row r="170" spans="1:18" x14ac:dyDescent="0.25">
      <c r="B170" s="477"/>
      <c r="C170" s="478"/>
      <c r="D170" s="478"/>
      <c r="E170" s="478"/>
      <c r="F170" s="478"/>
      <c r="G170" s="478"/>
      <c r="H170" s="478"/>
      <c r="I170" s="478"/>
      <c r="J170" s="478"/>
      <c r="K170" s="478"/>
      <c r="L170" s="478"/>
      <c r="M170" s="478"/>
      <c r="N170" s="478"/>
      <c r="O170" s="478"/>
      <c r="P170" s="479"/>
      <c r="R170" s="43"/>
    </row>
    <row r="171" spans="1:18" x14ac:dyDescent="0.25">
      <c r="B171" s="477"/>
      <c r="C171" s="478"/>
      <c r="D171" s="478"/>
      <c r="E171" s="478"/>
      <c r="F171" s="478"/>
      <c r="G171" s="478"/>
      <c r="H171" s="478"/>
      <c r="I171" s="478"/>
      <c r="J171" s="478"/>
      <c r="K171" s="478"/>
      <c r="L171" s="478"/>
      <c r="M171" s="478"/>
      <c r="N171" s="478"/>
      <c r="O171" s="478"/>
      <c r="P171" s="479"/>
      <c r="R171" s="43"/>
    </row>
    <row r="172" spans="1:18" x14ac:dyDescent="0.25">
      <c r="B172" s="477"/>
      <c r="C172" s="478"/>
      <c r="D172" s="478"/>
      <c r="E172" s="478"/>
      <c r="F172" s="478"/>
      <c r="G172" s="478"/>
      <c r="H172" s="478"/>
      <c r="I172" s="478"/>
      <c r="J172" s="478"/>
      <c r="K172" s="478"/>
      <c r="L172" s="478"/>
      <c r="M172" s="478"/>
      <c r="N172" s="478"/>
      <c r="O172" s="478"/>
      <c r="P172" s="479"/>
      <c r="R172" s="43"/>
    </row>
    <row r="173" spans="1:18" x14ac:dyDescent="0.25">
      <c r="B173" s="477"/>
      <c r="C173" s="478"/>
      <c r="D173" s="478"/>
      <c r="E173" s="478"/>
      <c r="F173" s="478"/>
      <c r="G173" s="478"/>
      <c r="H173" s="478"/>
      <c r="I173" s="478"/>
      <c r="J173" s="478"/>
      <c r="K173" s="478"/>
      <c r="L173" s="478"/>
      <c r="M173" s="478"/>
      <c r="N173" s="478"/>
      <c r="O173" s="478"/>
      <c r="P173" s="479"/>
      <c r="R173" s="43"/>
    </row>
    <row r="174" spans="1:18" ht="17.25" thickBot="1" x14ac:dyDescent="0.3">
      <c r="B174" s="480"/>
      <c r="C174" s="481"/>
      <c r="D174" s="481"/>
      <c r="E174" s="481"/>
      <c r="F174" s="481"/>
      <c r="G174" s="481"/>
      <c r="H174" s="481"/>
      <c r="I174" s="481"/>
      <c r="J174" s="481"/>
      <c r="K174" s="481"/>
      <c r="L174" s="481"/>
      <c r="M174" s="481"/>
      <c r="N174" s="481"/>
      <c r="O174" s="481"/>
      <c r="P174" s="482"/>
      <c r="R174" s="43"/>
    </row>
    <row r="175" spans="1:18" x14ac:dyDescent="0.25">
      <c r="R175" s="43"/>
    </row>
    <row r="176" spans="1:18" x14ac:dyDescent="0.25">
      <c r="A176" s="43"/>
      <c r="B176" s="43"/>
      <c r="C176" s="43"/>
      <c r="D176" s="43"/>
      <c r="E176" s="43"/>
      <c r="F176" s="43"/>
      <c r="G176" s="43"/>
      <c r="H176" s="43"/>
      <c r="I176" s="43"/>
      <c r="J176" s="43"/>
      <c r="K176" s="43"/>
      <c r="L176" s="43"/>
      <c r="M176" s="43"/>
      <c r="N176" s="43"/>
      <c r="O176" s="43"/>
      <c r="P176" s="43"/>
      <c r="Q176" s="43"/>
      <c r="R176" s="43"/>
    </row>
  </sheetData>
  <sheetProtection algorithmName="SHA-512" hashValue="rVThBtXcYOiaS/bSSObDn2wzkmtaczHkfYUVoN3SV9qULt2OLBlM32IrTKGVbhTJ8fGVPZTHaK7gnb9x+v/qtw==" saltValue="2d7t6rAl9RVadrp7wKxEIQ==" spinCount="100000" sheet="1" selectLockedCells="1"/>
  <mergeCells count="10">
    <mergeCell ref="B150:P174"/>
    <mergeCell ref="B2:C2"/>
    <mergeCell ref="B66:F89"/>
    <mergeCell ref="H66:P89"/>
    <mergeCell ref="B92:P118"/>
    <mergeCell ref="B120:P120"/>
    <mergeCell ref="B121:P147"/>
    <mergeCell ref="B12:F34"/>
    <mergeCell ref="H12:P34"/>
    <mergeCell ref="B37:P63"/>
  </mergeCells>
  <hyperlinks>
    <hyperlink ref="E4" location="Instructions!C33" display="Back to Instructions tab" xr:uid="{00000000-0004-0000-0300-000000000000}"/>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L24"/>
  <sheetViews>
    <sheetView showGridLines="0" zoomScale="80" zoomScaleNormal="80" zoomScaleSheetLayoutView="85" workbookViewId="0">
      <selection activeCell="C13" sqref="C13:D13"/>
    </sheetView>
  </sheetViews>
  <sheetFormatPr defaultColWidth="9.140625" defaultRowHeight="16.5" x14ac:dyDescent="0.25"/>
  <cols>
    <col min="1" max="1" width="3.5703125" style="42" customWidth="1"/>
    <col min="2" max="2" width="31.7109375" style="42" customWidth="1"/>
    <col min="3" max="3" width="14.28515625" style="42" customWidth="1"/>
    <col min="4" max="4" width="23.5703125" style="42" customWidth="1"/>
    <col min="5" max="5" width="31.42578125" style="42" customWidth="1"/>
    <col min="6" max="6" width="7" style="42" customWidth="1"/>
    <col min="7" max="7" width="27.28515625" style="42" customWidth="1"/>
    <col min="8" max="8" width="3.42578125" style="42" customWidth="1"/>
    <col min="9" max="9" width="4.140625" style="42" customWidth="1"/>
    <col min="10" max="16384" width="9.140625" style="42"/>
  </cols>
  <sheetData>
    <row r="1" spans="2:12" ht="17.25" thickBot="1" x14ac:dyDescent="0.3">
      <c r="I1" s="43"/>
    </row>
    <row r="2" spans="2:12" ht="17.100000000000001" customHeight="1" thickBot="1" x14ac:dyDescent="0.3">
      <c r="B2" s="474" t="str">
        <f>'Version Control'!$B$2</f>
        <v>Title Block</v>
      </c>
      <c r="C2" s="475"/>
      <c r="D2" s="475"/>
      <c r="E2" s="476"/>
      <c r="I2" s="43"/>
    </row>
    <row r="3" spans="2:12" ht="17.100000000000001" customHeight="1" x14ac:dyDescent="0.25">
      <c r="B3" s="45" t="str">
        <f>'Version Control'!$B$3</f>
        <v>Test Report Template Name:</v>
      </c>
      <c r="C3" s="490" t="str">
        <f>'Version Control'!$C$3</f>
        <v>Portable Air Conditioners</v>
      </c>
      <c r="D3" s="491"/>
      <c r="E3" s="492"/>
      <c r="I3" s="43"/>
    </row>
    <row r="4" spans="2:12" ht="17.100000000000001" customHeight="1" x14ac:dyDescent="0.25">
      <c r="B4" s="46" t="str">
        <f>'Version Control'!$B$4</f>
        <v>Version Number:</v>
      </c>
      <c r="C4" s="494" t="str">
        <f>'Version Control'!$C$4</f>
        <v>v2.1</v>
      </c>
      <c r="D4" s="495"/>
      <c r="E4" s="496"/>
      <c r="G4" s="44" t="s">
        <v>58</v>
      </c>
      <c r="I4" s="43"/>
    </row>
    <row r="5" spans="2:12" ht="17.100000000000001" customHeight="1" x14ac:dyDescent="0.25">
      <c r="B5" s="47" t="str">
        <f>'Version Control'!$B$5</f>
        <v xml:space="preserve">Latest Template Revision: </v>
      </c>
      <c r="C5" s="497">
        <f>'Version Control'!$C$5</f>
        <v>45611</v>
      </c>
      <c r="D5" s="498"/>
      <c r="E5" s="499"/>
      <c r="I5" s="43"/>
    </row>
    <row r="6" spans="2:12" ht="17.100000000000001" customHeight="1" x14ac:dyDescent="0.25">
      <c r="B6" s="47" t="str">
        <f>'Version Control'!$B$6</f>
        <v>Tab Name:</v>
      </c>
      <c r="C6" s="494" t="str">
        <f ca="1">MID(CELL("filename",A1), FIND("]", CELL("filename", A1))+ 1, 255)</f>
        <v>Inactive or Off Mode Settings</v>
      </c>
      <c r="D6" s="495"/>
      <c r="E6" s="496"/>
      <c r="I6" s="43"/>
    </row>
    <row r="7" spans="2:12" ht="17.100000000000001" customHeight="1" x14ac:dyDescent="0.25">
      <c r="B7" s="47" t="str">
        <f>'Version Control'!$B$7</f>
        <v>File Name:</v>
      </c>
      <c r="C7" s="500" t="str">
        <f ca="1">'Version Control'!$C$7</f>
        <v>Portable Air Conditioners - v2.1.xlsx</v>
      </c>
      <c r="D7" s="501"/>
      <c r="E7" s="502"/>
      <c r="I7" s="43"/>
    </row>
    <row r="8" spans="2:12" ht="17.100000000000001" customHeight="1" thickBot="1" x14ac:dyDescent="0.3">
      <c r="B8" s="49" t="str">
        <f>'Version Control'!$B$8</f>
        <v xml:space="preserve">Test Completion Date: </v>
      </c>
      <c r="C8" s="503" t="str">
        <f>'Version Control'!$C$8</f>
        <v>[MM/DD/YYYY]</v>
      </c>
      <c r="D8" s="504"/>
      <c r="E8" s="505"/>
      <c r="I8" s="43"/>
    </row>
    <row r="9" spans="2:12" x14ac:dyDescent="0.25">
      <c r="I9" s="43"/>
    </row>
    <row r="10" spans="2:12" ht="17.25" thickBot="1" x14ac:dyDescent="0.3">
      <c r="I10" s="43"/>
    </row>
    <row r="11" spans="2:12" ht="18" thickBot="1" x14ac:dyDescent="0.3">
      <c r="B11" s="474" t="s">
        <v>4</v>
      </c>
      <c r="C11" s="475"/>
      <c r="D11" s="475"/>
      <c r="E11" s="475"/>
      <c r="F11" s="476"/>
      <c r="G11" s="24"/>
      <c r="H11" s="24"/>
      <c r="I11" s="43"/>
    </row>
    <row r="12" spans="2:12" ht="17.25" x14ac:dyDescent="0.25">
      <c r="B12" s="146" t="s">
        <v>89</v>
      </c>
      <c r="C12" s="489" t="s">
        <v>87</v>
      </c>
      <c r="D12" s="489"/>
      <c r="E12" s="489" t="s">
        <v>88</v>
      </c>
      <c r="F12" s="493"/>
      <c r="G12" s="82"/>
      <c r="H12" s="82"/>
      <c r="I12" s="83"/>
      <c r="K12" s="82"/>
      <c r="L12" s="82"/>
    </row>
    <row r="13" spans="2:12" x14ac:dyDescent="0.25">
      <c r="B13" s="145" t="s">
        <v>59</v>
      </c>
      <c r="C13" s="506"/>
      <c r="D13" s="506"/>
      <c r="E13" s="506"/>
      <c r="F13" s="509"/>
      <c r="G13" s="84"/>
      <c r="H13" s="84"/>
      <c r="I13" s="85"/>
      <c r="K13" s="84"/>
      <c r="L13" s="84"/>
    </row>
    <row r="14" spans="2:12" x14ac:dyDescent="0.25">
      <c r="B14" s="80" t="s">
        <v>60</v>
      </c>
      <c r="C14" s="507"/>
      <c r="D14" s="507"/>
      <c r="E14" s="507"/>
      <c r="F14" s="510"/>
      <c r="G14" s="84"/>
      <c r="H14" s="84"/>
      <c r="I14" s="85"/>
      <c r="K14" s="84"/>
      <c r="L14" s="84"/>
    </row>
    <row r="15" spans="2:12" x14ac:dyDescent="0.25">
      <c r="B15" s="80" t="s">
        <v>61</v>
      </c>
      <c r="C15" s="507"/>
      <c r="D15" s="507"/>
      <c r="E15" s="507"/>
      <c r="F15" s="510"/>
      <c r="G15" s="84"/>
      <c r="H15" s="84"/>
      <c r="I15" s="85"/>
      <c r="K15" s="84"/>
      <c r="L15" s="84"/>
    </row>
    <row r="16" spans="2:12" x14ac:dyDescent="0.25">
      <c r="B16" s="80" t="s">
        <v>62</v>
      </c>
      <c r="C16" s="507"/>
      <c r="D16" s="507"/>
      <c r="E16" s="507"/>
      <c r="F16" s="510"/>
      <c r="I16" s="43"/>
    </row>
    <row r="17" spans="1:9" x14ac:dyDescent="0.25">
      <c r="B17" s="80" t="s">
        <v>63</v>
      </c>
      <c r="C17" s="507"/>
      <c r="D17" s="507"/>
      <c r="E17" s="507"/>
      <c r="F17" s="510"/>
      <c r="I17" s="43"/>
    </row>
    <row r="18" spans="1:9" x14ac:dyDescent="0.25">
      <c r="B18" s="80" t="s">
        <v>90</v>
      </c>
      <c r="C18" s="507"/>
      <c r="D18" s="507"/>
      <c r="E18" s="507"/>
      <c r="F18" s="510"/>
      <c r="I18" s="43"/>
    </row>
    <row r="19" spans="1:9" x14ac:dyDescent="0.25">
      <c r="B19" s="80" t="s">
        <v>91</v>
      </c>
      <c r="C19" s="507"/>
      <c r="D19" s="507"/>
      <c r="E19" s="507"/>
      <c r="F19" s="510"/>
      <c r="I19" s="43"/>
    </row>
    <row r="20" spans="1:9" x14ac:dyDescent="0.25">
      <c r="B20" s="80" t="s">
        <v>92</v>
      </c>
      <c r="C20" s="507"/>
      <c r="D20" s="507"/>
      <c r="E20" s="507"/>
      <c r="F20" s="510"/>
      <c r="I20" s="43"/>
    </row>
    <row r="21" spans="1:9" x14ac:dyDescent="0.25">
      <c r="B21" s="80" t="s">
        <v>93</v>
      </c>
      <c r="C21" s="507"/>
      <c r="D21" s="507"/>
      <c r="E21" s="507"/>
      <c r="F21" s="510"/>
      <c r="I21" s="43"/>
    </row>
    <row r="22" spans="1:9" ht="17.25" thickBot="1" x14ac:dyDescent="0.3">
      <c r="B22" s="86" t="s">
        <v>94</v>
      </c>
      <c r="C22" s="508"/>
      <c r="D22" s="508"/>
      <c r="E22" s="508"/>
      <c r="F22" s="511"/>
      <c r="I22" s="43"/>
    </row>
    <row r="23" spans="1:9" x14ac:dyDescent="0.25">
      <c r="I23" s="43"/>
    </row>
    <row r="24" spans="1:9" ht="17.25" x14ac:dyDescent="0.25">
      <c r="A24" s="43"/>
      <c r="B24" s="87"/>
      <c r="C24" s="43"/>
      <c r="D24" s="43"/>
      <c r="E24" s="43"/>
      <c r="F24" s="43"/>
      <c r="G24" s="43"/>
      <c r="H24" s="43"/>
      <c r="I24" s="43"/>
    </row>
  </sheetData>
  <sheetProtection algorithmName="SHA-512" hashValue="1kGHa46P7IKMaz//EqKa+y1fDbmWdxUfdE+y8HVdWoiXnQJXz/DOwCoaXeWd1+rSnWN9nf5JdBg9pi+9QjbqNQ==" saltValue="eb7xS9l0zaVI124+2HRMTQ==" spinCount="100000" sheet="1" selectLockedCells="1"/>
  <mergeCells count="30">
    <mergeCell ref="E13:F13"/>
    <mergeCell ref="E14:F14"/>
    <mergeCell ref="E15:F15"/>
    <mergeCell ref="E16:F16"/>
    <mergeCell ref="E22:F22"/>
    <mergeCell ref="E17:F17"/>
    <mergeCell ref="E18:F18"/>
    <mergeCell ref="E19:F19"/>
    <mergeCell ref="E20:F20"/>
    <mergeCell ref="E21:F21"/>
    <mergeCell ref="C13:D13"/>
    <mergeCell ref="C14:D14"/>
    <mergeCell ref="C15:D15"/>
    <mergeCell ref="C16:D16"/>
    <mergeCell ref="C22:D22"/>
    <mergeCell ref="C17:D17"/>
    <mergeCell ref="C18:D18"/>
    <mergeCell ref="C19:D19"/>
    <mergeCell ref="C20:D20"/>
    <mergeCell ref="C21:D21"/>
    <mergeCell ref="C12:D12"/>
    <mergeCell ref="B2:E2"/>
    <mergeCell ref="C3:E3"/>
    <mergeCell ref="E12:F12"/>
    <mergeCell ref="B11:F11"/>
    <mergeCell ref="C4:E4"/>
    <mergeCell ref="C5:E5"/>
    <mergeCell ref="C6:E6"/>
    <mergeCell ref="C7:E7"/>
    <mergeCell ref="C8:E8"/>
  </mergeCells>
  <hyperlinks>
    <hyperlink ref="G4" location="Instructions!C33" display="Back to Instructions tab" xr:uid="{00000000-0004-0000-0400-000000000000}"/>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0C0"/>
    <pageSetUpPr fitToPage="1"/>
  </sheetPr>
  <dimension ref="A1:P25"/>
  <sheetViews>
    <sheetView showGridLines="0" zoomScale="80" zoomScaleNormal="80" zoomScaleSheetLayoutView="85" workbookViewId="0">
      <selection activeCell="E17" sqref="E17:F17"/>
    </sheetView>
  </sheetViews>
  <sheetFormatPr defaultColWidth="9.140625" defaultRowHeight="16.5" x14ac:dyDescent="0.25"/>
  <cols>
    <col min="1" max="1" width="4.42578125" style="42" customWidth="1"/>
    <col min="2" max="2" width="28.42578125" style="42" bestFit="1" customWidth="1"/>
    <col min="3" max="3" width="18.42578125" style="42" customWidth="1"/>
    <col min="4" max="4" width="16.42578125" style="42" customWidth="1"/>
    <col min="5" max="5" width="24.7109375" style="42" customWidth="1"/>
    <col min="6" max="6" width="13.28515625" style="42" customWidth="1"/>
    <col min="7" max="7" width="14.140625" style="42" customWidth="1"/>
    <col min="8" max="8" width="17" style="42" customWidth="1"/>
    <col min="9" max="9" width="20" style="42" customWidth="1"/>
    <col min="10" max="10" width="20.140625" style="42" customWidth="1"/>
    <col min="11" max="11" width="5" style="42" customWidth="1"/>
    <col min="12" max="12" width="2.42578125" style="42" customWidth="1"/>
    <col min="13" max="16384" width="9.140625" style="42"/>
  </cols>
  <sheetData>
    <row r="1" spans="2:16" ht="17.25" thickBot="1" x14ac:dyDescent="0.3">
      <c r="L1" s="43"/>
    </row>
    <row r="2" spans="2:16" ht="17.100000000000001" customHeight="1" thickBot="1" x14ac:dyDescent="0.3">
      <c r="B2" s="474" t="str">
        <f>'Version Control'!$B$2</f>
        <v>Title Block</v>
      </c>
      <c r="C2" s="475"/>
      <c r="D2" s="475"/>
      <c r="E2" s="476"/>
      <c r="L2" s="43"/>
    </row>
    <row r="3" spans="2:16" ht="17.100000000000001" customHeight="1" x14ac:dyDescent="0.25">
      <c r="B3" s="45" t="str">
        <f>'Version Control'!$B$3</f>
        <v>Test Report Template Name:</v>
      </c>
      <c r="C3" s="490" t="str">
        <f>'Version Control'!$C$3</f>
        <v>Portable Air Conditioners</v>
      </c>
      <c r="D3" s="491"/>
      <c r="E3" s="492"/>
      <c r="L3" s="43"/>
    </row>
    <row r="4" spans="2:16" ht="17.100000000000001" customHeight="1" x14ac:dyDescent="0.25">
      <c r="B4" s="46" t="str">
        <f>'Version Control'!$B$4</f>
        <v>Version Number:</v>
      </c>
      <c r="C4" s="494" t="str">
        <f>'Version Control'!$C$4</f>
        <v>v2.1</v>
      </c>
      <c r="D4" s="495"/>
      <c r="E4" s="496"/>
      <c r="G4" s="541" t="s">
        <v>58</v>
      </c>
      <c r="H4" s="541"/>
      <c r="L4" s="43"/>
    </row>
    <row r="5" spans="2:16" ht="17.100000000000001" customHeight="1" x14ac:dyDescent="0.25">
      <c r="B5" s="47" t="str">
        <f>'Version Control'!$B$5</f>
        <v xml:space="preserve">Latest Template Revision: </v>
      </c>
      <c r="C5" s="497">
        <f>'Version Control'!$C$5</f>
        <v>45611</v>
      </c>
      <c r="D5" s="498"/>
      <c r="E5" s="499"/>
      <c r="L5" s="43"/>
    </row>
    <row r="6" spans="2:16" ht="17.100000000000001" customHeight="1" x14ac:dyDescent="0.25">
      <c r="B6" s="47" t="str">
        <f>'Version Control'!$B$6</f>
        <v>Tab Name:</v>
      </c>
      <c r="C6" s="494" t="str">
        <f ca="1">MID(CELL("filename",A1), FIND("]", CELL("filename", A1))+ 1, 255)</f>
        <v>Setup &amp; Test Cond Inactive-Off</v>
      </c>
      <c r="D6" s="495"/>
      <c r="E6" s="496"/>
      <c r="L6" s="43"/>
    </row>
    <row r="7" spans="2:16" ht="17.100000000000001" customHeight="1" x14ac:dyDescent="0.25">
      <c r="B7" s="47" t="str">
        <f>'Version Control'!$B$7</f>
        <v>File Name:</v>
      </c>
      <c r="C7" s="500" t="str">
        <f ca="1">'Version Control'!$C$7</f>
        <v>Portable Air Conditioners - v2.1.xlsx</v>
      </c>
      <c r="D7" s="501"/>
      <c r="E7" s="502"/>
      <c r="L7" s="43"/>
    </row>
    <row r="8" spans="2:16" ht="17.100000000000001" customHeight="1" thickBot="1" x14ac:dyDescent="0.3">
      <c r="B8" s="49" t="str">
        <f>'Version Control'!$B$8</f>
        <v xml:space="preserve">Test Completion Date: </v>
      </c>
      <c r="C8" s="503" t="str">
        <f>'Version Control'!$C$8</f>
        <v>[MM/DD/YYYY]</v>
      </c>
      <c r="D8" s="504"/>
      <c r="E8" s="505"/>
      <c r="L8" s="43"/>
    </row>
    <row r="9" spans="2:16" x14ac:dyDescent="0.25">
      <c r="L9" s="43"/>
    </row>
    <row r="10" spans="2:16" ht="17.25" thickBot="1" x14ac:dyDescent="0.3">
      <c r="B10" s="72"/>
      <c r="J10" s="73"/>
      <c r="K10" s="74"/>
      <c r="L10" s="75"/>
      <c r="M10" s="74"/>
      <c r="N10" s="74"/>
      <c r="O10" s="74"/>
      <c r="P10" s="74"/>
    </row>
    <row r="11" spans="2:16" ht="18" thickBot="1" x14ac:dyDescent="0.3">
      <c r="B11" s="27" t="s">
        <v>120</v>
      </c>
      <c r="C11" s="28"/>
      <c r="D11" s="28"/>
      <c r="E11" s="28"/>
      <c r="F11" s="28"/>
      <c r="G11" s="28"/>
      <c r="H11" s="28"/>
      <c r="I11" s="28"/>
      <c r="J11" s="29"/>
      <c r="K11" s="39"/>
      <c r="L11" s="43"/>
      <c r="M11" s="24"/>
      <c r="N11" s="24"/>
      <c r="O11" s="24"/>
      <c r="P11" s="24"/>
    </row>
    <row r="12" spans="2:16" ht="37.9" customHeight="1" thickBot="1" x14ac:dyDescent="0.3">
      <c r="B12" s="516" t="s">
        <v>166</v>
      </c>
      <c r="C12" s="517"/>
      <c r="D12" s="517"/>
      <c r="E12" s="517"/>
      <c r="F12" s="517"/>
      <c r="G12" s="517"/>
      <c r="H12" s="517"/>
      <c r="I12" s="517"/>
      <c r="J12" s="518"/>
      <c r="K12" s="76"/>
      <c r="L12" s="43"/>
      <c r="M12" s="77"/>
      <c r="N12" s="77"/>
      <c r="O12" s="77"/>
      <c r="P12" s="77"/>
    </row>
    <row r="13" spans="2:16" ht="17.25" thickBot="1" x14ac:dyDescent="0.3">
      <c r="L13" s="43"/>
    </row>
    <row r="14" spans="2:16" ht="18" thickBot="1" x14ac:dyDescent="0.3">
      <c r="B14" s="27" t="s">
        <v>121</v>
      </c>
      <c r="C14" s="28"/>
      <c r="D14" s="28"/>
      <c r="E14" s="28"/>
      <c r="F14" s="28"/>
      <c r="G14" s="28"/>
      <c r="H14" s="28"/>
      <c r="I14" s="28"/>
      <c r="J14" s="29"/>
      <c r="L14" s="43"/>
    </row>
    <row r="15" spans="2:16" ht="56.25" customHeight="1" thickBot="1" x14ac:dyDescent="0.3">
      <c r="B15" s="535" t="s">
        <v>167</v>
      </c>
      <c r="C15" s="536"/>
      <c r="D15" s="536"/>
      <c r="E15" s="536"/>
      <c r="F15" s="536"/>
      <c r="G15" s="536"/>
      <c r="H15" s="536"/>
      <c r="I15" s="536"/>
      <c r="J15" s="537"/>
      <c r="L15" s="43"/>
    </row>
    <row r="16" spans="2:16" ht="17.25" x14ac:dyDescent="0.25">
      <c r="B16" s="538" t="s">
        <v>83</v>
      </c>
      <c r="C16" s="539"/>
      <c r="D16" s="539"/>
      <c r="E16" s="533" t="s">
        <v>287</v>
      </c>
      <c r="F16" s="534"/>
      <c r="G16" s="533" t="s">
        <v>288</v>
      </c>
      <c r="H16" s="534"/>
      <c r="I16" s="539" t="s">
        <v>84</v>
      </c>
      <c r="J16" s="540"/>
      <c r="L16" s="43"/>
    </row>
    <row r="17" spans="1:12" x14ac:dyDescent="0.25">
      <c r="B17" s="519" t="s">
        <v>97</v>
      </c>
      <c r="C17" s="520"/>
      <c r="D17" s="520"/>
      <c r="E17" s="512"/>
      <c r="F17" s="513"/>
      <c r="G17" s="512"/>
      <c r="H17" s="513"/>
      <c r="I17" s="521" t="s">
        <v>96</v>
      </c>
      <c r="J17" s="522"/>
      <c r="L17" s="43"/>
    </row>
    <row r="18" spans="1:12" ht="17.25" thickBot="1" x14ac:dyDescent="0.3">
      <c r="B18" s="523" t="s">
        <v>122</v>
      </c>
      <c r="C18" s="524"/>
      <c r="D18" s="524"/>
      <c r="E18" s="514"/>
      <c r="F18" s="515"/>
      <c r="G18" s="514"/>
      <c r="H18" s="515"/>
      <c r="I18" s="525" t="s">
        <v>123</v>
      </c>
      <c r="J18" s="526"/>
      <c r="L18" s="43"/>
    </row>
    <row r="19" spans="1:12" ht="17.25" thickBot="1" x14ac:dyDescent="0.3">
      <c r="L19" s="43"/>
    </row>
    <row r="20" spans="1:12" ht="18" thickBot="1" x14ac:dyDescent="0.3">
      <c r="B20" s="27" t="s">
        <v>124</v>
      </c>
      <c r="C20" s="28"/>
      <c r="D20" s="28"/>
      <c r="E20" s="28"/>
      <c r="F20" s="28"/>
      <c r="G20" s="28"/>
      <c r="H20" s="28"/>
      <c r="I20" s="28"/>
      <c r="J20" s="29"/>
      <c r="L20" s="43"/>
    </row>
    <row r="21" spans="1:12" ht="18" customHeight="1" thickBot="1" x14ac:dyDescent="0.3">
      <c r="B21" s="516" t="s">
        <v>125</v>
      </c>
      <c r="C21" s="517"/>
      <c r="D21" s="517"/>
      <c r="E21" s="517"/>
      <c r="F21" s="517"/>
      <c r="G21" s="517"/>
      <c r="H21" s="517"/>
      <c r="I21" s="517"/>
      <c r="J21" s="518"/>
      <c r="L21" s="43"/>
    </row>
    <row r="22" spans="1:12" ht="17.25" x14ac:dyDescent="0.25">
      <c r="B22" s="527" t="s">
        <v>83</v>
      </c>
      <c r="C22" s="528"/>
      <c r="D22" s="528"/>
      <c r="E22" s="533" t="s">
        <v>287</v>
      </c>
      <c r="F22" s="534"/>
      <c r="G22" s="533" t="s">
        <v>288</v>
      </c>
      <c r="H22" s="534"/>
      <c r="I22" s="528" t="s">
        <v>84</v>
      </c>
      <c r="J22" s="529"/>
      <c r="L22" s="43"/>
    </row>
    <row r="23" spans="1:12" ht="17.25" thickBot="1" x14ac:dyDescent="0.3">
      <c r="B23" s="530" t="s">
        <v>126</v>
      </c>
      <c r="C23" s="531"/>
      <c r="D23" s="532"/>
      <c r="E23" s="514"/>
      <c r="F23" s="515"/>
      <c r="G23" s="514"/>
      <c r="H23" s="515"/>
      <c r="I23" s="525" t="s">
        <v>127</v>
      </c>
      <c r="J23" s="526"/>
      <c r="L23" s="43"/>
    </row>
    <row r="24" spans="1:12" x14ac:dyDescent="0.25">
      <c r="L24" s="43"/>
    </row>
    <row r="25" spans="1:12" x14ac:dyDescent="0.25">
      <c r="A25" s="43"/>
      <c r="B25" s="43"/>
      <c r="C25" s="43"/>
      <c r="D25" s="43"/>
      <c r="E25" s="43"/>
      <c r="F25" s="43"/>
      <c r="G25" s="43"/>
      <c r="H25" s="43"/>
      <c r="I25" s="43"/>
      <c r="J25" s="43"/>
      <c r="K25" s="43"/>
      <c r="L25" s="43"/>
    </row>
  </sheetData>
  <sheetProtection algorithmName="SHA-512" hashValue="SGGI5Z52R9cadailLCxznEpJ4XW+YWxzhu1Yp5G+Wwzv4ErNKV0e8victzm34v6qmMhCtv0JwXT+cfQ+zekvTw==" saltValue="Or98yBoat/vtPuqe2mpHsA==" spinCount="100000" sheet="1" selectLockedCells="1"/>
  <mergeCells count="31">
    <mergeCell ref="B2:E2"/>
    <mergeCell ref="B12:J12"/>
    <mergeCell ref="B15:J15"/>
    <mergeCell ref="B16:D16"/>
    <mergeCell ref="I16:J16"/>
    <mergeCell ref="G4:H4"/>
    <mergeCell ref="C3:E3"/>
    <mergeCell ref="C4:E4"/>
    <mergeCell ref="C5:E5"/>
    <mergeCell ref="C6:E6"/>
    <mergeCell ref="C7:E7"/>
    <mergeCell ref="C8:E8"/>
    <mergeCell ref="E16:F16"/>
    <mergeCell ref="G16:H16"/>
    <mergeCell ref="B22:D22"/>
    <mergeCell ref="I22:J22"/>
    <mergeCell ref="B23:D23"/>
    <mergeCell ref="I23:J23"/>
    <mergeCell ref="E22:F22"/>
    <mergeCell ref="G22:H22"/>
    <mergeCell ref="E23:F23"/>
    <mergeCell ref="G23:H23"/>
    <mergeCell ref="E17:F17"/>
    <mergeCell ref="E18:F18"/>
    <mergeCell ref="G17:H17"/>
    <mergeCell ref="G18:H18"/>
    <mergeCell ref="B21:J21"/>
    <mergeCell ref="B17:D17"/>
    <mergeCell ref="I17:J17"/>
    <mergeCell ref="B18:D18"/>
    <mergeCell ref="I18:J18"/>
  </mergeCells>
  <hyperlinks>
    <hyperlink ref="G4" location="Instructions!C33" display="Back to Instructions tab" xr:uid="{00000000-0004-0000-0500-000000000000}"/>
  </hyperlinks>
  <printOptions horizontalCentered="1"/>
  <pageMargins left="0.25" right="0.25" top="0.75" bottom="0.25" header="0.3" footer="0.3"/>
  <pageSetup scale="79" orientation="landscape"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pageSetUpPr fitToPage="1"/>
  </sheetPr>
  <dimension ref="A1:L24"/>
  <sheetViews>
    <sheetView showGridLines="0" zoomScale="80" zoomScaleNormal="80" zoomScaleSheetLayoutView="85" workbookViewId="0">
      <selection activeCell="C13" sqref="C13:D13"/>
    </sheetView>
  </sheetViews>
  <sheetFormatPr defaultColWidth="9.140625" defaultRowHeight="16.5" x14ac:dyDescent="0.25"/>
  <cols>
    <col min="1" max="1" width="3.5703125" style="42" customWidth="1"/>
    <col min="2" max="2" width="31.7109375" style="42" customWidth="1"/>
    <col min="3" max="3" width="14.28515625" style="42" customWidth="1"/>
    <col min="4" max="4" width="23.5703125" style="42" customWidth="1"/>
    <col min="5" max="5" width="31.42578125" style="42" customWidth="1"/>
    <col min="6" max="6" width="7" style="42" customWidth="1"/>
    <col min="7" max="7" width="27.28515625" style="42" customWidth="1"/>
    <col min="8" max="8" width="3.42578125" style="42" customWidth="1"/>
    <col min="9" max="9" width="4.140625" style="42" customWidth="1"/>
    <col min="10" max="16384" width="9.140625" style="42"/>
  </cols>
  <sheetData>
    <row r="1" spans="2:12" ht="17.25" thickBot="1" x14ac:dyDescent="0.3">
      <c r="I1" s="43"/>
    </row>
    <row r="2" spans="2:12" ht="17.100000000000001" customHeight="1" thickBot="1" x14ac:dyDescent="0.3">
      <c r="B2" s="474" t="str">
        <f>'Version Control'!$B$2</f>
        <v>Title Block</v>
      </c>
      <c r="C2" s="475"/>
      <c r="D2" s="475"/>
      <c r="E2" s="476"/>
      <c r="I2" s="43"/>
    </row>
    <row r="3" spans="2:12" ht="17.100000000000001" customHeight="1" x14ac:dyDescent="0.25">
      <c r="B3" s="45" t="str">
        <f>'Version Control'!$B$3</f>
        <v>Test Report Template Name:</v>
      </c>
      <c r="C3" s="490" t="str">
        <f>'Version Control'!$C$3</f>
        <v>Portable Air Conditioners</v>
      </c>
      <c r="D3" s="491"/>
      <c r="E3" s="492"/>
      <c r="I3" s="43"/>
    </row>
    <row r="4" spans="2:12" ht="17.100000000000001" customHeight="1" x14ac:dyDescent="0.25">
      <c r="B4" s="46" t="str">
        <f>'Version Control'!$B$4</f>
        <v>Version Number:</v>
      </c>
      <c r="C4" s="494" t="str">
        <f>'Version Control'!$C$4</f>
        <v>v2.1</v>
      </c>
      <c r="D4" s="495"/>
      <c r="E4" s="496"/>
      <c r="G4" s="44" t="s">
        <v>58</v>
      </c>
      <c r="I4" s="43"/>
    </row>
    <row r="5" spans="2:12" ht="17.100000000000001" customHeight="1" x14ac:dyDescent="0.25">
      <c r="B5" s="47" t="str">
        <f>'Version Control'!$B$5</f>
        <v xml:space="preserve">Latest Template Revision: </v>
      </c>
      <c r="C5" s="497">
        <f>'Version Control'!$C$5</f>
        <v>45611</v>
      </c>
      <c r="D5" s="498"/>
      <c r="E5" s="499"/>
      <c r="I5" s="43"/>
    </row>
    <row r="6" spans="2:12" ht="17.100000000000001" customHeight="1" x14ac:dyDescent="0.25">
      <c r="B6" s="47" t="str">
        <f>'Version Control'!$B$6</f>
        <v>Tab Name:</v>
      </c>
      <c r="C6" s="494" t="str">
        <f ca="1">MID(CELL("filename",A1), FIND("]", CELL("filename", A1))+ 1, 255)</f>
        <v>Off-Cycle Mode Settings</v>
      </c>
      <c r="D6" s="495"/>
      <c r="E6" s="496"/>
      <c r="I6" s="43"/>
    </row>
    <row r="7" spans="2:12" ht="17.100000000000001" customHeight="1" x14ac:dyDescent="0.25">
      <c r="B7" s="47" t="str">
        <f>'Version Control'!$B$7</f>
        <v>File Name:</v>
      </c>
      <c r="C7" s="500" t="str">
        <f ca="1">'Version Control'!$C$7</f>
        <v>Portable Air Conditioners - v2.1.xlsx</v>
      </c>
      <c r="D7" s="501"/>
      <c r="E7" s="502"/>
      <c r="I7" s="43"/>
    </row>
    <row r="8" spans="2:12" ht="17.100000000000001" customHeight="1" thickBot="1" x14ac:dyDescent="0.3">
      <c r="B8" s="49" t="str">
        <f>'Version Control'!$B$8</f>
        <v xml:space="preserve">Test Completion Date: </v>
      </c>
      <c r="C8" s="503" t="str">
        <f>'Version Control'!$C$8</f>
        <v>[MM/DD/YYYY]</v>
      </c>
      <c r="D8" s="504"/>
      <c r="E8" s="505"/>
      <c r="I8" s="43"/>
    </row>
    <row r="9" spans="2:12" x14ac:dyDescent="0.25">
      <c r="B9" s="239"/>
      <c r="I9" s="43"/>
    </row>
    <row r="10" spans="2:12" ht="17.25" thickBot="1" x14ac:dyDescent="0.3">
      <c r="I10" s="43"/>
    </row>
    <row r="11" spans="2:12" ht="18" thickBot="1" x14ac:dyDescent="0.3">
      <c r="B11" s="474" t="s">
        <v>4</v>
      </c>
      <c r="C11" s="475"/>
      <c r="D11" s="475"/>
      <c r="E11" s="475"/>
      <c r="F11" s="476"/>
      <c r="G11" s="24"/>
      <c r="H11" s="24"/>
      <c r="I11" s="43"/>
    </row>
    <row r="12" spans="2:12" ht="17.25" x14ac:dyDescent="0.25">
      <c r="B12" s="146" t="s">
        <v>89</v>
      </c>
      <c r="C12" s="489" t="s">
        <v>87</v>
      </c>
      <c r="D12" s="489"/>
      <c r="E12" s="489" t="s">
        <v>88</v>
      </c>
      <c r="F12" s="493"/>
      <c r="G12" s="82"/>
      <c r="H12" s="82"/>
      <c r="I12" s="83"/>
      <c r="K12" s="82"/>
      <c r="L12" s="82"/>
    </row>
    <row r="13" spans="2:12" x14ac:dyDescent="0.25">
      <c r="B13" s="145" t="s">
        <v>59</v>
      </c>
      <c r="C13" s="506"/>
      <c r="D13" s="506"/>
      <c r="E13" s="506"/>
      <c r="F13" s="509"/>
      <c r="G13" s="84"/>
      <c r="H13" s="84"/>
      <c r="I13" s="85"/>
      <c r="K13" s="84"/>
      <c r="L13" s="84"/>
    </row>
    <row r="14" spans="2:12" x14ac:dyDescent="0.25">
      <c r="B14" s="80" t="s">
        <v>60</v>
      </c>
      <c r="C14" s="507"/>
      <c r="D14" s="507"/>
      <c r="E14" s="507"/>
      <c r="F14" s="510"/>
      <c r="G14" s="84"/>
      <c r="H14" s="84"/>
      <c r="I14" s="85"/>
      <c r="K14" s="84"/>
      <c r="L14" s="84"/>
    </row>
    <row r="15" spans="2:12" x14ac:dyDescent="0.25">
      <c r="B15" s="80" t="s">
        <v>61</v>
      </c>
      <c r="C15" s="507"/>
      <c r="D15" s="507"/>
      <c r="E15" s="507"/>
      <c r="F15" s="510"/>
      <c r="G15" s="84"/>
      <c r="H15" s="84"/>
      <c r="I15" s="85"/>
      <c r="K15" s="84"/>
      <c r="L15" s="84"/>
    </row>
    <row r="16" spans="2:12" x14ac:dyDescent="0.25">
      <c r="B16" s="80" t="s">
        <v>62</v>
      </c>
      <c r="C16" s="507"/>
      <c r="D16" s="507"/>
      <c r="E16" s="507"/>
      <c r="F16" s="510"/>
      <c r="I16" s="43"/>
    </row>
    <row r="17" spans="1:9" x14ac:dyDescent="0.25">
      <c r="B17" s="80" t="s">
        <v>63</v>
      </c>
      <c r="C17" s="507"/>
      <c r="D17" s="507"/>
      <c r="E17" s="507"/>
      <c r="F17" s="510"/>
      <c r="I17" s="43"/>
    </row>
    <row r="18" spans="1:9" x14ac:dyDescent="0.25">
      <c r="B18" s="80" t="s">
        <v>90</v>
      </c>
      <c r="C18" s="507"/>
      <c r="D18" s="507"/>
      <c r="E18" s="507"/>
      <c r="F18" s="510"/>
      <c r="I18" s="43"/>
    </row>
    <row r="19" spans="1:9" x14ac:dyDescent="0.25">
      <c r="B19" s="80" t="s">
        <v>91</v>
      </c>
      <c r="C19" s="507"/>
      <c r="D19" s="507"/>
      <c r="E19" s="507"/>
      <c r="F19" s="510"/>
      <c r="I19" s="43"/>
    </row>
    <row r="20" spans="1:9" x14ac:dyDescent="0.25">
      <c r="B20" s="80" t="s">
        <v>92</v>
      </c>
      <c r="C20" s="507"/>
      <c r="D20" s="507"/>
      <c r="E20" s="507"/>
      <c r="F20" s="510"/>
      <c r="I20" s="43"/>
    </row>
    <row r="21" spans="1:9" x14ac:dyDescent="0.25">
      <c r="B21" s="80" t="s">
        <v>93</v>
      </c>
      <c r="C21" s="507"/>
      <c r="D21" s="507"/>
      <c r="E21" s="507"/>
      <c r="F21" s="510"/>
      <c r="I21" s="43"/>
    </row>
    <row r="22" spans="1:9" ht="17.25" thickBot="1" x14ac:dyDescent="0.3">
      <c r="B22" s="86" t="s">
        <v>94</v>
      </c>
      <c r="C22" s="508"/>
      <c r="D22" s="508"/>
      <c r="E22" s="508"/>
      <c r="F22" s="511"/>
      <c r="I22" s="43"/>
    </row>
    <row r="23" spans="1:9" x14ac:dyDescent="0.25">
      <c r="I23" s="43"/>
    </row>
    <row r="24" spans="1:9" ht="17.25" x14ac:dyDescent="0.25">
      <c r="A24" s="43"/>
      <c r="B24" s="87"/>
      <c r="C24" s="43"/>
      <c r="D24" s="43"/>
      <c r="E24" s="43"/>
      <c r="F24" s="43"/>
      <c r="G24" s="43"/>
      <c r="H24" s="43"/>
      <c r="I24" s="43"/>
    </row>
  </sheetData>
  <sheetProtection algorithmName="SHA-512" hashValue="7fcPoMRaLnVKx3mld9Ve6QwTJA2KH6kkAFARU/0J1Hv020Rb8+u/HQNAlyPDcWbPPC5Ds86+JfQD3Jk8DW75zw==" saltValue="4WAFiOLtebhW/6wI17t/eg==" spinCount="100000" sheet="1" selectLockedCells="1"/>
  <mergeCells count="30">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C8:E8"/>
    <mergeCell ref="B11:F11"/>
    <mergeCell ref="C12:D12"/>
    <mergeCell ref="E12:F12"/>
    <mergeCell ref="C13:D13"/>
    <mergeCell ref="E13:F13"/>
    <mergeCell ref="C7:E7"/>
    <mergeCell ref="B2:E2"/>
    <mergeCell ref="C3:E3"/>
    <mergeCell ref="C4:E4"/>
    <mergeCell ref="C5:E5"/>
    <mergeCell ref="C6:E6"/>
  </mergeCells>
  <hyperlinks>
    <hyperlink ref="G4" location="Instructions!C33" display="Back to Instructions tab" xr:uid="{00000000-0004-0000-0600-000000000000}"/>
  </hyperlinks>
  <printOptions horizontalCentered="1"/>
  <pageMargins left="0.25" right="0.25" top="0.75" bottom="0.25" header="0.3" footer="0.3"/>
  <pageSetup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70C0"/>
    <pageSetUpPr fitToPage="1"/>
  </sheetPr>
  <dimension ref="A1:P26"/>
  <sheetViews>
    <sheetView showGridLines="0" zoomScale="80" zoomScaleNormal="80" zoomScaleSheetLayoutView="85" workbookViewId="0">
      <selection activeCell="E17" sqref="E17:F17"/>
    </sheetView>
  </sheetViews>
  <sheetFormatPr defaultColWidth="9.140625" defaultRowHeight="16.5" x14ac:dyDescent="0.25"/>
  <cols>
    <col min="1" max="1" width="4.42578125" style="42" customWidth="1"/>
    <col min="2" max="2" width="28.42578125" style="42" bestFit="1" customWidth="1"/>
    <col min="3" max="3" width="18.42578125" style="42" customWidth="1"/>
    <col min="4" max="4" width="16.42578125" style="42" customWidth="1"/>
    <col min="5" max="5" width="24.7109375" style="42" customWidth="1"/>
    <col min="6" max="6" width="13.28515625" style="42" customWidth="1"/>
    <col min="7" max="7" width="14.140625" style="42" customWidth="1"/>
    <col min="8" max="8" width="17" style="42" customWidth="1"/>
    <col min="9" max="9" width="20" style="42" customWidth="1"/>
    <col min="10" max="10" width="20.140625" style="42" customWidth="1"/>
    <col min="11" max="11" width="10.140625" style="42" customWidth="1"/>
    <col min="12" max="12" width="2.42578125" style="42" customWidth="1"/>
    <col min="13" max="16384" width="9.140625" style="42"/>
  </cols>
  <sheetData>
    <row r="1" spans="2:16" ht="17.25" thickBot="1" x14ac:dyDescent="0.3">
      <c r="L1" s="43"/>
    </row>
    <row r="2" spans="2:16" ht="17.100000000000001" customHeight="1" thickBot="1" x14ac:dyDescent="0.3">
      <c r="B2" s="474" t="str">
        <f>'Version Control'!$B$2</f>
        <v>Title Block</v>
      </c>
      <c r="C2" s="475"/>
      <c r="D2" s="475"/>
      <c r="E2" s="476"/>
      <c r="L2" s="43"/>
    </row>
    <row r="3" spans="2:16" ht="17.100000000000001" customHeight="1" x14ac:dyDescent="0.25">
      <c r="B3" s="45" t="str">
        <f>'Version Control'!$B$3</f>
        <v>Test Report Template Name:</v>
      </c>
      <c r="C3" s="490" t="str">
        <f>'Version Control'!$C$3</f>
        <v>Portable Air Conditioners</v>
      </c>
      <c r="D3" s="491"/>
      <c r="E3" s="492"/>
      <c r="L3" s="43"/>
    </row>
    <row r="4" spans="2:16" ht="17.100000000000001" customHeight="1" x14ac:dyDescent="0.25">
      <c r="B4" s="46" t="str">
        <f>'Version Control'!$B$4</f>
        <v>Version Number:</v>
      </c>
      <c r="C4" s="494" t="str">
        <f>'Version Control'!$C$4</f>
        <v>v2.1</v>
      </c>
      <c r="D4" s="495"/>
      <c r="E4" s="496"/>
      <c r="G4" s="541" t="s">
        <v>58</v>
      </c>
      <c r="H4" s="541"/>
      <c r="L4" s="43"/>
    </row>
    <row r="5" spans="2:16" ht="17.100000000000001" customHeight="1" x14ac:dyDescent="0.25">
      <c r="B5" s="47" t="str">
        <f>'Version Control'!$B$5</f>
        <v xml:space="preserve">Latest Template Revision: </v>
      </c>
      <c r="C5" s="497">
        <f>'Version Control'!$C$5</f>
        <v>45611</v>
      </c>
      <c r="D5" s="498"/>
      <c r="E5" s="499"/>
      <c r="L5" s="43"/>
    </row>
    <row r="6" spans="2:16" ht="17.100000000000001" customHeight="1" x14ac:dyDescent="0.25">
      <c r="B6" s="47" t="str">
        <f>'Version Control'!$B$6</f>
        <v>Tab Name:</v>
      </c>
      <c r="C6" s="494" t="str">
        <f ca="1">MID(CELL("filename",A1), FIND("]", CELL("filename", A1))+ 1, 255)</f>
        <v>Setup&amp;Test Cond Off-Cycle Mode</v>
      </c>
      <c r="D6" s="495"/>
      <c r="E6" s="496"/>
      <c r="L6" s="43"/>
    </row>
    <row r="7" spans="2:16" ht="17.100000000000001" customHeight="1" x14ac:dyDescent="0.25">
      <c r="B7" s="47" t="str">
        <f>'Version Control'!$B$7</f>
        <v>File Name:</v>
      </c>
      <c r="C7" s="500" t="str">
        <f ca="1">'Version Control'!$C$7</f>
        <v>Portable Air Conditioners - v2.1.xlsx</v>
      </c>
      <c r="D7" s="501"/>
      <c r="E7" s="502"/>
      <c r="L7" s="43"/>
    </row>
    <row r="8" spans="2:16" ht="17.100000000000001" customHeight="1" thickBot="1" x14ac:dyDescent="0.3">
      <c r="B8" s="49" t="str">
        <f>'Version Control'!$B$8</f>
        <v xml:space="preserve">Test Completion Date: </v>
      </c>
      <c r="C8" s="503" t="str">
        <f>'Version Control'!$C$8</f>
        <v>[MM/DD/YYYY]</v>
      </c>
      <c r="D8" s="504"/>
      <c r="E8" s="505"/>
      <c r="L8" s="43"/>
    </row>
    <row r="9" spans="2:16" x14ac:dyDescent="0.25">
      <c r="B9" s="239"/>
      <c r="L9" s="43"/>
    </row>
    <row r="10" spans="2:16" ht="17.25" thickBot="1" x14ac:dyDescent="0.3">
      <c r="B10" s="72"/>
      <c r="J10" s="73"/>
      <c r="K10" s="74"/>
      <c r="L10" s="75"/>
      <c r="M10" s="74"/>
      <c r="N10" s="74"/>
      <c r="O10" s="74"/>
      <c r="P10" s="74"/>
    </row>
    <row r="11" spans="2:16" ht="18" thickBot="1" x14ac:dyDescent="0.3">
      <c r="B11" s="27" t="s">
        <v>120</v>
      </c>
      <c r="C11" s="28"/>
      <c r="D11" s="28"/>
      <c r="E11" s="28"/>
      <c r="F11" s="28"/>
      <c r="G11" s="28"/>
      <c r="H11" s="28"/>
      <c r="I11" s="28"/>
      <c r="J11" s="29"/>
      <c r="K11" s="39"/>
      <c r="L11" s="43"/>
      <c r="M11" s="24"/>
      <c r="N11" s="24"/>
      <c r="O11" s="24"/>
      <c r="P11" s="24"/>
    </row>
    <row r="12" spans="2:16" ht="18" thickBot="1" x14ac:dyDescent="0.3">
      <c r="B12" s="516" t="s">
        <v>168</v>
      </c>
      <c r="C12" s="517"/>
      <c r="D12" s="517"/>
      <c r="E12" s="517"/>
      <c r="F12" s="517"/>
      <c r="G12" s="517"/>
      <c r="H12" s="517"/>
      <c r="I12" s="517"/>
      <c r="J12" s="518"/>
      <c r="K12" s="76"/>
      <c r="L12" s="43"/>
      <c r="M12" s="77"/>
      <c r="N12" s="77"/>
      <c r="O12" s="77"/>
      <c r="P12" s="77"/>
    </row>
    <row r="13" spans="2:16" ht="17.25" thickBot="1" x14ac:dyDescent="0.3">
      <c r="L13" s="43"/>
    </row>
    <row r="14" spans="2:16" ht="18" thickBot="1" x14ac:dyDescent="0.3">
      <c r="B14" s="27" t="s">
        <v>121</v>
      </c>
      <c r="C14" s="28"/>
      <c r="D14" s="28"/>
      <c r="E14" s="28"/>
      <c r="F14" s="28"/>
      <c r="G14" s="28"/>
      <c r="H14" s="28"/>
      <c r="I14" s="28"/>
      <c r="J14" s="29"/>
      <c r="L14" s="43"/>
    </row>
    <row r="15" spans="2:16" ht="42" customHeight="1" thickBot="1" x14ac:dyDescent="0.3">
      <c r="B15" s="535" t="s">
        <v>170</v>
      </c>
      <c r="C15" s="536"/>
      <c r="D15" s="536"/>
      <c r="E15" s="536"/>
      <c r="F15" s="536"/>
      <c r="G15" s="536"/>
      <c r="H15" s="536"/>
      <c r="I15" s="536"/>
      <c r="J15" s="537"/>
      <c r="L15" s="43"/>
    </row>
    <row r="16" spans="2:16" ht="17.25" x14ac:dyDescent="0.25">
      <c r="B16" s="538" t="s">
        <v>83</v>
      </c>
      <c r="C16" s="539"/>
      <c r="D16" s="539"/>
      <c r="E16" s="533" t="s">
        <v>287</v>
      </c>
      <c r="F16" s="534"/>
      <c r="G16" s="533" t="s">
        <v>288</v>
      </c>
      <c r="H16" s="534"/>
      <c r="I16" s="539" t="s">
        <v>84</v>
      </c>
      <c r="J16" s="540"/>
      <c r="L16" s="43"/>
    </row>
    <row r="17" spans="1:12" x14ac:dyDescent="0.25">
      <c r="B17" s="519" t="s">
        <v>97</v>
      </c>
      <c r="C17" s="520"/>
      <c r="D17" s="520"/>
      <c r="E17" s="512"/>
      <c r="F17" s="513"/>
      <c r="G17" s="512"/>
      <c r="H17" s="513"/>
      <c r="I17" s="521" t="s">
        <v>96</v>
      </c>
      <c r="J17" s="522"/>
      <c r="L17" s="43"/>
    </row>
    <row r="18" spans="1:12" ht="17.25" thickBot="1" x14ac:dyDescent="0.3">
      <c r="B18" s="523" t="s">
        <v>122</v>
      </c>
      <c r="C18" s="524"/>
      <c r="D18" s="524"/>
      <c r="E18" s="514"/>
      <c r="F18" s="515"/>
      <c r="G18" s="514"/>
      <c r="H18" s="515"/>
      <c r="I18" s="525" t="s">
        <v>123</v>
      </c>
      <c r="J18" s="526"/>
      <c r="L18" s="43"/>
    </row>
    <row r="19" spans="1:12" ht="17.25" thickBot="1" x14ac:dyDescent="0.3">
      <c r="L19" s="43"/>
    </row>
    <row r="20" spans="1:12" ht="18" thickBot="1" x14ac:dyDescent="0.3">
      <c r="B20" s="27" t="s">
        <v>124</v>
      </c>
      <c r="C20" s="28"/>
      <c r="D20" s="28"/>
      <c r="E20" s="28"/>
      <c r="F20" s="28"/>
      <c r="G20" s="28"/>
      <c r="H20" s="28"/>
      <c r="I20" s="28"/>
      <c r="J20" s="29"/>
      <c r="L20" s="43"/>
    </row>
    <row r="21" spans="1:12" ht="18" customHeight="1" thickBot="1" x14ac:dyDescent="0.3">
      <c r="B21" s="516" t="s">
        <v>169</v>
      </c>
      <c r="C21" s="517"/>
      <c r="D21" s="517"/>
      <c r="E21" s="517"/>
      <c r="F21" s="517"/>
      <c r="G21" s="517"/>
      <c r="H21" s="517"/>
      <c r="I21" s="517"/>
      <c r="J21" s="518"/>
      <c r="L21" s="43"/>
    </row>
    <row r="22" spans="1:12" ht="17.25" x14ac:dyDescent="0.25">
      <c r="B22" s="538" t="s">
        <v>83</v>
      </c>
      <c r="C22" s="539"/>
      <c r="D22" s="539"/>
      <c r="E22" s="533" t="s">
        <v>287</v>
      </c>
      <c r="F22" s="534"/>
      <c r="G22" s="533" t="s">
        <v>288</v>
      </c>
      <c r="H22" s="534"/>
      <c r="I22" s="539" t="s">
        <v>84</v>
      </c>
      <c r="J22" s="540"/>
      <c r="L22" s="43"/>
    </row>
    <row r="23" spans="1:12" x14ac:dyDescent="0.25">
      <c r="B23" s="519" t="s">
        <v>171</v>
      </c>
      <c r="C23" s="520"/>
      <c r="D23" s="520"/>
      <c r="E23" s="512"/>
      <c r="F23" s="513"/>
      <c r="G23" s="512"/>
      <c r="H23" s="513"/>
      <c r="I23" s="521" t="s">
        <v>147</v>
      </c>
      <c r="J23" s="522"/>
      <c r="L23" s="43"/>
    </row>
    <row r="24" spans="1:12" ht="17.25" thickBot="1" x14ac:dyDescent="0.3">
      <c r="B24" s="523" t="s">
        <v>172</v>
      </c>
      <c r="C24" s="524"/>
      <c r="D24" s="524"/>
      <c r="E24" s="514"/>
      <c r="F24" s="515"/>
      <c r="G24" s="514"/>
      <c r="H24" s="515"/>
      <c r="I24" s="525" t="s">
        <v>147</v>
      </c>
      <c r="J24" s="526"/>
      <c r="L24" s="43"/>
    </row>
    <row r="25" spans="1:12" x14ac:dyDescent="0.25">
      <c r="L25" s="43"/>
    </row>
    <row r="26" spans="1:12" x14ac:dyDescent="0.25">
      <c r="A26" s="43"/>
      <c r="B26" s="43"/>
      <c r="C26" s="43"/>
      <c r="D26" s="43"/>
      <c r="E26" s="43"/>
      <c r="F26" s="43"/>
      <c r="G26" s="43"/>
      <c r="H26" s="43"/>
      <c r="I26" s="43"/>
      <c r="J26" s="43"/>
      <c r="K26" s="43"/>
      <c r="L26" s="43"/>
    </row>
  </sheetData>
  <sheetProtection algorithmName="SHA-512" hashValue="Eb68lf8CRkEnzzmGthTtUPfJJwvNawKMoW26yJSdj0u0vlDR6MJa6dCqVZK+Mx0BA+uDL/hCX8NvouS45E5scA==" saltValue="2wnY/eystk/nkivaOfyewQ==" spinCount="100000" sheet="1" selectLockedCells="1"/>
  <mergeCells count="35">
    <mergeCell ref="B24:D24"/>
    <mergeCell ref="I24:J24"/>
    <mergeCell ref="B17:D17"/>
    <mergeCell ref="I17:J17"/>
    <mergeCell ref="B18:D18"/>
    <mergeCell ref="I18:J18"/>
    <mergeCell ref="B21:J21"/>
    <mergeCell ref="B22:D22"/>
    <mergeCell ref="I22:J22"/>
    <mergeCell ref="B23:D23"/>
    <mergeCell ref="I23:J23"/>
    <mergeCell ref="E23:F23"/>
    <mergeCell ref="G23:H23"/>
    <mergeCell ref="E24:F24"/>
    <mergeCell ref="G24:H24"/>
    <mergeCell ref="E17:F17"/>
    <mergeCell ref="C7:E7"/>
    <mergeCell ref="C8:E8"/>
    <mergeCell ref="B12:J12"/>
    <mergeCell ref="B15:J15"/>
    <mergeCell ref="B16:D16"/>
    <mergeCell ref="I16:J16"/>
    <mergeCell ref="E16:F16"/>
    <mergeCell ref="G16:H16"/>
    <mergeCell ref="C6:E6"/>
    <mergeCell ref="B2:E2"/>
    <mergeCell ref="C3:E3"/>
    <mergeCell ref="C4:E4"/>
    <mergeCell ref="G4:H4"/>
    <mergeCell ref="C5:E5"/>
    <mergeCell ref="G17:H17"/>
    <mergeCell ref="E18:F18"/>
    <mergeCell ref="G18:H18"/>
    <mergeCell ref="E22:F22"/>
    <mergeCell ref="G22:H22"/>
  </mergeCells>
  <hyperlinks>
    <hyperlink ref="G4" location="Instructions!C33" display="Back to Instructions tab" xr:uid="{00000000-0004-0000-0700-000000000000}"/>
  </hyperlinks>
  <printOptions horizontalCentered="1"/>
  <pageMargins left="0.25" right="0.25" top="0.75" bottom="0.25" header="0.3" footer="0.3"/>
  <pageSetup scale="79" orientation="landscape"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0070C0"/>
  </sheetPr>
  <dimension ref="A1:J59"/>
  <sheetViews>
    <sheetView showGridLines="0" zoomScale="80" zoomScaleNormal="80" workbookViewId="0">
      <selection activeCell="F22" sqref="F22"/>
    </sheetView>
  </sheetViews>
  <sheetFormatPr defaultRowHeight="18" x14ac:dyDescent="0.35"/>
  <cols>
    <col min="1" max="2" width="4.5703125" style="144" customWidth="1"/>
    <col min="3" max="3" width="26" style="144" customWidth="1"/>
    <col min="4" max="4" width="32.28515625" style="144" customWidth="1"/>
    <col min="5" max="5" width="39.28515625" style="144" customWidth="1"/>
    <col min="6" max="6" width="33.7109375" style="144" customWidth="1"/>
    <col min="7" max="7" width="22.140625" style="144" customWidth="1"/>
    <col min="8" max="8" width="4.85546875" style="144" customWidth="1"/>
    <col min="9" max="9" width="5.7109375" style="156" customWidth="1"/>
    <col min="10" max="10" width="3" customWidth="1"/>
  </cols>
  <sheetData>
    <row r="1" spans="1:10" ht="18.75" thickBot="1" x14ac:dyDescent="0.4">
      <c r="A1" s="121"/>
      <c r="B1" s="121"/>
      <c r="C1" s="121"/>
      <c r="D1" s="121"/>
      <c r="E1" s="121"/>
      <c r="F1" s="121"/>
      <c r="G1" s="121"/>
      <c r="H1" s="121"/>
      <c r="I1" s="152"/>
      <c r="J1" s="122"/>
    </row>
    <row r="2" spans="1:10" ht="17.100000000000001" customHeight="1" thickBot="1" x14ac:dyDescent="0.4">
      <c r="A2" s="121"/>
      <c r="B2" s="558" t="str">
        <f>'Version Control'!$B$2</f>
        <v>Title Block</v>
      </c>
      <c r="C2" s="559"/>
      <c r="D2" s="559"/>
      <c r="E2" s="560"/>
      <c r="F2" s="121"/>
      <c r="G2" s="121"/>
      <c r="H2" s="121"/>
      <c r="I2" s="152"/>
      <c r="J2" s="122"/>
    </row>
    <row r="3" spans="1:10" ht="17.100000000000001" customHeight="1" x14ac:dyDescent="0.35">
      <c r="A3" s="121"/>
      <c r="B3" s="561" t="str">
        <f>'Version Control'!$B$3</f>
        <v>Test Report Template Name:</v>
      </c>
      <c r="C3" s="562"/>
      <c r="D3" s="565" t="str">
        <f>'Version Control'!$C$3</f>
        <v>Portable Air Conditioners</v>
      </c>
      <c r="E3" s="566"/>
      <c r="F3" s="121"/>
      <c r="G3" s="121"/>
      <c r="H3" s="121"/>
      <c r="I3" s="152"/>
      <c r="J3" s="122"/>
    </row>
    <row r="4" spans="1:10" ht="17.100000000000001" customHeight="1" x14ac:dyDescent="0.35">
      <c r="A4" s="121"/>
      <c r="B4" s="563" t="str">
        <f>'Version Control'!$B$4</f>
        <v>Version Number:</v>
      </c>
      <c r="C4" s="564"/>
      <c r="D4" s="567" t="str">
        <f>'Version Control'!$C$4</f>
        <v>v2.1</v>
      </c>
      <c r="E4" s="568"/>
      <c r="F4" s="121"/>
      <c r="G4" s="473" t="s">
        <v>58</v>
      </c>
      <c r="H4" s="473"/>
      <c r="I4" s="152"/>
      <c r="J4" s="122"/>
    </row>
    <row r="5" spans="1:10" ht="17.100000000000001" customHeight="1" x14ac:dyDescent="0.35">
      <c r="A5" s="121"/>
      <c r="B5" s="563" t="str">
        <f>'Version Control'!$B$5</f>
        <v xml:space="preserve">Latest Template Revision: </v>
      </c>
      <c r="C5" s="564"/>
      <c r="D5" s="569">
        <f>'Version Control'!$C$5</f>
        <v>45611</v>
      </c>
      <c r="E5" s="570"/>
      <c r="F5" s="121"/>
      <c r="G5" s="121"/>
      <c r="H5" s="121"/>
      <c r="I5" s="152"/>
      <c r="J5" s="122"/>
    </row>
    <row r="6" spans="1:10" ht="17.100000000000001" customHeight="1" x14ac:dyDescent="0.35">
      <c r="A6" s="121"/>
      <c r="B6" s="563" t="str">
        <f>'Version Control'!$B$6</f>
        <v>Tab Name:</v>
      </c>
      <c r="C6" s="564"/>
      <c r="D6" s="567" t="str">
        <f ca="1">MID(CELL("filename",A1), FIND("]", CELL("filename", A1))+ 1, 255)</f>
        <v>Data &amp; Calcs Low Power Modes</v>
      </c>
      <c r="E6" s="568"/>
      <c r="F6" s="121"/>
      <c r="G6" s="121"/>
      <c r="H6" s="121"/>
      <c r="I6" s="152"/>
      <c r="J6" s="122"/>
    </row>
    <row r="7" spans="1:10" ht="17.100000000000001" customHeight="1" x14ac:dyDescent="0.35">
      <c r="A7" s="121"/>
      <c r="B7" s="563" t="str">
        <f>'Version Control'!$B$7</f>
        <v>File Name:</v>
      </c>
      <c r="C7" s="564"/>
      <c r="D7" s="573" t="str">
        <f ca="1">'Version Control'!$C$7</f>
        <v>Portable Air Conditioners - v2.1.xlsx</v>
      </c>
      <c r="E7" s="574"/>
      <c r="F7" s="121"/>
      <c r="G7" s="121"/>
      <c r="H7" s="121"/>
      <c r="I7" s="152"/>
      <c r="J7" s="122"/>
    </row>
    <row r="8" spans="1:10" ht="17.100000000000001" customHeight="1" thickBot="1" x14ac:dyDescent="0.4">
      <c r="A8" s="121"/>
      <c r="B8" s="571" t="str">
        <f>'Version Control'!$B$8</f>
        <v xml:space="preserve">Test Completion Date: </v>
      </c>
      <c r="C8" s="572"/>
      <c r="D8" s="575" t="str">
        <f>'Version Control'!$C$8</f>
        <v>[MM/DD/YYYY]</v>
      </c>
      <c r="E8" s="576"/>
      <c r="F8" s="121"/>
      <c r="G8" s="121"/>
      <c r="H8" s="121"/>
      <c r="I8" s="152"/>
      <c r="J8" s="122"/>
    </row>
    <row r="9" spans="1:10" x14ac:dyDescent="0.35">
      <c r="A9" s="121"/>
      <c r="B9" s="121"/>
      <c r="C9" s="121"/>
      <c r="D9" s="121"/>
      <c r="E9" s="121"/>
      <c r="F9" s="121"/>
      <c r="G9" s="121"/>
      <c r="H9" s="121"/>
      <c r="I9" s="152"/>
      <c r="J9" s="122"/>
    </row>
    <row r="10" spans="1:10" ht="18.75" thickBot="1" x14ac:dyDescent="0.4">
      <c r="A10" s="121"/>
      <c r="B10" s="121"/>
      <c r="C10" s="121"/>
      <c r="D10" s="121"/>
      <c r="E10" s="121"/>
      <c r="F10" s="121"/>
      <c r="G10" s="121"/>
      <c r="H10" s="121"/>
      <c r="I10" s="152"/>
      <c r="J10" s="122"/>
    </row>
    <row r="11" spans="1:10" ht="18.75" thickBot="1" x14ac:dyDescent="0.4">
      <c r="A11" s="121"/>
      <c r="B11" s="544" t="s">
        <v>128</v>
      </c>
      <c r="C11" s="545"/>
      <c r="D11" s="545"/>
      <c r="E11" s="545"/>
      <c r="F11" s="545"/>
      <c r="G11" s="545"/>
      <c r="H11" s="546"/>
      <c r="I11" s="153"/>
      <c r="J11" s="122"/>
    </row>
    <row r="12" spans="1:10" ht="18.75" thickBot="1" x14ac:dyDescent="0.4">
      <c r="A12" s="121"/>
      <c r="B12" s="123"/>
      <c r="C12" s="124"/>
      <c r="D12" s="124"/>
      <c r="E12" s="124"/>
      <c r="F12" s="124"/>
      <c r="G12" s="124"/>
      <c r="H12" s="125"/>
      <c r="I12" s="149"/>
      <c r="J12" s="122"/>
    </row>
    <row r="13" spans="1:10" ht="18.75" thickBot="1" x14ac:dyDescent="0.4">
      <c r="A13" s="121"/>
      <c r="B13" s="123"/>
      <c r="C13" s="544" t="s">
        <v>177</v>
      </c>
      <c r="D13" s="545"/>
      <c r="E13" s="545"/>
      <c r="F13" s="545"/>
      <c r="G13" s="546"/>
      <c r="H13" s="125"/>
      <c r="I13" s="149"/>
      <c r="J13" s="122"/>
    </row>
    <row r="14" spans="1:10" ht="70.900000000000006" customHeight="1" thickBot="1" x14ac:dyDescent="0.4">
      <c r="A14" s="121"/>
      <c r="B14" s="123"/>
      <c r="C14" s="549" t="s">
        <v>174</v>
      </c>
      <c r="D14" s="550"/>
      <c r="E14" s="550"/>
      <c r="F14" s="550"/>
      <c r="G14" s="551"/>
      <c r="H14" s="125"/>
      <c r="I14" s="149"/>
      <c r="J14" s="122"/>
    </row>
    <row r="15" spans="1:10" ht="18.75" thickBot="1" x14ac:dyDescent="0.4">
      <c r="A15" s="121"/>
      <c r="B15" s="123"/>
      <c r="C15" s="176"/>
      <c r="D15" s="176"/>
      <c r="E15" s="176"/>
      <c r="F15" s="176"/>
      <c r="G15" s="176"/>
      <c r="H15" s="125"/>
      <c r="I15" s="149"/>
      <c r="J15" s="122"/>
    </row>
    <row r="16" spans="1:10" ht="18.75" thickBot="1" x14ac:dyDescent="0.4">
      <c r="A16" s="126"/>
      <c r="B16" s="127"/>
      <c r="C16" s="544" t="s">
        <v>178</v>
      </c>
      <c r="D16" s="545"/>
      <c r="E16" s="545"/>
      <c r="F16" s="545"/>
      <c r="G16" s="546"/>
      <c r="H16" s="128"/>
      <c r="I16" s="149"/>
      <c r="J16" s="129"/>
    </row>
    <row r="17" spans="1:10" ht="46.15" customHeight="1" thickBot="1" x14ac:dyDescent="0.4">
      <c r="A17" s="126"/>
      <c r="B17" s="127"/>
      <c r="C17" s="549" t="s">
        <v>173</v>
      </c>
      <c r="D17" s="550"/>
      <c r="E17" s="550"/>
      <c r="F17" s="550"/>
      <c r="G17" s="551"/>
      <c r="H17" s="128"/>
      <c r="I17" s="149"/>
      <c r="J17" s="129"/>
    </row>
    <row r="18" spans="1:10" ht="18.75" thickBot="1" x14ac:dyDescent="0.4">
      <c r="A18" s="121"/>
      <c r="B18" s="123"/>
      <c r="C18" s="176"/>
      <c r="D18" s="176"/>
      <c r="E18" s="176"/>
      <c r="F18" s="176"/>
      <c r="G18" s="176"/>
      <c r="H18" s="125"/>
      <c r="I18" s="149"/>
      <c r="J18" s="122"/>
    </row>
    <row r="19" spans="1:10" ht="18.75" thickBot="1" x14ac:dyDescent="0.4">
      <c r="A19" s="126"/>
      <c r="B19" s="127"/>
      <c r="C19" s="544" t="s">
        <v>129</v>
      </c>
      <c r="D19" s="545"/>
      <c r="E19" s="545"/>
      <c r="F19" s="545"/>
      <c r="G19" s="546"/>
      <c r="H19" s="128"/>
      <c r="I19" s="149"/>
      <c r="J19" s="129"/>
    </row>
    <row r="20" spans="1:10" ht="64.900000000000006" customHeight="1" thickBot="1" x14ac:dyDescent="0.4">
      <c r="A20" s="126"/>
      <c r="B20" s="127"/>
      <c r="C20" s="549" t="s">
        <v>379</v>
      </c>
      <c r="D20" s="550"/>
      <c r="E20" s="550"/>
      <c r="F20" s="550"/>
      <c r="G20" s="551"/>
      <c r="H20" s="128"/>
      <c r="I20" s="149"/>
      <c r="J20" s="129"/>
    </row>
    <row r="21" spans="1:10" x14ac:dyDescent="0.35">
      <c r="A21" s="126"/>
      <c r="B21" s="127"/>
      <c r="C21" s="177"/>
      <c r="D21" s="178"/>
      <c r="E21" s="178"/>
      <c r="F21" s="179" t="s">
        <v>77</v>
      </c>
      <c r="G21" s="180"/>
      <c r="H21" s="131"/>
      <c r="I21" s="150"/>
      <c r="J21" s="129"/>
    </row>
    <row r="22" spans="1:10" x14ac:dyDescent="0.35">
      <c r="A22" s="126"/>
      <c r="B22" s="127"/>
      <c r="C22" s="132" t="s">
        <v>176</v>
      </c>
      <c r="D22" s="133"/>
      <c r="E22" s="133"/>
      <c r="F22" s="223"/>
      <c r="G22" s="138" t="s">
        <v>130</v>
      </c>
      <c r="H22" s="134"/>
      <c r="I22" s="151"/>
      <c r="J22" s="129"/>
    </row>
    <row r="23" spans="1:10" ht="18.75" thickBot="1" x14ac:dyDescent="0.4">
      <c r="A23" s="126"/>
      <c r="B23" s="127"/>
      <c r="C23" s="161" t="s">
        <v>175</v>
      </c>
      <c r="D23" s="163"/>
      <c r="E23" s="163"/>
      <c r="F23" s="224"/>
      <c r="G23" s="162" t="s">
        <v>130</v>
      </c>
      <c r="H23" s="134"/>
      <c r="I23" s="151"/>
      <c r="J23" s="129"/>
    </row>
    <row r="24" spans="1:10" ht="18.75" thickBot="1" x14ac:dyDescent="0.4">
      <c r="A24" s="121"/>
      <c r="B24" s="123"/>
      <c r="C24" s="124"/>
      <c r="D24" s="124"/>
      <c r="E24" s="124"/>
      <c r="F24" s="124"/>
      <c r="G24" s="124"/>
      <c r="H24" s="125"/>
      <c r="I24" s="149"/>
      <c r="J24" s="122"/>
    </row>
    <row r="25" spans="1:10" ht="18.75" thickBot="1" x14ac:dyDescent="0.4">
      <c r="A25" s="121"/>
      <c r="B25" s="123"/>
      <c r="C25" s="544" t="s">
        <v>180</v>
      </c>
      <c r="D25" s="545"/>
      <c r="E25" s="545"/>
      <c r="F25" s="545"/>
      <c r="G25" s="546"/>
      <c r="H25" s="125"/>
      <c r="I25" s="149"/>
      <c r="J25" s="122"/>
    </row>
    <row r="26" spans="1:10" ht="42.6" customHeight="1" thickBot="1" x14ac:dyDescent="0.4">
      <c r="A26" s="121"/>
      <c r="B26" s="123"/>
      <c r="C26" s="549" t="s">
        <v>181</v>
      </c>
      <c r="D26" s="550"/>
      <c r="E26" s="550"/>
      <c r="F26" s="550"/>
      <c r="G26" s="551"/>
      <c r="H26" s="125"/>
      <c r="I26" s="149"/>
      <c r="J26" s="122"/>
    </row>
    <row r="27" spans="1:10" ht="18.75" thickBot="1" x14ac:dyDescent="0.4">
      <c r="A27" s="121"/>
      <c r="B27" s="123"/>
      <c r="C27" s="176"/>
      <c r="D27" s="176"/>
      <c r="E27" s="176"/>
      <c r="F27" s="176"/>
      <c r="G27" s="176"/>
      <c r="H27" s="125"/>
      <c r="I27" s="149"/>
      <c r="J27" s="122"/>
    </row>
    <row r="28" spans="1:10" ht="18.75" thickBot="1" x14ac:dyDescent="0.4">
      <c r="A28" s="126"/>
      <c r="B28" s="127"/>
      <c r="C28" s="544" t="s">
        <v>179</v>
      </c>
      <c r="D28" s="545"/>
      <c r="E28" s="545"/>
      <c r="F28" s="545"/>
      <c r="G28" s="546"/>
      <c r="H28" s="128"/>
      <c r="I28" s="149"/>
      <c r="J28" s="129"/>
    </row>
    <row r="29" spans="1:10" ht="66.599999999999994" customHeight="1" thickBot="1" x14ac:dyDescent="0.4">
      <c r="A29" s="126"/>
      <c r="B29" s="127"/>
      <c r="C29" s="549" t="s">
        <v>182</v>
      </c>
      <c r="D29" s="550"/>
      <c r="E29" s="550"/>
      <c r="F29" s="550"/>
      <c r="G29" s="551"/>
      <c r="H29" s="128"/>
      <c r="I29" s="149"/>
      <c r="J29" s="129"/>
    </row>
    <row r="30" spans="1:10" ht="18.75" thickBot="1" x14ac:dyDescent="0.4">
      <c r="A30" s="121"/>
      <c r="B30" s="123"/>
      <c r="C30" s="124"/>
      <c r="D30" s="124"/>
      <c r="E30" s="124"/>
      <c r="F30" s="124"/>
      <c r="G30" s="124"/>
      <c r="H30" s="125"/>
      <c r="I30" s="149"/>
      <c r="J30" s="122"/>
    </row>
    <row r="31" spans="1:10" ht="18.75" thickBot="1" x14ac:dyDescent="0.4">
      <c r="A31" s="126"/>
      <c r="B31" s="127"/>
      <c r="C31" s="544" t="s">
        <v>131</v>
      </c>
      <c r="D31" s="545"/>
      <c r="E31" s="545"/>
      <c r="F31" s="545"/>
      <c r="G31" s="546"/>
      <c r="H31" s="128"/>
      <c r="I31" s="149"/>
      <c r="J31" s="129"/>
    </row>
    <row r="32" spans="1:10" ht="46.9" customHeight="1" thickBot="1" x14ac:dyDescent="0.4">
      <c r="A32" s="126"/>
      <c r="B32" s="127"/>
      <c r="C32" s="549" t="s">
        <v>380</v>
      </c>
      <c r="D32" s="550"/>
      <c r="E32" s="550"/>
      <c r="F32" s="550"/>
      <c r="G32" s="551"/>
      <c r="H32" s="128"/>
      <c r="I32" s="149"/>
      <c r="J32" s="129"/>
    </row>
    <row r="33" spans="1:10" x14ac:dyDescent="0.35">
      <c r="A33" s="126"/>
      <c r="B33" s="127"/>
      <c r="C33" s="123"/>
      <c r="D33" s="124"/>
      <c r="E33" s="124"/>
      <c r="F33" s="130" t="s">
        <v>77</v>
      </c>
      <c r="G33" s="147"/>
      <c r="H33" s="131"/>
      <c r="I33" s="150"/>
      <c r="J33" s="129"/>
    </row>
    <row r="34" spans="1:10" ht="18.75" thickBot="1" x14ac:dyDescent="0.4">
      <c r="A34" s="126"/>
      <c r="B34" s="127"/>
      <c r="C34" s="161" t="s">
        <v>183</v>
      </c>
      <c r="D34" s="163"/>
      <c r="E34" s="163"/>
      <c r="F34" s="224"/>
      <c r="G34" s="162" t="s">
        <v>130</v>
      </c>
      <c r="H34" s="134"/>
      <c r="I34" s="151"/>
      <c r="J34" s="129"/>
    </row>
    <row r="35" spans="1:10" ht="18.75" thickBot="1" x14ac:dyDescent="0.4">
      <c r="A35" s="121"/>
      <c r="B35" s="135"/>
      <c r="C35" s="136"/>
      <c r="D35" s="136"/>
      <c r="E35" s="136"/>
      <c r="F35" s="136"/>
      <c r="G35" s="136"/>
      <c r="H35" s="137"/>
      <c r="I35" s="149"/>
      <c r="J35" s="122"/>
    </row>
    <row r="36" spans="1:10" ht="18.75" thickBot="1" x14ac:dyDescent="0.4">
      <c r="A36" s="121"/>
      <c r="B36" s="140"/>
      <c r="C36" s="140"/>
      <c r="D36" s="140"/>
      <c r="E36" s="140"/>
      <c r="F36" s="140"/>
      <c r="G36" s="140"/>
      <c r="H36" s="140"/>
      <c r="I36" s="154"/>
      <c r="J36" s="122"/>
    </row>
    <row r="37" spans="1:10" ht="18.75" thickBot="1" x14ac:dyDescent="0.4">
      <c r="A37" s="121"/>
      <c r="B37" s="544" t="s">
        <v>79</v>
      </c>
      <c r="C37" s="545"/>
      <c r="D37" s="545"/>
      <c r="E37" s="545"/>
      <c r="F37" s="545"/>
      <c r="G37" s="545"/>
      <c r="H37" s="546"/>
      <c r="I37" s="153"/>
      <c r="J37" s="122"/>
    </row>
    <row r="38" spans="1:10" x14ac:dyDescent="0.35">
      <c r="A38" s="121"/>
      <c r="B38" s="552"/>
      <c r="C38" s="553"/>
      <c r="D38" s="553"/>
      <c r="E38" s="553"/>
      <c r="F38" s="553"/>
      <c r="G38" s="553"/>
      <c r="H38" s="554"/>
      <c r="I38" s="160"/>
      <c r="J38" s="122"/>
    </row>
    <row r="39" spans="1:10" x14ac:dyDescent="0.35">
      <c r="A39" s="121"/>
      <c r="B39" s="552"/>
      <c r="C39" s="553"/>
      <c r="D39" s="553"/>
      <c r="E39" s="553"/>
      <c r="F39" s="553"/>
      <c r="G39" s="553"/>
      <c r="H39" s="554"/>
      <c r="I39" s="160"/>
      <c r="J39" s="122"/>
    </row>
    <row r="40" spans="1:10" x14ac:dyDescent="0.35">
      <c r="A40" s="121"/>
      <c r="B40" s="552"/>
      <c r="C40" s="553"/>
      <c r="D40" s="553"/>
      <c r="E40" s="553"/>
      <c r="F40" s="553"/>
      <c r="G40" s="553"/>
      <c r="H40" s="554"/>
      <c r="I40" s="160"/>
      <c r="J40" s="122"/>
    </row>
    <row r="41" spans="1:10" x14ac:dyDescent="0.35">
      <c r="A41" s="121"/>
      <c r="B41" s="552"/>
      <c r="C41" s="553"/>
      <c r="D41" s="553"/>
      <c r="E41" s="553"/>
      <c r="F41" s="553"/>
      <c r="G41" s="553"/>
      <c r="H41" s="554"/>
      <c r="I41" s="160"/>
      <c r="J41" s="122"/>
    </row>
    <row r="42" spans="1:10" ht="18.75" thickBot="1" x14ac:dyDescent="0.4">
      <c r="A42" s="121"/>
      <c r="B42" s="555"/>
      <c r="C42" s="556"/>
      <c r="D42" s="556"/>
      <c r="E42" s="556"/>
      <c r="F42" s="556"/>
      <c r="G42" s="556"/>
      <c r="H42" s="557"/>
      <c r="I42" s="160"/>
      <c r="J42" s="122"/>
    </row>
    <row r="43" spans="1:10" ht="18.75" thickBot="1" x14ac:dyDescent="0.4">
      <c r="A43" s="121"/>
      <c r="B43" s="141"/>
      <c r="C43" s="141"/>
      <c r="D43" s="141"/>
      <c r="E43" s="141"/>
      <c r="F43" s="141"/>
      <c r="G43" s="141"/>
      <c r="H43" s="141"/>
      <c r="I43" s="155"/>
      <c r="J43" s="122"/>
    </row>
    <row r="44" spans="1:10" ht="18.75" thickBot="1" x14ac:dyDescent="0.4">
      <c r="A44" s="121"/>
      <c r="B44" s="544" t="s">
        <v>80</v>
      </c>
      <c r="C44" s="545"/>
      <c r="D44" s="545"/>
      <c r="E44" s="545"/>
      <c r="F44" s="545"/>
      <c r="G44" s="545"/>
      <c r="H44" s="546"/>
      <c r="I44" s="153"/>
      <c r="J44" s="122"/>
    </row>
    <row r="45" spans="1:10" ht="18.75" thickBot="1" x14ac:dyDescent="0.4">
      <c r="A45" s="121"/>
      <c r="B45" s="123"/>
      <c r="C45" s="124"/>
      <c r="D45" s="124"/>
      <c r="E45" s="124"/>
      <c r="F45" s="124"/>
      <c r="G45" s="124"/>
      <c r="H45" s="125"/>
      <c r="I45" s="149"/>
      <c r="J45" s="122"/>
    </row>
    <row r="46" spans="1:10" ht="18.75" thickBot="1" x14ac:dyDescent="0.4">
      <c r="A46" s="121"/>
      <c r="B46" s="123"/>
      <c r="C46" s="544" t="s">
        <v>81</v>
      </c>
      <c r="D46" s="545"/>
      <c r="E46" s="545"/>
      <c r="F46" s="545"/>
      <c r="G46" s="546"/>
      <c r="H46" s="125"/>
      <c r="I46" s="149"/>
      <c r="J46" s="122"/>
    </row>
    <row r="47" spans="1:10" x14ac:dyDescent="0.35">
      <c r="A47" s="121"/>
      <c r="B47" s="123"/>
      <c r="C47" s="123"/>
      <c r="D47" s="124"/>
      <c r="E47" s="124"/>
      <c r="F47" s="130" t="s">
        <v>98</v>
      </c>
      <c r="G47" s="147"/>
      <c r="H47" s="125"/>
      <c r="I47" s="149"/>
      <c r="J47" s="122"/>
    </row>
    <row r="48" spans="1:10" x14ac:dyDescent="0.35">
      <c r="A48" s="121"/>
      <c r="B48" s="123"/>
      <c r="C48" s="547" t="s">
        <v>184</v>
      </c>
      <c r="D48" s="548"/>
      <c r="E48" s="548"/>
      <c r="F48" s="226">
        <v>1355</v>
      </c>
      <c r="G48" s="218" t="s">
        <v>132</v>
      </c>
      <c r="H48" s="125"/>
      <c r="I48" s="149"/>
      <c r="J48" s="122"/>
    </row>
    <row r="49" spans="1:10" x14ac:dyDescent="0.35">
      <c r="A49" s="121"/>
      <c r="B49" s="123"/>
      <c r="C49" s="547" t="s">
        <v>185</v>
      </c>
      <c r="D49" s="548"/>
      <c r="E49" s="548"/>
      <c r="F49" s="226">
        <v>880</v>
      </c>
      <c r="G49" s="218" t="s">
        <v>132</v>
      </c>
      <c r="H49" s="125"/>
      <c r="I49" s="149"/>
      <c r="J49" s="122"/>
    </row>
    <row r="50" spans="1:10" ht="18.75" thickBot="1" x14ac:dyDescent="0.4">
      <c r="A50" s="121"/>
      <c r="B50" s="123"/>
      <c r="C50" s="542" t="s">
        <v>133</v>
      </c>
      <c r="D50" s="543"/>
      <c r="E50" s="543"/>
      <c r="F50" s="219">
        <v>1E-3</v>
      </c>
      <c r="G50" s="220" t="s">
        <v>134</v>
      </c>
      <c r="H50" s="125"/>
      <c r="I50" s="149"/>
      <c r="J50" s="122"/>
    </row>
    <row r="51" spans="1:10" ht="18.75" thickBot="1" x14ac:dyDescent="0.4">
      <c r="A51" s="121"/>
      <c r="B51" s="123"/>
      <c r="C51" s="124"/>
      <c r="D51" s="124"/>
      <c r="E51" s="124"/>
      <c r="F51" s="124"/>
      <c r="G51" s="124"/>
      <c r="H51" s="125"/>
      <c r="I51" s="149"/>
      <c r="J51" s="122"/>
    </row>
    <row r="52" spans="1:10" ht="18.75" thickBot="1" x14ac:dyDescent="0.4">
      <c r="A52" s="121"/>
      <c r="B52" s="123"/>
      <c r="C52" s="544" t="s">
        <v>186</v>
      </c>
      <c r="D52" s="545"/>
      <c r="E52" s="545"/>
      <c r="F52" s="545"/>
      <c r="G52" s="546"/>
      <c r="H52" s="125"/>
      <c r="I52" s="149"/>
      <c r="J52" s="122"/>
    </row>
    <row r="53" spans="1:10" x14ac:dyDescent="0.35">
      <c r="A53" s="121"/>
      <c r="B53" s="123"/>
      <c r="C53" s="123"/>
      <c r="D53" s="124"/>
      <c r="E53" s="124"/>
      <c r="F53" s="130" t="s">
        <v>145</v>
      </c>
      <c r="G53" s="147"/>
      <c r="H53" s="125"/>
      <c r="I53" s="149"/>
      <c r="J53" s="122"/>
    </row>
    <row r="54" spans="1:10" x14ac:dyDescent="0.35">
      <c r="A54" s="121"/>
      <c r="B54" s="123"/>
      <c r="C54" s="547" t="s">
        <v>289</v>
      </c>
      <c r="D54" s="548"/>
      <c r="E54" s="548"/>
      <c r="F54" s="221" t="str">
        <f>IF(ISNUMBER(PIA),PIA*SIO*k,IF(ISNUMBER(pom),pom*SIO*k,"0"))</f>
        <v>0</v>
      </c>
      <c r="G54" s="181" t="s">
        <v>263</v>
      </c>
      <c r="H54" s="125"/>
      <c r="I54" s="149"/>
      <c r="J54" s="122"/>
    </row>
    <row r="55" spans="1:10" x14ac:dyDescent="0.35">
      <c r="A55" s="121"/>
      <c r="B55" s="123"/>
      <c r="C55" s="547" t="s">
        <v>187</v>
      </c>
      <c r="D55" s="548"/>
      <c r="E55" s="548"/>
      <c r="F55" s="221" t="str">
        <f>IF(ISNUMBER(POC),POC*SOC*k,"0")</f>
        <v>0</v>
      </c>
      <c r="G55" s="181" t="s">
        <v>263</v>
      </c>
      <c r="H55" s="125"/>
      <c r="I55" s="149"/>
      <c r="J55" s="122"/>
    </row>
    <row r="56" spans="1:10" ht="18.75" thickBot="1" x14ac:dyDescent="0.4">
      <c r="A56" s="121"/>
      <c r="B56" s="123"/>
      <c r="C56" s="542" t="s">
        <v>188</v>
      </c>
      <c r="D56" s="543"/>
      <c r="E56" s="543"/>
      <c r="F56" s="222">
        <f>((PIO*SIO)+(POC*SOC))*k</f>
        <v>0</v>
      </c>
      <c r="G56" s="182" t="s">
        <v>263</v>
      </c>
      <c r="H56" s="125"/>
      <c r="I56" s="149"/>
      <c r="J56" s="122"/>
    </row>
    <row r="57" spans="1:10" ht="18.75" thickBot="1" x14ac:dyDescent="0.4">
      <c r="A57" s="121"/>
      <c r="B57" s="135"/>
      <c r="C57" s="136"/>
      <c r="D57" s="136"/>
      <c r="E57" s="136"/>
      <c r="F57" s="136"/>
      <c r="G57" s="136"/>
      <c r="H57" s="142"/>
      <c r="I57" s="149"/>
      <c r="J57" s="122"/>
    </row>
    <row r="58" spans="1:10" x14ac:dyDescent="0.35">
      <c r="A58" s="121"/>
      <c r="B58" s="121"/>
      <c r="C58" s="121"/>
      <c r="D58" s="121"/>
      <c r="E58" s="121"/>
      <c r="F58" s="121"/>
      <c r="G58" s="121"/>
      <c r="H58" s="121"/>
      <c r="I58" s="152"/>
      <c r="J58" s="122"/>
    </row>
    <row r="59" spans="1:10" ht="12.75" customHeight="1" x14ac:dyDescent="0.35">
      <c r="A59" s="143"/>
      <c r="B59" s="143"/>
      <c r="C59" s="143"/>
      <c r="D59" s="143"/>
      <c r="E59" s="143"/>
      <c r="F59" s="143"/>
      <c r="G59" s="143"/>
      <c r="H59" s="143"/>
      <c r="I59" s="143"/>
      <c r="J59" s="122"/>
    </row>
  </sheetData>
  <sheetProtection algorithmName="SHA-512" hashValue="y2QpzAhTNQtoZ3bC4dATj2u9Y+rVOaiE9gwMsb7dC3/yI9VEZwgfV9bCfVyz0tvJdoMUdXugFIpXly9SKzZ9/Q==" saltValue="j186LF5zy4v6zU4aIz5V7Q==" spinCount="100000" sheet="1" selectLockedCells="1"/>
  <mergeCells count="38">
    <mergeCell ref="C56:E56"/>
    <mergeCell ref="B6:C6"/>
    <mergeCell ref="B8:C8"/>
    <mergeCell ref="B11:H11"/>
    <mergeCell ref="C13:G13"/>
    <mergeCell ref="D6:E6"/>
    <mergeCell ref="B7:C7"/>
    <mergeCell ref="D7:E7"/>
    <mergeCell ref="D8:E8"/>
    <mergeCell ref="C48:E48"/>
    <mergeCell ref="C14:G14"/>
    <mergeCell ref="C16:G16"/>
    <mergeCell ref="C17:G17"/>
    <mergeCell ref="C19:G19"/>
    <mergeCell ref="C20:G20"/>
    <mergeCell ref="C31:G31"/>
    <mergeCell ref="B2:E2"/>
    <mergeCell ref="B3:C3"/>
    <mergeCell ref="B4:C4"/>
    <mergeCell ref="B5:C5"/>
    <mergeCell ref="G4:H4"/>
    <mergeCell ref="D3:E3"/>
    <mergeCell ref="D4:E4"/>
    <mergeCell ref="D5:E5"/>
    <mergeCell ref="C50:E50"/>
    <mergeCell ref="C52:G52"/>
    <mergeCell ref="C54:E54"/>
    <mergeCell ref="C55:E55"/>
    <mergeCell ref="C25:G25"/>
    <mergeCell ref="C26:G26"/>
    <mergeCell ref="C28:G28"/>
    <mergeCell ref="C29:G29"/>
    <mergeCell ref="C49:E49"/>
    <mergeCell ref="C32:G32"/>
    <mergeCell ref="B37:H37"/>
    <mergeCell ref="B38:H42"/>
    <mergeCell ref="B44:H44"/>
    <mergeCell ref="C46:G46"/>
  </mergeCells>
  <hyperlinks>
    <hyperlink ref="G4" location="Instructions!C33" display="Back to Instructions tab" xr:uid="{00000000-0004-0000-0800-000000000000}"/>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DA2E1-4A6A-484B-80CA-ABF8787066A1}">
  <ds:schemaRefs>
    <ds:schemaRef ds:uri="fa504290-48b0-421f-a269-8aa9478176e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A4E917DF-203A-4356-AA33-0B75F5A58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198</vt:i4>
      </vt:variant>
    </vt:vector>
  </HeadingPairs>
  <TitlesOfParts>
    <vt:vector size="215" baseType="lpstr">
      <vt:lpstr>Instructions</vt:lpstr>
      <vt:lpstr>General Info &amp; Test Results</vt:lpstr>
      <vt:lpstr>Instrumentation</vt:lpstr>
      <vt:lpstr>Photos</vt:lpstr>
      <vt:lpstr>Inactive or Off Mode Settings</vt:lpstr>
      <vt:lpstr>Setup &amp; Test Cond Inactive-Off</vt:lpstr>
      <vt:lpstr>Off-Cycle Mode Settings</vt:lpstr>
      <vt:lpstr>Setup&amp;Test Cond Off-Cycle Mode</vt:lpstr>
      <vt:lpstr>Data &amp; Calcs Low Power Modes</vt:lpstr>
      <vt:lpstr>Cooling Mode Settings</vt:lpstr>
      <vt:lpstr>Cooling Mode Setup &amp; Conditions</vt:lpstr>
      <vt:lpstr>Data &amp; Calcs Cooling Mode - SS</vt:lpstr>
      <vt:lpstr>Data &amp; Calcs Cooling Mode - VS</vt:lpstr>
      <vt:lpstr>Comments</vt:lpstr>
      <vt:lpstr>Report Sign-Off Block</vt:lpstr>
      <vt:lpstr>Drop-Downs</vt:lpstr>
      <vt:lpstr>Version Control</vt:lpstr>
      <vt:lpstr>ACCDD_83_Full</vt:lpstr>
      <vt:lpstr>ACCDD_83_Low</vt:lpstr>
      <vt:lpstr>ACCDD_83_SS</vt:lpstr>
      <vt:lpstr>ACCDD_83_SS_CF</vt:lpstr>
      <vt:lpstr>ACCDD_83_tSS</vt:lpstr>
      <vt:lpstr>ACCDD_95</vt:lpstr>
      <vt:lpstr>ACCDD_95_SS</vt:lpstr>
      <vt:lpstr>ACCSD_83_Full</vt:lpstr>
      <vt:lpstr>ACCSD_83_Low</vt:lpstr>
      <vt:lpstr>ACCSD_83_SS</vt:lpstr>
      <vt:lpstr>ACCSD_83_SS_CF</vt:lpstr>
      <vt:lpstr>ACCSD_83_tSS</vt:lpstr>
      <vt:lpstr>ACCSD_95</vt:lpstr>
      <vt:lpstr>ACCSD_95_SS</vt:lpstr>
      <vt:lpstr>Aduct_e_ss</vt:lpstr>
      <vt:lpstr>Aduct_e_vs</vt:lpstr>
      <vt:lpstr>Aduct_i_ss</vt:lpstr>
      <vt:lpstr>Aduct_i_vs</vt:lpstr>
      <vt:lpstr>AECDD_83</vt:lpstr>
      <vt:lpstr>AECDD_83_Full</vt:lpstr>
      <vt:lpstr>AECDD_83_Low</vt:lpstr>
      <vt:lpstr>AECDD_83_SS</vt:lpstr>
      <vt:lpstr>AECDD_95</vt:lpstr>
      <vt:lpstr>AECDD_95_Full</vt:lpstr>
      <vt:lpstr>AECIO</vt:lpstr>
      <vt:lpstr>AECOC</vt:lpstr>
      <vt:lpstr>AECSD</vt:lpstr>
      <vt:lpstr>AECSD_83_SS</vt:lpstr>
      <vt:lpstr>AECSD_Full</vt:lpstr>
      <vt:lpstr>AECSD_Low</vt:lpstr>
      <vt:lpstr>AECT</vt:lpstr>
      <vt:lpstr>B</vt:lpstr>
      <vt:lpstr>Capacity83</vt:lpstr>
      <vt:lpstr>Capacity95</vt:lpstr>
      <vt:lpstr>CapacityDD_83_Full</vt:lpstr>
      <vt:lpstr>CapacityDD_83_Low</vt:lpstr>
      <vt:lpstr>CapacityDD_83_SS</vt:lpstr>
      <vt:lpstr>CapacityDD_95_Full</vt:lpstr>
      <vt:lpstr>CapacitySD</vt:lpstr>
      <vt:lpstr>CapacitySD_83_SS</vt:lpstr>
      <vt:lpstr>CapacitySD_Full</vt:lpstr>
      <vt:lpstr>CapacitySD_Low</vt:lpstr>
      <vt:lpstr>CEERDD_SS</vt:lpstr>
      <vt:lpstr>CEERDD_SS_CF</vt:lpstr>
      <vt:lpstr>CEERDD_UA</vt:lpstr>
      <vt:lpstr>CEERSD_SS</vt:lpstr>
      <vt:lpstr>CEERSD_SS_CF</vt:lpstr>
      <vt:lpstr>CEERSD_UA</vt:lpstr>
      <vt:lpstr>cp_da</vt:lpstr>
      <vt:lpstr>cp_wv</vt:lpstr>
      <vt:lpstr>d</vt:lpstr>
      <vt:lpstr>Duct_Configuration</vt:lpstr>
      <vt:lpstr>Ee</vt:lpstr>
      <vt:lpstr>ETLP</vt:lpstr>
      <vt:lpstr>Fp_DD</vt:lpstr>
      <vt:lpstr>Fp_SD</vt:lpstr>
      <vt:lpstr>Ht</vt:lpstr>
      <vt:lpstr>k</vt:lpstr>
      <vt:lpstr>lb_to_kg</vt:lpstr>
      <vt:lpstr>Le_ss</vt:lpstr>
      <vt:lpstr>Le_vs</vt:lpstr>
      <vt:lpstr>Li_ss</vt:lpstr>
      <vt:lpstr>Li_vs</vt:lpstr>
      <vt:lpstr>ṁ83</vt:lpstr>
      <vt:lpstr>ṁ83_Full</vt:lpstr>
      <vt:lpstr>ṁ83_Low</vt:lpstr>
      <vt:lpstr>ṁ95</vt:lpstr>
      <vt:lpstr>ṁ95_Full</vt:lpstr>
      <vt:lpstr>minutes_to_hours</vt:lpstr>
      <vt:lpstr>ṁSD</vt:lpstr>
      <vt:lpstr>ṁSD_Full</vt:lpstr>
      <vt:lpstr>ṁSD_Low</vt:lpstr>
      <vt:lpstr>Ode_ss</vt:lpstr>
      <vt:lpstr>Ode_vs</vt:lpstr>
      <vt:lpstr>Odi_ss</vt:lpstr>
      <vt:lpstr>Odi_vs</vt:lpstr>
      <vt:lpstr>p</vt:lpstr>
      <vt:lpstr>PDD_83</vt:lpstr>
      <vt:lpstr>PDD_83_Full</vt:lpstr>
      <vt:lpstr>PDD_83_Low</vt:lpstr>
      <vt:lpstr>PDD_83_SS</vt:lpstr>
      <vt:lpstr>PDD_95</vt:lpstr>
      <vt:lpstr>PDD_95_Full</vt:lpstr>
      <vt:lpstr>PIA</vt:lpstr>
      <vt:lpstr>PIO</vt:lpstr>
      <vt:lpstr>'Data &amp; Calcs Low Power Modes'!POC</vt:lpstr>
      <vt:lpstr>pom</vt:lpstr>
      <vt:lpstr>PSD</vt:lpstr>
      <vt:lpstr>PSD_83_SS</vt:lpstr>
      <vt:lpstr>PSD_Full</vt:lpstr>
      <vt:lpstr>PSD_Low</vt:lpstr>
      <vt:lpstr>Qduct_DD_83</vt:lpstr>
      <vt:lpstr>Qduct_DD_83_Full</vt:lpstr>
      <vt:lpstr>Qduct_DD_83_Low</vt:lpstr>
      <vt:lpstr>Qduct_DD_95</vt:lpstr>
      <vt:lpstr>Qduct_DD_95_Full</vt:lpstr>
      <vt:lpstr>Qduct_SD</vt:lpstr>
      <vt:lpstr>Qduct_SD_Full</vt:lpstr>
      <vt:lpstr>Qduct_SD_Low</vt:lpstr>
      <vt:lpstr>Qinfiltration_DD_83</vt:lpstr>
      <vt:lpstr>Qinfiltration_DD_83_Full</vt:lpstr>
      <vt:lpstr>Qinfiltration_DD_83_Low</vt:lpstr>
      <vt:lpstr>Qinfiltration_DD_95</vt:lpstr>
      <vt:lpstr>Qinfiltration_DD_95_Full</vt:lpstr>
      <vt:lpstr>Qinfiltration_SD_83</vt:lpstr>
      <vt:lpstr>Qinfiltration_SD_83_Full</vt:lpstr>
      <vt:lpstr>Qinfiltration_SD_83_Low</vt:lpstr>
      <vt:lpstr>Qinfiltration_SD_95</vt:lpstr>
      <vt:lpstr>Qinfiltration_SD_95_Full</vt:lpstr>
      <vt:lpstr>Ql_DD_83</vt:lpstr>
      <vt:lpstr>Ql_DD_83_Full</vt:lpstr>
      <vt:lpstr>Ql_DD_83_Low</vt:lpstr>
      <vt:lpstr>Ql_DD_95</vt:lpstr>
      <vt:lpstr>Ql_DD_95_Full</vt:lpstr>
      <vt:lpstr>Ql_SD_83</vt:lpstr>
      <vt:lpstr>Ql_SD_83_Full</vt:lpstr>
      <vt:lpstr>Ql_SD_83_Low</vt:lpstr>
      <vt:lpstr>Ql_SD_95</vt:lpstr>
      <vt:lpstr>Ql_SD_95_Full</vt:lpstr>
      <vt:lpstr>Qs_DD_83</vt:lpstr>
      <vt:lpstr>Qs_DD_83_Full</vt:lpstr>
      <vt:lpstr>Qs_DD_83_Low</vt:lpstr>
      <vt:lpstr>Qs_DD_95</vt:lpstr>
      <vt:lpstr>Qs_DD_95_Full</vt:lpstr>
      <vt:lpstr>Qs_SD_83</vt:lpstr>
      <vt:lpstr>Qs_SD_83_Full</vt:lpstr>
      <vt:lpstr>Qs_SD_83_Low</vt:lpstr>
      <vt:lpstr>Qs_SD_95</vt:lpstr>
      <vt:lpstr>Qs_SD_95_Full</vt:lpstr>
      <vt:lpstr>SACCDD</vt:lpstr>
      <vt:lpstr>SACCFull_DD</vt:lpstr>
      <vt:lpstr>SACCFull_SD</vt:lpstr>
      <vt:lpstr>SACCSD</vt:lpstr>
      <vt:lpstr>SIO</vt:lpstr>
      <vt:lpstr>SOC</vt:lpstr>
      <vt:lpstr>tcm</vt:lpstr>
      <vt:lpstr>Tduct_83_e</vt:lpstr>
      <vt:lpstr>Tduct_83_i</vt:lpstr>
      <vt:lpstr>Tduct_95_e</vt:lpstr>
      <vt:lpstr>Tduct_95_i</vt:lpstr>
      <vt:lpstr>Tduct_e</vt:lpstr>
      <vt:lpstr>Tduct_Full</vt:lpstr>
      <vt:lpstr>Tduct_Full_83_e</vt:lpstr>
      <vt:lpstr>Tduct_Full_83_i</vt:lpstr>
      <vt:lpstr>Tduct_Full_95_e</vt:lpstr>
      <vt:lpstr>Tduct_Full_95_i</vt:lpstr>
      <vt:lpstr>Tduct_Low</vt:lpstr>
      <vt:lpstr>Tduct_Low_83_e</vt:lpstr>
      <vt:lpstr>Tduct_Low_83_i</vt:lpstr>
      <vt:lpstr>Tei_a_ss</vt:lpstr>
      <vt:lpstr>Tei_a_vs</vt:lpstr>
      <vt:lpstr>Tei_b_ss</vt:lpstr>
      <vt:lpstr>Tei_b_vs</vt:lpstr>
      <vt:lpstr>Tei_c_ss</vt:lpstr>
      <vt:lpstr>Tei_c_vs</vt:lpstr>
      <vt:lpstr>Tei_d_vs</vt:lpstr>
      <vt:lpstr>Tei_e_vs</vt:lpstr>
      <vt:lpstr>Tt</vt:lpstr>
      <vt:lpstr>Tw</vt:lpstr>
      <vt:lpstr>Vci_83</vt:lpstr>
      <vt:lpstr>Vci_83_Full</vt:lpstr>
      <vt:lpstr>Vci_83_Low</vt:lpstr>
      <vt:lpstr>Vci_95</vt:lpstr>
      <vt:lpstr>Vci_95_Full</vt:lpstr>
      <vt:lpstr>Vco_83</vt:lpstr>
      <vt:lpstr>Vco_83_Full</vt:lpstr>
      <vt:lpstr>Vco_83_Low</vt:lpstr>
      <vt:lpstr>Vco_95</vt:lpstr>
      <vt:lpstr>Vco_95_Full</vt:lpstr>
      <vt:lpstr>Vco_SD</vt:lpstr>
      <vt:lpstr>Vco_SD_Full</vt:lpstr>
      <vt:lpstr>Vco_SD_Low</vt:lpstr>
      <vt:lpstr>ρci_83</vt:lpstr>
      <vt:lpstr>ρci_83_Full</vt:lpstr>
      <vt:lpstr>ρci_83_Low</vt:lpstr>
      <vt:lpstr>ρci_95</vt:lpstr>
      <vt:lpstr>ρci_95_Full</vt:lpstr>
      <vt:lpstr>ρco_83</vt:lpstr>
      <vt:lpstr>ρco_83_Full</vt:lpstr>
      <vt:lpstr>ρco_83_Low</vt:lpstr>
      <vt:lpstr>ρco_95</vt:lpstr>
      <vt:lpstr>ρco_95_Full</vt:lpstr>
      <vt:lpstr>ρco_SD</vt:lpstr>
      <vt:lpstr>ρco_SD_Full</vt:lpstr>
      <vt:lpstr>ρco_SD_Low</vt:lpstr>
      <vt:lpstr>ωci_83</vt:lpstr>
      <vt:lpstr>ωci_83_Full</vt:lpstr>
      <vt:lpstr>ωci_83_Low</vt:lpstr>
      <vt:lpstr>ωci_95</vt:lpstr>
      <vt:lpstr>ωci_95_Full</vt:lpstr>
      <vt:lpstr>ωco_83</vt:lpstr>
      <vt:lpstr>ωco_83_Full</vt:lpstr>
      <vt:lpstr>ωco_83_Low</vt:lpstr>
      <vt:lpstr>ωco_95</vt:lpstr>
      <vt:lpstr>ωco_95_Full</vt:lpstr>
      <vt:lpstr>ωco_SD</vt:lpstr>
      <vt:lpstr>ωco_SD_Full</vt:lpstr>
      <vt:lpstr>ωco_SD_Low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User 939</cp:lastModifiedBy>
  <dcterms:created xsi:type="dcterms:W3CDTF">2012-07-30T20:37:04Z</dcterms:created>
  <dcterms:modified xsi:type="dcterms:W3CDTF">2025-01-15T22:29:20Z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